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oblecpt-my.sharepoint.com/personal/josebartissol_globlec_pt/Documents/Ambiente de Trabalho/"/>
    </mc:Choice>
  </mc:AlternateContent>
  <xr:revisionPtr revIDLastSave="2" documentId="13_ncr:1_{D0C164FE-8BF9-48B0-8A6A-B9C0E6212E1C}" xr6:coauthVersionLast="47" xr6:coauthVersionMax="47" xr10:uidLastSave="{4F51598A-38F2-4F91-A954-8BC2B3D55725}"/>
  <bookViews>
    <workbookView xWindow="-120" yWindow="-120" windowWidth="29040" windowHeight="15840" xr2:uid="{5363A112-6386-49DC-BE18-6F02D4CD7423}"/>
  </bookViews>
  <sheets>
    <sheet name="Portefólio PROFISSIONAL (B2B)" sheetId="2" r:id="rId1"/>
    <sheet name="Portefólio RESIDENCIAL (B2C)" sheetId="4" r:id="rId2"/>
  </sheets>
  <definedNames>
    <definedName name="_xlnm._FilterDatabase" localSheetId="0" hidden="1">'Portefólio PROFISSIONAL (B2B)'!$A$2:$XAR$3050</definedName>
    <definedName name="_xlnm._FilterDatabase" localSheetId="1" hidden="1">'Portefólio RESIDENCIAL (B2C)'!$A$2:$J$973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18" i="4" l="1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3" i="2"/>
  <c r="G3024" i="2"/>
  <c r="G3022" i="2"/>
  <c r="G3021" i="2"/>
  <c r="G3020" i="2"/>
  <c r="G3019" i="2"/>
  <c r="G3018" i="2"/>
  <c r="G3015" i="2"/>
  <c r="G3017" i="2"/>
  <c r="G3016" i="2"/>
  <c r="G3014" i="2"/>
  <c r="G3012" i="2"/>
  <c r="G3013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6" i="2"/>
  <c r="G2995" i="2"/>
  <c r="G2994" i="2"/>
  <c r="G2993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8" i="2"/>
  <c r="G2975" i="2"/>
  <c r="G2977" i="2"/>
  <c r="G2976" i="2"/>
  <c r="G2974" i="2"/>
  <c r="G2972" i="2"/>
  <c r="G2971" i="2"/>
  <c r="G2970" i="2"/>
  <c r="G2969" i="2"/>
  <c r="G2968" i="2"/>
  <c r="G2967" i="2"/>
  <c r="G2966" i="2"/>
  <c r="G2965" i="2"/>
  <c r="G2964" i="2"/>
  <c r="G2962" i="2"/>
  <c r="G2959" i="2"/>
  <c r="G2961" i="2"/>
  <c r="G2960" i="2"/>
  <c r="G2958" i="2"/>
  <c r="G2957" i="2"/>
  <c r="G2956" i="2"/>
  <c r="G2955" i="2"/>
  <c r="G2954" i="2"/>
  <c r="G2952" i="2"/>
  <c r="G2950" i="2"/>
  <c r="G2948" i="2"/>
  <c r="G2947" i="2"/>
  <c r="G2945" i="2"/>
  <c r="G2944" i="2"/>
  <c r="G2943" i="2"/>
  <c r="G2942" i="2"/>
  <c r="G2941" i="2"/>
  <c r="G2940" i="2"/>
  <c r="G2939" i="2"/>
  <c r="G2938" i="2"/>
  <c r="G2937" i="2"/>
  <c r="G2935" i="2"/>
  <c r="G2934" i="2"/>
  <c r="G2932" i="2"/>
  <c r="G2931" i="2"/>
  <c r="G2930" i="2"/>
  <c r="G2929" i="2"/>
  <c r="G2927" i="2"/>
  <c r="G2928" i="2"/>
  <c r="G2926" i="2"/>
  <c r="G2924" i="2"/>
  <c r="G2923" i="2"/>
  <c r="G2922" i="2"/>
  <c r="G2921" i="2"/>
  <c r="G2920" i="2"/>
  <c r="G2919" i="2"/>
  <c r="G2916" i="2"/>
  <c r="G2918" i="2"/>
  <c r="G2917" i="2"/>
  <c r="G2915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7" i="2"/>
  <c r="G2858" i="2"/>
  <c r="G2856" i="2"/>
  <c r="G2854" i="2"/>
  <c r="G2855" i="2"/>
  <c r="G2853" i="2"/>
  <c r="G2852" i="2"/>
  <c r="G2850" i="2"/>
  <c r="G2851" i="2"/>
  <c r="G2849" i="2"/>
  <c r="G2848" i="2"/>
  <c r="G2845" i="2"/>
  <c r="G2847" i="2"/>
  <c r="G2846" i="2"/>
  <c r="G2844" i="2"/>
  <c r="G2842" i="2"/>
  <c r="G2841" i="2"/>
  <c r="G2840" i="2"/>
  <c r="G2839" i="2"/>
  <c r="G2838" i="2"/>
  <c r="G2837" i="2"/>
  <c r="G2836" i="2"/>
  <c r="G2835" i="2"/>
  <c r="G2834" i="2"/>
  <c r="G2833" i="2"/>
  <c r="G2830" i="2"/>
  <c r="G2832" i="2"/>
  <c r="G2831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6" i="2"/>
  <c r="G2815" i="2"/>
  <c r="G2814" i="2"/>
  <c r="G2813" i="2"/>
  <c r="G2812" i="2"/>
  <c r="G2811" i="2"/>
  <c r="G2809" i="2"/>
  <c r="G2808" i="2"/>
  <c r="G2807" i="2"/>
  <c r="G2806" i="2"/>
  <c r="G2805" i="2"/>
  <c r="G2804" i="2"/>
  <c r="G2803" i="2"/>
  <c r="G2802" i="2"/>
  <c r="G2801" i="2"/>
  <c r="G2798" i="2"/>
  <c r="G2800" i="2"/>
  <c r="G2799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3" i="2"/>
  <c r="G2735" i="2"/>
  <c r="G2734" i="2"/>
  <c r="G2732" i="2"/>
  <c r="G2731" i="2"/>
  <c r="G2730" i="2"/>
  <c r="G2729" i="2"/>
  <c r="G2728" i="2"/>
  <c r="G2727" i="2"/>
  <c r="G2726" i="2"/>
  <c r="G2725" i="2"/>
  <c r="G2724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6" i="2"/>
  <c r="G2707" i="2"/>
  <c r="G2705" i="2"/>
  <c r="G2704" i="2"/>
  <c r="G2702" i="2"/>
  <c r="G2703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636" i="2"/>
  <c r="G2635" i="2"/>
  <c r="G2634" i="2"/>
  <c r="G2633" i="2"/>
  <c r="G2632" i="2"/>
  <c r="G2631" i="2"/>
  <c r="G2630" i="2"/>
  <c r="G2629" i="2"/>
  <c r="G2628" i="2"/>
  <c r="G2622" i="2"/>
  <c r="G2627" i="2"/>
  <c r="G2626" i="2"/>
  <c r="G2625" i="2"/>
  <c r="G2624" i="2"/>
  <c r="G2623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7" i="2"/>
  <c r="G2548" i="2"/>
  <c r="G2546" i="2"/>
  <c r="G2545" i="2"/>
  <c r="G2544" i="2"/>
  <c r="G2543" i="2"/>
  <c r="G2542" i="2"/>
  <c r="G2538" i="2"/>
  <c r="G2541" i="2"/>
  <c r="G2540" i="2"/>
  <c r="G2539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09" i="2"/>
  <c r="G2508" i="2"/>
  <c r="G2506" i="2"/>
  <c r="G2505" i="2"/>
  <c r="G2504" i="2"/>
  <c r="G2502" i="2"/>
  <c r="G2501" i="2"/>
  <c r="G2500" i="2"/>
  <c r="G2498" i="2"/>
  <c r="G2497" i="2"/>
  <c r="G2496" i="2"/>
  <c r="G2495" i="2"/>
  <c r="G2494" i="2"/>
  <c r="G2492" i="2"/>
  <c r="G2491" i="2"/>
  <c r="G2490" i="2"/>
  <c r="G2488" i="2"/>
  <c r="G2487" i="2"/>
  <c r="G2486" i="2"/>
  <c r="G2484" i="2"/>
  <c r="G2483" i="2"/>
  <c r="G2482" i="2"/>
  <c r="G2481" i="2"/>
  <c r="G2480" i="2"/>
  <c r="G2478" i="2"/>
  <c r="G2476" i="2"/>
  <c r="G2475" i="2"/>
  <c r="G2474" i="2"/>
  <c r="G2473" i="2"/>
  <c r="G2471" i="2"/>
  <c r="G2470" i="2"/>
  <c r="G2469" i="2"/>
  <c r="G2468" i="2"/>
  <c r="G2467" i="2"/>
  <c r="G2465" i="2"/>
  <c r="G2464" i="2"/>
  <c r="G2462" i="2"/>
  <c r="G2460" i="2"/>
  <c r="G2459" i="2"/>
  <c r="G2457" i="2"/>
  <c r="G2454" i="2"/>
  <c r="G2456" i="2"/>
  <c r="G2455" i="2"/>
  <c r="G2453" i="2"/>
  <c r="G2452" i="2"/>
  <c r="G2450" i="2"/>
  <c r="G2449" i="2"/>
  <c r="G2448" i="2"/>
  <c r="G2447" i="2"/>
  <c r="G2445" i="2"/>
  <c r="G2444" i="2"/>
  <c r="G2443" i="2"/>
  <c r="G2441" i="2"/>
  <c r="G2440" i="2"/>
  <c r="G2439" i="2"/>
  <c r="G2437" i="2"/>
  <c r="G2438" i="2"/>
  <c r="G2436" i="2"/>
  <c r="G2435" i="2"/>
  <c r="G2433" i="2"/>
  <c r="G2432" i="2"/>
  <c r="G2430" i="2"/>
  <c r="G2429" i="2"/>
  <c r="G2428" i="2"/>
  <c r="G2427" i="2"/>
  <c r="G2425" i="2"/>
  <c r="G2426" i="2"/>
  <c r="G2423" i="2"/>
  <c r="G2422" i="2"/>
  <c r="G2420" i="2"/>
  <c r="G2418" i="2"/>
  <c r="G2417" i="2"/>
  <c r="G2415" i="2"/>
  <c r="G2416" i="2"/>
  <c r="G2413" i="2"/>
  <c r="G2412" i="2"/>
  <c r="G2411" i="2"/>
  <c r="G2410" i="2"/>
  <c r="G2409" i="2"/>
  <c r="G2408" i="2"/>
  <c r="G2406" i="2"/>
  <c r="G2407" i="2"/>
  <c r="G2403" i="2"/>
  <c r="G2404" i="2"/>
  <c r="G2402" i="2"/>
  <c r="G2401" i="2"/>
  <c r="G2399" i="2"/>
  <c r="G2398" i="2"/>
  <c r="G2397" i="2"/>
  <c r="G2395" i="2"/>
  <c r="G2393" i="2"/>
  <c r="G2391" i="2"/>
  <c r="G2389" i="2"/>
  <c r="G2387" i="2"/>
  <c r="G2386" i="2"/>
  <c r="G2385" i="2"/>
  <c r="G2384" i="2"/>
  <c r="G2382" i="2"/>
  <c r="G2381" i="2"/>
  <c r="G2380" i="2"/>
  <c r="G2379" i="2"/>
  <c r="G2378" i="2"/>
  <c r="G2377" i="2"/>
  <c r="G2376" i="2"/>
  <c r="G2375" i="2"/>
  <c r="G2374" i="2"/>
  <c r="G2373" i="2"/>
  <c r="G2371" i="2"/>
  <c r="G2370" i="2"/>
  <c r="G2369" i="2"/>
  <c r="G2368" i="2"/>
  <c r="G2366" i="2"/>
  <c r="G2365" i="2"/>
  <c r="G2364" i="2"/>
  <c r="G2363" i="2"/>
  <c r="G2361" i="2"/>
  <c r="G2362" i="2"/>
  <c r="G2359" i="2"/>
  <c r="G2358" i="2"/>
  <c r="G2356" i="2"/>
  <c r="G2355" i="2"/>
  <c r="G2357" i="2"/>
  <c r="G2352" i="2"/>
  <c r="G2351" i="2"/>
  <c r="G2350" i="2"/>
  <c r="G2349" i="2"/>
  <c r="G2348" i="2"/>
  <c r="G2347" i="2"/>
  <c r="G2346" i="2"/>
  <c r="G2345" i="2"/>
  <c r="G2343" i="2"/>
  <c r="G2342" i="2"/>
  <c r="G2341" i="2"/>
  <c r="G2340" i="2"/>
  <c r="G2338" i="2"/>
  <c r="G2337" i="2"/>
  <c r="G2336" i="2"/>
  <c r="G2335" i="2"/>
  <c r="G2332" i="2"/>
  <c r="G2331" i="2"/>
  <c r="G2329" i="2"/>
  <c r="G2328" i="2"/>
  <c r="G2327" i="2"/>
  <c r="G2326" i="2"/>
  <c r="G2325" i="2"/>
  <c r="G2323" i="2"/>
  <c r="G2322" i="2"/>
  <c r="G2321" i="2"/>
  <c r="G2320" i="2"/>
  <c r="G2319" i="2"/>
  <c r="G2318" i="2"/>
  <c r="G2317" i="2"/>
  <c r="G2316" i="2"/>
  <c r="G2314" i="2"/>
  <c r="G2315" i="2"/>
  <c r="G2312" i="2"/>
  <c r="G2311" i="2"/>
  <c r="G2309" i="2"/>
  <c r="G2308" i="2"/>
  <c r="G2307" i="2"/>
  <c r="G2306" i="2"/>
  <c r="G2304" i="2"/>
  <c r="G2303" i="2"/>
  <c r="G2301" i="2"/>
  <c r="G2300" i="2"/>
  <c r="G2299" i="2"/>
  <c r="G2297" i="2"/>
  <c r="G2296" i="2"/>
  <c r="G2295" i="2"/>
  <c r="G2294" i="2"/>
  <c r="G2293" i="2"/>
  <c r="G2292" i="2"/>
  <c r="G2291" i="2"/>
  <c r="G2290" i="2"/>
  <c r="G2289" i="2"/>
  <c r="G2287" i="2"/>
  <c r="G2286" i="2"/>
  <c r="G2285" i="2"/>
  <c r="G2284" i="2"/>
  <c r="G2283" i="2"/>
  <c r="G2282" i="2"/>
  <c r="G2281" i="2"/>
  <c r="G2280" i="2"/>
  <c r="G2279" i="2"/>
  <c r="G2277" i="2"/>
  <c r="G2276" i="2"/>
  <c r="G2275" i="2"/>
  <c r="G2274" i="2"/>
  <c r="G2272" i="2"/>
  <c r="G2271" i="2"/>
  <c r="G2270" i="2"/>
  <c r="G2269" i="2"/>
  <c r="G2268" i="2"/>
  <c r="G2267" i="2"/>
  <c r="G2266" i="2"/>
  <c r="G2265" i="2"/>
  <c r="G2264" i="2"/>
  <c r="G2261" i="2"/>
  <c r="G2262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1" i="2"/>
  <c r="G2242" i="2"/>
  <c r="G2240" i="2"/>
  <c r="G2239" i="2"/>
  <c r="G2238" i="2"/>
  <c r="G2237" i="2"/>
  <c r="G2236" i="2"/>
  <c r="G2235" i="2"/>
  <c r="G2233" i="2"/>
  <c r="G2232" i="2"/>
  <c r="G2231" i="2"/>
  <c r="G2230" i="2"/>
  <c r="G2229" i="2"/>
  <c r="G2228" i="2"/>
  <c r="G2227" i="2"/>
  <c r="G2226" i="2"/>
  <c r="G2225" i="2"/>
  <c r="G2224" i="2"/>
  <c r="G2223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198" i="2"/>
  <c r="G2199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0" i="2"/>
  <c r="G2179" i="2"/>
  <c r="G2178" i="2"/>
  <c r="G2177" i="2"/>
  <c r="G2176" i="2"/>
  <c r="G2174" i="2"/>
  <c r="G2175" i="2"/>
  <c r="G2173" i="2"/>
  <c r="G2170" i="2"/>
  <c r="G2171" i="2"/>
  <c r="G2169" i="2"/>
  <c r="G2168" i="2"/>
  <c r="G2167" i="2"/>
  <c r="G2166" i="2"/>
  <c r="G2165" i="2"/>
  <c r="G2164" i="2"/>
  <c r="G2163" i="2"/>
  <c r="G2161" i="2"/>
  <c r="G2160" i="2"/>
  <c r="G2159" i="2"/>
  <c r="G2158" i="2"/>
  <c r="G2157" i="2"/>
  <c r="G2156" i="2"/>
  <c r="G2155" i="2"/>
  <c r="G2154" i="2"/>
  <c r="G2151" i="2"/>
  <c r="G2152" i="2"/>
  <c r="G2149" i="2"/>
  <c r="G2148" i="2"/>
  <c r="G2147" i="2"/>
  <c r="G2145" i="2"/>
  <c r="G2144" i="2"/>
  <c r="G2142" i="2"/>
  <c r="G2143" i="2"/>
  <c r="G2141" i="2"/>
  <c r="G2140" i="2"/>
  <c r="G2139" i="2"/>
  <c r="G2137" i="2"/>
  <c r="G2136" i="2"/>
  <c r="G2135" i="2"/>
  <c r="G2134" i="2"/>
  <c r="G2133" i="2"/>
  <c r="G2132" i="2"/>
  <c r="G2131" i="2"/>
  <c r="G2130" i="2"/>
  <c r="G2129" i="2"/>
  <c r="G2128" i="2"/>
  <c r="G2127" i="2"/>
  <c r="G2125" i="2"/>
  <c r="G2124" i="2"/>
  <c r="G2123" i="2"/>
  <c r="G2121" i="2"/>
  <c r="G2120" i="2"/>
  <c r="G2119" i="2"/>
  <c r="G2118" i="2"/>
  <c r="G2117" i="2"/>
  <c r="G2116" i="2"/>
  <c r="G2115" i="2"/>
  <c r="G2114" i="2"/>
  <c r="G2113" i="2"/>
  <c r="G2112" i="2"/>
  <c r="G2111" i="2"/>
  <c r="G2109" i="2"/>
  <c r="G2108" i="2"/>
  <c r="G2107" i="2"/>
  <c r="G2106" i="2"/>
  <c r="G2105" i="2"/>
  <c r="G2104" i="2"/>
  <c r="G2103" i="2"/>
  <c r="G2102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7" i="2"/>
  <c r="G2086" i="2"/>
  <c r="G2085" i="2"/>
  <c r="G2084" i="2"/>
  <c r="G2082" i="2"/>
  <c r="G2081" i="2"/>
  <c r="G2079" i="2"/>
  <c r="G2080" i="2"/>
  <c r="G2078" i="2"/>
  <c r="G2076" i="2"/>
  <c r="G2075" i="2"/>
  <c r="G2074" i="2"/>
  <c r="G2073" i="2"/>
  <c r="G2072" i="2"/>
  <c r="G2071" i="2"/>
  <c r="G2070" i="2"/>
  <c r="G2068" i="2"/>
  <c r="G2067" i="2"/>
  <c r="G2066" i="2"/>
  <c r="G2065" i="2"/>
  <c r="G2064" i="2"/>
  <c r="G2063" i="2"/>
  <c r="G2060" i="2"/>
  <c r="G2061" i="2"/>
  <c r="G2059" i="2"/>
  <c r="G2054" i="2"/>
  <c r="G2058" i="2"/>
  <c r="G2057" i="2"/>
  <c r="G2056" i="2"/>
  <c r="G2055" i="2"/>
  <c r="G2053" i="2"/>
  <c r="G2051" i="2"/>
  <c r="G2050" i="2"/>
  <c r="G2048" i="2"/>
  <c r="G2047" i="2"/>
  <c r="G2046" i="2"/>
  <c r="G2044" i="2"/>
  <c r="G2043" i="2"/>
  <c r="G2041" i="2"/>
  <c r="G2040" i="2"/>
  <c r="G2038" i="2"/>
  <c r="G2037" i="2"/>
  <c r="G2036" i="2"/>
  <c r="G2034" i="2"/>
  <c r="G2033" i="2"/>
  <c r="G2032" i="2"/>
  <c r="G2031" i="2"/>
  <c r="G2030" i="2"/>
  <c r="G2029" i="2"/>
  <c r="G2027" i="2"/>
  <c r="G2026" i="2"/>
  <c r="G2025" i="2"/>
  <c r="G2024" i="2"/>
  <c r="G2023" i="2"/>
  <c r="G2022" i="2"/>
  <c r="G2020" i="2"/>
  <c r="G2019" i="2"/>
  <c r="G2018" i="2"/>
  <c r="G2017" i="2"/>
  <c r="G2016" i="2"/>
  <c r="G2015" i="2"/>
  <c r="G2013" i="2"/>
  <c r="G2012" i="2"/>
  <c r="G2010" i="2"/>
  <c r="G2009" i="2"/>
  <c r="G2008" i="2"/>
  <c r="G2007" i="2"/>
  <c r="G2004" i="2"/>
  <c r="G2005" i="2"/>
  <c r="G2003" i="2"/>
  <c r="G2002" i="2"/>
  <c r="G2001" i="2"/>
  <c r="G2000" i="2"/>
  <c r="G1999" i="2"/>
  <c r="G1998" i="2"/>
  <c r="G1997" i="2"/>
  <c r="G1995" i="2"/>
  <c r="G1994" i="2"/>
  <c r="G1993" i="2"/>
  <c r="G1991" i="2"/>
  <c r="G1990" i="2"/>
  <c r="G1988" i="2"/>
  <c r="G1987" i="2"/>
  <c r="G1986" i="2"/>
  <c r="G1985" i="2"/>
  <c r="G1984" i="2"/>
  <c r="G1983" i="2"/>
  <c r="G1982" i="2"/>
  <c r="G1981" i="2"/>
  <c r="G1980" i="2"/>
  <c r="G1977" i="2"/>
  <c r="G1976" i="2"/>
  <c r="G1979" i="2"/>
  <c r="G1978" i="2"/>
  <c r="G1974" i="2"/>
  <c r="G1973" i="2"/>
  <c r="G1972" i="2"/>
  <c r="G1971" i="2"/>
  <c r="G1970" i="2"/>
  <c r="G1969" i="2"/>
  <c r="G1968" i="2"/>
  <c r="G1967" i="2"/>
  <c r="G1966" i="2"/>
  <c r="G1965" i="2"/>
  <c r="G1963" i="2"/>
  <c r="G1962" i="2"/>
  <c r="G1961" i="2"/>
  <c r="G1960" i="2"/>
  <c r="G1959" i="2"/>
  <c r="G1958" i="2"/>
  <c r="G1957" i="2"/>
  <c r="G1954" i="2"/>
  <c r="G1956" i="2"/>
  <c r="G1953" i="2"/>
  <c r="G1952" i="2"/>
  <c r="G1951" i="2"/>
  <c r="G1950" i="2"/>
  <c r="G1948" i="2"/>
  <c r="G1947" i="2"/>
  <c r="G1945" i="2"/>
  <c r="G1944" i="2"/>
  <c r="G1943" i="2"/>
  <c r="G1942" i="2"/>
  <c r="G1941" i="2"/>
  <c r="G1940" i="2"/>
  <c r="G1938" i="2"/>
  <c r="G1937" i="2"/>
  <c r="G1936" i="2"/>
  <c r="G1935" i="2"/>
  <c r="G1934" i="2"/>
  <c r="G1933" i="2"/>
  <c r="G1932" i="2"/>
  <c r="G1931" i="2"/>
  <c r="G1929" i="2"/>
  <c r="G1928" i="2"/>
  <c r="G1927" i="2"/>
  <c r="G1926" i="2"/>
  <c r="G1925" i="2"/>
  <c r="G1924" i="2"/>
  <c r="G1923" i="2"/>
  <c r="G1922" i="2"/>
  <c r="G1921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4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59" i="2"/>
  <c r="G1858" i="2"/>
  <c r="G1857" i="2"/>
  <c r="G1855" i="2"/>
  <c r="G1854" i="2"/>
  <c r="G1853" i="2"/>
  <c r="G1852" i="2"/>
  <c r="G1851" i="2"/>
  <c r="G1850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2" i="2"/>
  <c r="G1821" i="2"/>
  <c r="G1820" i="2"/>
  <c r="G1819" i="2"/>
  <c r="G1818" i="2"/>
  <c r="G1817" i="2"/>
  <c r="G1815" i="2"/>
  <c r="G1814" i="2"/>
  <c r="G1813" i="2"/>
  <c r="G1812" i="2"/>
  <c r="G1810" i="2"/>
  <c r="G1809" i="2"/>
  <c r="G1808" i="2"/>
  <c r="G1807" i="2"/>
  <c r="G1806" i="2"/>
  <c r="G1805" i="2"/>
  <c r="G1804" i="2"/>
  <c r="G1803" i="2"/>
  <c r="G1802" i="2"/>
  <c r="G1801" i="2"/>
  <c r="G1799" i="2"/>
  <c r="G1798" i="2"/>
  <c r="G1797" i="2"/>
  <c r="G1796" i="2"/>
  <c r="G1795" i="2"/>
  <c r="G1794" i="2"/>
  <c r="G1792" i="2"/>
  <c r="G1791" i="2"/>
  <c r="G1790" i="2"/>
  <c r="G1789" i="2"/>
  <c r="G1788" i="2"/>
  <c r="G1787" i="2"/>
  <c r="G1786" i="2"/>
  <c r="G1785" i="2"/>
  <c r="G1783" i="2"/>
  <c r="G1782" i="2"/>
  <c r="G1781" i="2"/>
  <c r="G1780" i="2"/>
  <c r="G1779" i="2"/>
  <c r="G1778" i="2"/>
  <c r="G1776" i="2"/>
  <c r="G1775" i="2"/>
  <c r="G1774" i="2"/>
  <c r="G1773" i="2"/>
  <c r="G1772" i="2"/>
  <c r="G1771" i="2"/>
  <c r="G1769" i="2"/>
  <c r="G1768" i="2"/>
  <c r="G1767" i="2"/>
  <c r="G1766" i="2"/>
  <c r="G1765" i="2"/>
  <c r="G1764" i="2"/>
  <c r="G1762" i="2"/>
  <c r="G1761" i="2"/>
  <c r="G1760" i="2"/>
  <c r="G1759" i="2"/>
  <c r="G1758" i="2"/>
  <c r="G1757" i="2"/>
  <c r="G1756" i="2"/>
  <c r="G1755" i="2"/>
  <c r="G1753" i="2"/>
  <c r="G1752" i="2"/>
  <c r="G1751" i="2"/>
  <c r="G1750" i="2"/>
  <c r="G1749" i="2"/>
  <c r="G1748" i="2"/>
  <c r="G1747" i="2"/>
  <c r="G1746" i="2"/>
  <c r="G1744" i="2"/>
  <c r="G1743" i="2"/>
  <c r="G1741" i="2"/>
  <c r="G1740" i="2"/>
  <c r="G1739" i="2"/>
  <c r="G1738" i="2"/>
  <c r="G1737" i="2"/>
  <c r="G1736" i="2"/>
  <c r="G1735" i="2"/>
  <c r="G1734" i="2"/>
  <c r="G1732" i="2"/>
  <c r="G1731" i="2"/>
  <c r="G1730" i="2"/>
  <c r="G1729" i="2"/>
  <c r="G1727" i="2"/>
  <c r="G1726" i="2"/>
  <c r="G1725" i="2"/>
  <c r="G1724" i="2"/>
  <c r="G1722" i="2"/>
  <c r="G1721" i="2"/>
  <c r="G1720" i="2"/>
  <c r="G1718" i="2"/>
  <c r="G1717" i="2"/>
  <c r="G1716" i="2"/>
  <c r="G1714" i="2"/>
  <c r="G1713" i="2"/>
  <c r="G1712" i="2"/>
  <c r="G1710" i="2"/>
  <c r="G1709" i="2"/>
  <c r="G1708" i="2"/>
  <c r="G1706" i="2"/>
  <c r="G1705" i="2"/>
  <c r="G1704" i="2"/>
  <c r="G1702" i="2"/>
  <c r="G1701" i="2"/>
  <c r="G1700" i="2"/>
  <c r="G1697" i="2"/>
  <c r="G1693" i="2"/>
  <c r="G1698" i="2"/>
  <c r="G1696" i="2"/>
  <c r="G1694" i="2"/>
  <c r="G1692" i="2"/>
  <c r="G1690" i="2"/>
  <c r="G1689" i="2"/>
  <c r="G1688" i="2"/>
  <c r="G1686" i="2"/>
  <c r="G1685" i="2"/>
  <c r="G1684" i="2"/>
  <c r="G1682" i="2"/>
  <c r="G1681" i="2"/>
  <c r="G1680" i="2"/>
  <c r="G1678" i="2"/>
  <c r="G1677" i="2"/>
  <c r="G1676" i="2"/>
  <c r="G1674" i="2"/>
  <c r="G1673" i="2"/>
  <c r="G1672" i="2"/>
  <c r="G1670" i="2"/>
  <c r="G1669" i="2"/>
  <c r="G1668" i="2"/>
  <c r="G1666" i="2"/>
  <c r="G1665" i="2"/>
  <c r="G1664" i="2"/>
  <c r="G1662" i="2"/>
  <c r="G1661" i="2"/>
  <c r="G1660" i="2"/>
  <c r="G1658" i="2"/>
  <c r="G1657" i="2"/>
  <c r="G1655" i="2"/>
  <c r="G1654" i="2"/>
  <c r="G1653" i="2"/>
  <c r="G1652" i="2"/>
  <c r="G1651" i="2"/>
  <c r="G1650" i="2"/>
  <c r="G1649" i="2"/>
  <c r="G1648" i="2"/>
  <c r="G1647" i="2"/>
  <c r="G1645" i="2"/>
  <c r="G1644" i="2"/>
  <c r="G1643" i="2"/>
  <c r="G1642" i="2"/>
  <c r="G1640" i="2"/>
  <c r="G1639" i="2"/>
  <c r="G1638" i="2"/>
  <c r="G1637" i="2"/>
  <c r="G1636" i="2"/>
  <c r="G1635" i="2"/>
  <c r="G1634" i="2"/>
  <c r="G1633" i="2"/>
  <c r="G1632" i="2"/>
  <c r="G1630" i="2"/>
  <c r="G1629" i="2"/>
  <c r="G1628" i="2"/>
  <c r="G1627" i="2"/>
  <c r="G1626" i="2"/>
  <c r="G1625" i="2"/>
  <c r="G1624" i="2"/>
  <c r="G1623" i="2"/>
  <c r="G1622" i="2"/>
  <c r="G1620" i="2"/>
  <c r="G1619" i="2"/>
  <c r="G1618" i="2"/>
  <c r="G1617" i="2"/>
  <c r="G1615" i="2"/>
  <c r="G1614" i="2"/>
  <c r="G1613" i="2"/>
  <c r="G1612" i="2"/>
  <c r="G1609" i="2"/>
  <c r="G1610" i="2"/>
  <c r="G1608" i="2"/>
  <c r="G1606" i="2"/>
  <c r="G1604" i="2"/>
  <c r="G1603" i="2"/>
  <c r="G1602" i="2"/>
  <c r="G1601" i="2"/>
  <c r="G1600" i="2"/>
  <c r="G1599" i="2"/>
  <c r="G1598" i="2"/>
  <c r="G1597" i="2"/>
  <c r="G1596" i="2"/>
  <c r="G1595" i="2"/>
  <c r="G1594" i="2"/>
  <c r="G1592" i="2"/>
  <c r="G1593" i="2"/>
  <c r="G1591" i="2"/>
  <c r="G1590" i="2"/>
  <c r="G1589" i="2"/>
  <c r="G1588" i="2"/>
  <c r="G1587" i="2"/>
  <c r="G1586" i="2"/>
  <c r="G1585" i="2"/>
  <c r="G1584" i="2"/>
  <c r="G1582" i="2"/>
  <c r="G1581" i="2"/>
  <c r="G1580" i="2"/>
  <c r="G1579" i="2"/>
  <c r="G1578" i="2"/>
  <c r="G1577" i="2"/>
  <c r="G1574" i="2"/>
  <c r="G1575" i="2"/>
  <c r="G1573" i="2"/>
  <c r="G1572" i="2"/>
  <c r="G1571" i="2"/>
  <c r="G1570" i="2"/>
  <c r="G1569" i="2"/>
  <c r="G1568" i="2"/>
  <c r="G1567" i="2"/>
  <c r="G1565" i="2"/>
  <c r="G1564" i="2"/>
  <c r="G1563" i="2"/>
  <c r="G1562" i="2"/>
  <c r="G1561" i="2"/>
  <c r="G1560" i="2"/>
  <c r="G1558" i="2"/>
  <c r="G1557" i="2"/>
  <c r="G1556" i="2"/>
  <c r="G1555" i="2"/>
  <c r="G1552" i="2"/>
  <c r="G1554" i="2"/>
  <c r="G1553" i="2"/>
  <c r="G1551" i="2"/>
  <c r="G1550" i="2"/>
  <c r="G1549" i="2"/>
  <c r="G1548" i="2"/>
  <c r="G1547" i="2"/>
  <c r="G1546" i="2"/>
  <c r="G1545" i="2"/>
  <c r="G1544" i="2"/>
  <c r="G1543" i="2"/>
  <c r="G1542" i="2"/>
  <c r="G1541" i="2"/>
  <c r="G1539" i="2"/>
  <c r="G1538" i="2"/>
  <c r="G1536" i="2"/>
  <c r="G1535" i="2"/>
  <c r="G1534" i="2"/>
  <c r="G1533" i="2"/>
  <c r="G1532" i="2"/>
  <c r="G1531" i="2"/>
  <c r="G1530" i="2"/>
  <c r="G1529" i="2"/>
  <c r="G1527" i="2"/>
  <c r="G1526" i="2"/>
  <c r="G1525" i="2"/>
  <c r="G1523" i="2"/>
  <c r="G1522" i="2"/>
  <c r="G1521" i="2"/>
  <c r="G1520" i="2"/>
  <c r="G1519" i="2"/>
  <c r="G1518" i="2"/>
  <c r="G1515" i="2"/>
  <c r="G1514" i="2"/>
  <c r="G1513" i="2"/>
  <c r="G1512" i="2"/>
  <c r="G1510" i="2"/>
  <c r="G1509" i="2"/>
  <c r="G1508" i="2"/>
  <c r="G1507" i="2"/>
  <c r="G1506" i="2"/>
  <c r="G1504" i="2"/>
  <c r="G1502" i="2"/>
  <c r="G1503" i="2"/>
  <c r="G1501" i="2"/>
  <c r="G1500" i="2"/>
  <c r="G1497" i="2"/>
  <c r="G1494" i="2"/>
  <c r="G1496" i="2"/>
  <c r="G1495" i="2"/>
  <c r="G1492" i="2"/>
  <c r="G1491" i="2"/>
  <c r="G1490" i="2"/>
  <c r="G1489" i="2"/>
  <c r="G1488" i="2"/>
  <c r="G1486" i="2"/>
  <c r="G1485" i="2"/>
  <c r="G1483" i="2"/>
  <c r="G1484" i="2"/>
  <c r="G1482" i="2"/>
  <c r="G1481" i="2"/>
  <c r="G1479" i="2"/>
  <c r="G1478" i="2"/>
  <c r="G1477" i="2"/>
  <c r="G1476" i="2"/>
  <c r="G1474" i="2"/>
  <c r="G1473" i="2"/>
  <c r="G1472" i="2"/>
  <c r="G1469" i="2"/>
  <c r="G1468" i="2"/>
  <c r="G1467" i="2"/>
  <c r="G1466" i="2"/>
  <c r="G1465" i="2"/>
  <c r="G1464" i="2"/>
  <c r="G1462" i="2"/>
  <c r="G1463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8" i="2"/>
  <c r="G1447" i="2"/>
  <c r="G1446" i="2"/>
  <c r="G1445" i="2"/>
  <c r="G1444" i="2"/>
  <c r="G1443" i="2"/>
  <c r="G1442" i="2"/>
  <c r="G1441" i="2"/>
  <c r="G1439" i="2"/>
  <c r="G1440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4" i="2"/>
  <c r="G1401" i="2"/>
  <c r="G1400" i="2"/>
  <c r="G1399" i="2"/>
  <c r="G1405" i="2"/>
  <c r="G1403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7" i="2"/>
  <c r="G1376" i="2"/>
  <c r="G1374" i="2"/>
  <c r="G1375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0" i="2"/>
  <c r="G1339" i="2"/>
  <c r="G1336" i="2"/>
  <c r="G1338" i="2"/>
  <c r="G1337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1" i="2"/>
  <c r="G1320" i="2"/>
  <c r="G1318" i="2"/>
  <c r="G1317" i="2"/>
  <c r="G1315" i="2"/>
  <c r="G1316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4" i="2"/>
  <c r="G1283" i="2"/>
  <c r="G1282" i="2"/>
  <c r="G1281" i="2"/>
  <c r="G1280" i="2"/>
  <c r="G1279" i="2"/>
  <c r="G1278" i="2"/>
  <c r="G1277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8" i="2"/>
  <c r="G1257" i="2"/>
  <c r="G1256" i="2"/>
  <c r="G1255" i="2"/>
  <c r="G1252" i="2"/>
  <c r="G1254" i="2"/>
  <c r="G1253" i="2"/>
  <c r="G1251" i="2"/>
  <c r="G1250" i="2"/>
  <c r="G1249" i="2"/>
  <c r="G1248" i="2"/>
  <c r="G1247" i="2"/>
  <c r="G1246" i="2"/>
  <c r="G1245" i="2"/>
  <c r="G1236" i="2"/>
  <c r="G1244" i="2"/>
  <c r="G1243" i="2"/>
  <c r="G1241" i="2"/>
  <c r="G1240" i="2"/>
  <c r="G1239" i="2"/>
  <c r="G1238" i="2"/>
  <c r="G1235" i="2"/>
  <c r="G1232" i="2"/>
  <c r="G1231" i="2"/>
  <c r="G1229" i="2"/>
  <c r="G1228" i="2"/>
  <c r="G1225" i="2"/>
  <c r="G1224" i="2"/>
  <c r="G1223" i="2"/>
  <c r="G1221" i="2"/>
  <c r="G1220" i="2"/>
  <c r="G1219" i="2"/>
  <c r="G1218" i="2"/>
  <c r="G1216" i="2"/>
  <c r="G1214" i="2"/>
  <c r="G1213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1" i="2"/>
  <c r="G1170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4" i="2"/>
  <c r="G1123" i="2"/>
  <c r="G1122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7" i="2"/>
  <c r="G1106" i="2"/>
  <c r="G1105" i="2"/>
  <c r="G1104" i="2"/>
  <c r="G1103" i="2"/>
  <c r="G1102" i="2"/>
  <c r="G1100" i="2"/>
  <c r="G1099" i="2"/>
  <c r="G1098" i="2"/>
  <c r="G1097" i="2"/>
  <c r="G1096" i="2"/>
  <c r="G1095" i="2"/>
  <c r="G1093" i="2"/>
  <c r="G1092" i="2"/>
  <c r="G1091" i="2"/>
  <c r="G1090" i="2"/>
  <c r="G1089" i="2"/>
  <c r="G1088" i="2"/>
  <c r="G1087" i="2"/>
  <c r="G1085" i="2"/>
  <c r="G1086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5" i="2"/>
  <c r="G1064" i="2"/>
  <c r="G1063" i="2"/>
  <c r="G1062" i="2"/>
  <c r="G1061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0" i="2"/>
  <c r="G1029" i="2"/>
  <c r="G1028" i="2"/>
  <c r="G1027" i="2"/>
  <c r="G1026" i="2"/>
  <c r="G1025" i="2"/>
  <c r="G1024" i="2"/>
  <c r="G1023" i="2"/>
  <c r="G1022" i="2"/>
  <c r="G1020" i="2"/>
  <c r="G1021" i="2"/>
  <c r="G1019" i="2"/>
  <c r="G1018" i="2"/>
  <c r="G1017" i="2"/>
  <c r="G1016" i="2"/>
  <c r="G1015" i="2"/>
  <c r="G1014" i="2"/>
  <c r="G1013" i="2"/>
  <c r="G1012" i="2"/>
  <c r="G1004" i="2"/>
  <c r="G1011" i="2"/>
  <c r="G1010" i="2"/>
  <c r="G1009" i="2"/>
  <c r="G1008" i="2"/>
  <c r="G1007" i="2"/>
  <c r="G1005" i="2"/>
  <c r="G1003" i="2"/>
  <c r="G1002" i="2"/>
  <c r="G1001" i="2"/>
  <c r="G1000" i="2"/>
  <c r="G998" i="2"/>
  <c r="G997" i="2"/>
  <c r="G996" i="2"/>
  <c r="G995" i="2"/>
  <c r="G994" i="2"/>
  <c r="G993" i="2"/>
  <c r="G991" i="2"/>
  <c r="G990" i="2"/>
  <c r="G989" i="2"/>
  <c r="G988" i="2"/>
  <c r="G987" i="2"/>
  <c r="G986" i="2"/>
  <c r="G984" i="2"/>
  <c r="G983" i="2"/>
  <c r="G982" i="2"/>
  <c r="G981" i="2"/>
  <c r="G980" i="2"/>
  <c r="G979" i="2"/>
  <c r="G977" i="2"/>
  <c r="G976" i="2"/>
  <c r="G975" i="2"/>
  <c r="G974" i="2"/>
  <c r="G971" i="2"/>
  <c r="G973" i="2"/>
  <c r="G972" i="2"/>
  <c r="G970" i="2"/>
  <c r="G969" i="2"/>
  <c r="G968" i="2"/>
  <c r="G966" i="2"/>
  <c r="G965" i="2"/>
  <c r="G964" i="2"/>
  <c r="G963" i="2"/>
  <c r="G962" i="2"/>
  <c r="G961" i="2"/>
  <c r="G960" i="2"/>
  <c r="G959" i="2"/>
  <c r="G958" i="2"/>
  <c r="G957" i="2"/>
  <c r="G955" i="2"/>
  <c r="G954" i="2"/>
  <c r="G952" i="2"/>
  <c r="G953" i="2"/>
  <c r="G951" i="2"/>
  <c r="G950" i="2"/>
  <c r="G949" i="2"/>
  <c r="G948" i="2"/>
  <c r="G947" i="2"/>
  <c r="G946" i="2"/>
  <c r="G944" i="2"/>
  <c r="G943" i="2"/>
  <c r="G941" i="2"/>
  <c r="G936" i="2"/>
  <c r="G935" i="2"/>
  <c r="G942" i="2"/>
  <c r="G940" i="2"/>
  <c r="G939" i="2"/>
  <c r="G938" i="2"/>
  <c r="G937" i="2"/>
  <c r="G933" i="2"/>
  <c r="G932" i="2"/>
  <c r="G931" i="2"/>
  <c r="G930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1" i="2"/>
  <c r="G892" i="2"/>
  <c r="G890" i="2"/>
  <c r="G889" i="2"/>
  <c r="G888" i="2"/>
  <c r="G886" i="2"/>
  <c r="G885" i="2"/>
  <c r="G884" i="2"/>
  <c r="G883" i="2"/>
  <c r="G882" i="2"/>
  <c r="G881" i="2"/>
  <c r="G880" i="2"/>
  <c r="G879" i="2"/>
  <c r="G877" i="2"/>
  <c r="G876" i="2"/>
  <c r="G875" i="2"/>
  <c r="G874" i="2"/>
  <c r="G873" i="2"/>
  <c r="G872" i="2"/>
  <c r="G871" i="2"/>
  <c r="G870" i="2"/>
  <c r="G868" i="2"/>
  <c r="G867" i="2"/>
  <c r="G866" i="2"/>
  <c r="G865" i="2"/>
  <c r="G864" i="2"/>
  <c r="G863" i="2"/>
  <c r="G862" i="2"/>
  <c r="G860" i="2"/>
  <c r="G859" i="2"/>
  <c r="G858" i="2"/>
  <c r="G857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0" i="2"/>
  <c r="G839" i="2"/>
  <c r="G838" i="2"/>
  <c r="G837" i="2"/>
  <c r="G836" i="2"/>
  <c r="G835" i="2"/>
  <c r="G834" i="2"/>
  <c r="G832" i="2"/>
  <c r="G831" i="2"/>
  <c r="G830" i="2"/>
  <c r="G829" i="2"/>
  <c r="G827" i="2"/>
  <c r="G826" i="2"/>
  <c r="G825" i="2"/>
  <c r="G824" i="2"/>
  <c r="G822" i="2"/>
  <c r="G820" i="2"/>
  <c r="G821" i="2"/>
  <c r="G819" i="2"/>
  <c r="G818" i="2"/>
  <c r="G817" i="2"/>
  <c r="G815" i="2"/>
  <c r="G814" i="2"/>
  <c r="G803" i="2"/>
  <c r="G801" i="2"/>
  <c r="G813" i="2"/>
  <c r="G812" i="2"/>
  <c r="G811" i="2"/>
  <c r="G810" i="2"/>
  <c r="G809" i="2"/>
  <c r="G808" i="2"/>
  <c r="G807" i="2"/>
  <c r="G806" i="2"/>
  <c r="G805" i="2"/>
  <c r="G804" i="2"/>
  <c r="G802" i="2"/>
  <c r="G800" i="2"/>
  <c r="G799" i="2"/>
  <c r="G798" i="2"/>
  <c r="G797" i="2"/>
  <c r="G796" i="2"/>
  <c r="G795" i="2"/>
  <c r="G794" i="2"/>
  <c r="G792" i="2"/>
  <c r="G791" i="2"/>
  <c r="G790" i="2"/>
  <c r="G789" i="2"/>
  <c r="G787" i="2"/>
  <c r="G786" i="2"/>
  <c r="G785" i="2"/>
  <c r="G784" i="2"/>
  <c r="G783" i="2"/>
  <c r="G782" i="2"/>
  <c r="G781" i="2"/>
  <c r="G780" i="2"/>
  <c r="G778" i="2"/>
  <c r="G777" i="2"/>
  <c r="G776" i="2"/>
  <c r="G775" i="2"/>
  <c r="G774" i="2"/>
  <c r="G772" i="2"/>
  <c r="G771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6" i="2"/>
  <c r="G725" i="2"/>
  <c r="G724" i="2"/>
  <c r="G723" i="2"/>
  <c r="G721" i="2"/>
  <c r="G720" i="2"/>
  <c r="G719" i="2"/>
  <c r="G718" i="2"/>
  <c r="G717" i="2"/>
  <c r="G716" i="2"/>
  <c r="G715" i="2"/>
  <c r="G714" i="2"/>
  <c r="G712" i="2"/>
  <c r="G711" i="2"/>
  <c r="G710" i="2"/>
  <c r="G709" i="2"/>
  <c r="G708" i="2"/>
  <c r="G707" i="2"/>
  <c r="G706" i="2"/>
  <c r="G705" i="2"/>
  <c r="G704" i="2"/>
  <c r="G703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78" i="2"/>
  <c r="G680" i="2"/>
  <c r="G679" i="2"/>
  <c r="G677" i="2"/>
  <c r="G676" i="2"/>
  <c r="G675" i="2"/>
  <c r="G674" i="2"/>
  <c r="G673" i="2"/>
  <c r="G671" i="2"/>
  <c r="G670" i="2"/>
  <c r="G668" i="2"/>
  <c r="G669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4" i="2"/>
  <c r="G655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2" i="2"/>
  <c r="G633" i="2"/>
  <c r="G631" i="2"/>
  <c r="G630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7" i="2"/>
  <c r="G608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7" i="2"/>
  <c r="G588" i="2"/>
  <c r="G585" i="2"/>
  <c r="G584" i="2"/>
  <c r="G583" i="2"/>
  <c r="G582" i="2"/>
  <c r="G581" i="2"/>
  <c r="G580" i="2"/>
  <c r="G579" i="2"/>
  <c r="G578" i="2"/>
  <c r="G576" i="2"/>
  <c r="G577" i="2"/>
  <c r="G575" i="2"/>
  <c r="G572" i="2"/>
  <c r="G574" i="2"/>
  <c r="G573" i="2"/>
  <c r="G571" i="2"/>
  <c r="G570" i="2"/>
  <c r="G569" i="2"/>
  <c r="G568" i="2"/>
  <c r="G566" i="2"/>
  <c r="G567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48" i="2"/>
  <c r="G550" i="2"/>
  <c r="G549" i="2"/>
  <c r="G547" i="2"/>
  <c r="G545" i="2"/>
  <c r="G546" i="2"/>
  <c r="G544" i="2"/>
  <c r="G542" i="2"/>
  <c r="G541" i="2"/>
  <c r="G540" i="2"/>
  <c r="G539" i="2"/>
  <c r="G537" i="2"/>
  <c r="G536" i="2"/>
  <c r="G535" i="2"/>
  <c r="G534" i="2"/>
  <c r="G533" i="2"/>
  <c r="G532" i="2"/>
  <c r="G530" i="2"/>
  <c r="G529" i="2"/>
  <c r="G528" i="2"/>
  <c r="G527" i="2"/>
  <c r="G526" i="2"/>
  <c r="G525" i="2"/>
  <c r="G524" i="2"/>
  <c r="G523" i="2"/>
  <c r="G521" i="2"/>
  <c r="G520" i="2"/>
  <c r="G519" i="2"/>
  <c r="G518" i="2"/>
  <c r="G517" i="2"/>
  <c r="G516" i="2"/>
  <c r="G515" i="2"/>
  <c r="G514" i="2"/>
  <c r="G513" i="2"/>
  <c r="G512" i="2"/>
  <c r="G510" i="2"/>
  <c r="G509" i="2"/>
  <c r="G508" i="2"/>
  <c r="G507" i="2"/>
  <c r="G506" i="2"/>
  <c r="G505" i="2"/>
  <c r="G503" i="2"/>
  <c r="G502" i="2"/>
  <c r="G501" i="2"/>
  <c r="G500" i="2"/>
  <c r="G499" i="2"/>
  <c r="G498" i="2"/>
  <c r="G496" i="2"/>
  <c r="G495" i="2"/>
  <c r="G494" i="2"/>
  <c r="G493" i="2"/>
  <c r="G492" i="2"/>
  <c r="G491" i="2"/>
  <c r="G489" i="2"/>
  <c r="G488" i="2"/>
  <c r="G487" i="2"/>
  <c r="G486" i="2"/>
  <c r="G485" i="2"/>
  <c r="G484" i="2"/>
  <c r="G483" i="2"/>
  <c r="G481" i="2"/>
  <c r="G480" i="2"/>
  <c r="G479" i="2"/>
  <c r="G478" i="2"/>
  <c r="G477" i="2"/>
  <c r="G476" i="2"/>
  <c r="G475" i="2"/>
  <c r="G473" i="2"/>
  <c r="G472" i="2"/>
  <c r="G471" i="2"/>
  <c r="G470" i="2"/>
  <c r="G469" i="2"/>
  <c r="G466" i="2"/>
  <c r="G468" i="2"/>
  <c r="G467" i="2"/>
  <c r="G465" i="2"/>
  <c r="G464" i="2"/>
  <c r="G463" i="2"/>
  <c r="G462" i="2"/>
  <c r="G460" i="2"/>
  <c r="G459" i="2"/>
  <c r="G458" i="2"/>
  <c r="G457" i="2"/>
  <c r="G455" i="2"/>
  <c r="G454" i="2"/>
  <c r="G453" i="2"/>
  <c r="G452" i="2"/>
  <c r="G443" i="2"/>
  <c r="G444" i="2"/>
  <c r="G442" i="2"/>
  <c r="G441" i="2"/>
  <c r="G438" i="2"/>
  <c r="G437" i="2"/>
  <c r="G435" i="2"/>
  <c r="G434" i="2"/>
  <c r="G431" i="2"/>
  <c r="G430" i="2"/>
  <c r="G429" i="2"/>
  <c r="G428" i="2"/>
  <c r="G427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5" i="2"/>
  <c r="G404" i="2"/>
  <c r="G403" i="2"/>
  <c r="G401" i="2"/>
  <c r="G400" i="2"/>
  <c r="G399" i="2"/>
  <c r="G397" i="2"/>
  <c r="G396" i="2"/>
  <c r="G394" i="2"/>
  <c r="G393" i="2"/>
  <c r="G391" i="2"/>
  <c r="G390" i="2"/>
  <c r="G388" i="2"/>
  <c r="G387" i="2"/>
  <c r="G386" i="2"/>
  <c r="G385" i="2"/>
  <c r="G383" i="2"/>
  <c r="G382" i="2"/>
  <c r="G381" i="2"/>
  <c r="G379" i="2"/>
  <c r="G378" i="2"/>
  <c r="G377" i="2"/>
  <c r="G376" i="2"/>
  <c r="G375" i="2"/>
  <c r="G374" i="2"/>
  <c r="G373" i="2"/>
  <c r="G372" i="2"/>
  <c r="G370" i="2"/>
  <c r="G369" i="2"/>
  <c r="G368" i="2"/>
  <c r="G367" i="2"/>
  <c r="G366" i="2"/>
  <c r="G365" i="2"/>
  <c r="G362" i="2"/>
  <c r="G363" i="2"/>
  <c r="G361" i="2"/>
  <c r="G360" i="2"/>
  <c r="G359" i="2"/>
  <c r="G358" i="2"/>
  <c r="G357" i="2"/>
  <c r="G356" i="2"/>
  <c r="G354" i="2"/>
  <c r="G353" i="2"/>
  <c r="G351" i="2"/>
  <c r="G350" i="2"/>
  <c r="G349" i="2"/>
  <c r="G348" i="2"/>
  <c r="G347" i="2"/>
  <c r="G346" i="2"/>
  <c r="G344" i="2"/>
  <c r="G343" i="2"/>
  <c r="G342" i="2"/>
  <c r="G341" i="2"/>
  <c r="G340" i="2"/>
  <c r="G339" i="2"/>
  <c r="G337" i="2"/>
  <c r="G336" i="2"/>
  <c r="G335" i="2"/>
  <c r="G334" i="2"/>
  <c r="G333" i="2"/>
  <c r="G331" i="2"/>
  <c r="G330" i="2"/>
  <c r="G329" i="2"/>
  <c r="G328" i="2"/>
  <c r="G327" i="2"/>
  <c r="G325" i="2"/>
  <c r="G324" i="2"/>
  <c r="G320" i="2"/>
  <c r="G321" i="2"/>
  <c r="G322" i="2"/>
  <c r="G319" i="2"/>
  <c r="G317" i="2"/>
  <c r="G316" i="2"/>
  <c r="G313" i="2"/>
  <c r="G314" i="2"/>
  <c r="G312" i="2"/>
  <c r="G311" i="2"/>
  <c r="G310" i="2"/>
  <c r="G308" i="2"/>
  <c r="G307" i="2"/>
  <c r="G306" i="2"/>
  <c r="G305" i="2"/>
  <c r="G304" i="2"/>
  <c r="G303" i="2"/>
  <c r="G302" i="2"/>
  <c r="G301" i="2"/>
  <c r="G298" i="2"/>
  <c r="G299" i="2"/>
  <c r="G297" i="2"/>
  <c r="G296" i="2"/>
  <c r="G294" i="2"/>
  <c r="G295" i="2"/>
  <c r="G293" i="2"/>
  <c r="G292" i="2"/>
  <c r="G290" i="2"/>
  <c r="G289" i="2"/>
  <c r="G288" i="2"/>
  <c r="G287" i="2"/>
  <c r="G286" i="2"/>
  <c r="G285" i="2"/>
  <c r="G284" i="2"/>
  <c r="G283" i="2"/>
  <c r="G279" i="2"/>
  <c r="G281" i="2"/>
  <c r="G280" i="2"/>
  <c r="G278" i="2"/>
  <c r="G275" i="2"/>
  <c r="G277" i="2"/>
  <c r="G276" i="2"/>
  <c r="G274" i="2"/>
  <c r="G272" i="2"/>
  <c r="G271" i="2"/>
  <c r="G270" i="2"/>
  <c r="G269" i="2"/>
  <c r="G268" i="2"/>
  <c r="G267" i="2"/>
  <c r="G266" i="2"/>
  <c r="G265" i="2"/>
  <c r="G263" i="2"/>
  <c r="G262" i="2"/>
  <c r="G261" i="2"/>
  <c r="G260" i="2"/>
  <c r="G259" i="2"/>
  <c r="G258" i="2"/>
  <c r="G257" i="2"/>
  <c r="G255" i="2"/>
  <c r="G254" i="2"/>
  <c r="G253" i="2"/>
  <c r="G252" i="2"/>
  <c r="G251" i="2"/>
  <c r="G250" i="2"/>
  <c r="G249" i="2"/>
  <c r="G247" i="2"/>
  <c r="G246" i="2"/>
  <c r="G245" i="2"/>
  <c r="G244" i="2"/>
  <c r="G243" i="2"/>
  <c r="G242" i="2"/>
  <c r="G241" i="2"/>
  <c r="G240" i="2"/>
  <c r="G239" i="2"/>
  <c r="G237" i="2"/>
  <c r="G236" i="2"/>
  <c r="G235" i="2"/>
  <c r="G234" i="2"/>
  <c r="G233" i="2"/>
  <c r="G232" i="2"/>
  <c r="G231" i="2"/>
  <c r="G230" i="2"/>
  <c r="G229" i="2"/>
  <c r="G228" i="2"/>
  <c r="G227" i="2"/>
  <c r="G225" i="2"/>
  <c r="G224" i="2"/>
  <c r="G222" i="2"/>
  <c r="G221" i="2"/>
  <c r="G220" i="2"/>
  <c r="G219" i="2"/>
  <c r="G217" i="2"/>
  <c r="G216" i="2"/>
  <c r="G215" i="2"/>
  <c r="G213" i="2"/>
  <c r="G214" i="2"/>
  <c r="G212" i="2"/>
  <c r="G209" i="2"/>
  <c r="G210" i="2"/>
  <c r="G208" i="2"/>
  <c r="G206" i="2"/>
  <c r="G204" i="2"/>
  <c r="G207" i="2"/>
  <c r="G205" i="2"/>
  <c r="G203" i="2"/>
  <c r="G202" i="2"/>
  <c r="G201" i="2"/>
  <c r="G200" i="2"/>
  <c r="G199" i="2"/>
  <c r="G198" i="2"/>
  <c r="G197" i="2"/>
  <c r="G196" i="2"/>
  <c r="G195" i="2"/>
  <c r="G194" i="2"/>
  <c r="G193" i="2"/>
  <c r="G191" i="2"/>
  <c r="G190" i="2"/>
  <c r="G188" i="2"/>
  <c r="G187" i="2"/>
  <c r="G186" i="2"/>
  <c r="G185" i="2"/>
  <c r="G184" i="2"/>
  <c r="G183" i="2"/>
  <c r="G182" i="2"/>
  <c r="G181" i="2"/>
  <c r="G180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5" i="2"/>
  <c r="G164" i="2"/>
  <c r="G163" i="2"/>
  <c r="G162" i="2"/>
  <c r="G161" i="2"/>
  <c r="G160" i="2"/>
  <c r="G158" i="2"/>
  <c r="G157" i="2"/>
  <c r="G156" i="2"/>
  <c r="G155" i="2"/>
  <c r="G154" i="2"/>
  <c r="G153" i="2"/>
  <c r="G151" i="2"/>
  <c r="G150" i="2"/>
  <c r="G149" i="2"/>
  <c r="G148" i="2"/>
  <c r="G147" i="2"/>
  <c r="G145" i="2"/>
  <c r="G144" i="2"/>
  <c r="G143" i="2"/>
  <c r="G142" i="2"/>
  <c r="G141" i="2"/>
  <c r="G140" i="2"/>
  <c r="G138" i="2"/>
  <c r="G137" i="2"/>
  <c r="G136" i="2"/>
  <c r="G135" i="2"/>
  <c r="G133" i="2"/>
  <c r="G132" i="2"/>
  <c r="G130" i="2"/>
  <c r="G129" i="2"/>
  <c r="G128" i="2"/>
  <c r="G127" i="2"/>
  <c r="G126" i="2"/>
  <c r="G124" i="2"/>
  <c r="G125" i="2"/>
  <c r="G123" i="2"/>
  <c r="G121" i="2"/>
  <c r="G122" i="2"/>
  <c r="G120" i="2"/>
  <c r="G119" i="2"/>
  <c r="G117" i="2"/>
  <c r="G116" i="2"/>
  <c r="G115" i="2"/>
  <c r="G114" i="2"/>
  <c r="G113" i="2"/>
  <c r="G112" i="2"/>
  <c r="G111" i="2"/>
  <c r="G110" i="2"/>
  <c r="G109" i="2"/>
  <c r="G107" i="2"/>
  <c r="G108" i="2"/>
  <c r="G106" i="2"/>
  <c r="G103" i="2"/>
  <c r="G104" i="2"/>
  <c r="G102" i="2"/>
  <c r="G101" i="2"/>
  <c r="G100" i="2"/>
  <c r="G99" i="2"/>
  <c r="G98" i="2"/>
  <c r="G97" i="2"/>
  <c r="G96" i="2"/>
  <c r="G95" i="2"/>
  <c r="G94" i="2"/>
  <c r="G93" i="2"/>
  <c r="G91" i="2"/>
  <c r="G90" i="2"/>
  <c r="G89" i="2"/>
  <c r="G88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5" i="2"/>
  <c r="G26" i="2"/>
  <c r="G24" i="2"/>
  <c r="G21" i="2"/>
  <c r="G23" i="2"/>
  <c r="G22" i="2"/>
  <c r="G20" i="2"/>
  <c r="G18" i="2"/>
  <c r="G17" i="2"/>
  <c r="G16" i="2"/>
  <c r="G14" i="2"/>
  <c r="G13" i="2"/>
  <c r="G12" i="2"/>
  <c r="G11" i="2"/>
  <c r="G10" i="2"/>
  <c r="G9" i="2"/>
  <c r="G8" i="2"/>
  <c r="G7" i="2"/>
  <c r="G6" i="2"/>
  <c r="G5" i="2"/>
  <c r="E6" i="4"/>
  <c r="E1847" i="4"/>
  <c r="E1845" i="4"/>
  <c r="E1843" i="4"/>
  <c r="E1840" i="4"/>
  <c r="E1837" i="4"/>
  <c r="E1834" i="4"/>
  <c r="E1831" i="4"/>
  <c r="E1829" i="4"/>
  <c r="E1824" i="4"/>
  <c r="E1821" i="4"/>
  <c r="E1820" i="4"/>
  <c r="E1818" i="4"/>
  <c r="E1816" i="4"/>
  <c r="E1811" i="4"/>
  <c r="E1810" i="4"/>
  <c r="E1809" i="4"/>
  <c r="E1808" i="4"/>
  <c r="E1805" i="4"/>
  <c r="E1803" i="4"/>
  <c r="E1801" i="4"/>
  <c r="E1799" i="4"/>
  <c r="E1796" i="4"/>
  <c r="E1794" i="4"/>
  <c r="E1792" i="4"/>
  <c r="E1789" i="4"/>
  <c r="E1787" i="4"/>
  <c r="E1785" i="4"/>
  <c r="E1782" i="4"/>
  <c r="E1781" i="4"/>
  <c r="E1780" i="4"/>
  <c r="E1779" i="4"/>
  <c r="E1777" i="4"/>
  <c r="E1776" i="4"/>
  <c r="E1775" i="4"/>
  <c r="E1774" i="4"/>
  <c r="E1772" i="4"/>
  <c r="E1771" i="4"/>
  <c r="E1770" i="4"/>
  <c r="E1767" i="4"/>
  <c r="E1766" i="4"/>
  <c r="E1763" i="4"/>
  <c r="E1762" i="4"/>
  <c r="E1761" i="4"/>
  <c r="E1759" i="4"/>
  <c r="E1758" i="4"/>
  <c r="E1756" i="4"/>
  <c r="E1755" i="4"/>
  <c r="E1753" i="4"/>
  <c r="E1751" i="4"/>
  <c r="E1749" i="4"/>
  <c r="E1746" i="4"/>
  <c r="E1745" i="4"/>
  <c r="E1744" i="4"/>
  <c r="E1742" i="4"/>
  <c r="E1741" i="4"/>
  <c r="E1740" i="4"/>
  <c r="E1739" i="4"/>
  <c r="E1738" i="4"/>
  <c r="E1737" i="4"/>
  <c r="E1736" i="4"/>
  <c r="E1734" i="4"/>
  <c r="E1733" i="4"/>
  <c r="E1732" i="4"/>
  <c r="E1731" i="4"/>
  <c r="E1728" i="4"/>
  <c r="E1727" i="4"/>
  <c r="E1725" i="4"/>
  <c r="E1724" i="4"/>
  <c r="E1722" i="4"/>
  <c r="E1721" i="4"/>
  <c r="E1720" i="4"/>
  <c r="E1717" i="4"/>
  <c r="E1715" i="4"/>
  <c r="E1713" i="4"/>
  <c r="E1712" i="4"/>
  <c r="E1710" i="4"/>
  <c r="E1707" i="4"/>
  <c r="E1705" i="4"/>
  <c r="E1703" i="4"/>
  <c r="E1701" i="4"/>
  <c r="E1698" i="4"/>
  <c r="E1697" i="4"/>
  <c r="E1695" i="4"/>
  <c r="E1694" i="4"/>
  <c r="E1693" i="4"/>
  <c r="E1692" i="4"/>
  <c r="E1690" i="4"/>
  <c r="E1689" i="4"/>
  <c r="E1688" i="4"/>
  <c r="E1687" i="4"/>
  <c r="E1686" i="4"/>
  <c r="E1685" i="4"/>
  <c r="E1683" i="4"/>
  <c r="E1682" i="4"/>
  <c r="E1681" i="4"/>
  <c r="E1680" i="4"/>
  <c r="E1679" i="4"/>
  <c r="E1678" i="4"/>
  <c r="E1676" i="4"/>
  <c r="E1675" i="4"/>
  <c r="E1674" i="4"/>
  <c r="E1668" i="4"/>
  <c r="E1667" i="4"/>
  <c r="E1666" i="4"/>
  <c r="E1665" i="4"/>
  <c r="E1662" i="4"/>
  <c r="E1661" i="4"/>
  <c r="E1660" i="4"/>
  <c r="E1658" i="4"/>
  <c r="E1653" i="4"/>
  <c r="E1652" i="4"/>
  <c r="E1651" i="4"/>
  <c r="E1650" i="4"/>
  <c r="E1648" i="4"/>
  <c r="E1646" i="4"/>
  <c r="E1644" i="4"/>
  <c r="E1642" i="4"/>
  <c r="E1640" i="4"/>
  <c r="E1638" i="4"/>
  <c r="E1637" i="4"/>
  <c r="E1636" i="4"/>
  <c r="E1635" i="4"/>
  <c r="E1634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3" i="4"/>
  <c r="E1612" i="4"/>
  <c r="E1610" i="4"/>
  <c r="E1609" i="4"/>
  <c r="E1607" i="4"/>
  <c r="E1606" i="4"/>
  <c r="E1604" i="4"/>
  <c r="E1603" i="4"/>
  <c r="E1600" i="4"/>
  <c r="E1599" i="4"/>
  <c r="E1597" i="4"/>
  <c r="E1596" i="4"/>
  <c r="E1592" i="4"/>
  <c r="E1591" i="4"/>
  <c r="E1590" i="4"/>
  <c r="E1589" i="4"/>
  <c r="E1587" i="4"/>
  <c r="E1586" i="4"/>
  <c r="E1584" i="4"/>
  <c r="E1583" i="4"/>
  <c r="E1581" i="4"/>
  <c r="E1580" i="4"/>
  <c r="E1579" i="4"/>
  <c r="E1577" i="4"/>
  <c r="E1576" i="4"/>
  <c r="E1575" i="4"/>
  <c r="E1574" i="4"/>
  <c r="E1573" i="4"/>
  <c r="E1572" i="4"/>
  <c r="E1570" i="4"/>
  <c r="E1569" i="4"/>
  <c r="E1568" i="4"/>
  <c r="E1566" i="4"/>
  <c r="E1565" i="4"/>
  <c r="E1564" i="4"/>
  <c r="E1563" i="4"/>
  <c r="E1561" i="4"/>
  <c r="E1557" i="4"/>
  <c r="E1556" i="4"/>
  <c r="E1555" i="4"/>
  <c r="E1554" i="4"/>
  <c r="E1553" i="4"/>
  <c r="E1552" i="4"/>
  <c r="E1551" i="4"/>
  <c r="E1550" i="4"/>
  <c r="E1549" i="4"/>
  <c r="E1548" i="4"/>
  <c r="E1546" i="4"/>
  <c r="E1545" i="4"/>
  <c r="E1544" i="4"/>
  <c r="E1543" i="4"/>
  <c r="E1541" i="4"/>
  <c r="E1540" i="4"/>
  <c r="E1539" i="4"/>
  <c r="E1538" i="4"/>
  <c r="E1536" i="4"/>
  <c r="E1535" i="4"/>
  <c r="E1534" i="4"/>
  <c r="E1533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4" i="4"/>
  <c r="E1513" i="4"/>
  <c r="E1512" i="4"/>
  <c r="E1511" i="4"/>
  <c r="E1510" i="4"/>
  <c r="E1506" i="4"/>
  <c r="E1505" i="4"/>
  <c r="E1503" i="4"/>
  <c r="E1502" i="4"/>
  <c r="E1501" i="4"/>
  <c r="E1500" i="4"/>
  <c r="E1498" i="4"/>
  <c r="E1497" i="4"/>
  <c r="E1496" i="4"/>
  <c r="E1495" i="4"/>
  <c r="E1492" i="4"/>
  <c r="E1491" i="4"/>
  <c r="E1489" i="4"/>
  <c r="E1488" i="4"/>
  <c r="E1483" i="4"/>
  <c r="E1481" i="4"/>
  <c r="E1479" i="4"/>
  <c r="E1477" i="4"/>
  <c r="E1475" i="4"/>
  <c r="E1473" i="4"/>
  <c r="E1471" i="4"/>
  <c r="E1469" i="4"/>
  <c r="E1464" i="4"/>
  <c r="E1463" i="4"/>
  <c r="E1462" i="4"/>
  <c r="E1461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5" i="4"/>
  <c r="E1444" i="4"/>
  <c r="E1442" i="4"/>
  <c r="E1441" i="4"/>
  <c r="E1439" i="4"/>
  <c r="E1438" i="4"/>
  <c r="E1436" i="4"/>
  <c r="E1435" i="4"/>
  <c r="E1433" i="4"/>
  <c r="E1432" i="4"/>
  <c r="E1430" i="4"/>
  <c r="E1429" i="4"/>
  <c r="E1428" i="4"/>
  <c r="E1427" i="4"/>
  <c r="E1426" i="4"/>
  <c r="E1425" i="4"/>
  <c r="E1424" i="4"/>
  <c r="E1423" i="4"/>
  <c r="E1422" i="4"/>
  <c r="E1419" i="4"/>
  <c r="E1418" i="4"/>
  <c r="E1417" i="4"/>
  <c r="E1416" i="4"/>
  <c r="E1413" i="4"/>
  <c r="E1412" i="4"/>
  <c r="E1411" i="4"/>
  <c r="E1409" i="4"/>
  <c r="E1408" i="4"/>
  <c r="E1407" i="4"/>
  <c r="E1405" i="4"/>
  <c r="E1404" i="4"/>
  <c r="E1403" i="4"/>
  <c r="E1402" i="4"/>
  <c r="E1397" i="4"/>
  <c r="E1396" i="4"/>
  <c r="E1394" i="4"/>
  <c r="E1393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7" i="4"/>
  <c r="E1374" i="4"/>
  <c r="E1373" i="4"/>
  <c r="E1371" i="4"/>
  <c r="E1370" i="4"/>
  <c r="E1369" i="4"/>
  <c r="E1367" i="4"/>
  <c r="E1364" i="4"/>
  <c r="E1363" i="4"/>
  <c r="E1362" i="4"/>
  <c r="E1360" i="4"/>
  <c r="E1359" i="4"/>
  <c r="E1358" i="4"/>
  <c r="E1356" i="4"/>
  <c r="E1355" i="4"/>
  <c r="E1354" i="4"/>
  <c r="E1352" i="4"/>
  <c r="E1351" i="4"/>
  <c r="E1350" i="4"/>
  <c r="E1349" i="4"/>
  <c r="E1347" i="4"/>
  <c r="E1344" i="4"/>
  <c r="E1341" i="4"/>
  <c r="E1339" i="4"/>
  <c r="E1338" i="4"/>
  <c r="E1337" i="4"/>
  <c r="E1334" i="4"/>
  <c r="E1333" i="4"/>
  <c r="E1332" i="4"/>
  <c r="E1331" i="4"/>
  <c r="E1329" i="4"/>
  <c r="E1328" i="4"/>
  <c r="E1327" i="4"/>
  <c r="E1326" i="4"/>
  <c r="E1323" i="4"/>
  <c r="E1321" i="4"/>
  <c r="E1319" i="4"/>
  <c r="E1317" i="4"/>
  <c r="E1315" i="4"/>
  <c r="E1314" i="4"/>
  <c r="E1313" i="4"/>
  <c r="E1311" i="4"/>
  <c r="E1309" i="4"/>
  <c r="E1308" i="4"/>
  <c r="E1307" i="4"/>
  <c r="E1306" i="4"/>
  <c r="E1305" i="4"/>
  <c r="E1304" i="4"/>
  <c r="E1303" i="4"/>
  <c r="E1302" i="4"/>
  <c r="E1299" i="4"/>
  <c r="E1297" i="4"/>
  <c r="E1294" i="4"/>
  <c r="E1293" i="4"/>
  <c r="E1292" i="4"/>
  <c r="E1291" i="4"/>
  <c r="E1290" i="4"/>
  <c r="E1288" i="4"/>
  <c r="E1287" i="4"/>
  <c r="E1286" i="4"/>
  <c r="E1285" i="4"/>
  <c r="E1283" i="4"/>
  <c r="E1282" i="4"/>
  <c r="E1281" i="4"/>
  <c r="E1280" i="4"/>
  <c r="E1279" i="4"/>
  <c r="E1277" i="4"/>
  <c r="E1276" i="4"/>
  <c r="E1275" i="4"/>
  <c r="E1273" i="4"/>
  <c r="E1272" i="4"/>
  <c r="E1271" i="4"/>
  <c r="E1268" i="4"/>
  <c r="E1265" i="4"/>
  <c r="E1264" i="4"/>
  <c r="E1263" i="4"/>
  <c r="E1262" i="4"/>
  <c r="E1260" i="4"/>
  <c r="E1259" i="4"/>
  <c r="E1257" i="4"/>
  <c r="E1255" i="4"/>
  <c r="E1254" i="4"/>
  <c r="E1253" i="4"/>
  <c r="E1251" i="4"/>
  <c r="E1250" i="4"/>
  <c r="E1249" i="4"/>
  <c r="E1248" i="4"/>
  <c r="E1246" i="4"/>
  <c r="E1245" i="4"/>
  <c r="E1244" i="4"/>
  <c r="E1243" i="4"/>
  <c r="E1240" i="4"/>
  <c r="E1239" i="4"/>
  <c r="E1238" i="4"/>
  <c r="E1237" i="4"/>
  <c r="E1236" i="4"/>
  <c r="E1234" i="4"/>
  <c r="E1233" i="4"/>
  <c r="E1232" i="4"/>
  <c r="E1231" i="4"/>
  <c r="E1230" i="4"/>
  <c r="E1228" i="4"/>
  <c r="E1227" i="4"/>
  <c r="E1226" i="4"/>
  <c r="E1225" i="4"/>
  <c r="E1223" i="4"/>
  <c r="E1222" i="4"/>
  <c r="E1221" i="4"/>
  <c r="E1219" i="4"/>
  <c r="E1218" i="4"/>
  <c r="E1217" i="4"/>
  <c r="E1215" i="4"/>
  <c r="E1214" i="4"/>
  <c r="E1213" i="4"/>
  <c r="E1211" i="4"/>
  <c r="E1210" i="4"/>
  <c r="E1209" i="4"/>
  <c r="E1207" i="4"/>
  <c r="E1206" i="4"/>
  <c r="E1204" i="4"/>
  <c r="E1203" i="4"/>
  <c r="E1202" i="4"/>
  <c r="E1200" i="4"/>
  <c r="E1198" i="4"/>
  <c r="E1197" i="4"/>
  <c r="E1196" i="4"/>
  <c r="E1195" i="4"/>
  <c r="E1194" i="4"/>
  <c r="E1193" i="4"/>
  <c r="E1192" i="4"/>
  <c r="E1191" i="4"/>
  <c r="E1190" i="4"/>
  <c r="E1188" i="4"/>
  <c r="E1187" i="4"/>
  <c r="E1186" i="4"/>
  <c r="E1185" i="4"/>
  <c r="E1183" i="4"/>
  <c r="E1182" i="4"/>
  <c r="E1181" i="4"/>
  <c r="E1180" i="4"/>
  <c r="E1178" i="4"/>
  <c r="E1177" i="4"/>
  <c r="E1176" i="4"/>
  <c r="E1175" i="4"/>
  <c r="E1174" i="4"/>
  <c r="E1170" i="4"/>
  <c r="E1169" i="4"/>
  <c r="E1168" i="4"/>
  <c r="E1167" i="4"/>
  <c r="E1166" i="4"/>
  <c r="E1164" i="4"/>
  <c r="E1163" i="4"/>
  <c r="E1162" i="4"/>
  <c r="E1160" i="4"/>
  <c r="E1159" i="4"/>
  <c r="E1156" i="4"/>
  <c r="E1155" i="4"/>
  <c r="E1153" i="4"/>
  <c r="E1152" i="4"/>
  <c r="E1151" i="4"/>
  <c r="E1149" i="4"/>
  <c r="E1148" i="4"/>
  <c r="E1146" i="4"/>
  <c r="E1144" i="4"/>
  <c r="E1143" i="4"/>
  <c r="E1141" i="4"/>
  <c r="E1140" i="4"/>
  <c r="E1139" i="4"/>
  <c r="E1138" i="4"/>
  <c r="E1136" i="4"/>
  <c r="E1135" i="4"/>
  <c r="E1133" i="4"/>
  <c r="E1131" i="4"/>
  <c r="E1130" i="4"/>
  <c r="E1129" i="4"/>
  <c r="E1127" i="4"/>
  <c r="E1126" i="4"/>
  <c r="E1124" i="4"/>
  <c r="E1123" i="4"/>
  <c r="E1121" i="4"/>
  <c r="E1119" i="4"/>
  <c r="E1118" i="4"/>
  <c r="E1116" i="4"/>
  <c r="E1114" i="4"/>
  <c r="E1112" i="4"/>
  <c r="E1111" i="4"/>
  <c r="E1110" i="4"/>
  <c r="E1108" i="4"/>
  <c r="E1107" i="4"/>
  <c r="E1106" i="4"/>
  <c r="E1104" i="4"/>
  <c r="E1103" i="4"/>
  <c r="E1102" i="4"/>
  <c r="E1101" i="4"/>
  <c r="E1100" i="4"/>
  <c r="E1099" i="4"/>
  <c r="E1098" i="4"/>
  <c r="E1097" i="4"/>
  <c r="E1095" i="4"/>
  <c r="E1094" i="4"/>
  <c r="E1093" i="4"/>
  <c r="E1091" i="4"/>
  <c r="E1090" i="4"/>
  <c r="E1088" i="4"/>
  <c r="E1087" i="4"/>
  <c r="E1086" i="4"/>
  <c r="E1085" i="4"/>
  <c r="E1084" i="4"/>
  <c r="E1083" i="4"/>
  <c r="E1082" i="4"/>
  <c r="E1080" i="4"/>
  <c r="E1079" i="4"/>
  <c r="E1077" i="4"/>
  <c r="E1075" i="4"/>
  <c r="E1074" i="4"/>
  <c r="E1073" i="4"/>
  <c r="E1071" i="4"/>
  <c r="E1070" i="4"/>
  <c r="E1069" i="4"/>
  <c r="E1068" i="4"/>
  <c r="E1066" i="4"/>
  <c r="E1062" i="4"/>
  <c r="E1061" i="4"/>
  <c r="E1060" i="4"/>
  <c r="E1058" i="4"/>
  <c r="E1057" i="4"/>
  <c r="E1055" i="4"/>
  <c r="E1054" i="4"/>
  <c r="E1053" i="4"/>
  <c r="E1052" i="4"/>
  <c r="E1050" i="4"/>
  <c r="E1049" i="4"/>
  <c r="E1048" i="4"/>
  <c r="E1046" i="4"/>
  <c r="E1045" i="4"/>
  <c r="E1044" i="4"/>
  <c r="E1042" i="4"/>
  <c r="E1041" i="4"/>
  <c r="E1040" i="4"/>
  <c r="E1038" i="4"/>
  <c r="E1037" i="4"/>
  <c r="E1035" i="4"/>
  <c r="E1034" i="4"/>
  <c r="E1033" i="4"/>
  <c r="E1032" i="4"/>
  <c r="E1030" i="4"/>
  <c r="E1027" i="4"/>
  <c r="E1026" i="4"/>
  <c r="E1024" i="4"/>
  <c r="E1023" i="4"/>
  <c r="E1022" i="4"/>
  <c r="E1020" i="4"/>
  <c r="E1019" i="4"/>
  <c r="E1018" i="4"/>
  <c r="E1015" i="4"/>
  <c r="E1011" i="4"/>
  <c r="E1004" i="4"/>
  <c r="E1002" i="4"/>
  <c r="E1000" i="4"/>
  <c r="E998" i="4"/>
  <c r="E996" i="4"/>
  <c r="E993" i="4"/>
  <c r="E992" i="4"/>
  <c r="E991" i="4"/>
  <c r="E988" i="4"/>
  <c r="E987" i="4"/>
  <c r="E986" i="4"/>
  <c r="E985" i="4"/>
  <c r="E984" i="4"/>
  <c r="E983" i="4"/>
  <c r="E980" i="4"/>
  <c r="E979" i="4"/>
  <c r="E978" i="4"/>
  <c r="E977" i="4"/>
  <c r="E976" i="4"/>
  <c r="E975" i="4"/>
  <c r="E973" i="4"/>
  <c r="E972" i="4"/>
  <c r="E971" i="4"/>
  <c r="E970" i="4"/>
  <c r="E969" i="4"/>
  <c r="E968" i="4"/>
  <c r="E967" i="4"/>
  <c r="E966" i="4"/>
  <c r="E964" i="4"/>
  <c r="E963" i="4"/>
  <c r="E962" i="4"/>
  <c r="E961" i="4"/>
  <c r="E960" i="4"/>
  <c r="E959" i="4"/>
  <c r="E958" i="4"/>
  <c r="E957" i="4"/>
  <c r="E955" i="4"/>
  <c r="E954" i="4"/>
  <c r="E953" i="4"/>
  <c r="E951" i="4"/>
  <c r="E950" i="4"/>
  <c r="E949" i="4"/>
  <c r="E946" i="4"/>
  <c r="E945" i="4"/>
  <c r="E943" i="4"/>
  <c r="E942" i="4"/>
  <c r="E940" i="4"/>
  <c r="E939" i="4"/>
  <c r="E938" i="4"/>
  <c r="E937" i="4"/>
  <c r="E934" i="4"/>
  <c r="E933" i="4"/>
  <c r="E932" i="4"/>
  <c r="E931" i="4"/>
  <c r="E929" i="4"/>
  <c r="E928" i="4"/>
  <c r="E926" i="4"/>
  <c r="E925" i="4"/>
  <c r="E924" i="4"/>
  <c r="E923" i="4"/>
  <c r="E921" i="4"/>
  <c r="E920" i="4"/>
  <c r="E919" i="4"/>
  <c r="E916" i="4"/>
  <c r="E915" i="4"/>
  <c r="E914" i="4"/>
  <c r="E913" i="4"/>
  <c r="E911" i="4"/>
  <c r="E910" i="4"/>
  <c r="E909" i="4"/>
  <c r="E908" i="4"/>
  <c r="E906" i="4"/>
  <c r="E904" i="4"/>
  <c r="E902" i="4"/>
  <c r="E901" i="4"/>
  <c r="E899" i="4"/>
  <c r="E897" i="4"/>
  <c r="E896" i="4"/>
  <c r="E894" i="4"/>
  <c r="E891" i="4"/>
  <c r="E889" i="4"/>
  <c r="E888" i="4"/>
  <c r="E886" i="4"/>
  <c r="E885" i="4"/>
  <c r="E884" i="4"/>
  <c r="E883" i="4"/>
  <c r="E881" i="4"/>
  <c r="E876" i="4"/>
  <c r="E875" i="4"/>
  <c r="E873" i="4"/>
  <c r="E872" i="4"/>
  <c r="E868" i="4"/>
  <c r="E866" i="4"/>
  <c r="E865" i="4"/>
  <c r="E863" i="4"/>
  <c r="E862" i="4"/>
  <c r="E858" i="4"/>
  <c r="E857" i="4"/>
  <c r="E854" i="4"/>
  <c r="E853" i="4"/>
  <c r="E851" i="4"/>
  <c r="E850" i="4"/>
  <c r="E848" i="4"/>
  <c r="E847" i="4"/>
  <c r="E842" i="4"/>
  <c r="E841" i="4"/>
  <c r="E839" i="4"/>
  <c r="E838" i="4"/>
  <c r="E837" i="4"/>
  <c r="E836" i="4"/>
  <c r="E833" i="4"/>
  <c r="E832" i="4"/>
  <c r="E830" i="4"/>
  <c r="E828" i="4"/>
  <c r="E827" i="4"/>
  <c r="E826" i="4"/>
  <c r="E825" i="4"/>
  <c r="E824" i="4"/>
  <c r="E822" i="4"/>
  <c r="E819" i="4"/>
  <c r="E818" i="4"/>
  <c r="E816" i="4"/>
  <c r="E815" i="4"/>
  <c r="E814" i="4"/>
  <c r="E813" i="4"/>
  <c r="E812" i="4"/>
  <c r="E811" i="4"/>
  <c r="E808" i="4"/>
  <c r="E807" i="4"/>
  <c r="E805" i="4"/>
  <c r="E804" i="4"/>
  <c r="E802" i="4"/>
  <c r="E801" i="4"/>
  <c r="E800" i="4"/>
  <c r="E798" i="4"/>
  <c r="E797" i="4"/>
  <c r="E796" i="4"/>
  <c r="E794" i="4"/>
  <c r="E793" i="4"/>
  <c r="E792" i="4"/>
  <c r="E790" i="4"/>
  <c r="E789" i="4"/>
  <c r="E788" i="4"/>
  <c r="E787" i="4"/>
  <c r="E786" i="4"/>
  <c r="E785" i="4"/>
  <c r="E783" i="4"/>
  <c r="E782" i="4"/>
  <c r="E781" i="4"/>
  <c r="E779" i="4"/>
  <c r="E778" i="4"/>
  <c r="E777" i="4"/>
  <c r="E776" i="4"/>
  <c r="E775" i="4"/>
  <c r="E774" i="4"/>
  <c r="E772" i="4"/>
  <c r="E771" i="4"/>
  <c r="E770" i="4"/>
  <c r="E769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4" i="4"/>
  <c r="E753" i="4"/>
  <c r="E752" i="4"/>
  <c r="E751" i="4"/>
  <c r="E749" i="4"/>
  <c r="E748" i="4"/>
  <c r="E747" i="4"/>
  <c r="E746" i="4"/>
  <c r="E745" i="4"/>
  <c r="E744" i="4"/>
  <c r="E741" i="4"/>
  <c r="E740" i="4"/>
  <c r="E739" i="4"/>
  <c r="E738" i="4"/>
  <c r="E737" i="4"/>
  <c r="E736" i="4"/>
  <c r="E734" i="4"/>
  <c r="E733" i="4"/>
  <c r="E732" i="4"/>
  <c r="E731" i="4"/>
  <c r="E729" i="4"/>
  <c r="E728" i="4"/>
  <c r="E727" i="4"/>
  <c r="E726" i="4"/>
  <c r="E724" i="4"/>
  <c r="E723" i="4"/>
  <c r="E722" i="4"/>
  <c r="E721" i="4"/>
  <c r="E719" i="4"/>
  <c r="E718" i="4"/>
  <c r="E717" i="4"/>
  <c r="E716" i="4"/>
  <c r="E712" i="4"/>
  <c r="E711" i="4"/>
  <c r="E709" i="4"/>
  <c r="E707" i="4"/>
  <c r="E704" i="4"/>
  <c r="E703" i="4"/>
  <c r="E700" i="4"/>
  <c r="E698" i="4"/>
  <c r="E696" i="4"/>
  <c r="E694" i="4"/>
  <c r="E693" i="4"/>
  <c r="E691" i="4"/>
  <c r="E689" i="4"/>
  <c r="E687" i="4"/>
  <c r="E685" i="4"/>
  <c r="E684" i="4"/>
  <c r="E682" i="4"/>
  <c r="E681" i="4"/>
  <c r="E680" i="4"/>
  <c r="E679" i="4"/>
  <c r="E677" i="4"/>
  <c r="E676" i="4"/>
  <c r="E675" i="4"/>
  <c r="E673" i="4"/>
  <c r="E671" i="4"/>
  <c r="E669" i="4"/>
  <c r="E667" i="4"/>
  <c r="E666" i="4"/>
  <c r="E664" i="4"/>
  <c r="E663" i="4"/>
  <c r="E661" i="4"/>
  <c r="E659" i="4"/>
  <c r="E657" i="4"/>
  <c r="E655" i="4"/>
  <c r="E654" i="4"/>
  <c r="E652" i="4"/>
  <c r="E650" i="4"/>
  <c r="E648" i="4"/>
  <c r="E646" i="4"/>
  <c r="E645" i="4"/>
  <c r="E644" i="4"/>
  <c r="E643" i="4"/>
  <c r="E640" i="4"/>
  <c r="E638" i="4"/>
  <c r="E636" i="4"/>
  <c r="E634" i="4"/>
  <c r="E633" i="4"/>
  <c r="E631" i="4"/>
  <c r="E630" i="4"/>
  <c r="E629" i="4"/>
  <c r="E628" i="4"/>
  <c r="E627" i="4"/>
  <c r="E626" i="4"/>
  <c r="E625" i="4"/>
  <c r="E624" i="4"/>
  <c r="E621" i="4"/>
  <c r="E620" i="4"/>
  <c r="E619" i="4"/>
  <c r="E617" i="4"/>
  <c r="E616" i="4"/>
  <c r="E615" i="4"/>
  <c r="E614" i="4"/>
  <c r="E613" i="4"/>
  <c r="E612" i="4"/>
  <c r="E610" i="4"/>
  <c r="E609" i="4"/>
  <c r="E607" i="4"/>
  <c r="E606" i="4"/>
  <c r="E604" i="4"/>
  <c r="E603" i="4"/>
  <c r="E600" i="4"/>
  <c r="E599" i="4"/>
  <c r="E598" i="4"/>
  <c r="E596" i="4"/>
  <c r="E595" i="4"/>
  <c r="E594" i="4"/>
  <c r="E593" i="4"/>
  <c r="E591" i="4"/>
  <c r="E590" i="4"/>
  <c r="E589" i="4"/>
  <c r="E588" i="4"/>
  <c r="E587" i="4"/>
  <c r="E586" i="4"/>
  <c r="E584" i="4"/>
  <c r="E583" i="4"/>
  <c r="E582" i="4"/>
  <c r="E581" i="4"/>
  <c r="E580" i="4"/>
  <c r="E579" i="4"/>
  <c r="E577" i="4"/>
  <c r="E576" i="4"/>
  <c r="E574" i="4"/>
  <c r="E573" i="4"/>
  <c r="E572" i="4"/>
  <c r="E570" i="4"/>
  <c r="E569" i="4"/>
  <c r="E568" i="4"/>
  <c r="E566" i="4"/>
  <c r="E565" i="4"/>
  <c r="E564" i="4"/>
  <c r="E563" i="4"/>
  <c r="E562" i="4"/>
  <c r="E561" i="4"/>
  <c r="E560" i="4"/>
  <c r="E559" i="4"/>
  <c r="E557" i="4"/>
  <c r="E556" i="4"/>
  <c r="E555" i="4"/>
  <c r="E554" i="4"/>
  <c r="E553" i="4"/>
  <c r="E551" i="4"/>
  <c r="E550" i="4"/>
  <c r="E549" i="4"/>
  <c r="E545" i="4"/>
  <c r="E544" i="4"/>
  <c r="E543" i="4"/>
  <c r="E542" i="4"/>
  <c r="E541" i="4"/>
  <c r="E540" i="4"/>
  <c r="E537" i="4"/>
  <c r="E536" i="4"/>
  <c r="E535" i="4"/>
  <c r="E534" i="4"/>
  <c r="E533" i="4"/>
  <c r="E532" i="4"/>
  <c r="E530" i="4"/>
  <c r="E527" i="4"/>
  <c r="E524" i="4"/>
  <c r="E522" i="4"/>
  <c r="E520" i="4"/>
  <c r="E519" i="4"/>
  <c r="E518" i="4"/>
  <c r="E517" i="4"/>
  <c r="E514" i="4"/>
  <c r="E513" i="4"/>
  <c r="E512" i="4"/>
  <c r="E510" i="4"/>
  <c r="E509" i="4"/>
  <c r="E508" i="4"/>
  <c r="E505" i="4"/>
  <c r="E503" i="4"/>
  <c r="E501" i="4"/>
  <c r="E500" i="4"/>
  <c r="E498" i="4"/>
  <c r="E495" i="4"/>
  <c r="E493" i="4"/>
  <c r="E492" i="4"/>
  <c r="E491" i="4"/>
  <c r="E487" i="4"/>
  <c r="E486" i="4"/>
  <c r="E485" i="4"/>
  <c r="E483" i="4"/>
  <c r="E482" i="4"/>
  <c r="E481" i="4"/>
  <c r="E480" i="4"/>
  <c r="E479" i="4"/>
  <c r="E478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3" i="4"/>
  <c r="E462" i="4"/>
  <c r="E461" i="4"/>
  <c r="E460" i="4"/>
  <c r="E459" i="4"/>
  <c r="E458" i="4"/>
  <c r="E456" i="4"/>
  <c r="E455" i="4"/>
  <c r="E454" i="4"/>
  <c r="E453" i="4"/>
  <c r="E452" i="4"/>
  <c r="E451" i="4"/>
  <c r="E450" i="4"/>
  <c r="E449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3" i="4"/>
  <c r="E432" i="4"/>
  <c r="E431" i="4"/>
  <c r="E430" i="4"/>
  <c r="E428" i="4"/>
  <c r="E427" i="4"/>
  <c r="E426" i="4"/>
  <c r="E425" i="4"/>
  <c r="E424" i="4"/>
  <c r="E423" i="4"/>
  <c r="E422" i="4"/>
  <c r="E421" i="4"/>
  <c r="E418" i="4"/>
  <c r="E416" i="4"/>
  <c r="E415" i="4"/>
  <c r="E413" i="4"/>
  <c r="E412" i="4"/>
  <c r="E411" i="4"/>
  <c r="E410" i="4"/>
  <c r="E406" i="4"/>
  <c r="E405" i="4"/>
  <c r="E402" i="4"/>
  <c r="E400" i="4"/>
  <c r="E399" i="4"/>
  <c r="E397" i="4"/>
  <c r="E396" i="4"/>
  <c r="E395" i="4"/>
  <c r="E394" i="4"/>
  <c r="E392" i="4"/>
  <c r="E390" i="4"/>
  <c r="E386" i="4"/>
  <c r="E385" i="4"/>
  <c r="E383" i="4"/>
  <c r="E382" i="4"/>
  <c r="E380" i="4"/>
  <c r="E379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7" i="4"/>
  <c r="E356" i="4"/>
  <c r="E355" i="4"/>
  <c r="E353" i="4"/>
  <c r="E352" i="4"/>
  <c r="E350" i="4"/>
  <c r="E348" i="4"/>
  <c r="E346" i="4"/>
  <c r="E344" i="4"/>
  <c r="E342" i="4"/>
  <c r="E341" i="4"/>
  <c r="E340" i="4"/>
  <c r="E339" i="4"/>
  <c r="E337" i="4"/>
  <c r="E335" i="4"/>
  <c r="E333" i="4"/>
  <c r="E332" i="4"/>
  <c r="E330" i="4"/>
  <c r="E329" i="4"/>
  <c r="E327" i="4"/>
  <c r="E326" i="4"/>
  <c r="E324" i="4"/>
  <c r="E323" i="4"/>
  <c r="E321" i="4"/>
  <c r="E320" i="4"/>
  <c r="E318" i="4"/>
  <c r="E317" i="4"/>
  <c r="E316" i="4"/>
  <c r="E315" i="4"/>
  <c r="E314" i="4"/>
  <c r="E313" i="4"/>
  <c r="E311" i="4"/>
  <c r="E310" i="4"/>
  <c r="E309" i="4"/>
  <c r="E308" i="4"/>
  <c r="E306" i="4"/>
  <c r="E301" i="4"/>
  <c r="E300" i="4"/>
  <c r="E299" i="4"/>
  <c r="E298" i="4"/>
  <c r="E296" i="4"/>
  <c r="E295" i="4"/>
  <c r="E293" i="4"/>
  <c r="E292" i="4"/>
  <c r="E290" i="4"/>
  <c r="E288" i="4"/>
  <c r="E286" i="4"/>
  <c r="E285" i="4"/>
  <c r="E283" i="4"/>
  <c r="E281" i="4"/>
  <c r="E279" i="4"/>
  <c r="E278" i="4"/>
  <c r="E274" i="4"/>
  <c r="E273" i="4"/>
  <c r="E272" i="4"/>
  <c r="E271" i="4"/>
  <c r="E270" i="4"/>
  <c r="E269" i="4"/>
  <c r="E268" i="4"/>
  <c r="E267" i="4"/>
  <c r="E265" i="4"/>
  <c r="E264" i="4"/>
  <c r="E263" i="4"/>
  <c r="E262" i="4"/>
  <c r="E261" i="4"/>
  <c r="E260" i="4"/>
  <c r="E259" i="4"/>
  <c r="E258" i="4"/>
  <c r="E256" i="4"/>
  <c r="E255" i="4"/>
  <c r="E254" i="4"/>
  <c r="E253" i="4"/>
  <c r="E252" i="4"/>
  <c r="E250" i="4"/>
  <c r="E249" i="4"/>
  <c r="E248" i="4"/>
  <c r="E247" i="4"/>
  <c r="E246" i="4"/>
  <c r="E245" i="4"/>
  <c r="E244" i="4"/>
  <c r="E243" i="4"/>
  <c r="E241" i="4"/>
  <c r="E240" i="4"/>
  <c r="E239" i="4"/>
  <c r="E238" i="4"/>
  <c r="E237" i="4"/>
  <c r="E236" i="4"/>
  <c r="E235" i="4"/>
  <c r="E234" i="4"/>
  <c r="E232" i="4"/>
  <c r="E231" i="4"/>
  <c r="E230" i="4"/>
  <c r="E229" i="4"/>
  <c r="E228" i="4"/>
  <c r="E227" i="4"/>
  <c r="E226" i="4"/>
  <c r="E225" i="4"/>
  <c r="E223" i="4"/>
  <c r="E222" i="4"/>
  <c r="E221" i="4"/>
  <c r="E220" i="4"/>
  <c r="E219" i="4"/>
  <c r="E218" i="4"/>
  <c r="E217" i="4"/>
  <c r="E216" i="4"/>
  <c r="E214" i="4"/>
  <c r="E213" i="4"/>
  <c r="E212" i="4"/>
  <c r="E211" i="4"/>
  <c r="E210" i="4"/>
  <c r="E209" i="4"/>
  <c r="E208" i="4"/>
  <c r="E207" i="4"/>
  <c r="E206" i="4"/>
  <c r="E205" i="4"/>
  <c r="E202" i="4"/>
  <c r="E201" i="4"/>
  <c r="E200" i="4"/>
  <c r="E199" i="4"/>
  <c r="E198" i="4"/>
  <c r="E197" i="4"/>
  <c r="E196" i="4"/>
  <c r="E195" i="4"/>
  <c r="E193" i="4"/>
  <c r="E192" i="4"/>
  <c r="E191" i="4"/>
  <c r="E189" i="4"/>
  <c r="E188" i="4"/>
  <c r="E185" i="4"/>
  <c r="E184" i="4"/>
  <c r="E183" i="4"/>
  <c r="E182" i="4"/>
  <c r="E179" i="4"/>
  <c r="E177" i="4"/>
  <c r="E174" i="4"/>
  <c r="E172" i="4"/>
  <c r="E170" i="4"/>
  <c r="E167" i="4"/>
  <c r="E165" i="4"/>
  <c r="E163" i="4"/>
  <c r="E160" i="4"/>
  <c r="E158" i="4"/>
  <c r="E156" i="4"/>
  <c r="E154" i="4"/>
  <c r="E150" i="4"/>
  <c r="E149" i="4"/>
  <c r="E147" i="4"/>
  <c r="E146" i="4"/>
  <c r="E144" i="4"/>
  <c r="E143" i="4"/>
  <c r="E141" i="4"/>
  <c r="E139" i="4"/>
  <c r="E137" i="4"/>
  <c r="E135" i="4"/>
  <c r="E134" i="4"/>
  <c r="E132" i="4"/>
  <c r="E130" i="4"/>
  <c r="E129" i="4"/>
  <c r="E127" i="4"/>
  <c r="E126" i="4"/>
  <c r="E124" i="4"/>
  <c r="E123" i="4"/>
  <c r="E119" i="4"/>
  <c r="E118" i="4"/>
  <c r="E117" i="4"/>
  <c r="E116" i="4"/>
  <c r="E115" i="4"/>
  <c r="E114" i="4"/>
  <c r="E110" i="4"/>
  <c r="E109" i="4"/>
  <c r="E108" i="4"/>
  <c r="E107" i="4"/>
  <c r="E104" i="4"/>
  <c r="E103" i="4"/>
  <c r="E101" i="4"/>
  <c r="E100" i="4"/>
  <c r="E99" i="4"/>
  <c r="E98" i="4"/>
  <c r="E95" i="4"/>
  <c r="E94" i="4"/>
  <c r="E93" i="4"/>
  <c r="E92" i="4"/>
  <c r="E91" i="4"/>
  <c r="E90" i="4"/>
  <c r="E88" i="4"/>
  <c r="E87" i="4"/>
  <c r="E86" i="4"/>
  <c r="E84" i="4"/>
  <c r="E83" i="4"/>
  <c r="E82" i="4"/>
  <c r="E80" i="4"/>
  <c r="E79" i="4"/>
  <c r="E75" i="4"/>
  <c r="E74" i="4"/>
  <c r="E73" i="4"/>
  <c r="E70" i="4"/>
  <c r="E66" i="4"/>
  <c r="E64" i="4"/>
  <c r="E63" i="4"/>
  <c r="E62" i="4"/>
  <c r="E61" i="4"/>
  <c r="E59" i="4"/>
  <c r="E58" i="4"/>
  <c r="E56" i="4"/>
  <c r="E54" i="4"/>
  <c r="E51" i="4"/>
  <c r="E50" i="4"/>
  <c r="E47" i="4"/>
  <c r="E46" i="4"/>
  <c r="E44" i="4"/>
  <c r="E43" i="4"/>
  <c r="E40" i="4"/>
  <c r="E39" i="4"/>
  <c r="E38" i="4"/>
  <c r="E37" i="4"/>
  <c r="E35" i="4"/>
  <c r="E34" i="4"/>
  <c r="E33" i="4"/>
  <c r="E32" i="4"/>
  <c r="E30" i="4"/>
  <c r="E29" i="4"/>
  <c r="E28" i="4"/>
  <c r="E26" i="4"/>
  <c r="E25" i="4"/>
  <c r="E24" i="4"/>
  <c r="E21" i="4"/>
  <c r="E20" i="4"/>
  <c r="E19" i="4"/>
  <c r="E16" i="4"/>
  <c r="E15" i="4"/>
  <c r="E14" i="4"/>
  <c r="E12" i="4"/>
  <c r="E11" i="4"/>
  <c r="E10" i="4"/>
  <c r="E9" i="4"/>
  <c r="E7" i="4"/>
</calcChain>
</file>

<file path=xl/sharedStrings.xml><?xml version="1.0" encoding="utf-8"?>
<sst xmlns="http://schemas.openxmlformats.org/spreadsheetml/2006/main" count="28381" uniqueCount="6509">
  <si>
    <t>Descrição</t>
  </si>
  <si>
    <t>Código EAN</t>
  </si>
  <si>
    <t>Tipo</t>
  </si>
  <si>
    <t>Quantid. Caixa</t>
  </si>
  <si>
    <t>Fluxo Lumin. (lm)</t>
  </si>
  <si>
    <t>Potência W</t>
  </si>
  <si>
    <t>IP</t>
  </si>
  <si>
    <t>Garantia (anos)</t>
  </si>
  <si>
    <t>Tipo Desconto</t>
  </si>
  <si>
    <t>DL COMFORT DN130 13W/3CCT 60DEG WT</t>
  </si>
  <si>
    <t>DL COMFORT DN155 18W/3CCT 60DEG WT</t>
  </si>
  <si>
    <t>DL COMFORT DN205 20W/3CCT 60DEG WT</t>
  </si>
  <si>
    <t>DL ALU DN150 14W/3000K WT IP44</t>
  </si>
  <si>
    <t>DL ALU DN150 14W/4000K WT IP44</t>
  </si>
  <si>
    <t>DL ALU DN150 14W/6500K WT IP44</t>
  </si>
  <si>
    <t>DL ALU DN200 25W/3000K WT IP44</t>
  </si>
  <si>
    <t>DL ALU DN200 25W/4000K WT IP44</t>
  </si>
  <si>
    <t>DL ALU DN200 25W/6500K WT IP44</t>
  </si>
  <si>
    <t xml:space="preserve">DL ALU DN200 35W/3000K WT IP44 </t>
  </si>
  <si>
    <t>DL ALU DN200 35W/4000K WT IP44</t>
  </si>
  <si>
    <t>DL ALU DN200 35W/6500K WT IP44</t>
  </si>
  <si>
    <t>DL ALU DALI DN150 14W/3000K WT IP44</t>
  </si>
  <si>
    <t>DL ALU DALI DN150 14W/4000K WT IP44</t>
  </si>
  <si>
    <t>DL ALU DALI DN150 14W/6500K WT IP44</t>
  </si>
  <si>
    <t>DL ALU DALI DN200 25W/3000K WT IP44</t>
  </si>
  <si>
    <t xml:space="preserve">DL ALU DALI DN200 25W/4000K WT IP44   </t>
  </si>
  <si>
    <t xml:space="preserve">DL ALU DALI DN200 25W/6500K WT IP44   </t>
  </si>
  <si>
    <t xml:space="preserve">DL ALU DALI DN200 35W/3000K WT IP44   </t>
  </si>
  <si>
    <t xml:space="preserve">DL ALU DALI DN200 35W/4000K WT IP44  </t>
  </si>
  <si>
    <t xml:space="preserve">DL ALU DALI DN200 35W/6500K WT IP44  </t>
  </si>
  <si>
    <t>DL SLIM ALU DN180 17W/3000K IP20</t>
  </si>
  <si>
    <t>DL SLIM ALU DN180 17W/4000K IP20</t>
  </si>
  <si>
    <t>DL SLIM ALU DN205 22W/3000K IP20</t>
  </si>
  <si>
    <t>DL SLIM ALU DN205 22W/4000K IP20</t>
  </si>
  <si>
    <t>DL SLIM SQ105 6W/3000K WT IP20</t>
  </si>
  <si>
    <t>DL SLIM SQ105 6W/4000K WT IP20</t>
  </si>
  <si>
    <t>DL SLIM SQ105 6W/6500K WT IP20</t>
  </si>
  <si>
    <t>DL SLIM SQ155 12W/3000K WT IP20</t>
  </si>
  <si>
    <t>DL SLIM SQ155 12W/4000K WT IP20</t>
  </si>
  <si>
    <t>DL SLIM SQ155 12W/6500K WT IP20</t>
  </si>
  <si>
    <t xml:space="preserve">DL SLIM SQ210 18W/3000K WT IP20 </t>
  </si>
  <si>
    <t>DL SLIM SQ210 18W/4000K WT IP20</t>
  </si>
  <si>
    <t>DL SLIM SQ210 18W/6500K WT IP20</t>
  </si>
  <si>
    <t>DL SLIM FRAME SQ105 WT</t>
  </si>
  <si>
    <t>DL SLIM FRAME SQ155 WT</t>
  </si>
  <si>
    <t>DL SLIM FRAME SQ210 WT</t>
  </si>
  <si>
    <t>DL SLIM DN105 6W/3000K WT IP20</t>
  </si>
  <si>
    <t>DL SLIM DN105 6W/4000K WT IP20</t>
  </si>
  <si>
    <t>DL SLIM DN105 6W/6500K WT IP20</t>
  </si>
  <si>
    <t>DL SLIM DN155 12W/3000K WT IP20</t>
  </si>
  <si>
    <t>DL SLIM DN155 12W/4000K WT IP20</t>
  </si>
  <si>
    <t>DL SLIM DN155 12W/6500K WT IP20</t>
  </si>
  <si>
    <t>DL SLIM DN210 18W/3000K WT IP20</t>
  </si>
  <si>
    <t>DL SLIM DN210 18W/4000K WT IP20</t>
  </si>
  <si>
    <t>DL SLIM DN210 18W/6500K WT IP20</t>
  </si>
  <si>
    <t>DL SLIM FRAME DN105 WT</t>
  </si>
  <si>
    <t>DL SLIM FRAME DN155 WT</t>
  </si>
  <si>
    <t>DL SLIM FRAME DN210 WT</t>
  </si>
  <si>
    <t>SPOT VARIO DN170 35W/3000K 24DEG WT</t>
  </si>
  <si>
    <t>SPOT VARIO DN170 35W/4000K 24DEG WT</t>
  </si>
  <si>
    <t>SPOT MULTI 1 x 30W/3000K FL WT/BK</t>
  </si>
  <si>
    <t>SPOT MULTI 1 x 30W/4000K FL WT/BK</t>
  </si>
  <si>
    <t>SPOT MULTI 2 x 30W/3000K FL WT/BK</t>
  </si>
  <si>
    <t>SPOT MULTI 2 x 30W/4000K FL WT/BK</t>
  </si>
  <si>
    <t>TRACK SP D75 25W/3000K 90RA NFL WT</t>
  </si>
  <si>
    <t>TRACK SP D75 25W/4000K 90RA NFL WT</t>
  </si>
  <si>
    <t>TRACK SP D85 35W/3000K 90RA NFL WT</t>
  </si>
  <si>
    <t>TRACK SP D85 35W/4000K 90RA NFL WT</t>
  </si>
  <si>
    <t>TRACK SP D95 55W/3000K 90RA NFL WT</t>
  </si>
  <si>
    <t>TRACK SP D95 55W/4000K 90RA NFL WT</t>
  </si>
  <si>
    <t>TRACK SP D75 25W/3000K 90RA NFL BK</t>
  </si>
  <si>
    <t>TRACK SP D75 25W/4000K 90RA NFL BK</t>
  </si>
  <si>
    <t>TRACK SP D85 35W/3000K 90RA NFL BK</t>
  </si>
  <si>
    <t>TRACK SP D85 35W/4000K 90RA NFL BK</t>
  </si>
  <si>
    <t>TRACK SP D95 55W/3000K 90RA NFL BK</t>
  </si>
  <si>
    <t>TRACK SP D95 55W/4000K 90RA NFL BK</t>
  </si>
  <si>
    <t>TRACK SP D75 25W/3000K 90RA NFL GY</t>
  </si>
  <si>
    <t>TRACK SP D75 25W/4000K 90RA NFL GY</t>
  </si>
  <si>
    <t>TRACK SP D85 35W/3000K 90RA NFL GY</t>
  </si>
  <si>
    <t>TRACK SP D85 35W/4000K 90RA NFL GY</t>
  </si>
  <si>
    <t>TRACK SP D95 55W/3000K 90RA NFL GY</t>
  </si>
  <si>
    <t>TRACK SP D95 55W/4000K 90RA NFL GY</t>
  </si>
  <si>
    <t>TRACK SP REFLECTOR D75 SP</t>
  </si>
  <si>
    <t>TRACK SP REFLECTOR D75 FL</t>
  </si>
  <si>
    <t>TRACK SP REFLECTOR D85 SP</t>
  </si>
  <si>
    <t>TRACK SP REFLECTOR D85 FL</t>
  </si>
  <si>
    <t>TRACK SP REFLECTOR D95 SP</t>
  </si>
  <si>
    <t>TRACK SP REFLECTOR D95 FL</t>
  </si>
  <si>
    <t>TRACK SP ZOOM D85 25W/3000K DIM 97R WT</t>
  </si>
  <si>
    <t>TRACK SP ZOOM D85 25W/4000K DIM 97R WT</t>
  </si>
  <si>
    <t>TRACK SP ZOOM D85 25W/3000K DIM 97R BK</t>
  </si>
  <si>
    <t>TRACK SP ZOOM D85 25W/4000K DIM 97R BK</t>
  </si>
  <si>
    <t>PANEL 600 36W4000K IP54</t>
  </si>
  <si>
    <t xml:space="preserve">PANEL 600 DALI 36W3000K 230V IP54  </t>
  </si>
  <si>
    <t xml:space="preserve">PANEL 600 DALI 36W4000K 230V IP54 </t>
  </si>
  <si>
    <t>PANEL ECO CLASS 600 36W/3000K</t>
  </si>
  <si>
    <t>PANEL ECO CLASS 600 36W/4000K</t>
  </si>
  <si>
    <t>PANEL ECO CLASS 600 36W/6500K</t>
  </si>
  <si>
    <t xml:space="preserve">PANEL ECO CLASS 600 36W/3000K UGR&lt;19 </t>
  </si>
  <si>
    <t xml:space="preserve">PANEL ECO CLASS 600 36W/4000K UGR&lt;19 </t>
  </si>
  <si>
    <t xml:space="preserve">PANEL ECO CLASS 600 36W/6500K UGR&lt;19 </t>
  </si>
  <si>
    <t>PANEL D/I 1200 36W 4000K UGR 19</t>
  </si>
  <si>
    <t>PANEL D/I 1200 36W 3000K UGR 19</t>
  </si>
  <si>
    <t xml:space="preserve">PANEL D/I 1200 UGR 19 36W/3000K DALI </t>
  </si>
  <si>
    <t xml:space="preserve">PANEL D/I 1200 UGR 19 36W/4000K DALI </t>
  </si>
  <si>
    <t>LINEAR INDIVILED D 1200 34W/940</t>
  </si>
  <si>
    <t>DAMP PROOF ECO 600 TH 21W/4000K IP65GY</t>
  </si>
  <si>
    <t>DAMP PROOF ECO  600 TH 21W/6500K IP65GY</t>
  </si>
  <si>
    <t>DAMP PROOF ECO  1200 TH 42W/4000K IP65GY</t>
  </si>
  <si>
    <t>DAMP PROOF ECO  1200 TH 42W/6500K IP65GY</t>
  </si>
  <si>
    <t xml:space="preserve">DAMP PROOF ECO 1500 TH 52W/4000K IP65GY </t>
  </si>
  <si>
    <t xml:space="preserve">DAMP PROOF ECO 1500 TH 52W/6500K IP65GY </t>
  </si>
  <si>
    <t xml:space="preserve">DAMP PROOF ECO  HLO 1500 TH 66W/4000K IP65GY </t>
  </si>
  <si>
    <t>DAMP PROOF ECO HLO 1500TH 66W/6500K IP65GY</t>
  </si>
  <si>
    <t>DAMP PROOF ECO HLO 1500TH 80W/4000K IP65GY</t>
  </si>
  <si>
    <t>DAMP PROOF ECO HLO 1500TH 80W/6500K IP65GY</t>
  </si>
  <si>
    <t>FLOODLIGHT AREA 72W/3000K BK</t>
  </si>
  <si>
    <t>FLOODLIGHT AREA 72W/4000K BK</t>
  </si>
  <si>
    <t>FLOODLIGHT AREA 105W/3000K BK</t>
  </si>
  <si>
    <t>FLOODLIGHT AREA 105W/4000K BK</t>
  </si>
  <si>
    <t>FLOODLIGHT AREA 145W/3000K BK</t>
  </si>
  <si>
    <t>FLOODLIGHT AREA 145W/4000K BK</t>
  </si>
  <si>
    <t xml:space="preserve">VIVARES ZB CONTROL </t>
  </si>
  <si>
    <t>VIVARES ZB L/O SENS 220-240</t>
  </si>
  <si>
    <t>VIVARES ZB O SENS 220-240</t>
  </si>
  <si>
    <t>VIVARES ZB COUPLER</t>
  </si>
  <si>
    <t>ECO HP FLOOD 300W 840 VN BK</t>
  </si>
  <si>
    <t>ECO HP FLOOD 300W 840 N BK</t>
  </si>
  <si>
    <t>ECO HP FLOOD 300W 840 W BK</t>
  </si>
  <si>
    <t>ECO HP FLOOD 300W 857 VN BK</t>
  </si>
  <si>
    <t>ECO HP FLOOD 300W 857 N BK</t>
  </si>
  <si>
    <t>ECO HP FLOOD 300W 857 W BK</t>
  </si>
  <si>
    <t>ECO HP FLOOD 500W 840 VN BK</t>
  </si>
  <si>
    <t>ECO HP FLOOD 500W 840 N BK</t>
  </si>
  <si>
    <t>ECO HP FLOOD 500W 840 W BK</t>
  </si>
  <si>
    <t>ECO HP FLOOD 500W 857 VN BK</t>
  </si>
  <si>
    <t>ECO HP FLOOD 500W 857 N BK</t>
  </si>
  <si>
    <t>ECO HP FLOOD 500W 857 W BK</t>
  </si>
  <si>
    <t xml:space="preserve">FL MAX LUM 600W 757 SYM 10         </t>
  </si>
  <si>
    <t xml:space="preserve">FL MAX LUM 600W 757 SYM 30         </t>
  </si>
  <si>
    <t xml:space="preserve">FL MAX LUM 600W 757 SYM 60         </t>
  </si>
  <si>
    <t xml:space="preserve">FL MAX LUM 600W 757 ASYM 50X110    </t>
  </si>
  <si>
    <t xml:space="preserve">FL MAX LUM 900W 757 SYM 10         </t>
  </si>
  <si>
    <t xml:space="preserve">FL MAX LUM 900W 757 SYM 30         </t>
  </si>
  <si>
    <t xml:space="preserve">FL MAX LUM 900W 757 SYM 60         </t>
  </si>
  <si>
    <t xml:space="preserve">FL MAX LUM 900W 757 ASYM 50X110    </t>
  </si>
  <si>
    <t xml:space="preserve">FL MAX LUM 1200W 757 SYM 10        </t>
  </si>
  <si>
    <t xml:space="preserve">FL MAX LUM 1200W 757 SYM 30        </t>
  </si>
  <si>
    <t xml:space="preserve">FL MAX LUM 1200W 757 SYM 60        </t>
  </si>
  <si>
    <t xml:space="preserve">FL MAX LUM 1200W 757 ASYM 50X110   </t>
  </si>
  <si>
    <t xml:space="preserve">FL MAX POWER SUPPLY 600W           </t>
  </si>
  <si>
    <t xml:space="preserve">FL MAX POWER SUPPLY 900W           </t>
  </si>
  <si>
    <t xml:space="preserve">FL MAX POWER SUPPLY 1200W          </t>
  </si>
  <si>
    <t>ECO AREA SPD 90W 827 IP66 GY</t>
  </si>
  <si>
    <t xml:space="preserve">ECO AREA SPD 90W 830 IP66 GY </t>
  </si>
  <si>
    <t>ECO AREA SPD 90W 840 IP66 GY</t>
  </si>
  <si>
    <t xml:space="preserve">ECO AREA SPD 90W 865 IP66 GY </t>
  </si>
  <si>
    <t xml:space="preserve">ECO AREA SPD 120W 827 IP66 GY </t>
  </si>
  <si>
    <t>ECO AREA SPD 120W 830 IP66 GY</t>
  </si>
  <si>
    <t>ECO AREA SPD 120W 840 IP66 GY</t>
  </si>
  <si>
    <t>ECO AREA SPD 120W 865 IP66 GY</t>
  </si>
  <si>
    <t>ECO AREA SPD 150W 827 IP66 GY</t>
  </si>
  <si>
    <t xml:space="preserve">ECO AREA SPD 150W 830 IP66 GY </t>
  </si>
  <si>
    <t xml:space="preserve">ECO AREA SPD 150W 840 IP66 GY </t>
  </si>
  <si>
    <t>ECO AREA SPD 150W 865 IP66 GY</t>
  </si>
  <si>
    <t xml:space="preserve">AREA 42/60 POLE REDUCTION </t>
  </si>
  <si>
    <t>AREA 48/60 ADJUST ANGLE ADAPTER</t>
  </si>
  <si>
    <t xml:space="preserve">STREET LIGHT FLEX SPIGOT 76MM               </t>
  </si>
  <si>
    <t xml:space="preserve">STREET LIGHT FLEX REDUCTION 60 TO 42MM      </t>
  </si>
  <si>
    <t>DR PC-PFM-13/220-240/350</t>
  </si>
  <si>
    <t>DR PC-PFM-18/220-240/350</t>
  </si>
  <si>
    <t>DR PC-PFM-25/220-240/700</t>
  </si>
  <si>
    <t>DR PC-PFM-35/220-240/700</t>
  </si>
  <si>
    <t>DR DS-PFM-20/220-240/500</t>
  </si>
  <si>
    <t>DR DS-PFM-30/220-240/700</t>
  </si>
  <si>
    <t>DR DS-PFM-40/220-240/1A0</t>
  </si>
  <si>
    <t>DR-VAL-30/220-240/24</t>
  </si>
  <si>
    <t>DR-VAL-60/220-240/24</t>
  </si>
  <si>
    <t>DR-VAL-120/220-240/24</t>
  </si>
  <si>
    <t>DR-VAL-150/220-240/24</t>
  </si>
  <si>
    <t xml:space="preserve">HE 14 W/827 </t>
  </si>
  <si>
    <t>HE 14 W/830</t>
  </si>
  <si>
    <t xml:space="preserve">HE 14 W/840 </t>
  </si>
  <si>
    <t xml:space="preserve">HE 14 W/865 </t>
  </si>
  <si>
    <t xml:space="preserve">HE 21 W/827 </t>
  </si>
  <si>
    <t xml:space="preserve">HE 21 W/830 </t>
  </si>
  <si>
    <t xml:space="preserve">HE 21 W/840 </t>
  </si>
  <si>
    <t xml:space="preserve">HE 21 W/865 </t>
  </si>
  <si>
    <t xml:space="preserve">HE 28 W/827 </t>
  </si>
  <si>
    <t xml:space="preserve">HE 28 W/830 </t>
  </si>
  <si>
    <t>HE 28 W/840</t>
  </si>
  <si>
    <t xml:space="preserve">HE 28 W/865 </t>
  </si>
  <si>
    <t xml:space="preserve">HE 35 W/827 </t>
  </si>
  <si>
    <t xml:space="preserve">HE 35 W/830 </t>
  </si>
  <si>
    <t xml:space="preserve">HE 35 W/840 </t>
  </si>
  <si>
    <t xml:space="preserve">HE 35 W/865 </t>
  </si>
  <si>
    <t xml:space="preserve">HO 24 W/827 </t>
  </si>
  <si>
    <t xml:space="preserve">HO 24 W/830 </t>
  </si>
  <si>
    <t xml:space="preserve">HO 24 W/840 </t>
  </si>
  <si>
    <t xml:space="preserve">HO 24 W/865 </t>
  </si>
  <si>
    <t xml:space="preserve">HO 39 W/840 </t>
  </si>
  <si>
    <t xml:space="preserve">HO 39 W/865 </t>
  </si>
  <si>
    <t xml:space="preserve">HO 49 W/827 </t>
  </si>
  <si>
    <t xml:space="preserve">HO 49 W/830 </t>
  </si>
  <si>
    <t xml:space="preserve">HO 49 W/840 </t>
  </si>
  <si>
    <t xml:space="preserve">HO 49 W/865 </t>
  </si>
  <si>
    <t xml:space="preserve">HO 54 W/827 </t>
  </si>
  <si>
    <t xml:space="preserve">HO 54 W/830 </t>
  </si>
  <si>
    <t xml:space="preserve">HO 54 W/840 </t>
  </si>
  <si>
    <t xml:space="preserve">HO 54 W/865 </t>
  </si>
  <si>
    <t xml:space="preserve">HO 80 W/830 </t>
  </si>
  <si>
    <t xml:space="preserve">HO 80 W/840 </t>
  </si>
  <si>
    <t xml:space="preserve">HO 80 W/865 </t>
  </si>
  <si>
    <t>HO 24 W/965</t>
  </si>
  <si>
    <t>L 6 W/830</t>
  </si>
  <si>
    <t>L 8 W/827</t>
  </si>
  <si>
    <t>L 8 W/830</t>
  </si>
  <si>
    <t>L 8 W/840</t>
  </si>
  <si>
    <t>L 13 W/827</t>
  </si>
  <si>
    <t>L 13 W/830</t>
  </si>
  <si>
    <t>L 13 W/840</t>
  </si>
  <si>
    <t>L 4 W/640</t>
  </si>
  <si>
    <t>L 6 W/640</t>
  </si>
  <si>
    <t>L 8 W/640</t>
  </si>
  <si>
    <t>L 8 W/765</t>
  </si>
  <si>
    <t>L 13 W/640</t>
  </si>
  <si>
    <t>L 13 W/765</t>
  </si>
  <si>
    <t>Emergency Lighting 6 W/840</t>
  </si>
  <si>
    <t>Emergency Lighting 8 W/840</t>
  </si>
  <si>
    <t>Emergency Lighting 6 W/640</t>
  </si>
  <si>
    <t>Emergency Lighting 8 W/640</t>
  </si>
  <si>
    <t>FC 22 W/830</t>
  </si>
  <si>
    <t>FC 22 W/840</t>
  </si>
  <si>
    <t>FC 40 W/830</t>
  </si>
  <si>
    <t>FC 40 W/840</t>
  </si>
  <si>
    <t>FC 55 W/830</t>
  </si>
  <si>
    <t>L 15 W/827</t>
  </si>
  <si>
    <t>L 15 W/830</t>
  </si>
  <si>
    <t>L 15 W/840</t>
  </si>
  <si>
    <t>L 15 W/865</t>
  </si>
  <si>
    <t>L 16 W/827</t>
  </si>
  <si>
    <t>L 16 W/830</t>
  </si>
  <si>
    <t>L 16 W/840</t>
  </si>
  <si>
    <t>L 18 W/827</t>
  </si>
  <si>
    <t>L 18 W/830</t>
  </si>
  <si>
    <t>L 18 W/840</t>
  </si>
  <si>
    <t>L 18 W/865</t>
  </si>
  <si>
    <t>L 23 W/840</t>
  </si>
  <si>
    <t>L 30 W/827</t>
  </si>
  <si>
    <t>L 30 W/830</t>
  </si>
  <si>
    <t>L 30 W/840</t>
  </si>
  <si>
    <t>L 30 W/865</t>
  </si>
  <si>
    <t>L 36 W/827</t>
  </si>
  <si>
    <t>L 36 W/830</t>
  </si>
  <si>
    <t>L 36 W/840</t>
  </si>
  <si>
    <t>L 36 W/865</t>
  </si>
  <si>
    <t>L 36 W/880</t>
  </si>
  <si>
    <t>L 38 W/840</t>
  </si>
  <si>
    <t>L 58 W/827</t>
  </si>
  <si>
    <t>L 58 W/830</t>
  </si>
  <si>
    <t>L 58 W/840</t>
  </si>
  <si>
    <t>L 58 W/865</t>
  </si>
  <si>
    <t>L 58 W/880</t>
  </si>
  <si>
    <t>L 70 W/840</t>
  </si>
  <si>
    <t>L 36 W/827-1</t>
  </si>
  <si>
    <t>L 36 W/840-1</t>
  </si>
  <si>
    <t>L 36 W/954</t>
  </si>
  <si>
    <t>L 36 W/965</t>
  </si>
  <si>
    <t>L 58 W/840 SPS</t>
  </si>
  <si>
    <t>STARTER ST 111 LONGLIFE</t>
  </si>
  <si>
    <t>STARTER ST 171 SAFETY DEOS</t>
  </si>
  <si>
    <t>STARTER ST 173 SAFETY DEOS</t>
  </si>
  <si>
    <t>STARTER ST 151 LONGLIFE</t>
  </si>
  <si>
    <t>STARTER ST 172 SAFETY DEOS</t>
  </si>
  <si>
    <t>DULUX S 7 W/827</t>
  </si>
  <si>
    <t>DULUX S 7 W/830</t>
  </si>
  <si>
    <t>DULUX S 7 W/840</t>
  </si>
  <si>
    <t>DULUX S 9 W/827</t>
  </si>
  <si>
    <t>DULUX S 9 W/830</t>
  </si>
  <si>
    <t>DULUX S 9 W/840</t>
  </si>
  <si>
    <t>DULUX S 11 W/827</t>
  </si>
  <si>
    <t>DULUX S 11 W/830</t>
  </si>
  <si>
    <t>DULUX S 11 W/840</t>
  </si>
  <si>
    <t>DULUX S/E 7 W/827</t>
  </si>
  <si>
    <t>DULUX S/E 9 W/827</t>
  </si>
  <si>
    <t>DULUX S/E 11 W/827</t>
  </si>
  <si>
    <t>DULUX S/E 11 W/840</t>
  </si>
  <si>
    <t>DULUX D 10 W/827</t>
  </si>
  <si>
    <t>DULUX D 10 W/830</t>
  </si>
  <si>
    <t>DULUX D 10 W/840</t>
  </si>
  <si>
    <t>DULUX D 13 W/827</t>
  </si>
  <si>
    <t>DULUX D 13 W/830</t>
  </si>
  <si>
    <t>DULUX D 13 W/840</t>
  </si>
  <si>
    <t>DULUX D 13 W/865</t>
  </si>
  <si>
    <t>DULUX D 18 W/827</t>
  </si>
  <si>
    <t>DULUX D 18 W/830</t>
  </si>
  <si>
    <t>DULUX D 18 W/840</t>
  </si>
  <si>
    <t>DULUX D 18 W/865</t>
  </si>
  <si>
    <t>DULUX D 26 W/827</t>
  </si>
  <si>
    <t>DULUX D 26 W/830</t>
  </si>
  <si>
    <t>DULUX D 26 W/840</t>
  </si>
  <si>
    <t>DULUX D 26 W/865</t>
  </si>
  <si>
    <t>DULUX D/E 10 W/830</t>
  </si>
  <si>
    <t>DULUX D/E 10 W/840</t>
  </si>
  <si>
    <t>DULUX D/E 13 W/827</t>
  </si>
  <si>
    <t>DULUX D/E 13 W/830</t>
  </si>
  <si>
    <t>DULUX D/E 13 W/840</t>
  </si>
  <si>
    <t>DULUX D/E 18 W/827</t>
  </si>
  <si>
    <t>DULUX D/E 18 W/830</t>
  </si>
  <si>
    <t>DULUX D/E 18 W/840</t>
  </si>
  <si>
    <t>DULUX D/E 18 W/865</t>
  </si>
  <si>
    <t>DULUX D/E 26 W/827</t>
  </si>
  <si>
    <t>DULUX D/E 26 W/830</t>
  </si>
  <si>
    <t>DULUX D/E 26 W/840</t>
  </si>
  <si>
    <t>DULUX D/E 26 W/865</t>
  </si>
  <si>
    <t>DULUX T PLUS 13 W/830</t>
  </si>
  <si>
    <t>DULUX T PLUS 13 W/840</t>
  </si>
  <si>
    <t>DULUX T PLUS 18 W/827 1)</t>
  </si>
  <si>
    <t>DULUX T PLUS 18 W/830 1)</t>
  </si>
  <si>
    <t>DULUX T PLUS 18 W/840 1)</t>
  </si>
  <si>
    <t>DULUX T PLUS 26 W/827</t>
  </si>
  <si>
    <t>DULUX T PLUS 26 W/830</t>
  </si>
  <si>
    <t>DULUX T PLUS 26 W/840</t>
  </si>
  <si>
    <t>DULUX T/E PLUS 13 W/827</t>
  </si>
  <si>
    <t>DULUX T/E PLUS 13 W/830</t>
  </si>
  <si>
    <t>DULUX T/E PLUS 18 W/827</t>
  </si>
  <si>
    <t>DULUX T/E PLUS 18 W/830</t>
  </si>
  <si>
    <t>DULUX T/E PLUS 18 W/840</t>
  </si>
  <si>
    <t>DULUX T/E PLUS 26 W/827</t>
  </si>
  <si>
    <t>DULUX T/E PLUS 26 W/830</t>
  </si>
  <si>
    <t>DULUX T/E PLUS 26 W/840</t>
  </si>
  <si>
    <t>DULUX T/E PLUS 32 W/827</t>
  </si>
  <si>
    <t>DULUX T/E PLUS 32 W/830</t>
  </si>
  <si>
    <t>DULUX T/E PLUS 32 W/840</t>
  </si>
  <si>
    <t>DULUX T/E PLUS 42 W/827</t>
  </si>
  <si>
    <t>DULUX T/E PLUS 42 W/830</t>
  </si>
  <si>
    <t>DULUX T/E PLUS 42 W/840</t>
  </si>
  <si>
    <t>DULUX T/E CONSTANT 26 W/830</t>
  </si>
  <si>
    <t>DULUX T/E CONSTANT 26 W/840</t>
  </si>
  <si>
    <t>DULUX T/E CONSTANT 32 W/830</t>
  </si>
  <si>
    <t>DULUX T/E CONSTANT 32 W/840</t>
  </si>
  <si>
    <t>DULUX T/E CONSTANT 42 W/830</t>
  </si>
  <si>
    <t>DULUX T/E CONSTANT 42 W/840</t>
  </si>
  <si>
    <t>DULUX L 18 W/827 2G11</t>
  </si>
  <si>
    <t>DULUX L 18 W/830 2G11</t>
  </si>
  <si>
    <t>DULUX L 18 W/840 2G11</t>
  </si>
  <si>
    <t>DULUX L 24 W/827 2G11</t>
  </si>
  <si>
    <t>DULUX L 24 W/830 2G11</t>
  </si>
  <si>
    <t>DULUX L 24 W/840 2G11</t>
  </si>
  <si>
    <t>DULUX L 36 W/827 2G11</t>
  </si>
  <si>
    <t>DULUX L 36 W/830 2G11</t>
  </si>
  <si>
    <t>DULUX L 36 W/840 2G11</t>
  </si>
  <si>
    <t>DULUX L 36 W/865 2G11</t>
  </si>
  <si>
    <t>DULUX L 40 W/830 2G11</t>
  </si>
  <si>
    <t>DULUX L 40 W/840 2G11</t>
  </si>
  <si>
    <t>DULUX L 55 W/830 2G11</t>
  </si>
  <si>
    <t>DULUX L 55 W/840 2G11</t>
  </si>
  <si>
    <t>DULUX L 55 W/865 2G11</t>
  </si>
  <si>
    <t>DULUX L 55 W/954 2G11</t>
  </si>
  <si>
    <t>DULUX F 18 W/830 2G10</t>
  </si>
  <si>
    <t>DULUX F 18 W/840 2G10</t>
  </si>
  <si>
    <t>DULUX F 24 W/830 2G10</t>
  </si>
  <si>
    <t>DULUX F 24 W/840 2G10</t>
  </si>
  <si>
    <t>DULUX F 36 W/827 2G10</t>
  </si>
  <si>
    <t>DULUX F 36 W/830 2G10</t>
  </si>
  <si>
    <t>DULUX F 36 W/840 2G10</t>
  </si>
  <si>
    <t>CFL SQUARE 16 W/827 GR8</t>
  </si>
  <si>
    <t>CFL SQUARE 16 W/835 GR8</t>
  </si>
  <si>
    <t>CFL SQUARE 28 W/827 GR8</t>
  </si>
  <si>
    <t>CFL SQUARE 16 W/827 GR10Q</t>
  </si>
  <si>
    <t>CFL SQUARE 16 W/835 GR10Q</t>
  </si>
  <si>
    <t>CFL SQUARE 28 W/827 GR10Q</t>
  </si>
  <si>
    <t>CFL SQUARE 28 W/835 GR10Q</t>
  </si>
  <si>
    <t>CFL SQUARE 38 W/827 GR10Q</t>
  </si>
  <si>
    <t>CFL SQUARE 38 W/835 GR10Q</t>
  </si>
  <si>
    <t>HQI-T 70 W/WDL</t>
  </si>
  <si>
    <t>HQI-TS 70 W/WDL Excellence</t>
  </si>
  <si>
    <t>HQI-TS 70 W/NDL Excellence</t>
  </si>
  <si>
    <t>HQI-TS 70 W/D Excellence</t>
  </si>
  <si>
    <t>HQI-TS 150 W/WDL Excellence</t>
  </si>
  <si>
    <t>HQI-TS 150 W/NDL Excellence</t>
  </si>
  <si>
    <t>HQI-TS 150 W/D Excellence</t>
  </si>
  <si>
    <t>HQI-TS 250 W/WDL</t>
  </si>
  <si>
    <t>HQI-TS 1000 W/NDL/S UVS</t>
  </si>
  <si>
    <t>HQI-TS 1000 W/D/S PRO</t>
  </si>
  <si>
    <t>HQI-TS 2000 W/NDL/S</t>
  </si>
  <si>
    <t>HQI-TS 2000 W/D/S</t>
  </si>
  <si>
    <t>HQI-TS 2000 W/D/S/HF 3)</t>
  </si>
  <si>
    <t>HQI-TS 2000 W/N/L</t>
  </si>
  <si>
    <t>HQI-T 1000 W/D</t>
  </si>
  <si>
    <t>HQI-T 1000 W/N</t>
  </si>
  <si>
    <t>HQI-T 2000 W/N/E SUPER</t>
  </si>
  <si>
    <t>HQI-T 2000 W/N/SN SUPER 1)</t>
  </si>
  <si>
    <t>HQI-T 2000 W/D</t>
  </si>
  <si>
    <t>HQI-T 2000 W/N/I 2)</t>
  </si>
  <si>
    <t>HQI-T 2000 W/D/I 2)</t>
  </si>
  <si>
    <t>HQI-T 250 W/D PRO</t>
  </si>
  <si>
    <t>HQI-BT 400 W/D PRO 3)</t>
  </si>
  <si>
    <t>HQI-T 400/N E40</t>
  </si>
  <si>
    <t>HQI-E 400/N E40</t>
  </si>
  <si>
    <t>HQI-E 250 W/D PRO</t>
  </si>
  <si>
    <t>HQI-E 400 W/N CO</t>
  </si>
  <si>
    <t>HQI-E 400 W/D PRO 1)</t>
  </si>
  <si>
    <t>HQI-E 1000 W/N</t>
  </si>
  <si>
    <t xml:space="preserve">NAV-E 50 W SUPER 4Y </t>
  </si>
  <si>
    <t>NAV-E 70 W SUPER 4Y</t>
  </si>
  <si>
    <t>NAV-E 100 W SUPER 4Y</t>
  </si>
  <si>
    <t>NAV-E 150W SUPER 4Y</t>
  </si>
  <si>
    <t>NAV-E 250 W SUPER 4Y</t>
  </si>
  <si>
    <t>NAV-E 400 W SUPER 4Y</t>
  </si>
  <si>
    <t>NAV-E 50 W/E E27</t>
  </si>
  <si>
    <t>NAV-E 70 W/E E27</t>
  </si>
  <si>
    <t>NAV-E 50 W/I E27</t>
  </si>
  <si>
    <t>NAV-E 70 W/I E27</t>
  </si>
  <si>
    <t>NAV-E 68 W E27</t>
  </si>
  <si>
    <t>NAV-T 50W SUPER 4Y</t>
  </si>
  <si>
    <t>NAV-T 70W SUPER 4Y</t>
  </si>
  <si>
    <t>NAV-T 100 W SUPER 4Y</t>
  </si>
  <si>
    <t>NAV-T 150 W SUPER 4Y</t>
  </si>
  <si>
    <t>NAV-T 250 W SUPER 4Y</t>
  </si>
  <si>
    <t>NAV-T 400 W SUPER 4Y</t>
  </si>
  <si>
    <t>NAV-T 600 W SUPER 4Y</t>
  </si>
  <si>
    <t>NAV-T 1000 W E40</t>
  </si>
  <si>
    <t>PLANTASTAR 250 W E40</t>
  </si>
  <si>
    <t>PLANTASTAR 400 W E40</t>
  </si>
  <si>
    <t>PLANTASTAR 600 W 400 V E40</t>
  </si>
  <si>
    <t>PLANTASTAR 600 W 230 V E40</t>
  </si>
  <si>
    <t>HALOPIN PRO 66720 20W 230V G9</t>
  </si>
  <si>
    <t>HALOPIN PRO 66733 33W 230V G9</t>
  </si>
  <si>
    <t>HALOPIN PRO 66748 48W 230V G9</t>
  </si>
  <si>
    <t>HALOPIN PRO 66760 60W 230V G9</t>
  </si>
  <si>
    <t>HALOLINE PRO 64684 48W 230V R7s</t>
  </si>
  <si>
    <t>HALOLINE PRO 64690 80W 230V R7s</t>
  </si>
  <si>
    <t>HALOLINE PRO 64695 120W 230V R7s</t>
  </si>
  <si>
    <t>HALOLINE 64560 750W 230V 191,1mm R7s</t>
  </si>
  <si>
    <t>HALOLINE 64740 1000W 230V 191,1mm R7s</t>
  </si>
  <si>
    <t>HALOLINE 64740 1000W 240V 191,1mm R7s</t>
  </si>
  <si>
    <t>HALOLINE 64760 1500W 230V 256,1mm R7s</t>
  </si>
  <si>
    <t>HALOLINE 64760 1500W 240V 256,1mm R7s</t>
  </si>
  <si>
    <t>HALOLINE 64784 2000W 230V 333mm R7s</t>
  </si>
  <si>
    <t>HALOSTAR PRO 64417 7W 12V G4</t>
  </si>
  <si>
    <t>HALOSTAR PRO 64423 14W 12V G4</t>
  </si>
  <si>
    <t>HALOSTAR PRO 64429 25W 12V GY6.35</t>
  </si>
  <si>
    <t>HALOSTAR PRO 64432 35W 12V GY6.35</t>
  </si>
  <si>
    <t>HALOSTAR PRO 64440 50W 12V GY6.35</t>
  </si>
  <si>
    <t>HALOSTAR PRO 64447 60W 12V GY6.35</t>
  </si>
  <si>
    <t>HALOSTAR STARLITE 64405 S 5W 12V G4</t>
  </si>
  <si>
    <t>HALOSTAR STARLITE 64415 S AX 10W 12V G4</t>
  </si>
  <si>
    <t>HALOSTAR STARLITE 64410 S AX 10W 6V G4</t>
  </si>
  <si>
    <t>HALOSTAR STARLITE 64425 S AX 20W 12V G4</t>
  </si>
  <si>
    <t>HALOSTAR STARLITE 64427 S AX 20W 12V GY6.35</t>
  </si>
  <si>
    <t>HALOSTAR STARLITE 64432 S AX 35W 12V GY6.35</t>
  </si>
  <si>
    <t>HALOSTAR STARLITE 64440 S AX 50W 12V GY6.35</t>
  </si>
  <si>
    <t>HALOSTAR STARLITE 64450 S AX 75W 12V GY6.35</t>
  </si>
  <si>
    <t>HALOSTAR STARLITE 64458 S AX 90W 12V GY6.35</t>
  </si>
  <si>
    <t>HALOSTAR OVEN 64408 5W 12V G4 1)</t>
  </si>
  <si>
    <t>HALOSTAR OVEN 64418 10W 12V G4</t>
  </si>
  <si>
    <t>HALOSTAR OVEN 64428 20W 12V G4</t>
  </si>
  <si>
    <t>SPECIAL OVEN T22/50 CL 15W 230V E14</t>
  </si>
  <si>
    <t>SPECIAL T 17/54 CL 15W 230V E14</t>
  </si>
  <si>
    <t>OTi DALI 50/220…240/24 1…4 CH</t>
  </si>
  <si>
    <t>OTi DALI 160/220…240/24 1-2 CH</t>
  </si>
  <si>
    <t>OTI DALI 210/220…240/24 1-4 CH</t>
  </si>
  <si>
    <t>OT 130/220-240/24 DIM P</t>
  </si>
  <si>
    <t>OT 250/220-240/24 DIM P</t>
  </si>
  <si>
    <t>OT 20/220-240/24</t>
  </si>
  <si>
    <t>OT 100/220-240/24 P</t>
  </si>
  <si>
    <t>OT 130/220-240/24 P</t>
  </si>
  <si>
    <t>OT 250/220-240/24 P</t>
  </si>
  <si>
    <t>OT BLE DIM</t>
  </si>
  <si>
    <t>OTI BLE 80/220-240/24 1-4CH</t>
  </si>
  <si>
    <t>OT DMX RGBW DIM</t>
  </si>
  <si>
    <t>OT DIM</t>
  </si>
  <si>
    <t>OT 180/120…277/700 P5</t>
  </si>
  <si>
    <t>OT 50/120…277/800 2DIMLT2 P</t>
  </si>
  <si>
    <t>OT 50/120…277/1A2 2DIMLT2 P</t>
  </si>
  <si>
    <t>OT 110/120…277/1A4 2DIMLT2 P</t>
  </si>
  <si>
    <t>OT 165/170...240/1A0 4DIMLT2 G2CE</t>
  </si>
  <si>
    <t>OT CABLE CLAMP A-STYLE</t>
  </si>
  <si>
    <t>OT CABLE CLAMP B-STYLE</t>
  </si>
  <si>
    <t>OT CABLE CLAMP D-STYLE **</t>
  </si>
  <si>
    <t>OT CABLE CLAMP E-STYLE</t>
  </si>
  <si>
    <t>OT CABLE CLAMP F-STYLE</t>
  </si>
  <si>
    <t>OT CABLE CLAMP A-STYLE TL</t>
  </si>
  <si>
    <t>OT CABLE CLAMP B-STYLE TL</t>
  </si>
  <si>
    <t>OT CABLE CLAMP B-STYLE LP TL</t>
  </si>
  <si>
    <t>OT CABLE CLAMP N-STYLE</t>
  </si>
  <si>
    <t>DALI magic</t>
  </si>
  <si>
    <t>OT Programmer</t>
  </si>
  <si>
    <t>EBN-OS / 230</t>
  </si>
  <si>
    <t>NFC Scanner</t>
  </si>
  <si>
    <t>QTi DALI 1X21/39 DIM</t>
  </si>
  <si>
    <t>QTi DALI 1X28/54 DIM</t>
  </si>
  <si>
    <t>QTi DALI 1X35/49/80 DIM</t>
  </si>
  <si>
    <t>QTi DALI 2X14/24 DIM</t>
  </si>
  <si>
    <t>QTi DALI 2X21/39 DIM</t>
  </si>
  <si>
    <t>QTi DALI 2X28/54 DIM</t>
  </si>
  <si>
    <t>QTi DALI 2X35/49 DIM</t>
  </si>
  <si>
    <t>QTi DALI 2X35/49/80 DIM</t>
  </si>
  <si>
    <t>QTi DALI 3X14/24 DIM</t>
  </si>
  <si>
    <t>QTi DALI 4X14/24 DIM</t>
  </si>
  <si>
    <t>QTi DALI 1X36 DIM</t>
  </si>
  <si>
    <t>QTi DALI 1X58 DIM</t>
  </si>
  <si>
    <t>QTi DALI 2X36 DIM</t>
  </si>
  <si>
    <t>QTi DALI 2X58 DIM</t>
  </si>
  <si>
    <t>QTi DALI-T/E 1x18…57 DIM</t>
  </si>
  <si>
    <t>QTi DALI-T/E 2X18…42 DIM</t>
  </si>
  <si>
    <t>QTi 1X14/24 DIM</t>
  </si>
  <si>
    <t>QTi 1X21/39 DIM</t>
  </si>
  <si>
    <t>QTi 1X28/54 DIM</t>
  </si>
  <si>
    <t>QTi 1X35/49/80 DIM</t>
  </si>
  <si>
    <t>QTi 2X28/54 DIM</t>
  </si>
  <si>
    <t>QTi 2X35/49 DIM</t>
  </si>
  <si>
    <t>QTi 2X35/49/80 DIM</t>
  </si>
  <si>
    <t>QTi-T/E 1x18-57 DIM</t>
  </si>
  <si>
    <t>QTi-T/E 2x18-42 DIM</t>
  </si>
  <si>
    <t>QTi 1X14/24/21/39 GII</t>
  </si>
  <si>
    <t>QTi 1X28/54/35/49 GII</t>
  </si>
  <si>
    <t>QTi 1X35/49/80 GII</t>
  </si>
  <si>
    <t>QTi 2X14/24/21/39 GII</t>
  </si>
  <si>
    <t>QTi 2X28/54/35/49 GII</t>
  </si>
  <si>
    <t>QTi 2X35/49/80 GII</t>
  </si>
  <si>
    <t>QTP5 1X14…35</t>
  </si>
  <si>
    <t>QTP5 1X49</t>
  </si>
  <si>
    <t>QTP5 1X80</t>
  </si>
  <si>
    <t>QTP5 2X14…35</t>
  </si>
  <si>
    <t>QTP5 2X49</t>
  </si>
  <si>
    <t>QTP5 3X14,4X14</t>
  </si>
  <si>
    <t>QT-FQ 2X80</t>
  </si>
  <si>
    <t>QTP-OPTIMAL 1x18…40</t>
  </si>
  <si>
    <t>QTP-OPTIMAL 1X54…58</t>
  </si>
  <si>
    <t>QTP-OPTIMAL 2X18…40</t>
  </si>
  <si>
    <t>QTP-OPTIMAL 2X54…58</t>
  </si>
  <si>
    <t>QT-FIT5 1X14…35</t>
  </si>
  <si>
    <t>QT-FIT5 1X49</t>
  </si>
  <si>
    <t>QT-FIT5 2X14…35</t>
  </si>
  <si>
    <t>QT-FIT5 2X49</t>
  </si>
  <si>
    <t>QT-FIT5 3X14,4X14</t>
  </si>
  <si>
    <t>QT-FIT 5/8 1X18…39</t>
  </si>
  <si>
    <t>QT-FIT 5/8 1X54…58</t>
  </si>
  <si>
    <t>QT-FIT 5/8 2X18…39</t>
  </si>
  <si>
    <t>QT-FIT 5/8 2X54…58</t>
  </si>
  <si>
    <t>QT-FIT8 1X18</t>
  </si>
  <si>
    <t>QT-FIT8 1X36</t>
  </si>
  <si>
    <t>QT-FIT8 1X58…70</t>
  </si>
  <si>
    <t>QT-FIT8 2X18</t>
  </si>
  <si>
    <t>QT-FIT8 2X36</t>
  </si>
  <si>
    <t>QT-FIT8 2X58…70 *</t>
  </si>
  <si>
    <t>QT-FIT8 2X58</t>
  </si>
  <si>
    <t>QT-FIT8 3X18,4X18</t>
  </si>
  <si>
    <t>QTz8 1X18</t>
  </si>
  <si>
    <t>QTz8 1X36</t>
  </si>
  <si>
    <t>QTz8 2X18</t>
  </si>
  <si>
    <t>QTz8 2X36</t>
  </si>
  <si>
    <t>QTz8 4X18</t>
  </si>
  <si>
    <t>QTP-DL 2X36…40</t>
  </si>
  <si>
    <t>QTP-DL 2X55 GII</t>
  </si>
  <si>
    <t>QTP-FC 1X55</t>
  </si>
  <si>
    <t>QT-M 2X26…42 S</t>
  </si>
  <si>
    <t>QTP-M 1X26…42 1)</t>
  </si>
  <si>
    <t>QTP-M 2X26…32 1)</t>
  </si>
  <si>
    <t>QT-ECO 1X4…16 S</t>
  </si>
  <si>
    <t>QT-ECO 1X18…21 S</t>
  </si>
  <si>
    <t>QT-ECO 1X18…24 S</t>
  </si>
  <si>
    <t>QT-ECO 1X26 S</t>
  </si>
  <si>
    <t>QT-ECO 2X5…11 S</t>
  </si>
  <si>
    <t xml:space="preserve">QTP-D/E 1X10…13 </t>
  </si>
  <si>
    <t xml:space="preserve">QTP-D/E 2X10…13 </t>
  </si>
  <si>
    <t>QTP-T/E 1x18,2x18</t>
  </si>
  <si>
    <t>QTP-T/E 1X26…42,2X26</t>
  </si>
  <si>
    <t>PTo 70/220…240 3DIM</t>
  </si>
  <si>
    <t>PTo 100/220…240 3DIM</t>
  </si>
  <si>
    <t>PTo 150/220…240 3DIM</t>
  </si>
  <si>
    <t>PTo 250/220…240 3DIM</t>
  </si>
  <si>
    <t>PTi 35/220…240 S</t>
  </si>
  <si>
    <t>PTi 35/220…240 S MINI</t>
  </si>
  <si>
    <t>PTi 70/220…240 S</t>
  </si>
  <si>
    <t>PTi 150/220…240 S</t>
  </si>
  <si>
    <t>PTi 35/220…240 I</t>
  </si>
  <si>
    <t>PTi 70/220…240 I</t>
  </si>
  <si>
    <t>PTi 150/220…240 I</t>
  </si>
  <si>
    <t>PT-FIT 35/220…240 S</t>
  </si>
  <si>
    <t>PT-FIT 70/220…240 S</t>
  </si>
  <si>
    <t>PT-FIT 35/220…240 I</t>
  </si>
  <si>
    <t>PT-FIT 70/220…240 I</t>
  </si>
  <si>
    <t>HTi DALI 105/230…240 DIM</t>
  </si>
  <si>
    <t>HTL 105/230…240</t>
  </si>
  <si>
    <t>HTL 225/230…240</t>
  </si>
  <si>
    <t>HTM 70/230…240</t>
  </si>
  <si>
    <t>HTM 105/230…240</t>
  </si>
  <si>
    <t>HTM 150/230…240</t>
  </si>
  <si>
    <t>HTN 75/230…240 I</t>
  </si>
  <si>
    <t>ET-PARROT 70/220…240 I</t>
  </si>
  <si>
    <t>ET-PARROT 105/220…240 I</t>
  </si>
  <si>
    <t>HTi DALI 315 DIM</t>
  </si>
  <si>
    <t>DALI PCU</t>
  </si>
  <si>
    <t xml:space="preserve">DALI PS LI </t>
  </si>
  <si>
    <t>HIGH BAY</t>
  </si>
  <si>
    <t>Cellule VISION</t>
  </si>
  <si>
    <t>LUXeye Sense DALI BT</t>
  </si>
  <si>
    <t>DALI LS/PD CI</t>
  </si>
  <si>
    <t>LUXeye Sense CM KIT</t>
  </si>
  <si>
    <t>DALIeco BT RTC CONTROL</t>
  </si>
  <si>
    <t>DALIeco BT CONTROL</t>
  </si>
  <si>
    <t>DALI ACU BT CON</t>
  </si>
  <si>
    <t xml:space="preserve">DALIECO CONTROL </t>
  </si>
  <si>
    <t>DALIECO SWARM ADAPTER</t>
  </si>
  <si>
    <t>DALIeco LS/PD LI NP</t>
  </si>
  <si>
    <t xml:space="preserve">HF LS LI </t>
  </si>
  <si>
    <t>LS/PD CI KIT 10</t>
  </si>
  <si>
    <t>LS/PD AP KIT 10</t>
  </si>
  <si>
    <t xml:space="preserve">Y-CONNECTOR </t>
  </si>
  <si>
    <t>DALI REP LI</t>
  </si>
  <si>
    <t>DALI REP SO</t>
  </si>
  <si>
    <t>ECO CI Kit SERRA CAVI</t>
  </si>
  <si>
    <t>DALIeco Remote PC KIT</t>
  </si>
  <si>
    <t xml:space="preserve">LS/PD MULTI 3 CI </t>
  </si>
  <si>
    <t xml:space="preserve">DALI PRO Cont-4 RTC </t>
  </si>
  <si>
    <t xml:space="preserve">DALI LS/PD LI </t>
  </si>
  <si>
    <t>DALI PRO Sensor Coupler</t>
  </si>
  <si>
    <t>DALI Sensor Coupler HF LS LI</t>
  </si>
  <si>
    <t>DALI Sensor Coupler E</t>
  </si>
  <si>
    <t>DALI SWITCH SO</t>
  </si>
  <si>
    <t xml:space="preserve">ZIGBEE 3.0 DALI CONV LI </t>
  </si>
  <si>
    <t xml:space="preserve">KNX PS 640 </t>
  </si>
  <si>
    <t xml:space="preserve">Mounting Adapter </t>
  </si>
  <si>
    <t>Power Supply PS 30</t>
  </si>
  <si>
    <t xml:space="preserve">SENSOR KIT </t>
  </si>
  <si>
    <t xml:space="preserve">LMS CI BOX </t>
  </si>
  <si>
    <t xml:space="preserve">DALI SENSOR LS/PD LI UF G2 </t>
  </si>
  <si>
    <t>DALI SENSOR LS/PD LI G2</t>
  </si>
  <si>
    <t>DALI SENSOR LS/PD CI G2</t>
  </si>
  <si>
    <t xml:space="preserve">DALI COUPLER MULTI3 G2 </t>
  </si>
  <si>
    <t>DALI COUPLER LS HIGHBAY G2</t>
  </si>
  <si>
    <t>DALI COUPLER HF G2</t>
  </si>
  <si>
    <t>DALI COUPLER E G2</t>
  </si>
  <si>
    <t>DALI COUPLER PUSHB G2</t>
  </si>
  <si>
    <t>DOWNLIGHT UGR19</t>
  </si>
  <si>
    <t>DOWNLIGHT COMFORT</t>
  </si>
  <si>
    <t>DOWNLIGHT ALU</t>
  </si>
  <si>
    <t>DOWNLIGHT SLIM ALU</t>
  </si>
  <si>
    <t>Luminária</t>
  </si>
  <si>
    <t>DOWNLIGHT SLIM QUADRADO E ACESSÓRIOS</t>
  </si>
  <si>
    <t>DOWNLIGHT SLIM REDONDO E ACESSÓRIOS</t>
  </si>
  <si>
    <t>SPOT VARIO</t>
  </si>
  <si>
    <t>SPOT MULTI</t>
  </si>
  <si>
    <t>SPOT KIT</t>
  </si>
  <si>
    <t>TRACKLIGHT SPOT</t>
  </si>
  <si>
    <t>TRACKLIGHT SPOT REFLECTOR</t>
  </si>
  <si>
    <t>TRACKLIGHT SPOT ZOOM DIM</t>
  </si>
  <si>
    <t>SURFACE COMPACT IK10</t>
  </si>
  <si>
    <t>PANEL INDIVILED</t>
  </si>
  <si>
    <t>PANEL INDIVILED® EMERGENCY</t>
  </si>
  <si>
    <t>PANEL ECO</t>
  </si>
  <si>
    <t>ACESSÓRIOS PANEL</t>
  </si>
  <si>
    <t>PANEL 600 Surface Mount Kit H70 (kit montagem saliente)</t>
  </si>
  <si>
    <t>PANEL 1200x600 Surface Mount Kit VALUE (kit montagem saliente)</t>
  </si>
  <si>
    <t>Panel 1200 LED Suspension Kit (kit de suspensão)</t>
  </si>
  <si>
    <t>PANEL Suspension Kit (kit  de suspensão)</t>
  </si>
  <si>
    <t>PANEL Security Kit 4x (kit de segurança)  - 4 unid.</t>
  </si>
  <si>
    <t>PANEL 600 Recessed Mount Frame (moldura montagem embutida)</t>
  </si>
  <si>
    <t>PANEL 1200x300 Recessed Mount Frame (moldura montagem embutida)</t>
  </si>
  <si>
    <t>PANEL PANEL Recessed Mount Clips VALUE 4x (molas de fixação) - 4 unid.</t>
  </si>
  <si>
    <t>CONNECTOR BOX 5POLE L/N 4x (ligador repicagem) - 4 unid.</t>
  </si>
  <si>
    <t>CONNECTOR BOX 5POLE L/N/PE/D+/D- 4x (ligador repicagem DALI) - 4 unid.</t>
  </si>
  <si>
    <t>PANEL DIRECT/INDIRECT - Para Suspensão</t>
  </si>
  <si>
    <t>LINEAR IndiviLED© SUSPENSION KIT (kit suspensão)</t>
  </si>
  <si>
    <t>LINEAR IndiviLED© DALI SUSPENSON KIT DALI (kit suspensão DALI)</t>
  </si>
  <si>
    <t>LINEAR IndiviLED© SUSPENSION WIRE (cabo suspensão)</t>
  </si>
  <si>
    <t>LINEAR IndiviLED© LIGHT LINE CONNECTOR (acessório p/linha contínua)</t>
  </si>
  <si>
    <t>LINEAR IndiviLED© THROUGH-WIRING KIT 1200 (kit cablagem linha contínua)</t>
  </si>
  <si>
    <t>LINEAR IndiviLED© THROUGH-WIRING KIT 1500 (kit cablagem linha contínua)</t>
  </si>
  <si>
    <t>LINEAR IndiviLED© THROUGH-WIRING KIT DALI 1200 (kit cablagem linha contínua DALI)</t>
  </si>
  <si>
    <t>LINEAR IndiviLED© THROUGH-WIRING KIT DALI 1500 (kit cablagem linha contínua DALI)</t>
  </si>
  <si>
    <t>LINEAR ULTRA OUTPUT</t>
  </si>
  <si>
    <t>LINEAR ULTRA OUTPUT EMERGENCY</t>
  </si>
  <si>
    <t>LINEAR COMPACT SWITCH</t>
  </si>
  <si>
    <t>LINEAR COMPACT HIGH OUTPUT</t>
  </si>
  <si>
    <t>LINEAR COMPACT BATTEN</t>
  </si>
  <si>
    <t>DAMP PROOF 5X THROUGHWIRING (Cablag. linha contínua 5x2,5mm2) GER 2</t>
  </si>
  <si>
    <t>DAMP PROOF VALUE</t>
  </si>
  <si>
    <t>DAMP PROOF ECO</t>
  </si>
  <si>
    <t>FLOODLIGHT PERFORMANCE ASYM 55x110</t>
  </si>
  <si>
    <t>FLOODLIGHT PERFORMANCE ASYM 45x140</t>
  </si>
  <si>
    <t>FLOODLIGHT PERFORMANCE SYM R30</t>
  </si>
  <si>
    <t>FLOODLIGHT  PERFORMANCE SYM 60</t>
  </si>
  <si>
    <t>FLOODLIGHT  AREA Asym 48x92</t>
  </si>
  <si>
    <t>Ledvance FLOODLIGHT ECO HP (HIGH POWER)</t>
  </si>
  <si>
    <t>Floodlight MAX</t>
  </si>
  <si>
    <t>Floodlight MAX driver</t>
  </si>
  <si>
    <t xml:space="preserve">SF BLKH S 250 P 10W 830 WT IP65 EM </t>
  </si>
  <si>
    <t>SF BLKH S 250 P 10W 840 WT IP65 EM</t>
  </si>
  <si>
    <t>SF BLKH S 250 P 10W 830 BK IP65 EM</t>
  </si>
  <si>
    <t>SF BLKH S 250 P 10W 840 BK IP65 EM</t>
  </si>
  <si>
    <t>SF BLKH S 300 P 15W 830 WT IP65 EM</t>
  </si>
  <si>
    <t>SF BLKH S 300 P 15W 840 WT IP65 EM</t>
  </si>
  <si>
    <t>SF BLKH S 300 P 15W 830 BK IP65 EM</t>
  </si>
  <si>
    <t xml:space="preserve">SF BLKH S 300 P 15W 840 BK IP65 EM </t>
  </si>
  <si>
    <t>Streetlight SL FLEX</t>
  </si>
  <si>
    <t>Fitas LED</t>
  </si>
  <si>
    <t>Ledvance CONTROLADOR, CONTROLO REMOTO E TOUCH PANEL TW/RGBW/RGB</t>
  </si>
  <si>
    <t>Acess. Fitas Led</t>
  </si>
  <si>
    <t>Driver</t>
  </si>
  <si>
    <t>Driver: CV – Tensão Constante</t>
  </si>
  <si>
    <t>Driver LED Tensão Constante Superior Class –- não protegidos DALI</t>
  </si>
  <si>
    <t>Driver LED Tensão Constante Superior Class - não protegidos ON/OFF</t>
  </si>
  <si>
    <t xml:space="preserve">Driver LED Tensão Constante PERFORMANCE Class –  protegidos 1-10V DIM </t>
  </si>
  <si>
    <t>Driver LED Tensão Constante PERFORMANCE Class –  protegidos ON/OFF</t>
  </si>
  <si>
    <t>Driver LED Tensão Constante Value Class –  não protegidos ON/OFF</t>
  </si>
  <si>
    <t>Ledvance DRIVER PERFORMANCE DE CORRENTE CONSTANTE (CC)</t>
  </si>
  <si>
    <t>Driver LED Corrente Constante PERFORMANCE Class –  não protegidos Phase-Cut</t>
  </si>
  <si>
    <t>DR AY PC-PFM-CLAMP DUO (2 unid.)</t>
  </si>
  <si>
    <t>DR AY DS-PFM-CLAMP DUO (2 unid.)</t>
  </si>
  <si>
    <t>LÂMPADAS LED</t>
  </si>
  <si>
    <t>CLASSIC LED 1906 SPECIAL SHAPES</t>
  </si>
  <si>
    <t>Tradicional</t>
  </si>
  <si>
    <t>FLUORESCENTES TUBULARES</t>
  </si>
  <si>
    <t>L 18 W/76 Natura</t>
  </si>
  <si>
    <t>L 30 W/76 Natura</t>
  </si>
  <si>
    <t>L 36 W/76 Natura</t>
  </si>
  <si>
    <t>L 58 W/76 Natura</t>
  </si>
  <si>
    <t>Verde</t>
  </si>
  <si>
    <t xml:space="preserve">Azul </t>
  </si>
  <si>
    <t>L 22 W/827 T9 Circular</t>
  </si>
  <si>
    <t>L 22 W/840 T9 Circular</t>
  </si>
  <si>
    <t>L 22 W/865 T9 Circular</t>
  </si>
  <si>
    <t>L 32 W/827 T9 Circular</t>
  </si>
  <si>
    <t>L 32 W/840 T9 Circular</t>
  </si>
  <si>
    <t>L 32 W/865 T9 Circular</t>
  </si>
  <si>
    <t>L 40 W/840 T9 Circular</t>
  </si>
  <si>
    <t>L 40 W/865 T9 Circular</t>
  </si>
  <si>
    <t>FLUORESCENTES COMPACTAS NÃO INTEGRADAS</t>
  </si>
  <si>
    <t>Laranja</t>
  </si>
  <si>
    <t>LÂMPADAS DE DESCARGA</t>
  </si>
  <si>
    <t>HALOGÉNEO</t>
  </si>
  <si>
    <t>HALOPIN OVEN 66725 25W 230V G9 Forno</t>
  </si>
  <si>
    <t>HALOPIN OVEN 66740 40W 230V G9 Forno</t>
  </si>
  <si>
    <t>INCANDESCENTES</t>
  </si>
  <si>
    <t>SPC T26/57 DEP 15W230V E14 frigoríficos/máq. costura</t>
  </si>
  <si>
    <t>SPC T26/57 CL 15W 230V E14 frigoríficos/máq. costura</t>
  </si>
  <si>
    <t>SPC T26/57 DEP 25W230V E14 frigoríficos/máq. costura</t>
  </si>
  <si>
    <t>SPC T26/57 CL 25W 230V E14 frigoríficos/máq. costura</t>
  </si>
  <si>
    <t>OPTOTRONIC® Tensão Constante - 24 V não regulável</t>
  </si>
  <si>
    <t xml:space="preserve">Tensão constante 24V Regulação 1-10V </t>
  </si>
  <si>
    <t>OPTOTRONIC® Tensão Constante - Regulável com Bluetooth</t>
  </si>
  <si>
    <t>OPTOTRONIC® Tensão Constante - Regulação DALI</t>
  </si>
  <si>
    <t>OPTOTRONIC® Tensão Constante - Regulação DMX</t>
  </si>
  <si>
    <t>Acessórios OPTOTRONIC® - OT Serra cabos</t>
  </si>
  <si>
    <t>Módulos para programação</t>
  </si>
  <si>
    <t>ECG</t>
  </si>
  <si>
    <t>BALASTROS ELETRÓNICOS PARA LÂMPADAS FLUORESCENTES - para Regulação</t>
  </si>
  <si>
    <t>QUICKTRONIC® para funcionamento on/off</t>
  </si>
  <si>
    <t>REACTÂNCIAS PARA LÂMPADAS DE DESCARGA</t>
  </si>
  <si>
    <t>Transformadores eletrónicos para lâmpadas de halogéneo</t>
  </si>
  <si>
    <t>LMS</t>
  </si>
  <si>
    <t>LMS - SISTEMAS DE GESTÃO DA ILUMINAÇÃO</t>
  </si>
  <si>
    <t>SLIM LINE R7s</t>
  </si>
  <si>
    <t>LEDTUBE T8 EM PRO 438 5.4W 830</t>
  </si>
  <si>
    <t>LEDTUBE T8 EM PRO 438 5.4W 840</t>
  </si>
  <si>
    <t>Fita LED PERFORMANCE COB</t>
  </si>
  <si>
    <t xml:space="preserve">Notas: </t>
  </si>
  <si>
    <t>Desconto 4 - Verde</t>
  </si>
  <si>
    <t>1500 lm</t>
  </si>
  <si>
    <t>14 W</t>
  </si>
  <si>
    <t>IP54/IP20</t>
  </si>
  <si>
    <t>5 anos</t>
  </si>
  <si>
    <t>1600 lm</t>
  </si>
  <si>
    <t>2400 lm</t>
  </si>
  <si>
    <t>21 W</t>
  </si>
  <si>
    <t>2520 lm</t>
  </si>
  <si>
    <t>1030…1210 lm</t>
  </si>
  <si>
    <t>13 W</t>
  </si>
  <si>
    <t>1040…1620 lm</t>
  </si>
  <si>
    <t>18 W</t>
  </si>
  <si>
    <t>1720…1930 lm</t>
  </si>
  <si>
    <t>20 W</t>
  </si>
  <si>
    <t>1190 lm</t>
  </si>
  <si>
    <t>IP44/IP20</t>
  </si>
  <si>
    <t>1260 lm</t>
  </si>
  <si>
    <t>1330 lm</t>
  </si>
  <si>
    <t>2250 lm</t>
  </si>
  <si>
    <t>25 W</t>
  </si>
  <si>
    <t>2370 lm</t>
  </si>
  <si>
    <t>2975 lm</t>
  </si>
  <si>
    <t>35 W</t>
  </si>
  <si>
    <t>3150 lm</t>
  </si>
  <si>
    <t>1350 lm</t>
  </si>
  <si>
    <t>17 W</t>
  </si>
  <si>
    <t>IP20</t>
  </si>
  <si>
    <t>1400 lm</t>
  </si>
  <si>
    <t>1850 lm</t>
  </si>
  <si>
    <t>22 W</t>
  </si>
  <si>
    <t>1920 lm</t>
  </si>
  <si>
    <t>3 anos</t>
  </si>
  <si>
    <t>420 lm</t>
  </si>
  <si>
    <t>6 W</t>
  </si>
  <si>
    <t>430 lm</t>
  </si>
  <si>
    <t>1020 lm</t>
  </si>
  <si>
    <t>12 W</t>
  </si>
  <si>
    <t>1530 lm</t>
  </si>
  <si>
    <t>2 anos</t>
  </si>
  <si>
    <t>3350 lm</t>
  </si>
  <si>
    <t>3550 lm</t>
  </si>
  <si>
    <t>2700 lm</t>
  </si>
  <si>
    <t>30 W</t>
  </si>
  <si>
    <t>2*2700 lm</t>
  </si>
  <si>
    <t>2*30 W</t>
  </si>
  <si>
    <t>8 W</t>
  </si>
  <si>
    <t>720 lm</t>
  </si>
  <si>
    <t>7 W</t>
  </si>
  <si>
    <t>500 lm</t>
  </si>
  <si>
    <t>1750 lm</t>
  </si>
  <si>
    <t>1900 lm</t>
  </si>
  <si>
    <t>2660 lm</t>
  </si>
  <si>
    <t>2800 lm</t>
  </si>
  <si>
    <t>4000 lm</t>
  </si>
  <si>
    <t>55 W</t>
  </si>
  <si>
    <t>4200 lm</t>
  </si>
  <si>
    <t>28 W</t>
  </si>
  <si>
    <t>2200 lm</t>
  </si>
  <si>
    <t>1800 lm</t>
  </si>
  <si>
    <t>24 W</t>
  </si>
  <si>
    <t>IP65</t>
  </si>
  <si>
    <t>920 lm</t>
  </si>
  <si>
    <t>IP44</t>
  </si>
  <si>
    <t>960 lm</t>
  </si>
  <si>
    <t>1440 lm</t>
  </si>
  <si>
    <t>800 lm</t>
  </si>
  <si>
    <t>3800 lm</t>
  </si>
  <si>
    <t>IP40</t>
  </si>
  <si>
    <t>4320 lm</t>
  </si>
  <si>
    <t>36 W</t>
  </si>
  <si>
    <t>3000 lm</t>
  </si>
  <si>
    <t>IP40/IP20</t>
  </si>
  <si>
    <t>3600 lm</t>
  </si>
  <si>
    <t>5850 lm</t>
  </si>
  <si>
    <t>42 W</t>
  </si>
  <si>
    <t>5050 lm</t>
  </si>
  <si>
    <t>6150 lm</t>
  </si>
  <si>
    <t>6550 lm</t>
  </si>
  <si>
    <t>3100 lm</t>
  </si>
  <si>
    <t>3300 lm</t>
  </si>
  <si>
    <t>48 W</t>
  </si>
  <si>
    <t>5700 lm</t>
  </si>
  <si>
    <t>4800 lm</t>
  </si>
  <si>
    <t>2850 lm</t>
  </si>
  <si>
    <t>2950 lm</t>
  </si>
  <si>
    <t>3700 lm</t>
  </si>
  <si>
    <t>3500 lm</t>
  </si>
  <si>
    <t>5000 lm</t>
  </si>
  <si>
    <t>5500 lm</t>
  </si>
  <si>
    <t>6600 lm</t>
  </si>
  <si>
    <t>60 W</t>
  </si>
  <si>
    <t>7100 lm</t>
  </si>
  <si>
    <t>400 lm</t>
  </si>
  <si>
    <t>4 W</t>
  </si>
  <si>
    <t>450 lm</t>
  </si>
  <si>
    <t>1200 lm</t>
  </si>
  <si>
    <t>1000 lm</t>
  </si>
  <si>
    <t>10 W</t>
  </si>
  <si>
    <t>15 W</t>
  </si>
  <si>
    <t>2000 lm</t>
  </si>
  <si>
    <t>2500 lm</t>
  </si>
  <si>
    <t>5600 lm</t>
  </si>
  <si>
    <t>8000 lm</t>
  </si>
  <si>
    <t>50 W</t>
  </si>
  <si>
    <t>70 W</t>
  </si>
  <si>
    <t>7200 lm</t>
  </si>
  <si>
    <t>6200 lm</t>
  </si>
  <si>
    <t>6700 lm</t>
  </si>
  <si>
    <t>6500 lm</t>
  </si>
  <si>
    <t>6300 lm</t>
  </si>
  <si>
    <t>6100 lm</t>
  </si>
  <si>
    <t>6400 lm</t>
  </si>
  <si>
    <t>2600 lm</t>
  </si>
  <si>
    <t>23 W</t>
  </si>
  <si>
    <t>IP66</t>
  </si>
  <si>
    <t>5100 lm</t>
  </si>
  <si>
    <t>5400 lm</t>
  </si>
  <si>
    <t>32 W</t>
  </si>
  <si>
    <t>4400 lm</t>
  </si>
  <si>
    <t>26 W</t>
  </si>
  <si>
    <t>5750 lm</t>
  </si>
  <si>
    <t>58 W</t>
  </si>
  <si>
    <t>3900 lm</t>
  </si>
  <si>
    <t>1080 lm</t>
  </si>
  <si>
    <t>9 W</t>
  </si>
  <si>
    <t>2160 lm</t>
  </si>
  <si>
    <t>40 W</t>
  </si>
  <si>
    <t>6000 lm</t>
  </si>
  <si>
    <t>5040 lm</t>
  </si>
  <si>
    <t>9000 lm</t>
  </si>
  <si>
    <t>80 W</t>
  </si>
  <si>
    <t>13000 lm</t>
  </si>
  <si>
    <t>22000 lm</t>
  </si>
  <si>
    <t>27000 lm</t>
  </si>
  <si>
    <t>30000 lm</t>
  </si>
  <si>
    <t>10000 lm</t>
  </si>
  <si>
    <t>100 W</t>
  </si>
  <si>
    <t>16000 lm</t>
  </si>
  <si>
    <t>150 W</t>
  </si>
  <si>
    <t>20000 lm</t>
  </si>
  <si>
    <t>5800 lm</t>
  </si>
  <si>
    <t>11900 lm</t>
  </si>
  <si>
    <t>12900 lm</t>
  </si>
  <si>
    <t>18400 lm</t>
  </si>
  <si>
    <t>19900 lm</t>
  </si>
  <si>
    <t>24400 lm</t>
  </si>
  <si>
    <t>26400 lm</t>
  </si>
  <si>
    <t>35600 lm</t>
  </si>
  <si>
    <t>38500 lm</t>
  </si>
  <si>
    <t>11800 lm</t>
  </si>
  <si>
    <t>12800 lm</t>
  </si>
  <si>
    <t>18300 lm</t>
  </si>
  <si>
    <t>19800 lm</t>
  </si>
  <si>
    <t>24200 lm</t>
  </si>
  <si>
    <t>26200 lm</t>
  </si>
  <si>
    <t>35300 lm</t>
  </si>
  <si>
    <t>38200 lm</t>
  </si>
  <si>
    <t>18700 lm</t>
  </si>
  <si>
    <t>20200 lm</t>
  </si>
  <si>
    <t>24800 lm</t>
  </si>
  <si>
    <t>26800 lm</t>
  </si>
  <si>
    <t>36200 lm</t>
  </si>
  <si>
    <t>39100 lm</t>
  </si>
  <si>
    <t>21000 lm</t>
  </si>
  <si>
    <t>28000 lm</t>
  </si>
  <si>
    <t>38300 lm</t>
  </si>
  <si>
    <t>40600 lm</t>
  </si>
  <si>
    <t>1100 lm</t>
  </si>
  <si>
    <t>7150 lm</t>
  </si>
  <si>
    <t>8800 lm</t>
  </si>
  <si>
    <t>13750 lm</t>
  </si>
  <si>
    <t>15000 lm</t>
  </si>
  <si>
    <t>18150 lm</t>
  </si>
  <si>
    <t>25000 lm</t>
  </si>
  <si>
    <t>1700 lm</t>
  </si>
  <si>
    <t>4500 lm</t>
  </si>
  <si>
    <t>90 W</t>
  </si>
  <si>
    <t>9200 lm</t>
  </si>
  <si>
    <t>105 W</t>
  </si>
  <si>
    <t>36600 lm</t>
  </si>
  <si>
    <t>41100 lm</t>
  </si>
  <si>
    <t>40500 lm</t>
  </si>
  <si>
    <t>61000 lm</t>
  </si>
  <si>
    <t>68500 lm</t>
  </si>
  <si>
    <t>67500 lm</t>
  </si>
  <si>
    <t>4950 lm</t>
  </si>
  <si>
    <t>10800 lm</t>
  </si>
  <si>
    <t>120 W</t>
  </si>
  <si>
    <t>16500 lm</t>
  </si>
  <si>
    <t>18000 lm</t>
  </si>
  <si>
    <t>1 W</t>
  </si>
  <si>
    <t>IP00</t>
  </si>
  <si>
    <t>IP67</t>
  </si>
  <si>
    <t>39 W</t>
  </si>
  <si>
    <t>9140 lm</t>
  </si>
  <si>
    <t>8450 lm</t>
  </si>
  <si>
    <t>1650 lm</t>
  </si>
  <si>
    <t>3250 lm</t>
  </si>
  <si>
    <t>4850 lm</t>
  </si>
  <si>
    <t>8500 lm</t>
  </si>
  <si>
    <t>6335 lm</t>
  </si>
  <si>
    <t>6360 lm</t>
  </si>
  <si>
    <t>6655 lm</t>
  </si>
  <si>
    <t>5725 lm</t>
  </si>
  <si>
    <t>5775 lm</t>
  </si>
  <si>
    <t>6035 lm</t>
  </si>
  <si>
    <t>5200 lm</t>
  </si>
  <si>
    <t>2150 lm</t>
  </si>
  <si>
    <t>0,15 W</t>
  </si>
  <si>
    <t>250 W</t>
  </si>
  <si>
    <t>HQLLED1800 14,5W/827 230V GL E27</t>
  </si>
  <si>
    <t>HQLLED2000 14,5W/840 230V GL E27</t>
  </si>
  <si>
    <t>HQLLED2700 21,5W/827 230V GL E27</t>
  </si>
  <si>
    <t>HQLLED3000 21,5W/840 230V GL E27</t>
  </si>
  <si>
    <t>HQLLED3600 29W/827 230V GL E27</t>
  </si>
  <si>
    <t>HQLLED4000 29W/840 230V GL E27</t>
  </si>
  <si>
    <t>HQLLED5400 41W/827 230V GL E27</t>
  </si>
  <si>
    <t>HQLLED6000 41W/840 230V GL E27</t>
  </si>
  <si>
    <t>HQLLED5400 41W /827 230V GL E40</t>
  </si>
  <si>
    <t>HQLLED6000 41W/840 230V GL E40</t>
  </si>
  <si>
    <t>HQLLED11700 90W/827230V PROE40</t>
  </si>
  <si>
    <t>HQLLED13000 90W/840230V PROE40</t>
  </si>
  <si>
    <t>LEDTUBE T8 EM PRO UO 1200 14.9W 830</t>
  </si>
  <si>
    <t>LEDTUBE T8 EM PRO UO 1200 14.9W 840</t>
  </si>
  <si>
    <t>LEDTUBE T8 EM PRO UO 1200 14.9W 865</t>
  </si>
  <si>
    <t>LEDTUBE T8 EM PRO UO 1500 23.4W 830</t>
  </si>
  <si>
    <t>LEDTUBE T8 EM PRO UO 1500 23.4W 840</t>
  </si>
  <si>
    <t>LEDTUBE T8 EM PRO UO 1500 23.4W 865</t>
  </si>
  <si>
    <t>LEDTUBE T8 EM PRO 600 6.7W 840</t>
  </si>
  <si>
    <t>LEDTUBE T8 EM PRO 600 6.7W 865</t>
  </si>
  <si>
    <t>LEDTUBE T8 EM PRO 900 10.3W 840</t>
  </si>
  <si>
    <t>LEDTUBE T8 EM PRO 900 10.3W 865</t>
  </si>
  <si>
    <t>LEDTUBE T8 EM PRO 1050 12.1W 840</t>
  </si>
  <si>
    <t>LEDTUBE T8 EM PRO 1050 12.1W 865</t>
  </si>
  <si>
    <t>LEDTUBE T8 EM PRO 1200 12.7W 840</t>
  </si>
  <si>
    <t>LEDTUBE T8 EM PRO 1200 12.7W 865</t>
  </si>
  <si>
    <t>LEDTUBE T8 EM PRO 1500 18.8W 840</t>
  </si>
  <si>
    <t>LEDTUBE T8 EM PRO 1500 18.8W 865</t>
  </si>
  <si>
    <t>LEDTUBE T8 EM ADV UO 1200 15.6W 830</t>
  </si>
  <si>
    <t>LEDTUBE T8 EM ADV UO 1200 15.6W 840</t>
  </si>
  <si>
    <t>LEDTUBE T8 EM ADV UO 1200 15.6W 865</t>
  </si>
  <si>
    <t>LEDTUBE T8 EM ADV UO 1500 23.1W 830</t>
  </si>
  <si>
    <t>LEDTUBE T8 EM ADV UO 1500 23.1W 840</t>
  </si>
  <si>
    <t>LEDTUBE T8 EM ADV UO 1500 23.1W 865</t>
  </si>
  <si>
    <t>LEDTUBE T8 EM ADV 600 7.3W 840</t>
  </si>
  <si>
    <t>LEDTUBE T8 EM ADV 600 7.3W 865</t>
  </si>
  <si>
    <t>LEDTUBE T8 EM ADV 1200 14W 840</t>
  </si>
  <si>
    <t>LEDTUBE T8 EM ADV 1200 14W 865</t>
  </si>
  <si>
    <t>LEDTUBE T8 EM ADV 1500 20.6W 840</t>
  </si>
  <si>
    <t>LEDTUBE T8 EM ADV 1500 20.6W 865</t>
  </si>
  <si>
    <t>LEDTUBE T8 EM VAL 600 6.6W 830</t>
  </si>
  <si>
    <t>LEDTUBE T8 EM VAL 600 6.6W 840</t>
  </si>
  <si>
    <t>LEDTUBE T8 EM VAL 600 6.6W 865</t>
  </si>
  <si>
    <t>LEDTUBE T8 EM VAL 1200 15W 830</t>
  </si>
  <si>
    <t>LEDTUBE T8 EM VAL 1200 15W 840</t>
  </si>
  <si>
    <t>LEDTUBE T8 EM VAL 1200 15W 865</t>
  </si>
  <si>
    <t>LEDTUBE T8 EM VAL 1500 18.3W 830</t>
  </si>
  <si>
    <t>LEDTUBE T8 EM VAL 1500 18.3W 840</t>
  </si>
  <si>
    <t>LEDTUBE T8 EM VAL 1500 18.3W 865</t>
  </si>
  <si>
    <t>LEDTUBE T8 EM MS 600 6.8W 840</t>
  </si>
  <si>
    <t>LEDTUBE T8 EM MS 1200 13.1W 840</t>
  </si>
  <si>
    <t>LEDTUBE T8 EM MS 1500 19.3W 840</t>
  </si>
  <si>
    <t>LEDTUBE T9C EM 22 12W 840 G10Q</t>
  </si>
  <si>
    <t>LEDTUBE T9C EM 22 12W 865 G10Q</t>
  </si>
  <si>
    <t>LEDTUBE T9C EM 32 20W 840 G10Q</t>
  </si>
  <si>
    <t>LEDTUBE T9C EM 32 20W 865 G10Q</t>
  </si>
  <si>
    <t>3050 lm</t>
  </si>
  <si>
    <t>38 W</t>
  </si>
  <si>
    <t>49 W</t>
  </si>
  <si>
    <t>4100 lm</t>
  </si>
  <si>
    <t>54 W</t>
  </si>
  <si>
    <t>300 lm</t>
  </si>
  <si>
    <t>950 lm</t>
  </si>
  <si>
    <t>140 lm</t>
  </si>
  <si>
    <t>270 lm</t>
  </si>
  <si>
    <t>385 lm</t>
  </si>
  <si>
    <t>330 lm</t>
  </si>
  <si>
    <t>830 lm</t>
  </si>
  <si>
    <t>320 lm</t>
  </si>
  <si>
    <t>3400 lm</t>
  </si>
  <si>
    <t>900 lm</t>
  </si>
  <si>
    <t>1250 lm</t>
  </si>
  <si>
    <t>16 W</t>
  </si>
  <si>
    <t>1300 lm</t>
  </si>
  <si>
    <t>2350 lm</t>
  </si>
  <si>
    <t>2900 lm</t>
  </si>
  <si>
    <t>750 lm</t>
  </si>
  <si>
    <t>5140 lm</t>
  </si>
  <si>
    <t>3200 lm</t>
  </si>
  <si>
    <t>5 W</t>
  </si>
  <si>
    <t>600 lm</t>
  </si>
  <si>
    <t>11 W</t>
  </si>
  <si>
    <t>1050 lm</t>
  </si>
  <si>
    <t>5925 lm</t>
  </si>
  <si>
    <t>12000 lm</t>
  </si>
  <si>
    <t>12500 lm</t>
  </si>
  <si>
    <t>400 W</t>
  </si>
  <si>
    <t>90000 lm</t>
  </si>
  <si>
    <t>1000 W</t>
  </si>
  <si>
    <t>215000 lm</t>
  </si>
  <si>
    <t>2000 W</t>
  </si>
  <si>
    <t>210000 lm</t>
  </si>
  <si>
    <t>230000 lm</t>
  </si>
  <si>
    <t>85000 lm</t>
  </si>
  <si>
    <t>110000 lm</t>
  </si>
  <si>
    <t>245000 lm</t>
  </si>
  <si>
    <t>240000 lm</t>
  </si>
  <si>
    <t>180000 lm</t>
  </si>
  <si>
    <t>200000 lm</t>
  </si>
  <si>
    <t>34000 lm</t>
  </si>
  <si>
    <t>40000 lm</t>
  </si>
  <si>
    <t>440 W</t>
  </si>
  <si>
    <t>42000 lm</t>
  </si>
  <si>
    <t>100000 lm</t>
  </si>
  <si>
    <t>31600 lm</t>
  </si>
  <si>
    <t>10400 lm</t>
  </si>
  <si>
    <t>17000 lm</t>
  </si>
  <si>
    <t>5900 lm</t>
  </si>
  <si>
    <t>10300 lm</t>
  </si>
  <si>
    <t>600 W</t>
  </si>
  <si>
    <t>17500 lm</t>
  </si>
  <si>
    <t>130000 lm</t>
  </si>
  <si>
    <t>260 lm</t>
  </si>
  <si>
    <t>490 lm</t>
  </si>
  <si>
    <t>235 lm</t>
  </si>
  <si>
    <t>460 lm</t>
  </si>
  <si>
    <t>740 lm</t>
  </si>
  <si>
    <t>980 lm</t>
  </si>
  <si>
    <t>160 W</t>
  </si>
  <si>
    <t>750 W</t>
  </si>
  <si>
    <t>33000 lm</t>
  </si>
  <si>
    <t>55 lm</t>
  </si>
  <si>
    <t>765 lm</t>
  </si>
  <si>
    <t>75 W</t>
  </si>
  <si>
    <t>60 lm</t>
  </si>
  <si>
    <t>85 lm</t>
  </si>
  <si>
    <t>2620 lm</t>
  </si>
  <si>
    <t>19 W</t>
  </si>
  <si>
    <t>140 W</t>
  </si>
  <si>
    <t>73,60 W</t>
  </si>
  <si>
    <t>97,60 W</t>
  </si>
  <si>
    <t>73 W</t>
  </si>
  <si>
    <t>2 W</t>
  </si>
  <si>
    <t>3 W</t>
  </si>
  <si>
    <t>0,60 W</t>
  </si>
  <si>
    <t>0,40 W</t>
  </si>
  <si>
    <t>0,20 W</t>
  </si>
  <si>
    <t>0,10 W</t>
  </si>
  <si>
    <t>0,30 W</t>
  </si>
  <si>
    <t>Obs.</t>
  </si>
  <si>
    <t>SP KIT ADJ V 7W 930 GU10 DIM</t>
  </si>
  <si>
    <t>SP KIT ADJ V 7W 940 GU10 DIM</t>
  </si>
  <si>
    <t>Acess. Lum.</t>
  </si>
  <si>
    <t xml:space="preserve">Fitas LED </t>
  </si>
  <si>
    <t>FITAS LED</t>
  </si>
  <si>
    <t>Fita LED SUPERIOR CLASS - TUNABLE WHITE</t>
  </si>
  <si>
    <t>Fita LED PERFORMANCE CLASS - RGBW</t>
  </si>
  <si>
    <t>LED STRIP VALUE CLASS - Rolos de 30 e 50 metros</t>
  </si>
  <si>
    <t>Fita LED VALUE CLASS - RGB</t>
  </si>
  <si>
    <t>Vivares</t>
  </si>
  <si>
    <t>HCL</t>
  </si>
  <si>
    <t>BIOLUX HCL LS S TW ZB KIT</t>
  </si>
  <si>
    <t>BIOLUX HCL LS S TW IP67 ZB KIT</t>
  </si>
  <si>
    <t>EMERGENCY CONVERSION BOX</t>
  </si>
  <si>
    <t>EMERGENCY CONVERSION BOX Conversion Box</t>
  </si>
  <si>
    <t>DR AY ZB+DALI-CLAMP DUO</t>
  </si>
  <si>
    <t>DR AY ZB+DALI-CLAMP (saco 2 unid.)</t>
  </si>
  <si>
    <t>DR DALI-PFM-60/220-240/1A4</t>
  </si>
  <si>
    <t>DR DALI-PFM-44/220-240/1050</t>
  </si>
  <si>
    <t xml:space="preserve">DR DALI-PFM-26/220-240/700 </t>
  </si>
  <si>
    <t>Cinzento</t>
  </si>
  <si>
    <t>8100 lm</t>
  </si>
  <si>
    <t>13500 lm</t>
  </si>
  <si>
    <t>16200 lm</t>
  </si>
  <si>
    <t>78000 lm</t>
  </si>
  <si>
    <t>81000 lm</t>
  </si>
  <si>
    <t>80500 lm</t>
  </si>
  <si>
    <t>82000 lm</t>
  </si>
  <si>
    <t>117000 lm</t>
  </si>
  <si>
    <t>121000 lm</t>
  </si>
  <si>
    <t>120000 lm</t>
  </si>
  <si>
    <t>123000 lm</t>
  </si>
  <si>
    <t>155000 lm</t>
  </si>
  <si>
    <t>162000 lm</t>
  </si>
  <si>
    <t>161000 lm</t>
  </si>
  <si>
    <t>164000 lm</t>
  </si>
  <si>
    <t>1780 lm</t>
  </si>
  <si>
    <t>3270 lm</t>
  </si>
  <si>
    <t>3370 lm</t>
  </si>
  <si>
    <t>5180 lm</t>
  </si>
  <si>
    <t>7750 lm</t>
  </si>
  <si>
    <t>8250 lm</t>
  </si>
  <si>
    <t>10550 lm</t>
  </si>
  <si>
    <t>10500 lm</t>
  </si>
  <si>
    <t>11400 lm</t>
  </si>
  <si>
    <t>11300 lm</t>
  </si>
  <si>
    <t>11650 lm</t>
  </si>
  <si>
    <t>11500 lm</t>
  </si>
  <si>
    <t>15250 lm</t>
  </si>
  <si>
    <t>15200 lm</t>
  </si>
  <si>
    <t>16350 lm</t>
  </si>
  <si>
    <t>16800 lm</t>
  </si>
  <si>
    <t>16650 lm</t>
  </si>
  <si>
    <t>21150 lm</t>
  </si>
  <si>
    <t>23350 lm</t>
  </si>
  <si>
    <t>24450 lm</t>
  </si>
  <si>
    <t>23900 lm</t>
  </si>
  <si>
    <t>2880 lm</t>
  </si>
  <si>
    <t>6280 lm</t>
  </si>
  <si>
    <t>2740 lm</t>
  </si>
  <si>
    <t>5970 lm</t>
  </si>
  <si>
    <t>4900 lm</t>
  </si>
  <si>
    <t>68 W</t>
  </si>
  <si>
    <t>FLOODLIGHT  COMPACT VALUE SENSOR ( Motion + Light ) GEN2</t>
  </si>
  <si>
    <t xml:space="preserve">LED SPECIAL T26 </t>
  </si>
  <si>
    <t>LED PIN 12V</t>
  </si>
  <si>
    <t>HB P 190W 840 70DEG IP65</t>
  </si>
  <si>
    <t>HB P 190W 840 110DEG IP65</t>
  </si>
  <si>
    <t>HB P 190W 865 70DEG IP65</t>
  </si>
  <si>
    <t>HB P 210W 840 70DEG IP65</t>
  </si>
  <si>
    <t>HB P 210W 865 70DEG IP65</t>
  </si>
  <si>
    <t>HB ALU REFLECTOR 87W</t>
  </si>
  <si>
    <t>HB ALU REFLECTOR 147 190 210W</t>
  </si>
  <si>
    <t>HB PC REFRACTOR 87W</t>
  </si>
  <si>
    <t>HB PC REFRACTOR 147 190 210W</t>
  </si>
  <si>
    <t>HB BRACKET 87 147 190 210W</t>
  </si>
  <si>
    <t>HB SENSOR 87 147 190W</t>
  </si>
  <si>
    <t>OTI DALI DIM 1-4CH D VS20          OSRAM</t>
  </si>
  <si>
    <t>HB P 87W 840 70DEG IP65          </t>
  </si>
  <si>
    <t>HB P 87W 840 110DEG IP65          </t>
  </si>
  <si>
    <t>HB P 87W 865 70DEG IP65           </t>
  </si>
  <si>
    <t>HB P 87W 865 110DEG IP65          </t>
  </si>
  <si>
    <t>HB P 147W 840 70DEG IP65          </t>
  </si>
  <si>
    <t xml:space="preserve">HB P 147W 840 110DEG IP65          </t>
  </si>
  <si>
    <t>HB P 147W 865 110DEG IP65         </t>
  </si>
  <si>
    <t>Fita LED PERFORMANCE CLASS IP67 - GERAÇÃO 2</t>
  </si>
  <si>
    <t>Fita LED PERFORMANCE CLASS  - GERAÇÃO 2</t>
  </si>
  <si>
    <t>Ledvance Fita LED VALUE CLASS - GERAÇÃO 2</t>
  </si>
  <si>
    <t>Ledvance Fita LED VALUE CLASS IP65 - GERAÇÃO 2</t>
  </si>
  <si>
    <t>-</t>
  </si>
  <si>
    <t>HB COMP V 83W 840 110DEG IP65</t>
  </si>
  <si>
    <t>HB COMP V 83W 865 110DEG IP65</t>
  </si>
  <si>
    <t>HB COMP V 133W 840 110DEG IP65</t>
  </si>
  <si>
    <t>HB COMP V 166W 840 110DEG IP65</t>
  </si>
  <si>
    <t>HB COMP V 166W 865 110DEG IP65</t>
  </si>
  <si>
    <t>HB COMP V 225W 840 110DEG IP65</t>
  </si>
  <si>
    <t>HIGH BAY COMPACT V</t>
  </si>
  <si>
    <t>HIGH BAY COMPACT V - ACESSÓRIOS</t>
  </si>
  <si>
    <t>HB COMP V REFL 83W 80DEG SI</t>
  </si>
  <si>
    <t>HB COMP V REFL 133W 80DEG SI</t>
  </si>
  <si>
    <t>HB COMP V REFL 166W 80DEG SI</t>
  </si>
  <si>
    <t>HB COMP V REFL 225W 80DEG SI</t>
  </si>
  <si>
    <t>HB COMP V BRACKET 83W</t>
  </si>
  <si>
    <t>HB COMP V BRACKET 133W</t>
  </si>
  <si>
    <t>HB COMP V BRACKET 166W</t>
  </si>
  <si>
    <t>HB COMP V BRACKET 225W</t>
  </si>
  <si>
    <t xml:space="preserve">LB FLEX 1200 P 42W 840 W </t>
  </si>
  <si>
    <t>LB FLEX 1200 P 42W 840 VW</t>
  </si>
  <si>
    <t xml:space="preserve">LB FLEX 1200 P 73W 840 W </t>
  </si>
  <si>
    <t>LB FLEX 1200 P 73W 840 VW</t>
  </si>
  <si>
    <t>LB FLEX 1500 P 105W 840 N</t>
  </si>
  <si>
    <t>LB FLEX 1500 P 105W 840 W</t>
  </si>
  <si>
    <t xml:space="preserve">LB FLEX 1500 P 105W 840 VW         </t>
  </si>
  <si>
    <t xml:space="preserve">LB FLEX 1200 DALI P 42W 840 W      </t>
  </si>
  <si>
    <t xml:space="preserve">LB FLEX 1200 DALI P 42W 840 VW     </t>
  </si>
  <si>
    <t xml:space="preserve">LB FLEX 1200 DALI P 73W 840 W      </t>
  </si>
  <si>
    <t xml:space="preserve">LB FLEX 1200 DALI P 73W 840 VW     </t>
  </si>
  <si>
    <t xml:space="preserve">LB FLEX 1500 DALI P 105W 840 N     </t>
  </si>
  <si>
    <t xml:space="preserve">LB FLEX 1500 DALI P 105W 840 W     </t>
  </si>
  <si>
    <t xml:space="preserve">LB FLEX 1500 DALI P 105W 840 VW    </t>
  </si>
  <si>
    <t>LB FLEX SUSPENSION KIT BT1</t>
  </si>
  <si>
    <t>ACESSÓRIOS FITAS LED</t>
  </si>
  <si>
    <t>OT 75/170-240/1A0 4DIMLT2 G2 CE</t>
  </si>
  <si>
    <t xml:space="preserve">OT 110/170-240/1A0 4DIMLT2G2 CE </t>
  </si>
  <si>
    <t>DALI MCU TW G2</t>
  </si>
  <si>
    <t>DIM MCU G2</t>
  </si>
  <si>
    <t>Perfis para fitas - Perfis Largos</t>
  </si>
  <si>
    <t>Perfis para fitas - Perfis Plano em U</t>
  </si>
  <si>
    <t>Perfis para fitas - Perfis Médio em U</t>
  </si>
  <si>
    <t>Estes preços de tabela e líquidos anulam todos os anteriores.</t>
  </si>
  <si>
    <t>Preços Líquidos Válidos apenas para Caixas Completas (Lâmpadas LED, Lâmpadas Tradicionais e ECGs)</t>
  </si>
  <si>
    <t xml:space="preserve">* Preços de Tabela sujeitos ao IVA em vigor. </t>
  </si>
  <si>
    <t>Tipos de Desconto:</t>
  </si>
  <si>
    <t>Desconto 1 - Cinza</t>
  </si>
  <si>
    <t>Desconto 2 - Laranja</t>
  </si>
  <si>
    <t>Desconto 3 - Azul</t>
  </si>
  <si>
    <t>Mais informações e condições de garantia em www.ledvance.pt/garantia</t>
  </si>
  <si>
    <t>LINEAR MAGNETIC BATTEN T5</t>
  </si>
  <si>
    <t>LN MAG BATTEN T5 V 568</t>
  </si>
  <si>
    <t>LN MAG BATTEN T5 V 1168  </t>
  </si>
  <si>
    <t>LN MAG BATTEN T5 V 1468  </t>
  </si>
  <si>
    <t>TRUSYS FLEX P 35W 840 VW CL WT</t>
  </si>
  <si>
    <t>TRUSYS FLEX P 35W 840 W CL WT</t>
  </si>
  <si>
    <t>TRUSYS FLEX P 35W 840 W OP WT</t>
  </si>
  <si>
    <t>TRUSYS FLEX P 35W 840 N CL WT</t>
  </si>
  <si>
    <t>TRUSYS FLEX P 35W 840 VN CL WT</t>
  </si>
  <si>
    <t>TRUSYS FLEX P 35W 840 DS CL WT</t>
  </si>
  <si>
    <t>TRUSYS FLEX P 50W 840 VW CL WT</t>
  </si>
  <si>
    <t>TRUSYS FLEX P 50W 840 W CL WT</t>
  </si>
  <si>
    <t>TRUSYS FLEX P 50W 840 W OP WT</t>
  </si>
  <si>
    <t>TRUSYS FLEX P 50W 840 N CL WT</t>
  </si>
  <si>
    <t>TRUSYS FLEX P 50W 840 VN CL WT</t>
  </si>
  <si>
    <t>TRUSYS FLEX P 50W 840 DS CL WT</t>
  </si>
  <si>
    <t>TRUSYS FLEX P 70W 840 VW CL WT</t>
  </si>
  <si>
    <t>TRUSYS FLEX P 70W 840 W CL WT</t>
  </si>
  <si>
    <t>TRUSYS FLEX P 70W 840 W OP WT</t>
  </si>
  <si>
    <t>TRUSYS FLEX P 70W 840 N CL WT</t>
  </si>
  <si>
    <t>TRUSYS FLEX P 70W 840 VN CL WT</t>
  </si>
  <si>
    <t>TRUSYS FLEX P 70W 840 DS CL WT</t>
  </si>
  <si>
    <t>TRUSYS FLEX DALI</t>
  </si>
  <si>
    <t>TRUSYS FLEX P 35W 840 VW CL WT DALI</t>
  </si>
  <si>
    <t>TRUSYS FLEX P 35W 840 W CL WT DALI</t>
  </si>
  <si>
    <t>TRUSYS FLEX P 35W 840 W OP WT DALI</t>
  </si>
  <si>
    <t>TRUSYS FLEX P 35W 840 N CL WT DALI</t>
  </si>
  <si>
    <t>TRUSYS FLEX P 35W 840 VN CL WT DALI</t>
  </si>
  <si>
    <t>TRUSYS FLEX P 35W 840 DS CL WT DALI</t>
  </si>
  <si>
    <t>TRUSYS FLEX P 50W 840 VW CL WT DALI</t>
  </si>
  <si>
    <t>TRUSYS FLEX P 50W 840 W CL WT DALI</t>
  </si>
  <si>
    <t>TRUSYS FLEX P 50W 840 W OP WT DALI</t>
  </si>
  <si>
    <t>TRUSYS FLEX P 50W 840 N CL WT DALI</t>
  </si>
  <si>
    <t>TRUSYS FLEX P 50W 840 VN CL WT DALI</t>
  </si>
  <si>
    <t>TRUSYS FLEX P 50W 840 DS CL WT DALI</t>
  </si>
  <si>
    <t>TRUSYS FLEX P 70W 840 VW CL WT DALI</t>
  </si>
  <si>
    <t>TRUSYS FLEX P 70W 840 W CL WT DALI</t>
  </si>
  <si>
    <t>TRUSYS FLEX P 70W 840 W OP WT DALI</t>
  </si>
  <si>
    <t>TRUSYS FLEX P 70W 840 N CL WT DALI</t>
  </si>
  <si>
    <t>TRUSYS FLEX P 70W 840 VN CL WT DALI</t>
  </si>
  <si>
    <t>TRUSYS FLEX P 70W 840 DS CL WT DALI</t>
  </si>
  <si>
    <t>TRUSYS FLEX P RAIL 1500 5P WT</t>
  </si>
  <si>
    <t>TRUSYS FLEX P RAIL 1500 5P END WT</t>
  </si>
  <si>
    <t>TRUSYS FLEX P RAIL 1500 8P WT</t>
  </si>
  <si>
    <t>TRUSYS FLEX P RAIL 1500 8P END WT</t>
  </si>
  <si>
    <t>TRUSYS FLEX P RAIL 3000 5P WT</t>
  </si>
  <si>
    <t>TRUSYS FLEX P RAIL 3000 8P WT</t>
  </si>
  <si>
    <t>TRUSYS FLEX - ACESSÓRIOS</t>
  </si>
  <si>
    <t>TRUSYS FLEX FEED IN BOX 5P WT</t>
  </si>
  <si>
    <t>TRUSYS FLEX FEED IN BOX 8P WT</t>
  </si>
  <si>
    <t>TRUSYS FLEX FEED OUT BOX 5P WT</t>
  </si>
  <si>
    <t>TRUSYS FLEX FEED OUT BOX 8P WT</t>
  </si>
  <si>
    <t>TRUSYS FLEX SPOT TRACK 1500 WT</t>
  </si>
  <si>
    <t>LINEAR SURFACE IP44 GEN 2</t>
  </si>
  <si>
    <t>LN SF 600 P 18W 840 WT IP44</t>
  </si>
  <si>
    <t>LN SF 1200 P 32W 840 WT IP44</t>
  </si>
  <si>
    <t>LN SF 1500 P 45W 840 WT IP44</t>
  </si>
  <si>
    <t>LN SF 600 P 18W 830 WT IP44</t>
  </si>
  <si>
    <t>LN SF 1200 P 32W 830 WT IP44</t>
  </si>
  <si>
    <t>LN SF 1500 P 45W 830 WT IP44</t>
  </si>
  <si>
    <t>SP FIX P 8W 927 PS DIM IP44 WT</t>
  </si>
  <si>
    <t>SP FIX P 8W 930 PS DIM IP44 WT</t>
  </si>
  <si>
    <t>SP FIX P 8W 940 PS DIM IP44 WT</t>
  </si>
  <si>
    <t>SP FIX P 8W 927 PS DIM IP44 BK</t>
  </si>
  <si>
    <t>SP FIX P 8W 930 PS DIM IP44 BK</t>
  </si>
  <si>
    <t>SP FIX P 8W 930 PS DIM IP44 SI</t>
  </si>
  <si>
    <t>SP ADJ P 8W 927 PS DIM IP20 WT</t>
  </si>
  <si>
    <t>SP ADJ P 8W 930 PS DIM IP20 WT</t>
  </si>
  <si>
    <t>SP ADJ P 8W 940 PS DIM IP20 WT</t>
  </si>
  <si>
    <t>SP ADJ P 8W 927 PS DIM IP20 BK</t>
  </si>
  <si>
    <t>SP ADJ P 8W 930 PS DIM IP20 BK</t>
  </si>
  <si>
    <t>SP ADJ P 8W 930 PS DIM IP20 SI</t>
  </si>
  <si>
    <t>SPOT - FIREPROOF (GEN 2)</t>
  </si>
  <si>
    <t>SP FP FIX P 8W 927 PS DIM IP65 WT</t>
  </si>
  <si>
    <t>SP FP FIX P 8W 930 PS DIM IP65 WT</t>
  </si>
  <si>
    <t>SP FP FIX P 8W 940 PS DIM IP65 WT</t>
  </si>
  <si>
    <t>SP FP FIX P 8W 927 PS DIM IP65 BK</t>
  </si>
  <si>
    <t>SP FP FIX P 8W 930 PS DIM IP65 BK</t>
  </si>
  <si>
    <t>SPOT - DARKLIGHT (GEN 2)</t>
  </si>
  <si>
    <t>SP DK FIX P 8W 927 PS DIM IP44 WT</t>
  </si>
  <si>
    <t>SP DK FIX P 8W 930 PS DIM IP44 WT</t>
  </si>
  <si>
    <t>SP DK FIX P 8W 940 PS DIM IP44 WT</t>
  </si>
  <si>
    <t>SP DK FIX P 8W 927 PS DIM IP44 BK</t>
  </si>
  <si>
    <t>SP DK FIX P 8W 930 PS DIM IP44 BK</t>
  </si>
  <si>
    <t>SP DK FIX P 8W 930 PS DIM IP44 SI</t>
  </si>
  <si>
    <t>SPOT AIR</t>
  </si>
  <si>
    <t>SP AIR FIX P 6W 927 PS DIM IP65 WT</t>
  </si>
  <si>
    <t>SP AIR FIX P 6W 930 PS DIM IP65 WT</t>
  </si>
  <si>
    <t>SP AIR FIX P 6W 940 PS DIM IP65 WT</t>
  </si>
  <si>
    <t>SP AIR FIX P 6W 927 PS DIM IP65 BK</t>
  </si>
  <si>
    <t>SP AIR FIX P 6W 930 PS DIM IP65 BK</t>
  </si>
  <si>
    <t>SP AIR FIX P 6W 930 PS DIM IP65 SI</t>
  </si>
  <si>
    <t>SP AIR ADJ P 4W 927 DIM IP23 WT</t>
  </si>
  <si>
    <t>SP AIR ADJ P 4W 930 DIM IP23 WT</t>
  </si>
  <si>
    <t>SP AIR ADJ P 4W 940 DIM IP23 WT</t>
  </si>
  <si>
    <t>SP AIR ADJ P 4W 927 DIM IP23 BK</t>
  </si>
  <si>
    <t>SP AIR ADJ P 4W 930 DIM IP23 BK</t>
  </si>
  <si>
    <t>SP AIR ADJ P 4W 930 DIM IP23 SI</t>
  </si>
  <si>
    <t>SP RING D133 WT</t>
  </si>
  <si>
    <t>SP RING D133 BK</t>
  </si>
  <si>
    <t>SP RING D180 WT</t>
  </si>
  <si>
    <t>SP RING D180 BK</t>
  </si>
  <si>
    <t>SP HOLDER DN68 H65</t>
  </si>
  <si>
    <t>CONNECTOR BOX 3POLE L/N/E</t>
  </si>
  <si>
    <t>SPOT GEN 2 - ACESSÓRIOS</t>
  </si>
  <si>
    <t>FL PFM DA 50W 3000K ASYM 55X110 BK</t>
  </si>
  <si>
    <t>FL PFM DA 50W 4000K ASYM 55X110 BK</t>
  </si>
  <si>
    <t>FL PFM DA 100W 3000K ASYM 55X110 BK</t>
  </si>
  <si>
    <t>FL PFM DA 100W 4000K ASYM 55X110 BK</t>
  </si>
  <si>
    <t>FL PFM DA 150W 3000K ASYM 55X110 BK</t>
  </si>
  <si>
    <t>FL PFM DA 150W 4000K ASYM 55X110 BK</t>
  </si>
  <si>
    <t>FL PFM DA 200W 3000K ASYM 55X110 BK</t>
  </si>
  <si>
    <t>FL PFM DA 200W 4000K ASYM 55X110 BK</t>
  </si>
  <si>
    <t>FL PFM DA 290W 3000K ASYM 55X110 BK</t>
  </si>
  <si>
    <t>FL PFM DA 290W 4000K ASYM 55X110 BK</t>
  </si>
  <si>
    <t>FL PFM DA 50W 3000K ASYM 45X140 BK</t>
  </si>
  <si>
    <t>FL PFM DA 50W 4000K ASYM 45X140 BK</t>
  </si>
  <si>
    <t>FL PFM DA 100W 3000K ASYM 45X140 BK</t>
  </si>
  <si>
    <t>FL PFM DA 100W 4000K ASYM 45X140 BK</t>
  </si>
  <si>
    <t>FL PFM DA 150W 3000K ASYM 45X140 BK</t>
  </si>
  <si>
    <t>FL PFM DA 150W 4000K ASYM 45X140 BK</t>
  </si>
  <si>
    <t>FL PFM DA 200W 3000K ASYM 45X140 BK</t>
  </si>
  <si>
    <t>FL PFM DA 200W 4000K ASYM 45X140 BK</t>
  </si>
  <si>
    <t>FL PFM DA 290W 3000K ASYM 45X140 BK</t>
  </si>
  <si>
    <t>FL PFM DA 290W 4000K ASYM 45X140 BK</t>
  </si>
  <si>
    <t>FL PFM DA 150W 3000K SYM R30 BK</t>
  </si>
  <si>
    <t>FL PFM DA 150W 4000K SYM R30 BK</t>
  </si>
  <si>
    <t>FL PFM DA 200W 3000K SYM R30 BK</t>
  </si>
  <si>
    <t>FL PFM DA 200W 4000K SYM R30 BK</t>
  </si>
  <si>
    <t>FL PFM DA 290W 3000K SYM R30 BK</t>
  </si>
  <si>
    <t>FL PFM DA 290W 4000K SYM R30 BK</t>
  </si>
  <si>
    <t>FL PFM DA 150W 3000K SYM 60 BK</t>
  </si>
  <si>
    <t>FL PFM DA 150W 4000K SYM 60 BK</t>
  </si>
  <si>
    <t>FL PFM DA 200W 3000K SYM 60 BK</t>
  </si>
  <si>
    <t>FL PFM DA 200W 4000K SYM 60 BK</t>
  </si>
  <si>
    <t>FL PFM DA 290W 3000K SYM 60 BK</t>
  </si>
  <si>
    <t>FL PFM DA 290W 4000K SYM 60 BK</t>
  </si>
  <si>
    <t>SL AREA SPD SM V 30W 727 RV20ST GY</t>
  </si>
  <si>
    <t>SL AREA SPD SM V 30W 730 RV20ST GY</t>
  </si>
  <si>
    <t>SL AREA SPD SM V 30W 740 RV20ST GY</t>
  </si>
  <si>
    <t>SL AREA SPD SM V 30W 765 RV20ST GY</t>
  </si>
  <si>
    <t>SL AREA SPD SM V 45W 727 RV20ST GY</t>
  </si>
  <si>
    <t>SL AREA SPD SM V 45W 730 RV20ST GY</t>
  </si>
  <si>
    <t>SL AREA SPD SM V 45W 740 RV20ST GY</t>
  </si>
  <si>
    <t>SL AREA SPD SM V 45W 765 RV20ST GY</t>
  </si>
  <si>
    <t>SL AREA SPD MD V 65W 727 RV20ST GY</t>
  </si>
  <si>
    <t>SL AREA SPD MD V 65W 730 RV20ST GY</t>
  </si>
  <si>
    <t>SL AREA SPD MD V 65W 740 RV20ST GY</t>
  </si>
  <si>
    <t>SL AREA SPD MD V 65W 765 RV20ST GY</t>
  </si>
  <si>
    <t>STREETLIGHT AREA - GER 2</t>
  </si>
  <si>
    <t xml:space="preserve">DL IP44 DN 90 4W 830 WT         </t>
  </si>
  <si>
    <t xml:space="preserve">DL IP44 DN 90 4W 840 WT         </t>
  </si>
  <si>
    <t xml:space="preserve">DL IP44 DN 90 4W 865 WT         </t>
  </si>
  <si>
    <t xml:space="preserve">DL IP44 DN 115 8W 830 WT        </t>
  </si>
  <si>
    <t xml:space="preserve">DL IP44 DN 115 8W 840 WT        </t>
  </si>
  <si>
    <t xml:space="preserve">DL IP44 DN 115 8W 865 WT        </t>
  </si>
  <si>
    <t xml:space="preserve">DL IP44 DN 165 13W 830 WT       </t>
  </si>
  <si>
    <t xml:space="preserve">DL IP44 DN 165 13W 840 WT       </t>
  </si>
  <si>
    <t xml:space="preserve">DL IP44 DN 165 13W 865 WT       </t>
  </si>
  <si>
    <t xml:space="preserve">DL IP44 DN 190 18W 830 WT       </t>
  </si>
  <si>
    <t xml:space="preserve">DL IP44 DN 190 18W 840 WT       </t>
  </si>
  <si>
    <t xml:space="preserve">DL IP44 DN 190 18W 865 WT       </t>
  </si>
  <si>
    <t xml:space="preserve">DL IP44 DN 215 24W 830 WT       </t>
  </si>
  <si>
    <t xml:space="preserve">DL IP44 DN 215 24W 840 WT       </t>
  </si>
  <si>
    <t xml:space="preserve">DL IP44 DN 215 24W 865 WT       </t>
  </si>
  <si>
    <t xml:space="preserve">DL IP44 DN 215 30W 830 WT       </t>
  </si>
  <si>
    <t xml:space="preserve">DL IP44 DN 215 30W 840 WT       </t>
  </si>
  <si>
    <t xml:space="preserve">DL IP44 DN 215 30W 865 WT       </t>
  </si>
  <si>
    <t xml:space="preserve">DL IP44 FRAME DN 90 WT      </t>
  </si>
  <si>
    <t xml:space="preserve">DL IP44 FRAME DN 115 WT     </t>
  </si>
  <si>
    <t xml:space="preserve">DL IP44 FRAME DN 165 WT     </t>
  </si>
  <si>
    <t xml:space="preserve">DL IP44 FRAME DN 190 WT     </t>
  </si>
  <si>
    <t xml:space="preserve">DL IP44 FRAME DN 215 WT     </t>
  </si>
  <si>
    <t>TRUSYS FLEX EMERGENCY</t>
  </si>
  <si>
    <t>TRUSYS FLEX P 35W 840 VW CL WT EM</t>
  </si>
  <si>
    <t>TRUSYS FLEX P 35W 840 W CL WT EM</t>
  </si>
  <si>
    <t>TRUSYS FLEX P 35W 840 W OP WT EM</t>
  </si>
  <si>
    <t>TRUSYS FLEX P 35W 840 N CL WT EM</t>
  </si>
  <si>
    <t>TRUSYS FLEX P 35W 840 VN CL WT EM</t>
  </si>
  <si>
    <t>TRUSYS FLEX P 35W 840 DS CL WT EM</t>
  </si>
  <si>
    <t>TRUSYS FLEX P 50W 840 VW CL WT EM</t>
  </si>
  <si>
    <t>TRUSYS FLEX P 50W 840 W CL WT EM</t>
  </si>
  <si>
    <t>TRUSYS FLEX P 50W 840 W OP WT EM</t>
  </si>
  <si>
    <t>TRUSYS FLEX P 50W 840 N CL WT EM</t>
  </si>
  <si>
    <t>TRUSYS FLEX P 50W 840 VN CL WT EM</t>
  </si>
  <si>
    <t>TRUSYS FLEX P 50W 840 DS CL WT EM</t>
  </si>
  <si>
    <t>TRUSYS FLEX P 70W 840 VW CL WT EM</t>
  </si>
  <si>
    <t>TRUSYS FLEX P 70W 840 W CL WT EM</t>
  </si>
  <si>
    <t>TRUSYS FLEX P 70W 840 W OP WT EM</t>
  </si>
  <si>
    <t>TRUSYS FLEX P 70W 840 N CL WT EM</t>
  </si>
  <si>
    <t>TRUSYS FLEX P 70W 840 VN CL WT EM</t>
  </si>
  <si>
    <t>TRUSYS FLEX P 70W 840 DS CL WT EM</t>
  </si>
  <si>
    <t>PANEL 600 36W 3000K IP54</t>
  </si>
  <si>
    <t>PANEL COMFORT 600 CRI&gt;90</t>
  </si>
  <si>
    <t>5520 lm</t>
  </si>
  <si>
    <t>6510 lm</t>
  </si>
  <si>
    <t>11315 lm</t>
  </si>
  <si>
    <t>IP23</t>
  </si>
  <si>
    <t>4050 lm</t>
  </si>
  <si>
    <t>6075 lm</t>
  </si>
  <si>
    <t>8775 lm</t>
  </si>
  <si>
    <t>DL SURFACE DN 90 P 15W 830 36D IP65 WT</t>
  </si>
  <si>
    <t>DL SURFACE DN 90 P 15W 840 36D IP65 WT</t>
  </si>
  <si>
    <t>DL SURFACE DN 90 P 15W 830 36D IP65 BK</t>
  </si>
  <si>
    <t>DL SURFACE DN 90 P 15W 840 36D IP65 BK</t>
  </si>
  <si>
    <t>DL SURFACE DN 90 P 15W 830 60D IP65 WT</t>
  </si>
  <si>
    <t>DL SURFACE DN 90 P 15W 840 60D IP65 WT</t>
  </si>
  <si>
    <t>DL SURFACE DN 90 P 15W 830 60D IP65 BK</t>
  </si>
  <si>
    <t>DL SURFACE DN 90 P 15W 840 60D IP65 BK</t>
  </si>
  <si>
    <t>DL SURFACE DN 160 P 30W 830 36D IP65 WT</t>
  </si>
  <si>
    <t>DL SURFACE DN 160 P 30W 840 36D IP65 WT</t>
  </si>
  <si>
    <t>DL SURFACE DN 160 P 30W 830 36D IP65 BK</t>
  </si>
  <si>
    <t>DL SURFACE DN 160 P 30W 840 36D IP65 BK</t>
  </si>
  <si>
    <t>DL SURFACE DN 160 P 30W 830 60D IP65 WT</t>
  </si>
  <si>
    <t>DL SURFACE DN 160 P 30W 840 60D IP65 WT</t>
  </si>
  <si>
    <t>DL SURFACE DN 160 P 30W 830 60D IP65 BK</t>
  </si>
  <si>
    <t>DL SURFACE DN 160 P 30W 840 60D IP65 BK</t>
  </si>
  <si>
    <t>DL SURFACE DN 250 P 45W 830 36D IP65 WT</t>
  </si>
  <si>
    <t>DL SURFACE DN 250 P 45W 840 36D IP65 WT</t>
  </si>
  <si>
    <t>DL SURFACE DN 250 P 45W 830 36D IP65 BK</t>
  </si>
  <si>
    <t>DL SURFACE DN 250 P 45W 840 36D IP65 BK</t>
  </si>
  <si>
    <t>DL SURFACE DN 250 P 45W 830 60D IP65 WT</t>
  </si>
  <si>
    <t>DL SURFACE DN 250 P 45W 840 60D IP65 WT</t>
  </si>
  <si>
    <t>DL SURFACE DN 250 P 45W 830 60D IP65 BK</t>
  </si>
  <si>
    <t>DL SURFACE DN 250 P 45W 840 60D IP65 BK</t>
  </si>
  <si>
    <t>DOWNLIGHT SURFACE IP65</t>
  </si>
  <si>
    <t>PANEL COMFORT P</t>
  </si>
  <si>
    <t>PL CMFT 600 P 28W 830 PS</t>
  </si>
  <si>
    <t>PL CMFT 600 P 28W 840 PS</t>
  </si>
  <si>
    <t>PL CMFT 600 P 33W 830 PS</t>
  </si>
  <si>
    <t>PL CMFT 600 P 33W 840 PS</t>
  </si>
  <si>
    <t>PL CMFT 600 P 33W 865 PS</t>
  </si>
  <si>
    <t>PL CMFT 600 P 28W 830 U19 PS</t>
  </si>
  <si>
    <t>PL CMFT 600 P 28W 840 U19 PS</t>
  </si>
  <si>
    <t>PL CMFT 600 P 33W 830 U19 PS</t>
  </si>
  <si>
    <t>PL CMFT 600 P 33W 840 U19 PS</t>
  </si>
  <si>
    <t>PL CMFT 600 P 33W 865 U19 PS</t>
  </si>
  <si>
    <t>PL CMFT 600 P 28W 830 DALIVR</t>
  </si>
  <si>
    <t>PL CMFT 600 P 28W 840 DALIVR</t>
  </si>
  <si>
    <t>PL CMFT 600 P 33W 830 DALIVR</t>
  </si>
  <si>
    <t>PL CMFT 600 P 33W 840 DALIVR</t>
  </si>
  <si>
    <t>PL CMFT 600 P 33W 865 DALIVR</t>
  </si>
  <si>
    <t>PL CMFT 600 P 28W 830 U19 DALIVR</t>
  </si>
  <si>
    <t>PL CMFT 600 P 28W 840 U19 DALIVR</t>
  </si>
  <si>
    <t>PL CMFT 600 P 33W 830 U19 DALIVR</t>
  </si>
  <si>
    <t>PL CMFT 600 P 33W 840 U19 DALIVR</t>
  </si>
  <si>
    <t>PL CMFT 600 P 33W 865 U19 DALIVR</t>
  </si>
  <si>
    <t>PL CMFT 600 P 33W 840 ZBVR</t>
  </si>
  <si>
    <t>PL CMFT 600 P 33W 840 U19 ZBVR</t>
  </si>
  <si>
    <t>PL CMFT 1200 P 33W 830 PS</t>
  </si>
  <si>
    <t>PL CMFT 1200 P 33W 840 PS</t>
  </si>
  <si>
    <t>PL CMFT 1200 P 33W 830 U19 PS</t>
  </si>
  <si>
    <t>PL CMFT 1200 P 33W 840 U19 PS</t>
  </si>
  <si>
    <t>PL CMFT 1200 P 33W 830 DALIVR</t>
  </si>
  <si>
    <t>PL CMFT 1200 P 33W 840 DALIVR</t>
  </si>
  <si>
    <t>PL CMFT 1200 P 33W 830 U19 DALIVR</t>
  </si>
  <si>
    <t>PL CMFT 1200 P 33W 840 U19 DALIVR</t>
  </si>
  <si>
    <t>PL COMP 600 V 33W 830</t>
  </si>
  <si>
    <t>PL COMP 600 V 33W 840</t>
  </si>
  <si>
    <t>PL COMP 600 V 33W 865</t>
  </si>
  <si>
    <t>PL COMP 600 V 33W 830 U19</t>
  </si>
  <si>
    <t>PL COMP 600 V 33W 840 U19</t>
  </si>
  <si>
    <t>PL COMP 600 V 33W 865 U19</t>
  </si>
  <si>
    <t>PL COMP 600 V 33W 830 DALI</t>
  </si>
  <si>
    <t>PL COMP 600 V 33W 840 DALI</t>
  </si>
  <si>
    <t>PL COMP 600 V 33W 865 DALI</t>
  </si>
  <si>
    <t>PL COMP 600 V 33W 830 U19 DALI</t>
  </si>
  <si>
    <t>PL COMP 600 V 33W 840 U19 DALI</t>
  </si>
  <si>
    <t>PL COMP 600 V 33W 865 U19 DALI</t>
  </si>
  <si>
    <t>PL COMP 1200 V 33W 840</t>
  </si>
  <si>
    <t>PL COMP 1200 V 33W 840 DALI</t>
  </si>
  <si>
    <t>PL COMP 1200 V 33W 840 U19</t>
  </si>
  <si>
    <t>PL COMP 1200 V 33W 840 U19 DALI</t>
  </si>
  <si>
    <t>PL COMP 1200X600 V 53W 840 U19</t>
  </si>
  <si>
    <t>PL COMP 1200X600 V 53W 840 U19 DALI</t>
  </si>
  <si>
    <t>PL COMP 600 V 30W 940 U19</t>
  </si>
  <si>
    <t>PL COMP 600 V 35W 940 U19</t>
  </si>
  <si>
    <t>PL COMP 600 V 35W 940 U19 DALI</t>
  </si>
  <si>
    <t>PL COMP 1200 V 35W 940 U19</t>
  </si>
  <si>
    <t>PL COMP 1200 V 35W 940 U19 DALI</t>
  </si>
  <si>
    <t>PL 1200 CABLE EXT TWIST LOCK</t>
  </si>
  <si>
    <t>LN SF 600 P 18W 830 WT IP44 DALI</t>
  </si>
  <si>
    <t>LN SF 600 P 18W 840 WT IP44 DALI</t>
  </si>
  <si>
    <t>LN SF 1200 P 32W 830 WT IP44 DALI</t>
  </si>
  <si>
    <t>LN SF 1200 P 32W 840 WT IP44 DALI</t>
  </si>
  <si>
    <t>LN SF 1500 P 45W 830 WT IP44 DALI</t>
  </si>
  <si>
    <t>LN SF 1500 P 45W 840 WT IP44 DALI</t>
  </si>
  <si>
    <t>LN SF 600 P 18W 830 WT IP44 EM</t>
  </si>
  <si>
    <t>LN SF 600 P 18W 840 WT IP44 EM</t>
  </si>
  <si>
    <t>LN SF 1200 P 32W 830 WT IP44 EM</t>
  </si>
  <si>
    <t>LN SF 1200 P 32W 840 WT IP44 EM</t>
  </si>
  <si>
    <t>LN SF 1500 P 45W 830 WT IP44 EM</t>
  </si>
  <si>
    <t>LN SF 1500 P 45W 840 WT IP44 EM</t>
  </si>
  <si>
    <t>HB P 147W 865 70DEG IP65</t>
  </si>
  <si>
    <t>HB P 190W 865 110DEG IP65</t>
  </si>
  <si>
    <t>HB COMP V 133W 865 110DEG IP65</t>
  </si>
  <si>
    <t>HB COMP V 225W 865 110DEG IP65</t>
  </si>
  <si>
    <t>LEDTUBE T8 EM CON 600 7,5W 840     OSRAM</t>
  </si>
  <si>
    <t>LEDTUBE T8 EM CON 600 7,5W 865     OSRAM</t>
  </si>
  <si>
    <t>LEDTUBE T8 EM CON 1200 16W 840     OSRAM</t>
  </si>
  <si>
    <t>LEDTUBE T8 EM CON 1200 16W 865     OSRAM</t>
  </si>
  <si>
    <t>LEDTUBE T8 EM CON 1500 24W 840     OSRAM</t>
  </si>
  <si>
    <t>LEDTUBE T8 EM CON 1500 24W 865     OSRAM</t>
  </si>
  <si>
    <t>LEDVANCE Connected Sensor Gen2 TBC</t>
  </si>
  <si>
    <t>Connected Sensor ST8 LB Gen2 LEDV</t>
  </si>
  <si>
    <t>Connected Sensor ST8 HB Gen2 LEDV</t>
  </si>
  <si>
    <t>Conneted Sensor ST8 Remote Control</t>
  </si>
  <si>
    <t>LEDTUBE T8 EM PRO UO 1200 14.9W 850</t>
  </si>
  <si>
    <t>LEDTUBE T8 EM PRO UO 1500 23.4W 850</t>
  </si>
  <si>
    <t>LEDTUBE T8 EM PRO UO 1200 15.8W 940</t>
  </si>
  <si>
    <t>LEDTUBE T8 EM PRO UO 1500 24.8W 940</t>
  </si>
  <si>
    <t>LEDTUBE T8 EM FOOD 900 7.9W 833</t>
  </si>
  <si>
    <t>LEDTUBE T8 EM FOOD 1200 11.6W 833</t>
  </si>
  <si>
    <t>LEDTUBE T8 EM FOOD 1500 17.9W 833</t>
  </si>
  <si>
    <t>LEDTUBE T8 UN PRO UO 1200 15W 840  OSRAM</t>
  </si>
  <si>
    <t>LEDTUBE T8 UN PRO UO 1200 15W 865  OSRAM</t>
  </si>
  <si>
    <t>LEDTUBE T8 UN PRO UO 1500 23W 840  OSRAM</t>
  </si>
  <si>
    <t>LEDTUBE T8 UN PRO UO 1500 23W 865  OSRAM</t>
  </si>
  <si>
    <t>LEDTUBE T8 UN VAL 1200 18W 830     OSRAM</t>
  </si>
  <si>
    <t>LEDTUBE T8 UN VAL 1200 18W 840     OSRAM</t>
  </si>
  <si>
    <t>LEDTUBE T8 UN VAL 1200 18W 865     OSRAM</t>
  </si>
  <si>
    <t>LEDTUBE T8 UN VAL 1500 24W 830     OSRAM</t>
  </si>
  <si>
    <t>LEDTUBE T8 UN VAL 1500 24W 840     OSRAM</t>
  </si>
  <si>
    <t>LEDTUBE T8 UN VAL 1500 24W 865     OSRAM</t>
  </si>
  <si>
    <t>LEDTUBE T8 HF PRO UO 1200 15W 865  OSRAM</t>
  </si>
  <si>
    <t>LEDTUBE T8 HF PRO UO 1500 23W 840  OSRAM</t>
  </si>
  <si>
    <t>LEDTUBE T8 HF PRO UO 1500 23W 865  OSRAM</t>
  </si>
  <si>
    <t>LEDTUBE T8 HF PRO 600 7,5W 830     OSRAM</t>
  </si>
  <si>
    <t>LEDTUBE T8 HF PRO 600 7,5W 840     OSRAM</t>
  </si>
  <si>
    <t>LEDTUBE T8 HF PRO 600 7,5W 865     OSRAM</t>
  </si>
  <si>
    <t>LEDTUBE T8 HF PRO 1200 14W 830     OSRAM</t>
  </si>
  <si>
    <t>LEDTUBE T8 HF PRO 1200 14W 840     OSRAM</t>
  </si>
  <si>
    <t>LEDTUBE T8 HF PRO 1200 14W 865     OSRAM</t>
  </si>
  <si>
    <t>LEDTUBE T8 HF PRO 1500 20W 830     OSRAM</t>
  </si>
  <si>
    <t>LEDTUBE T8 HF PRO 1500 20W 840     OSRAM</t>
  </si>
  <si>
    <t>LEDTUBE T8 HF PRO 1500 20W 865     OSRAM</t>
  </si>
  <si>
    <t>LEDTUBE T8 HF VAL 600 8W 840       OSRAM</t>
  </si>
  <si>
    <t>LEDTUBE T8 HF VAL 600 8W 865       OSRAM</t>
  </si>
  <si>
    <t>LEDTUBE T5 HF HO80 1449 37W 830    OSRAM</t>
  </si>
  <si>
    <t>LEDTUBE T5 HF HO80 1449 37W 840    OSRAM</t>
  </si>
  <si>
    <t>LEDTUBE T5 HF HO80 1449 37W 865    OSRAM</t>
  </si>
  <si>
    <t>LEDTUBE T5 HF HO54 1149 26W 830    OSRAM</t>
  </si>
  <si>
    <t>LEDTUBE T5 HF HO54 1149 26W 840    OSRAM</t>
  </si>
  <si>
    <t>LEDTUBE T5 HF HO54 1149 26W 865    OSRAM</t>
  </si>
  <si>
    <t>LEDTUBE T5 HF HO49 1449 26W 830    OSRAM</t>
  </si>
  <si>
    <t>LEDTUBE T5 HF HO49 1449 26W 840    OSRAM</t>
  </si>
  <si>
    <t>LEDTUBE T5 HF HO49 1449 26W 865    OSRAM</t>
  </si>
  <si>
    <t>LEDTUBE T5 HF HE35 1449 18W 830    OSRAM</t>
  </si>
  <si>
    <t>LEDTUBE T5 HF HE35 1449 18W 840    OSRAM</t>
  </si>
  <si>
    <t>LEDTUBE T5 HF HE35 1449 18W 865    OSRAM</t>
  </si>
  <si>
    <t>LEDTUBE T5 HF HE28 1149 17W 830    OSRAM</t>
  </si>
  <si>
    <t>LEDTUBE T5 HF HE28 1149 17W 840    OSRAM</t>
  </si>
  <si>
    <t>LEDTUBE T5 HF HE28 1149 17W 865    OSRAM</t>
  </si>
  <si>
    <t>LEDTUBE T5 HF HE21 849 10W 830     OSRAM</t>
  </si>
  <si>
    <t>LEDTUBE T5 HF HE21 849 10W 840     OSRAM</t>
  </si>
  <si>
    <t>LEDTUBE T5 HF HE21 849 10W 865     OSRAM</t>
  </si>
  <si>
    <t>LEDTUBE T5 HF HE14 549 7W 830      OSRAM</t>
  </si>
  <si>
    <t>LEDTUBE T5 HF HE14 549 7W 840      OSRAM</t>
  </si>
  <si>
    <t>LEDTUBE T5 HF HE14 549 7W 865      OSRAM</t>
  </si>
  <si>
    <t>LEDTUBE T5 AC HO80 1449 37W 830    OSRAM</t>
  </si>
  <si>
    <t>LEDTUBE T5 AC HO80 1449 37W 840    OSRAM</t>
  </si>
  <si>
    <t>LEDTUBE T5 AC HO80 1449 37W 865    OSRAM</t>
  </si>
  <si>
    <t>LEDTUBE T5 AC HO54 1149 26W 830    OSRAM</t>
  </si>
  <si>
    <t>LEDTUBE T5 AC HO54 1149 26W 840    OSRAM</t>
  </si>
  <si>
    <t>LEDTUBE T5 AC HO54 1149 26W 865    OSRAM</t>
  </si>
  <si>
    <t>LEDTUBE T5 AC HO49 1449 26W 830    OSRAM</t>
  </si>
  <si>
    <t>LEDTUBE T5 AC HO49 1449 26W 840    OSRAM</t>
  </si>
  <si>
    <t>LEDTUBE T5 AC HO49 1449 26W 865    OSRAM</t>
  </si>
  <si>
    <t>LEDTUBE T5 AC HO39  849 16W 830    OSRAM</t>
  </si>
  <si>
    <t>LEDTUBE T5 AC HO39  849 16W 840    OSRAM</t>
  </si>
  <si>
    <t>LEDTUBE T5 AC HO39  849 16W 865    OSRAM</t>
  </si>
  <si>
    <t>LEDTUBE T5 AC HO24  549 10W 830    OSRAM</t>
  </si>
  <si>
    <t>LEDTUBE T5 AC HO24  549 10W 840    OSRAM</t>
  </si>
  <si>
    <t>LEDTUBE T5 AC HO24  549 10W 865    OSRAM</t>
  </si>
  <si>
    <t>LEDTUBE T5 AC HE35 1449 18W 830    OSRAM</t>
  </si>
  <si>
    <t>LEDTUBE T5 AC HE35 1449 18W 840    OSRAM</t>
  </si>
  <si>
    <t>LEDTUBE T5 AC HE35 1449 18W 865    OSRAM</t>
  </si>
  <si>
    <t>LEDTUBE T5 AC HE28 1149 16W 830    OSRAM</t>
  </si>
  <si>
    <t>LEDTUBE T5 AC HE28 1149 16W 840    OSRAM</t>
  </si>
  <si>
    <t>LEDTUBE T5 AC HE28 1149 16W 865    OSRAM</t>
  </si>
  <si>
    <t>LEDTUBE T5 AC HE21 849 10W 830      OSRAM</t>
  </si>
  <si>
    <t>LEDTUBE T5 AC HE21 849 10W 840      OSRAM</t>
  </si>
  <si>
    <t>LEDTUBE T5 AC HE21 849 10W 865     OSRAM</t>
  </si>
  <si>
    <t>LEDTUBE T5 AC HE14 549 8W 830      OSRAM</t>
  </si>
  <si>
    <t>LEDTUBE T5 AC HE14 549 8W 840      OSRAM</t>
  </si>
  <si>
    <t>LEDTUBE T5 AC HE14 549 8W 865      OSRAM</t>
  </si>
  <si>
    <t>LEDVANCE LED TUBE T8 EXTERNAL P</t>
  </si>
  <si>
    <t>LEDTUBE T8 EXT P 1500 23W 840    LEDV</t>
  </si>
  <si>
    <t>LEDTUBE T8 EXT P 1500 23W 865    LEDV</t>
  </si>
  <si>
    <t>LEDTUBE T8 EXT P 1200 15W 840    LEDV</t>
  </si>
  <si>
    <t>LEDTUBE T8 EXT P 1200 15W 865    LEDV</t>
  </si>
  <si>
    <t>LEDVANCE LED TUBE  T5 EXTERNAL P</t>
  </si>
  <si>
    <t>LEDTUBE T5 EXT P HO80 1449 37W 840    LEDV</t>
  </si>
  <si>
    <t>LEDTUBE T5 EXT P HO80 1449 37W 865    LEDV</t>
  </si>
  <si>
    <t>LEDTUBE T5 EXT P HO49 1449 26W 840    LEDV</t>
  </si>
  <si>
    <t>LEDTUBE T5 EXT P HO49 1449 26W 865    LEDV</t>
  </si>
  <si>
    <t>LEDTUBE T5 EXT P HO54 1149 26W 840    LEDV</t>
  </si>
  <si>
    <t>LEDTUBE T5 EXT P HO54 1149 26W 865    LEDV</t>
  </si>
  <si>
    <t>LEDTUBE T5 EXT P HE35 1449 18W 840    LEDV</t>
  </si>
  <si>
    <t>LEDTUBE T5 EXT P HE35 1449 18W 865    LEDV</t>
  </si>
  <si>
    <t>LEDVANCE DRIVER LED TUBE EXTERNAL P</t>
  </si>
  <si>
    <t>DR EXT DALI-P-1x15-37W 220-240    LEDV</t>
  </si>
  <si>
    <t>DR EXT DALI-P-2x15-26W 220-240    LEDV</t>
  </si>
  <si>
    <t>DULUX D13LED 6W/830230VEMG24D-110X1OSRAM</t>
  </si>
  <si>
    <t>DULUX D13LED 6W/840230VEMG24D-110X1OSRAM</t>
  </si>
  <si>
    <t>DULUX D18LED 7W/830230VEMG24D-210X1OSRAM</t>
  </si>
  <si>
    <t>DULUX D18LED 7W/840230VEMG24D-210X1OSRAM</t>
  </si>
  <si>
    <t>DULUX D26LED10W/830230VEMG24D-310X1OSRAM</t>
  </si>
  <si>
    <t>DULUX D26LED10W/840230VEMG24D-310X1OSRAM</t>
  </si>
  <si>
    <t>DULUX DE13LED 6W/830230VHFG24Q-110X1OSRAM</t>
  </si>
  <si>
    <t>DULUX DE13LED 6W/840230VHFG24Q-110X1OSRAM</t>
  </si>
  <si>
    <t>DULUX DE18LED 7W/830230VHFG24Q-210X1OSRAM</t>
  </si>
  <si>
    <t>DULUX DE18LED 7W/840230VHFG24Q-210X1OSRAM</t>
  </si>
  <si>
    <t>DULUX DE26LED10W/830230VHFG24Q-310X1OSRAM</t>
  </si>
  <si>
    <t>DULUXDE26LED10W/840230VHFG24Q-3</t>
  </si>
  <si>
    <t>DULUX S9LED 4,5W/830 230V EMG2310X1OSRAM</t>
  </si>
  <si>
    <t>DULUX S9LED 4,5W/840 230V EMG2310X1OSRAM</t>
  </si>
  <si>
    <t>DULUX S11LED 6W/830 230V EM G2310X1OSRAM</t>
  </si>
  <si>
    <t>DULUX S11LED 6W/840 230V EM G2310X1OSRAM</t>
  </si>
  <si>
    <t>DULUX L18LED 8W/830 230VHF 2G1110X1OSRAM</t>
  </si>
  <si>
    <t>DULUX L18LED 8W/840 230VHF 2G1110X1OSRAM</t>
  </si>
  <si>
    <t>DULUX L24LED 12W/830 230VHF2G1110X1OSRAM</t>
  </si>
  <si>
    <t>DULUX L24LED 12W/840 230VHF2G1110X1OSRAM</t>
  </si>
  <si>
    <t>DULUX L36LED 18W/830 230VHF2G1110X1OSRAM</t>
  </si>
  <si>
    <t>DULUX L36LED 18W/840 230VHF2G1110X1OSRAM</t>
  </si>
  <si>
    <t>DULUX L55LED 25W/830 230VHF2G1110X1OSRAM</t>
  </si>
  <si>
    <t>DULUX L55LED 25W/840 230VHF2G1110X1OSRAM</t>
  </si>
  <si>
    <t>DULUX F36LED 20W/830 230VEM2G1010X1OSRAM</t>
  </si>
  <si>
    <t>DULUX F36LED 20W/840 230VEM2G1010X1OSRAM</t>
  </si>
  <si>
    <t>DULUX TE18LED 7W/830 230VHFGX24Q10X1OSRAM</t>
  </si>
  <si>
    <t>DULUX TE18LED 7W/840 230VHFGX24Q10X1OSRAM</t>
  </si>
  <si>
    <t>DULUX TE26LED 10W/830230VHFGX24Q10X1OSRAM</t>
  </si>
  <si>
    <t>DULUX TE26LED 10W/840230VHFGX24Q10X1OSRAM</t>
  </si>
  <si>
    <t>DULUX TE32LED 16W/830230VHFGX24Q10X1OSRAM</t>
  </si>
  <si>
    <t>DULUX TE32LED 16W/840230VHFGX24Q10X1OSRAM</t>
  </si>
  <si>
    <t>DULUX TE42LED 20W/830230VHFGX24Q10X1OSRAM</t>
  </si>
  <si>
    <t>DULUX TE42LED 20W/840230VHFGX24Q10X1OSRAM</t>
  </si>
  <si>
    <t>HID LED HB 105W/840 230VUN E40 4X1 LEDV</t>
  </si>
  <si>
    <t>HID LED HB 150W/840 230VUN E40 4X1 LEDV</t>
  </si>
  <si>
    <t>HID LED HB 160W/840 230VUN E40 4X1 LEDV</t>
  </si>
  <si>
    <t>LED Vintage 1906 Special Shapes and colour</t>
  </si>
  <si>
    <t xml:space="preserve">PAR16 LED COMFORT LIGHT - LEDVANCE SUPERIOR CLASS </t>
  </si>
  <si>
    <t xml:space="preserve">MR16 LED COMFORT LIGHT - LEDVANCE SUPERIOR CLASS </t>
  </si>
  <si>
    <t>PAR16 E14 LED</t>
  </si>
  <si>
    <t>R39/50/63/80 LED</t>
  </si>
  <si>
    <t xml:space="preserve">LED COMFORT LIGHT - LEDVANCE SUPERIOR CLASS </t>
  </si>
  <si>
    <t>LED STAR+ LOW VOLTAGE CL A FR 45 Não Regulável 6.5W/840 E27</t>
  </si>
  <si>
    <t>LED STAR+ LOW VOLTAGE CL A FR 65 Não Regulável 9W/840 E27</t>
  </si>
  <si>
    <t>PARATHOM Regulável CL B FR 40 Regulável 4,9W/827 E14</t>
  </si>
  <si>
    <t>PARATHOM Regulável CL P FR 40 Regulável 4,9W/827 E14</t>
  </si>
  <si>
    <t>PARATHOM CL P FR 40 Não Regulável 4,9W/827 E14</t>
  </si>
  <si>
    <t>PARATHOM CL STICK FR 60 Não Regulável 8W/827 E27</t>
  </si>
  <si>
    <t>PARATHOM CL STICK FR 60 Não Regulável 8W/840 E27</t>
  </si>
  <si>
    <t>PARATHOM CL STICK FR 75 Não Regulável 9W/827 E27</t>
  </si>
  <si>
    <t>PARATHOM CL STICK FR 75 Não Regulável 9W/840 E27</t>
  </si>
  <si>
    <t>SPECIAL T SLIM</t>
  </si>
  <si>
    <t>LED LINE S19</t>
  </si>
  <si>
    <t>LED LINE S15</t>
  </si>
  <si>
    <t>LEDinestra BASE-PLASTIC</t>
  </si>
  <si>
    <t>CIRCOLUX® LED</t>
  </si>
  <si>
    <t>GLOWdim Classic</t>
  </si>
  <si>
    <t>GLOWdim Spot</t>
  </si>
  <si>
    <t>Active &amp; Relax</t>
  </si>
  <si>
    <t>3 STEP DIM</t>
  </si>
  <si>
    <t>LED Filament Mirror</t>
  </si>
  <si>
    <t>PANEL COMFORT P UGR19</t>
  </si>
  <si>
    <t>PANEL COMFORT P DALI VIVARES</t>
  </si>
  <si>
    <t>PANEL COMFORT P UGR19 DALI VIVARES</t>
  </si>
  <si>
    <t xml:space="preserve">PANEL COMFORT 1200 P </t>
  </si>
  <si>
    <t>LINEAR SURFACE IP44 DALI GEN 2</t>
  </si>
  <si>
    <t>LINEAR SURFACE IP44 EM GEN 2</t>
  </si>
  <si>
    <t>SL AREA REDUCTION</t>
  </si>
  <si>
    <t>ECO AREA MID-POWER</t>
  </si>
  <si>
    <t>Lâmpadas LED</t>
  </si>
  <si>
    <t>PL CMFT 600 P 36W 930 940 U19 CPS</t>
  </si>
  <si>
    <t>PL CMFT 600 P 36W 930 940 U19 DALIVR</t>
  </si>
  <si>
    <t>TRUSYS FLEX SUSPENSION KIT (kit suspensão) (saco 2 unid.)</t>
  </si>
  <si>
    <t>TRUSYS FLEX CHAIN KIT (kit para corrente) (saco 2 unid.)</t>
  </si>
  <si>
    <t>TRUSYS FLEX END CAP RAIL WT (topos finais) (saco 2 unid.)</t>
  </si>
  <si>
    <t>TRUSYS FLEX END CAP LOW RAIL WT (topo baixo p/interligação c/ tampas) (saco 2 unid.)</t>
  </si>
  <si>
    <t>TRUSYS FLEX SURFACE CLIP (clip montagem fixa) (saco 2 unid.)</t>
  </si>
  <si>
    <t>TRUSYS FLEX GRID CEILING CLIP (clip montagem teto) (saco 2 unid.)</t>
  </si>
  <si>
    <t>TRUSYS FLEX FEED IN 5P (ligador entrada 5P)</t>
  </si>
  <si>
    <t>TRUSYS FLEX FEED IN 8P  (ligador entrada 8P)</t>
  </si>
  <si>
    <t>DAMP PROOF SPECIAL -  GER 2</t>
  </si>
  <si>
    <t>DP SLIM VALUE 1200 36W/4000K IP65</t>
  </si>
  <si>
    <t>DP SLIM VALUE 1200 36W/6500K IP65</t>
  </si>
  <si>
    <t>DP SLIM VALUE 1500 50W/4000K IP65</t>
  </si>
  <si>
    <t>DP SLIM VALUE 1500 50W/6500K IP65</t>
  </si>
  <si>
    <t>DAMP PROOF SLIM VALUE</t>
  </si>
  <si>
    <t>BIOLUX HCL CONTROL UNIT S ZB</t>
  </si>
  <si>
    <t>BIOLUX HCL PL 600 S 40W TW ZB</t>
  </si>
  <si>
    <t xml:space="preserve">BIOLUX HCL PL 1200 S 37W TW ZB </t>
  </si>
  <si>
    <t>1575 lm</t>
  </si>
  <si>
    <t>30.00 W</t>
  </si>
  <si>
    <t>4725 lm</t>
  </si>
  <si>
    <t>640 lm</t>
  </si>
  <si>
    <t>8.00 W</t>
  </si>
  <si>
    <t>680 lm</t>
  </si>
  <si>
    <t>480 lm</t>
  </si>
  <si>
    <t>6.00 W</t>
  </si>
  <si>
    <t>510 lm</t>
  </si>
  <si>
    <t>570 lm</t>
  </si>
  <si>
    <t>4.00 W</t>
  </si>
  <si>
    <t>340 lm</t>
  </si>
  <si>
    <t>3640 lm</t>
  </si>
  <si>
    <t>28.00 W</t>
  </si>
  <si>
    <t>3630 lm</t>
  </si>
  <si>
    <t>3120 lm</t>
  </si>
  <si>
    <t>35.00 W</t>
  </si>
  <si>
    <t>5830 lm</t>
  </si>
  <si>
    <t>2430 lm</t>
  </si>
  <si>
    <t>18.00 W</t>
  </si>
  <si>
    <t>4384 lm</t>
  </si>
  <si>
    <t>32.00 W</t>
  </si>
  <si>
    <t>6165 lm</t>
  </si>
  <si>
    <t>4160 lm</t>
  </si>
  <si>
    <t>2340 lm</t>
  </si>
  <si>
    <t>2466 lm</t>
  </si>
  <si>
    <t>8600 lm</t>
  </si>
  <si>
    <t>8300 lm</t>
  </si>
  <si>
    <t>12100 lm</t>
  </si>
  <si>
    <t>11700 lm</t>
  </si>
  <si>
    <t>PANEL 1200x300 Surface Mount Kit VALUE H50 (kit montagem saliente)</t>
  </si>
  <si>
    <t>BIOLUX HCL PL 600 S 40W TW DALI</t>
  </si>
  <si>
    <t>BIOLUX HCL PL 1200 S 37W TW DALI</t>
  </si>
  <si>
    <t>BIOLUX HCL DL DN150 S 21W TW DALI</t>
  </si>
  <si>
    <t>SF SQUARE 330 V 24W 830 IP44</t>
  </si>
  <si>
    <t>SF SQUARE 330 V 24W 840 IP44</t>
  </si>
  <si>
    <t>SF SQUARE 330 SEN V 24W 830 IP44</t>
  </si>
  <si>
    <t>SF SQUARE 330 SEN V 24W 840 IP44</t>
  </si>
  <si>
    <t>SF SQUARE 330 V 24W 3CCT IP44</t>
  </si>
  <si>
    <t>SF SQUARE 330 SEN V 24W 3CCT IP44</t>
  </si>
  <si>
    <t>SF SQUARE 330 COVER</t>
  </si>
  <si>
    <t>SF CIRCULAR 500 COVER</t>
  </si>
  <si>
    <t xml:space="preserve">SF CIRC 500 V 42W 830 IP44 DALI    </t>
  </si>
  <si>
    <t xml:space="preserve">SF CIRC 500 V 42W 840 IP44 DALI    </t>
  </si>
  <si>
    <t>SF CIRC 350 V 18W 3CCT IP44</t>
  </si>
  <si>
    <t>SF CIRC 350 SEN V 18W 3CCT IP44</t>
  </si>
  <si>
    <t>SF CIRCULAR 350 3CCT COVER</t>
  </si>
  <si>
    <t>SF CIRC 500 Frame WT</t>
  </si>
  <si>
    <t>SF CIRC 500 Frame BK</t>
  </si>
  <si>
    <t>DP 600 E 21W 840 VW IP65 GY</t>
  </si>
  <si>
    <t>DP 600 E 21W 865 VW IP65 GY</t>
  </si>
  <si>
    <t>DP 1200 E 42W 840 VW IP65 GY</t>
  </si>
  <si>
    <t>DP 1200 E 42W 865 VW IP65 GY</t>
  </si>
  <si>
    <t>DP 1500 E 52W 840 VW IP65 GY</t>
  </si>
  <si>
    <t>DP 1500 E 52W 865 VW IP65 GY</t>
  </si>
  <si>
    <t>DP 1500 E 66W 840 VW IP65 GY</t>
  </si>
  <si>
    <t>DP 1500 E 66W 865 VW IP65 GY</t>
  </si>
  <si>
    <t>DP 1500 E 80W 840 VW IP65 GY</t>
  </si>
  <si>
    <t>DP 1500 E 80W 865 VW IP65 GY</t>
  </si>
  <si>
    <t>DP 1500 E 52W 840 VN IP65 GY</t>
  </si>
  <si>
    <t>DP 1500 E 52W 865 VN IP65 GY</t>
  </si>
  <si>
    <t>DP 1500 E 52W 840 N IP65 GY</t>
  </si>
  <si>
    <t>DP 1500 E 52W 865 N IP65 GY</t>
  </si>
  <si>
    <t>DP 1500 E 66W 840 N IP65 GY</t>
  </si>
  <si>
    <t>DP 1500 E 66W 865 N IP65 GY</t>
  </si>
  <si>
    <t>DP 1500 E 66W 840 VN IP65 GY</t>
  </si>
  <si>
    <t>DP 1500 E 66W 865 VN IP65 GY</t>
  </si>
  <si>
    <t>DP 1500 E 80W 840 N IP65 GY</t>
  </si>
  <si>
    <t>DP 1500 E 80W 865 N IP65 GY</t>
  </si>
  <si>
    <t>DP 1500 E 80W 840 VN IP65 GY</t>
  </si>
  <si>
    <t>DP 1500 E 80W 865 VN IP65 GY</t>
  </si>
  <si>
    <t>TRUSYS FLEX P 35W 865 VW CL WT</t>
  </si>
  <si>
    <t>TRUSYS FLEX P 35W 865 W CL WT</t>
  </si>
  <si>
    <t>TRUSYS FLEX P 35W 865 N CL WT</t>
  </si>
  <si>
    <t>TRUSYS FLEX P 35W 865 VN CL WT</t>
  </si>
  <si>
    <t>TRUSYS FLEX P 35W 865 DS CL WT</t>
  </si>
  <si>
    <t>TRUSYS FLEX P 35W 865 W OP WT</t>
  </si>
  <si>
    <t>TRUSYS FLEX P 35W 865 WW CL WT</t>
  </si>
  <si>
    <t>TRUSYS FLEX P 35W 840 WW CL WT</t>
  </si>
  <si>
    <t>TRUSYS FLEX P 50W 865 VW CL WT</t>
  </si>
  <si>
    <t>TRUSYS FLEX P 50W 865 W CL WT</t>
  </si>
  <si>
    <t>TRUSYS FLEX P 50W 865 N CL WT</t>
  </si>
  <si>
    <t>TRUSYS FLEX P 50W 865 VN CL WT</t>
  </si>
  <si>
    <t>TRUSYS FLEX P 50W 865 DS CL WT</t>
  </si>
  <si>
    <t>TRUSYS FLEX P 50W 865 W OP WT</t>
  </si>
  <si>
    <t>TRUSYS FLEX P 50W 865 WW CL WT</t>
  </si>
  <si>
    <t>TRUSYS FLEX P 50W 840 WW CL WT</t>
  </si>
  <si>
    <t>TRUSYS FLEX P 70W 865 VW CL WT</t>
  </si>
  <si>
    <t>TRUSYS FLEX P 70W 865 W CL WT</t>
  </si>
  <si>
    <t>TRUSYS FLEX P 70W 865 N CL WT</t>
  </si>
  <si>
    <t>TRUSYS FLEX P 70W 865 VN CL WT</t>
  </si>
  <si>
    <t>TRUSYS FLEX P 70W 865 DS CL WT</t>
  </si>
  <si>
    <t>TRUSYS FLEX P 70W 865 W OP WT</t>
  </si>
  <si>
    <t>TRUSYS FLEX P 70W 865 WW CL WT</t>
  </si>
  <si>
    <t>TRUSYS FLEX P 70W 840 WW CL WT</t>
  </si>
  <si>
    <t>TRUSYS FLEX P 35W 865 VW CL WT DALI</t>
  </si>
  <si>
    <t>TRUSYS FLEX P 35W 865 W CL WT DALI</t>
  </si>
  <si>
    <t>TRUSYS FLEX P 35W 865 N CL WT DALI</t>
  </si>
  <si>
    <t>TRUSYS FLEX P 35W 865 VN CL WT DALI</t>
  </si>
  <si>
    <t>TRUSYS FLEX P 35W 865 DS CL WT DALI</t>
  </si>
  <si>
    <t>TRUSYS FLEX P 35W 865 W OP WT DALI</t>
  </si>
  <si>
    <t>TRUSYS FLEX P 35W 865 WW CL WT DALI</t>
  </si>
  <si>
    <t>TRUSYS FLEX P 35W 840 WW CL WT DALI</t>
  </si>
  <si>
    <t>TRUSYS FLEX P 50W 865 VW CL WT DALI</t>
  </si>
  <si>
    <t>TRUSYS FLEX P 50W 865 W CL WT DALI</t>
  </si>
  <si>
    <t>TRUSYS FLEX P 50W 865 N CL WT DALI</t>
  </si>
  <si>
    <t>TRUSYS FLEX P 50W 865 VN CL WT DALI</t>
  </si>
  <si>
    <t>TRUSYS FLEX P 50W 865 W OP WT DALI</t>
  </si>
  <si>
    <t>TRUSYS FLEX ON/OFF</t>
  </si>
  <si>
    <t>TRUSYS FLEX P 50W 865 WW CL WT DALI</t>
  </si>
  <si>
    <t>TRUSYS FLEX P 50W 840 WW CL WT DALI</t>
  </si>
  <si>
    <t>TRUSYS FLEX P 70W 865 VW CL WT DALI</t>
  </si>
  <si>
    <t>TRUSYS FLEX P 70W 865 N CL WT DALI</t>
  </si>
  <si>
    <t>TRUSYS FLEX P 70W 865 VN CL WT DALI</t>
  </si>
  <si>
    <t xml:space="preserve"> TRUSYS FLEX P 70W 865 DS CL WT DALI</t>
  </si>
  <si>
    <t>TRUSYS FLEX P 70W 865 WW CL WT DALI</t>
  </si>
  <si>
    <t>TRUSYS FLEX P 70W 840 WW CL WT DALI</t>
  </si>
  <si>
    <t>TRUSYS FLEX P 35W 865 VW CL WT EM</t>
  </si>
  <si>
    <t>TRUSYS FLEX P 35W 865 W CL WT EM</t>
  </si>
  <si>
    <t>TRUSYS FLEX P 35W 865 N CL WT EM</t>
  </si>
  <si>
    <t>TRUSYS FLEX P 35W 865 VN CL WT EM</t>
  </si>
  <si>
    <t>TRUSYS FLEX P 35W 865 DS CL WT EM</t>
  </si>
  <si>
    <t>TRUSYS FLEX P 35W 865 W OP WT EM</t>
  </si>
  <si>
    <t>TRUSYS FLEX P 35W 865 WW CL WT EM</t>
  </si>
  <si>
    <t>TRUSYS FLEX P 35W 840 WW CL WT EM</t>
  </si>
  <si>
    <t>TRUSYS FLEX P 50W 865 VW CL WT EM</t>
  </si>
  <si>
    <t>TRUSYS FLEX P 50W 865 W CL WT EM</t>
  </si>
  <si>
    <t>TRUSYS FLEX P 50W 865 N CL WT EM</t>
  </si>
  <si>
    <t>TRUSYS FLEX P 50W 865 VN CL WT EM</t>
  </si>
  <si>
    <t>TRUSYS FLEX P 50W 865 W OP WT EM</t>
  </si>
  <si>
    <t>TRUSYS FLEX P 50W 865 WW CL WT EM</t>
  </si>
  <si>
    <t>TRUSYS FLEX P 50W 840 WW CL WT EM</t>
  </si>
  <si>
    <t>TRUSYS FLEX P 70W 865 VW CL WT EM</t>
  </si>
  <si>
    <t>TRUSYS FLEX P 70W 865 N CL WT EM</t>
  </si>
  <si>
    <t>TRUSYS FLEX P 70W 865 VN CL WT EM</t>
  </si>
  <si>
    <t xml:space="preserve"> TRUSYS FLEX P 70W 865 DS CL WT EM</t>
  </si>
  <si>
    <t>TRUSYS FLEX P 70W 865 WW CL WT EM</t>
  </si>
  <si>
    <t>TRUSYS FLEX P 70W 840 WW CL WT EM</t>
  </si>
  <si>
    <t xml:space="preserve">LB FLEX 1200 P 42W 840 N           </t>
  </si>
  <si>
    <t xml:space="preserve">LB FLEX 1200 P 42W 840 OV          </t>
  </si>
  <si>
    <t xml:space="preserve">LB FLEX 1200 P 73W 840 N           </t>
  </si>
  <si>
    <t xml:space="preserve">LB FLEX 1200 P 73W 840 OV          </t>
  </si>
  <si>
    <t xml:space="preserve">LB FLEX 1200 DALI P 42W 840 N      </t>
  </si>
  <si>
    <t xml:space="preserve">LB FLEX 1200 DALI P 42W 840 OV     </t>
  </si>
  <si>
    <t xml:space="preserve">LB FLEX 1200 DALI P 73W 840 N      </t>
  </si>
  <si>
    <t xml:space="preserve">LB FLEX 1200 DALI P 73W 840 OV     </t>
  </si>
  <si>
    <t xml:space="preserve">LB FLEX 1500 P 73W 840 N           </t>
  </si>
  <si>
    <t xml:space="preserve">LB FLEX 1500 P 73W 840 W           </t>
  </si>
  <si>
    <t xml:space="preserve">LB FLEX 1500 P 73W 840 VW          </t>
  </si>
  <si>
    <t xml:space="preserve">LB FLEX 1500 P 73W 840 OV          </t>
  </si>
  <si>
    <t xml:space="preserve">LB FLEX 1500 P 105W 840 OV         </t>
  </si>
  <si>
    <t xml:space="preserve">LB FLEX 1500 P 140W 840 N          </t>
  </si>
  <si>
    <t xml:space="preserve">LB FLEX 1500 P 140W 840 W          </t>
  </si>
  <si>
    <t xml:space="preserve">LB FLEX 1500 P 140W 840 VW         </t>
  </si>
  <si>
    <t xml:space="preserve">LB FLEX 1500 P 140W 840 OV         </t>
  </si>
  <si>
    <t xml:space="preserve">LB FLEX 1500 DALI P 73W 840 N      </t>
  </si>
  <si>
    <t xml:space="preserve">LB FLEX 1500 DALI P 73W 840 W      </t>
  </si>
  <si>
    <t xml:space="preserve">LB FLEX 1500 DALI P 73W 840 VW     </t>
  </si>
  <si>
    <t xml:space="preserve">LB FLEX 1500 DALI P 73W 840 OV     </t>
  </si>
  <si>
    <t xml:space="preserve">LB FLEX 1500 DALI P 105W 840 OV    </t>
  </si>
  <si>
    <t xml:space="preserve">LB FLEX 1500 DALI P 140W 840 N     </t>
  </si>
  <si>
    <t xml:space="preserve">LB FLEX 1500 DALI P 140W 840 W     </t>
  </si>
  <si>
    <t xml:space="preserve">LB FLEX 1500 DALI P 140W 840 VW    </t>
  </si>
  <si>
    <t xml:space="preserve">LB FLEX 1500 DALI P 140W 840 OV    </t>
  </si>
  <si>
    <t xml:space="preserve">LB FLEX 1200 BALL PROOF COVER      </t>
  </si>
  <si>
    <t xml:space="preserve">LB FLEX 1500 BALL PROOF COVER      </t>
  </si>
  <si>
    <t xml:space="preserve">LB FLEX ANGULATION MOUNT KIT       </t>
  </si>
  <si>
    <t xml:space="preserve">SL AREA SPD SM V 30W 727 RV20ST GY </t>
  </si>
  <si>
    <t xml:space="preserve">SL AREA SPD SM V 30W 730 RV20ST GY </t>
  </si>
  <si>
    <t>SL AREA SPD SM V 30W740 RV20ST GY</t>
  </si>
  <si>
    <t xml:space="preserve">SL AREA SPD SM V 45W 727 RV20ST GY </t>
  </si>
  <si>
    <t xml:space="preserve">SL AREA SPD SM V 45W 730 RV20ST GY </t>
  </si>
  <si>
    <t xml:space="preserve">SL AREA SPD SM V 45W 740 RV20ST GY </t>
  </si>
  <si>
    <t xml:space="preserve">SL AREA SPD MD V 65W 727 RV20ST GY </t>
  </si>
  <si>
    <t xml:space="preserve">SL AREA SPD MD V 65W 730 RV20ST GY </t>
  </si>
  <si>
    <t xml:space="preserve">SL AREA SPD MD V 65W 740 RV20ST GY </t>
  </si>
  <si>
    <t xml:space="preserve">LN INV DI 1200 P 55W 930 PS WT  </t>
  </si>
  <si>
    <t xml:space="preserve">LN INV DI 1200 P 55W 940 PS WT  </t>
  </si>
  <si>
    <t xml:space="preserve">LN INV DI 1500 P 69W 930 PS WT </t>
  </si>
  <si>
    <t>LN INV DI 1500 P 69W 940 PS WT</t>
  </si>
  <si>
    <t>LN INV DI 1500 P 69W 930 DAVR WT</t>
  </si>
  <si>
    <t>LN INV DI 1500 P 69W 940 DAVR WT</t>
  </si>
  <si>
    <t>LN INV D 1200 P 40W 930 PS WT</t>
  </si>
  <si>
    <t>LN INV D 1200 P 40W 940 PS WT</t>
  </si>
  <si>
    <t>LN INV D 1200 P 40W 930 PS ASY WT</t>
  </si>
  <si>
    <t>LN INV D 1200 P 40W 940 PS ASY WT</t>
  </si>
  <si>
    <t>LN INV D 1200 P 40W 930 DAVR WT</t>
  </si>
  <si>
    <t>LN INV D 1200 P 40W 940 DAVR WT</t>
  </si>
  <si>
    <t>LN INV D 1200 P 40W 930 DAVR ASY WT</t>
  </si>
  <si>
    <t>LN INV D 1200 P 40W 940 DAVR ASY WT</t>
  </si>
  <si>
    <t>LN INV D 1500 P 52W 930 PS WT</t>
  </si>
  <si>
    <t>LN INV D 1500 P 52W 930 DAVR WT</t>
  </si>
  <si>
    <t>LN INV D 1500 P 52W 940 DAVR WT</t>
  </si>
  <si>
    <t>LN INV SUSPENSION KIT WT</t>
  </si>
  <si>
    <t>LN INV SUSPENSION WIRE</t>
  </si>
  <si>
    <t>LN INV INLINE CONNECTOR</t>
  </si>
  <si>
    <t>LN INV 1200 THROUGHWIRING KIT</t>
  </si>
  <si>
    <t>LN INV 1500 THROUGHWIRING KIT</t>
  </si>
  <si>
    <t>LN INV CORNER CONNECTOR WT</t>
  </si>
  <si>
    <t>LN INV INFILL 600 WT</t>
  </si>
  <si>
    <t>LN INV INFILL 1200 WT</t>
  </si>
  <si>
    <t>LN INV INFILL 1500 WT</t>
  </si>
  <si>
    <t>PL PROT 600 P 36W 830 PS</t>
  </si>
  <si>
    <t>PL PROT 600 P 36W 840 PS</t>
  </si>
  <si>
    <t>PL PROT 600 P 36W 830 DALIVR</t>
  </si>
  <si>
    <t>PL PROT 600 P 36W 840 DALIVR</t>
  </si>
  <si>
    <t>PL PROT 600 P 36W 840 U19 PS</t>
  </si>
  <si>
    <t>PL PROT 600 P 36W 840 U19 DALIVR</t>
  </si>
  <si>
    <t xml:space="preserve">PL COMP 1200x600 V 53W 840 </t>
  </si>
  <si>
    <t xml:space="preserve">PL COMP 1200x600 V 53W 840 DALI </t>
  </si>
  <si>
    <t>SP CBO FIX V 5.5W CPS 60DEG IP65 WT</t>
  </si>
  <si>
    <t>SP CBO ADJ V 5.5W CPS 60DEG IP65 WT</t>
  </si>
  <si>
    <t xml:space="preserve">SP CBO RING ADJ ROUND BK           </t>
  </si>
  <si>
    <t xml:space="preserve">SP CBO RING ADJ ROUND BN           </t>
  </si>
  <si>
    <t xml:space="preserve">SP CBO RING ADJ SQUARE BK          </t>
  </si>
  <si>
    <t xml:space="preserve">SP CBO RING ADJ SQUARE BN          </t>
  </si>
  <si>
    <t xml:space="preserve">SP CBO RING ADJ SQUARE WT          </t>
  </si>
  <si>
    <t xml:space="preserve">SP CBO RING FIX ROUND BK           </t>
  </si>
  <si>
    <t xml:space="preserve">SP CBO RING FIX ROUND BN           </t>
  </si>
  <si>
    <t xml:space="preserve">SP CBO RING FIX SQUARE BK          </t>
  </si>
  <si>
    <t xml:space="preserve">SP CBO RING FIX SQUARE BN          </t>
  </si>
  <si>
    <t xml:space="preserve">SP CBO RING FIX SQUARE WT          </t>
  </si>
  <si>
    <t>SP RING D100 WT</t>
  </si>
  <si>
    <t>SP RING D100 BK</t>
  </si>
  <si>
    <t>DR DS-P-20/220-240/500</t>
  </si>
  <si>
    <t>DR DS-P-30/220-240/700</t>
  </si>
  <si>
    <t>SP DRIVER DALI 8W</t>
  </si>
  <si>
    <t xml:space="preserve">SURFACE SQUARE </t>
  </si>
  <si>
    <t xml:space="preserve">ACESSÓRIO LOW BAY FLEX </t>
  </si>
  <si>
    <t>LN INV D 1500 P 52W  940 PS WT</t>
  </si>
  <si>
    <t>LN INDV D 1500 48W/940</t>
  </si>
  <si>
    <t>LN INV DI 1200 P 54W 930 DAVR WT</t>
  </si>
  <si>
    <t xml:space="preserve"> INDIVILED Direct/Indirect DALI</t>
  </si>
  <si>
    <t>LN INV DI 1200 P 54W 940 DAVR WT</t>
  </si>
  <si>
    <t>ACCESSORIES</t>
  </si>
  <si>
    <t>Linear IndiviLED</t>
  </si>
  <si>
    <t>LN INDV D/I 1200 42W/3000K</t>
  </si>
  <si>
    <t>LN INDV D/I 1200 42W/4000K</t>
  </si>
  <si>
    <t>LN INDV D/I DALI 1200 42W/3000K</t>
  </si>
  <si>
    <t>LN INDV D/I DALI 1200 42W/4000K</t>
  </si>
  <si>
    <t>LN INDV D/I 1500 56W/3000K</t>
  </si>
  <si>
    <t>LN INDV D/I 1500 56W/4000K</t>
  </si>
  <si>
    <t>LN INDV D/I DALI 1500 56W/3000K</t>
  </si>
  <si>
    <t>LN INDV D/I DALI 1500 56W/4000K</t>
  </si>
  <si>
    <t>LN INDV D 1200 34W/3000K</t>
  </si>
  <si>
    <t>LN INDV D 1200 34W/4000K</t>
  </si>
  <si>
    <t>LN INDV D 1500 48W/3000K</t>
  </si>
  <si>
    <t>LN INDV D 1500 48W/4000K</t>
  </si>
  <si>
    <t>LN INDV D 1500 48W/3000K DALI</t>
  </si>
  <si>
    <t>LN INDV D 1500 48W/4000K DALI</t>
  </si>
  <si>
    <t>INDIVILED Direct ASIMÉTRICO ON-OFF</t>
  </si>
  <si>
    <t>INDIVILED Direct ASIMÉTRICO DALI</t>
  </si>
  <si>
    <t>LEDVANCE LED TUBE T8 Connected  (CCG+AC Mains) - Performance Class</t>
  </si>
  <si>
    <t>LEDTUBE T8 EM UO S 1200 14W 830</t>
  </si>
  <si>
    <t>LEDTUBE T8 EM UO S 1200 14W 840</t>
  </si>
  <si>
    <t>LEDTUBE T8 EM UO S 1200 14W 850</t>
  </si>
  <si>
    <t>LEDTUBE T8 EM UO S 1200 14W 865</t>
  </si>
  <si>
    <t>LEDTUBE T8 EM UO S 1500 22.2W 830</t>
  </si>
  <si>
    <t>LEDTUBE T8 EM UO S 1500 22.1W 840</t>
  </si>
  <si>
    <t>LEDTUBE T8 EM UO S 1500 22.1W 850</t>
  </si>
  <si>
    <t>LEDTUBE T8 EM UO S 1500 22.1W 865</t>
  </si>
  <si>
    <t>LEDVANCE LED TUBE T8 EM Ultra Output (UO) Superior Class (CCG)</t>
  </si>
  <si>
    <t>LEDTUBE T8 EM UO S 1200 14W 940</t>
  </si>
  <si>
    <t>LEDTUBE T8 EM UO S 1500 22.1W 940</t>
  </si>
  <si>
    <t>LEDTUBE T8 EM S 438 5.1W 830</t>
  </si>
  <si>
    <t>LEDTUBE T8 EM S 438 5.1W 840</t>
  </si>
  <si>
    <t>LEDVANCE LED TUBE T8 EM Superior Class (CCG)</t>
  </si>
  <si>
    <t>LEDTUBE T8 EM S 438 5.1W 865</t>
  </si>
  <si>
    <t>LEDTUBE T8 EM S 600 6.3W 830</t>
  </si>
  <si>
    <t>LEDTUBE T8 EM S 600 6.3W 840</t>
  </si>
  <si>
    <t>LEDTUBE T8 EM S 600 6.3W 865</t>
  </si>
  <si>
    <t>LEDTUBE T8 EM S 900 9.7W 830</t>
  </si>
  <si>
    <t>LEDTUBE T8 EM S 1050 11.4W 830</t>
  </si>
  <si>
    <t>LEDTUBE T8 EM S 900 9.7W 865</t>
  </si>
  <si>
    <t>LEDTUBE T8 EM S 1050 11.4W 840</t>
  </si>
  <si>
    <t>LEDTUBE T8 EM S 1050 11.4W 865</t>
  </si>
  <si>
    <t>LEDVANCE LED TUBE T8 EM Ultra Output (UO) CRI 90 Superior Class (CCG)</t>
  </si>
  <si>
    <t>NOVO</t>
  </si>
  <si>
    <t>LEDTUBE T8 EM S 900 9.7W 840</t>
  </si>
  <si>
    <t>LEDTUBE T8 EM S 1200 12W 830</t>
  </si>
  <si>
    <t>LEDTUBE T8 EM S 1200 12W 840</t>
  </si>
  <si>
    <t>LEDTUBE T8 EM S 1200 12W 865</t>
  </si>
  <si>
    <t>LEDTUBE T8 EM S 1500 17.7W 830</t>
  </si>
  <si>
    <t>LEDTUBE T8 EM S 1500 17.7W 840</t>
  </si>
  <si>
    <t>LEDTUBE T8 EM S 1500 17.7W 865</t>
  </si>
  <si>
    <t>LEDVANCE LED TUBE T8 EM Ultra Output (UO) Performance Class (CCG)</t>
  </si>
  <si>
    <t>LEDTUBE T8 EM UO P 1200 15.6W 830</t>
  </si>
  <si>
    <t>LEDTUBE T8 EM UO P 1200 15.6W 840</t>
  </si>
  <si>
    <t>LEDTUBE T8 EM UO P 1200 15.6W 865</t>
  </si>
  <si>
    <t>LEDTUBE T8 EM UO P 1500 23.1W 830</t>
  </si>
  <si>
    <t>LEDTUBE T8 EM UO P 1500 23.1W 840</t>
  </si>
  <si>
    <t>LEDTUBE T8 EM UO P 1500 23.1W 865</t>
  </si>
  <si>
    <t>LEDVANCE LED TUBE T8 EM Performance Class (CCG)</t>
  </si>
  <si>
    <t>LEDTUBE T8 EM P 600 7W 830</t>
  </si>
  <si>
    <t>LEDTUBE T8 EM P 600 7W 840</t>
  </si>
  <si>
    <t>LEDTUBE T8 EM P 600 7W 865</t>
  </si>
  <si>
    <t>LEDTUBE T8 EM P 1200 13.5W 830</t>
  </si>
  <si>
    <t>LEDTUBE T8 EM P 1200 13.5W 840</t>
  </si>
  <si>
    <t>LEDTUBE T8 EM P 1200 13.5W 865</t>
  </si>
  <si>
    <t>LEDTUBE T8 EM P 1500 20W 830</t>
  </si>
  <si>
    <t>LEDTUBE T8 EM P 1500 20W 840</t>
  </si>
  <si>
    <t>LEDTUBE T8 EM P 1500 20W 865</t>
  </si>
  <si>
    <t>LEDVANCE LED TUBE T8 EM Ultra Output (UO) Value Class (CCG)</t>
  </si>
  <si>
    <t>LEDVANCE LED TUBE T8 EM Value Class (CCG)</t>
  </si>
  <si>
    <t>LEDVANCE LED TUBE T8 EM Starter  (T8 LED starter de substituição para tubos a funcionar com CCG)</t>
  </si>
  <si>
    <t>SUBSTITUBE LED T8 STARTER 10X2 OSRAM</t>
  </si>
  <si>
    <t>LEDVANCE LED TUBE T8 EM Motion Sensor Performance Class (CCG)</t>
  </si>
  <si>
    <t>LEDVANCE LED TUBE T8 EM FOOD Performance Class (CCG)</t>
  </si>
  <si>
    <t>LEDVANCE LEDTUBE T8 UNIVERSAL UO P Gen 11 (ECG+CCG+AC Mains)</t>
  </si>
  <si>
    <t>LEDVANCE LEDTUBE T8 UNIVERSAL P Gen 11 (ECG+CCG+AC Mains)</t>
  </si>
  <si>
    <t>LEDVANCE LEDTUBE T8 UNIVERSAL VALUE Gen 11 (ECG+CCG+AC Mains)</t>
  </si>
  <si>
    <t>LEDVANCE LEDTUBE T8 HF UO P Gen 11 (ECG)</t>
  </si>
  <si>
    <t>LEDTUBE T8 HF PRO UO 1200 15W 840  OSRAM</t>
  </si>
  <si>
    <t>LEDVANCE LEDTUBE T8 HF P Gen 11 (ECG)</t>
  </si>
  <si>
    <t xml:space="preserve">LEDVANCE LED TUBE T5 HO HF Performance  (ECG), T5 HO 80W replacement </t>
  </si>
  <si>
    <t xml:space="preserve">LEDVANCE LED TUBE T5 HO HF  Performance (ECG), T5 HO 54W replacement </t>
  </si>
  <si>
    <t xml:space="preserve">LEDVANCE LED TUBE HO HF  Performance (ECG), T5 HO 49W replacement </t>
  </si>
  <si>
    <t xml:space="preserve">LEDVANCE LED TUBE T5 HE HF  Performance  (ECG), T5 HE 35W replacement </t>
  </si>
  <si>
    <t xml:space="preserve">LEDVANCE LED TUBE T5 HE  Performance (ECG), T5 HE 28W replacement </t>
  </si>
  <si>
    <t>LEDVANCE LED TUBE T5 HE HF  Performance  (ECG), T5 HE 21W replacement</t>
  </si>
  <si>
    <t>LEDVANCE LED TUBE HE HF  Performance  (ECG), T5 HE 14W replacement</t>
  </si>
  <si>
    <t xml:space="preserve">LEDVANCE LED TUBE T5 HO replacement 80W  Performance  220-240V AC </t>
  </si>
  <si>
    <t xml:space="preserve">LEDVANCE LED TUBE T5 HO  replacement 54W  Performance  220-240V AC </t>
  </si>
  <si>
    <t xml:space="preserve">LEDVANCE LED TUBE T5 HO  replacement 49W  Performance  220-240V AC </t>
  </si>
  <si>
    <t xml:space="preserve">LEDVANCE LED TUBE T5 HO Replacement 39W  Performance  220-240V AC </t>
  </si>
  <si>
    <t xml:space="preserve">LEDVANCE LED TUBE T5 HO replacement 24W   Performance 220-240V AC </t>
  </si>
  <si>
    <t xml:space="preserve">LEDVANCE LED TUBE T5 HE replacement 35W Performance 220-240V AC </t>
  </si>
  <si>
    <t xml:space="preserve">LEDVANCE LED TUBE T5 HE replacement  28W Performance   220-240V AC </t>
  </si>
  <si>
    <t xml:space="preserve">LEDVANCE LED TUBE T5 HE  replacement 21W Performance   220-240V AC </t>
  </si>
  <si>
    <t xml:space="preserve">LEDVANCE LED TUBE T5 HE replacement 14W Performance  220-240V AC </t>
  </si>
  <si>
    <t>LEDVANCE LED TUBE T5 HF SHORT  Value</t>
  </si>
  <si>
    <t>LEDVANCE LED TUBE T9 C EM Value Class</t>
  </si>
  <si>
    <t>LEDVANCE DULUX  LED D - CCG &amp; AC mains</t>
  </si>
  <si>
    <t xml:space="preserve"> LEDVANCE DULUX LED D VERTICAL - CCG &amp; AC mains</t>
  </si>
  <si>
    <t xml:space="preserve"> LEDVANCE DULUX LED D/E - ECG &amp; AC mains</t>
  </si>
  <si>
    <t xml:space="preserve"> LEDVANCE DULUX LED S - CCG &amp; AC mains</t>
  </si>
  <si>
    <t xml:space="preserve">  LEDVANCE DULUX LED L  - ECG &amp; AC mains</t>
  </si>
  <si>
    <t xml:space="preserve">  LEDVANCE DULUX LED F - CCG &amp; AC mains</t>
  </si>
  <si>
    <t xml:space="preserve">  LEDVANCE DULUX LED T/E ECG &amp; AC mains</t>
  </si>
  <si>
    <t xml:space="preserve"> LEDVANCE DULUX LED SQUARE CCG &amp; AC Mains</t>
  </si>
  <si>
    <t xml:space="preserve"> LEDVANCE DULUX LED T CCG &amp; AC Mains</t>
  </si>
  <si>
    <t>LEDVANCE HQL LED Performance Class - CCG &amp; AC mains - Streetlighting</t>
  </si>
  <si>
    <t>HQL LED Special HQL FR 50 non-dim 14.5W/827 E27</t>
  </si>
  <si>
    <t>HQL LED Special HQL FR 50 non-dim 14.5W/840 E27</t>
  </si>
  <si>
    <t>HQL LED Special HQL FR 80 non-dim 21.5W/827 E27</t>
  </si>
  <si>
    <t>HQL LED Special HQL FR 80 non-dim 21.5W/840 E27</t>
  </si>
  <si>
    <t>HQL LED Special HQL FR 80 non-dim 29W/827 E27</t>
  </si>
  <si>
    <t>HQL LED Special HQL FR 80 non-dim 29W/840 E27</t>
  </si>
  <si>
    <t>HQL LED Special HQL FR 125 non-dim 41W/827 E27</t>
  </si>
  <si>
    <t>HQL LED Special HQL FR 125 non-dim 41W/840 E27</t>
  </si>
  <si>
    <t>HQL LED Special HQL FR 125 non-dim 41W/827 E40</t>
  </si>
  <si>
    <t>HQL LED Special HQL FR 125 non-dim 41W/840 E40</t>
  </si>
  <si>
    <t>HQL LED Special HQL CL 250 non-dim 90W/827 E40</t>
  </si>
  <si>
    <t>HQL LED Special HQL CL 250 non-dim 90W/840 E40</t>
  </si>
  <si>
    <t>LEDVANCE HQL LED Filament Value Class - CCG &amp; AC mains - Streetlighting</t>
  </si>
  <si>
    <t>LEDVANCE NAV LED Filament Value Class - CCG &amp; AC mains - Streetlighting</t>
  </si>
  <si>
    <t>LEDVANCE HID LED Highbay Universal - CCG &amp; ignitor &amp; AC mains - Indoor High Bay Application</t>
  </si>
  <si>
    <t>HID LED Highbay UN Special HID LED Highbay UN CL 250 non-dim 105W/840 E40</t>
  </si>
  <si>
    <t>HID LED Highbay UN Special HID LED Highbay UN CL 400 non-dim 150W/840 E40</t>
  </si>
  <si>
    <t>HID LED Highbay UN Special HID LED Highbay UN CL 400 non-dim 160W/840 E40</t>
  </si>
  <si>
    <t>LED CLASSIC CRI97</t>
  </si>
  <si>
    <t>Superior Class CLASSIC A FIL 60 DIM 7.2W/927 E27</t>
  </si>
  <si>
    <t>Superior Class CLASSIC A FIL 75 DIM 9.5W/927 E27</t>
  </si>
  <si>
    <t>Superior Class CLASSIC A FIL 100 DIM 13.8W/927 E27</t>
  </si>
  <si>
    <t>Superior Class CLASSIC A GLFR 60 DIM 7.2W/927 E27</t>
  </si>
  <si>
    <t>Superior Class CLASSIC A GLFR 75 DIM 9.5W/927 E27</t>
  </si>
  <si>
    <t>Superior Class CLASSIC A GLFR 100 DIM 13.8W/927 E27</t>
  </si>
  <si>
    <t>Superior Class CLASSIC P FIL 40 DIM 4.2W/927 E14</t>
  </si>
  <si>
    <t>Superior Class CLASSIC B FIL 40 DIM 4.2W/927 E14</t>
  </si>
  <si>
    <t>Superior Class CLASSIC P GLFR 40 DIM 4.2W/927 E14</t>
  </si>
  <si>
    <t>Superior Class CLASSIC B GLFR 40 DIM 4.2W/927 E14</t>
  </si>
  <si>
    <t>Superior Class CLASSIC A FIL  40 DIM 4.2W/927 E27</t>
  </si>
  <si>
    <t>Superior Class CLASSIC A GLFR 40 DIM 4.2W/927 E27</t>
  </si>
  <si>
    <t>Superior Class CLASSIC P FIL 40 DIM 4.2W/927 E27</t>
  </si>
  <si>
    <t>SUPERIOR CLASSIC LED  ENERGY CLASS A</t>
  </si>
  <si>
    <t>Superior Class CLASSIC A FIL 60 non-dim 3.8W/830 E27</t>
  </si>
  <si>
    <t>ULTRA EFFICIENT CL A FIL 60 non-dim 4W/830 E27</t>
  </si>
  <si>
    <t>Superior Class CLASSIC A FIL 40 non-dim 2.2W/830 E27</t>
  </si>
  <si>
    <t>ULTRA EFFICIENT CL A FIL 40 non-dim 2,5W/830 E27</t>
  </si>
  <si>
    <t>Superior Class CLASSIC A GL FR 60 non-dim 3.8W/830 E27</t>
  </si>
  <si>
    <t>Superior Class CLASSIC A GL FR 40 non-dim 2.2W/830 E27</t>
  </si>
  <si>
    <t>Superior Class CLASSIC A FIL 75 non-dim 5W/830 E27</t>
  </si>
  <si>
    <t>Superior Class CLASSIC A GL FR 75 non-dim 5W/830 E27</t>
  </si>
  <si>
    <t>Superior Class CLASSIC A FIL 100 non-dim 7.2W/830 E27</t>
  </si>
  <si>
    <t>Superior Class CLASSIC A GL FR 100 non-dim 7.2W/830 E27</t>
  </si>
  <si>
    <t>Superior Class CLASSIC GLOBE95 FIL 60 non-dim 3.8W/830 E27</t>
  </si>
  <si>
    <t>Superior Class CLASSIC GLOBE95 GL FR 60 non-dim 3.8W/830 E27</t>
  </si>
  <si>
    <t>Superior Class CLASSIC EDISON FIL 60 non-dim 3.8W/830 E27</t>
  </si>
  <si>
    <t>Superior Class CLASSIC P FIL 40 non-dim 2.5W/827 E14</t>
  </si>
  <si>
    <t>Superior Class CLASSIC B FIL 40 non-dim 2.5W/827 E14</t>
  </si>
  <si>
    <t>Superior Class CLASSIC P GLFR 40 non-dim 2.5W/827 E14</t>
  </si>
  <si>
    <t>Superior Class CLASSIC B GLFR 40 non-dim 2.5W/827 E14</t>
  </si>
  <si>
    <t>SUPERIOR CLASSIC LED  ENERGY CLASS B DIM</t>
  </si>
  <si>
    <t>Superior Class CLASSIC A FIL 60 DIM 4.3W/827 E27</t>
  </si>
  <si>
    <t>Superior Class CLASSIC A FIL 40 DIM 2.6W/827 E27</t>
  </si>
  <si>
    <t>Superior Class CLASSIC A FIL 75 DIM 5.7W/827 E27</t>
  </si>
  <si>
    <t>Superior Class CLASSIC A FIL 100 DIM 8.2W/827 E27</t>
  </si>
  <si>
    <t>Superior Class CLASSIC A GLFR 75 DIM 5.7W/827 E27</t>
  </si>
  <si>
    <t>Superior Class CLASSIC A GLFR 100 DIM 8.2W/827 E27</t>
  </si>
  <si>
    <t>Superior Class CLASSIC A GLFR 60 DIM 4.3W/827 E27</t>
  </si>
  <si>
    <t>Superior Class CLASSIC A GLFR 40 DIM 2.6W/827 E27</t>
  </si>
  <si>
    <t>Superior Class CLASSIC P FIL 40 DIM 2.9W/827 E14</t>
  </si>
  <si>
    <t>Superior Class CLASSIC P FILFR 40 DIM 2.9W/827 E14</t>
  </si>
  <si>
    <t>Superior Class CLASSIC B FIL 40 DIM 2.9W/827 E14</t>
  </si>
  <si>
    <t>Superior Class CLASSIC B FILFR 40 DIM 2.9W/827 E14</t>
  </si>
  <si>
    <t>SUPERIOR SPOT LED  ENERGY CLASS A</t>
  </si>
  <si>
    <t>Superior Class Spot PAR16 GL 50 non-dim 2W/830 GU10</t>
  </si>
  <si>
    <t>CLASSIC A LED SUPERIOR CLASS - Comfort light</t>
  </si>
  <si>
    <t>Superior Class CLASSIC A FIL 60 DIM 5.8W/927 E27</t>
  </si>
  <si>
    <t>LED COMFORT/SUPERIOR CL A FIL 60 dim 5,8W/927 E27</t>
  </si>
  <si>
    <t>Superior Class CLASSIC A FIL 60 DIM 5.8W/940 E27</t>
  </si>
  <si>
    <t>LED COMFORT/SUPERIOR CL A FIL 60 dim 5,8W/940 E27</t>
  </si>
  <si>
    <t>Superior Class CLASSIC A FIL 75 DIM 7.5W/927 E27</t>
  </si>
  <si>
    <t>LED COMFORT/SUPERIOR CL A FIL 75 dim 7,5W/927 E27</t>
  </si>
  <si>
    <t>Superior Class CLASSIC A FIL 75 DIM 7.5W/940 E27</t>
  </si>
  <si>
    <t>LED COMFORT/SUPERIOR CL A FIL 75 dim 7,5W/940 E27</t>
  </si>
  <si>
    <t>Superior Class CLASSIC A FIL 100 DIM 11W/927 E27</t>
  </si>
  <si>
    <t>LED COMFORT/SUPERIOR CL A FIL 100 dim 11W/927 E27</t>
  </si>
  <si>
    <t>Superior Class CLASSIC A FIL 100 DIM 11W/940 E27</t>
  </si>
  <si>
    <t>LED COMFORT/SUPERIOR CL A FIL 100 dim 11W/940 E27</t>
  </si>
  <si>
    <t>Superior Class CLASSIC A GL FR 60 DIM 5.8W/927 E27</t>
  </si>
  <si>
    <t>LED COMFORT/SUPERIOR CL A GL FR 60 dim 5,8W/927 E27</t>
  </si>
  <si>
    <t>Superior Class CLASSIC A GL FR 60 DIM 5.8W/940 E27</t>
  </si>
  <si>
    <t>LED COMFORT/SUPERIOR CL A GL FR 60 dim 5,8W/940 E27</t>
  </si>
  <si>
    <t>Superior Class CLASSIC A GL FR 75 DIM 7.5W/927 E27</t>
  </si>
  <si>
    <t>LED COMFORT/SUPERIOR CL A GL FR 75 dim 7,5W/927 E27</t>
  </si>
  <si>
    <t>Superior Class CLASSIC A GL FR 75 DIM 7.5W/940 E27</t>
  </si>
  <si>
    <t>LED COMFORT/SUPERIOR CL A GL FR 75 dim 7,5W/940 E27</t>
  </si>
  <si>
    <t>Superior Class CLASSIC A GL FR 100 DIM 11W/927 E27</t>
  </si>
  <si>
    <t>LED COMFORT/SUPERIOR CL A GL FR 100 dim 11W/927 E27</t>
  </si>
  <si>
    <t>Superior Class CLASSIC A GL FR 100 DIM 11W/940 E27</t>
  </si>
  <si>
    <t>LED COMFORT/SUPERIOR CL A GL FR 100 dim 11W/940 E27</t>
  </si>
  <si>
    <t>Superior Class CLASSIC A GL FR 100 DIM 11W/927 B22d</t>
  </si>
  <si>
    <t>LED COMFORT/SUPERIOR CL A GL FR 100 dim 11W/927 B22d</t>
  </si>
  <si>
    <t>Superior Class CLASSIC A GL FR 100 DIM 11W/940 B22d</t>
  </si>
  <si>
    <t>LED COMFORT/SUPERIOR CL A GL FR 100 dim 11W/940 B22d</t>
  </si>
  <si>
    <t>CLASSIC B LED SUPERIOR CLASS - Comfort light</t>
  </si>
  <si>
    <t>Superior Class CLASSIC B FIL 40 DIM 3.4W/927 E14</t>
  </si>
  <si>
    <t>LED COMFORT/SUPERIOR CL B FIL 40 dim 3,4W/927 E14</t>
  </si>
  <si>
    <t>Superior Class CLASSIC B FIL 40 DIM 3.4W/940 E14</t>
  </si>
  <si>
    <t>LED COMFORT/SUPERIOR CL B FIL 40 dim 3,4W/940 E14</t>
  </si>
  <si>
    <t>Superior Class CLASSIC B GL FR 40 DIM 3.4W/927 E14</t>
  </si>
  <si>
    <t>LED COMFORT/SUPERIOR CL B GL FR 40 dim 3,4W/927 E14</t>
  </si>
  <si>
    <t>Superior Class CLASSIC B GL FR 40 DIM 3.4W/940 E14</t>
  </si>
  <si>
    <t>LED COMFORT/SUPERIOR CL B GL FR 40 dim 3,4W/940 E14</t>
  </si>
  <si>
    <t>Superior Class CLASSIC B GL FR 40 DIM 3.4W/927 B22d</t>
  </si>
  <si>
    <t>LED COMFORT/SUPERIOR CL B GL FR 40 dim 3,4W/927 B22d</t>
  </si>
  <si>
    <t>Superior Class CLASSIC BA FIL 40 DIM 3.4W/927 E14</t>
  </si>
  <si>
    <t>LED COMFORT/SUPERIOR CL BA FIL 40 dim 3,4W/927 E14</t>
  </si>
  <si>
    <t>Superior Class CLASSIC BW FIL 40 DIM 3.4W/940 E14</t>
  </si>
  <si>
    <t>LED COMFORT/SUPERIOR CL BW FIL 40 dim 3,4W/940 E14</t>
  </si>
  <si>
    <t>Superior Class CLASSIC BW GL FR 40 DIM 3.4W/927 E14</t>
  </si>
  <si>
    <t>LED COMFORT/SUPERIOR CL BW GL FR 40 dim 3,4W/927 E14</t>
  </si>
  <si>
    <t>Superior Class CLASSIC BW GL FR 40 DIM 3.4W/940 E14</t>
  </si>
  <si>
    <t>LED COMFORT/SUPERIOR CL BW GL FR 40 dim 3,4W/940 E14</t>
  </si>
  <si>
    <t>CLASSIC P LED SUPERIOR CLASS - Comfort light</t>
  </si>
  <si>
    <t>Superior Class CLASSIC P FIL 40 DIM 3.4W/927 E27</t>
  </si>
  <si>
    <t>LED COMFORT/SUPERIOR CL P FIL 40 dim 3,4W/927 E27</t>
  </si>
  <si>
    <t>Superior Class CLASSIC P FIL 40 DIM 3.4W/940 E27</t>
  </si>
  <si>
    <t>LED COMFORT/SUPERIOR CL P FIL 40 dim 3,4W/940 E27</t>
  </si>
  <si>
    <t>Superior Class CLASSIC P GL FR 40 DIM 3.4W/927 E27</t>
  </si>
  <si>
    <t>LED COMFORT/SUPERIOR CL P GL FR 40 dim 3,4W/927 E27</t>
  </si>
  <si>
    <t>Superior Class CLASSIC P GL FR 40 DIM 3.4W/940 E27</t>
  </si>
  <si>
    <t>LED COMFORT/SUPERIOR CL P GL FR 40 dim 3,4W/940 E27</t>
  </si>
  <si>
    <t>Superior Class CLASSIC P FIL 40 DIM 3.4W/927 E14</t>
  </si>
  <si>
    <t>LED COMFORT/SUPERIOR CL P FIL 40 dim 3,4W/927 E14</t>
  </si>
  <si>
    <t>Superior Class CLASSIC P FIL 40 DIM 3.4W/940 E14</t>
  </si>
  <si>
    <t>LED COMFORT/SUPERIOR CL P FIL 40 dim 3,4W/940 E14</t>
  </si>
  <si>
    <t>Superior Class CLASSIC P GL FR 40 DIM 3.4W/927 E14</t>
  </si>
  <si>
    <t>LED COMFORT/SUPERIOR CL P GL FR 40 dim 3,4W/927 E14</t>
  </si>
  <si>
    <t>Superior Class CLASSIC P GL FR 40 DIM 3.4W/940 E14</t>
  </si>
  <si>
    <t>LED COMFORT/SUPERIOR CL P GL FR 40 dim 3,4W/940 E14</t>
  </si>
  <si>
    <t>CLASSIC GLOBE LED SUPERIOR CLASS - Comfort light</t>
  </si>
  <si>
    <t>Superior Class CLASSIC GLOBE125 FIL 100 DIM 11W/927 E27</t>
  </si>
  <si>
    <t>LED COMFORT/SUPERIOR CL GLOBE125 FIL 100 dim 11W/927 E27</t>
  </si>
  <si>
    <t>Superior Class CLASSIC GLOBE125 FIL 100 DIM 11W/940 E27</t>
  </si>
  <si>
    <t>LED COMFORT/SUPERIOR CL GLOBE125 FIL 100 dim 11W/940 E27</t>
  </si>
  <si>
    <t>Superior Class CLASSIC GLOBE95 FIL 100 DIM 11W/927 E27</t>
  </si>
  <si>
    <t>LED COMFORT/SUPERIOR CL GLOBE95 FIL 100 dim 11W/927 E27</t>
  </si>
  <si>
    <t>Superior Class CLASSIC GLOBE95 FIL 100 DIM 11W/940 E27</t>
  </si>
  <si>
    <t>LED COMFORT/SUPERIOR CL GLOBE95 FIL 100 dim 11W/940 E27</t>
  </si>
  <si>
    <t>Superior Class CLASSIC GLOBE95 GL FR 100 DIM 11W/927 E27</t>
  </si>
  <si>
    <t>LED COMFORT/SUPERIOR CL GLOBE95 GL FR 100 dim 11W/927 E27</t>
  </si>
  <si>
    <t>Superior Class CLASSIC GLOBE95 GL FR 100 DIM 11W/940 E27</t>
  </si>
  <si>
    <t>LED COMFORT/SUPERIOR CL GLOBE95 GL FR 100 dim 11W/940 E27</t>
  </si>
  <si>
    <t>CLASSIC EDISON LED SUPERIOR CLASS - Comfort light</t>
  </si>
  <si>
    <t>Superior Class CLASSIC Edison FIL 60 DIM 5.8W/927 E27</t>
  </si>
  <si>
    <t>LED COMFORT/SUPERIOR CL Edison FIL 60 dim 5,8W/927 E27</t>
  </si>
  <si>
    <t>Superior Class CLASSIC Edison FIL 60 DIM 5.8W/940 E27</t>
  </si>
  <si>
    <t>LED COMFORT/SUPERIOR CL Edison FIL 60 dim 5,8W/940 E27</t>
  </si>
  <si>
    <t>CLASSIC A LED PERFORMANCE CLASS DIM CLARA</t>
  </si>
  <si>
    <t>PERFORMANCE CLASS CLASSIC A FIL 40 DIM 4.8W/827 E27</t>
  </si>
  <si>
    <t>PARATHOM DIM CL A FIL 40 dim 4,8W/827 E27</t>
  </si>
  <si>
    <t>PERFORMANCE CLASS CLASSIC A FIL 60 DIM 7W/827 B22d</t>
  </si>
  <si>
    <t>PARATHOM DIM CL A FIL 60 dim 6,5W/827 B22d</t>
  </si>
  <si>
    <t>PERFORMANCE CLASS CLASSIC A FIL 60 DIM 7W/827 E27</t>
  </si>
  <si>
    <t>PARATHOM DIM CL A FIL 60 dim 6,5W/827 E27</t>
  </si>
  <si>
    <t>PERFORMANCE CLASS CLASSIC A FIL 75 DIM 7.5W/827 E27</t>
  </si>
  <si>
    <t>PARATHOM DIM CL A FIL 75 dim 7,5W/827 E27</t>
  </si>
  <si>
    <t>PERFORMANCE CLASS CLASSIC A FIL 100 DIM 11W/827 E27</t>
  </si>
  <si>
    <t>PARATHOM DIM CL A FIL 100 dim 11W/827 E27</t>
  </si>
  <si>
    <t>CLASSIC A LED PERFORMANCE CLASS DIM FOSCA</t>
  </si>
  <si>
    <t>PERFORMANCE CLASS CLASSIC A GL FR 40 DIM 4.8W/827 E27</t>
  </si>
  <si>
    <t>PARATHOM DIM CL A GL FR 40 dim 4,8W/827 E27</t>
  </si>
  <si>
    <t>PERFORMANCE CLASS CLASSIC A GL FR 60 DIM 7W/827 E27</t>
  </si>
  <si>
    <t>PARATHOM DIM CL A GL FR 60 dim 6,5W/827 E27</t>
  </si>
  <si>
    <t>PERFORMANCE CLASS CLASSIC A GL FR 60 DIM 7W/840 E27</t>
  </si>
  <si>
    <t>PARATHOM DIM CL A GL FR 60 dim 6,5W/840 E27</t>
  </si>
  <si>
    <t>PERFORMANCE CLASS CLASSIC A GL FR 60 DIM 7W/827 B22d</t>
  </si>
  <si>
    <t>PARATHOM DIM CL A GL FR 60 dim 6,5W/827 B22d</t>
  </si>
  <si>
    <t>PERFORMANCE CLASS CLASSIC A GL FR 75 DIM 7.5W/827 E27</t>
  </si>
  <si>
    <t>PARATHOM DIM CL A GL FR 75 dim 7,5W/827 E27</t>
  </si>
  <si>
    <t>PERFORMANCE CLASS CLASSIC A GL FR 75 DIM 7.5W/840 E27</t>
  </si>
  <si>
    <t>PARATHOM DIM CL A GL FR 75 dim 7,5W/840 E27</t>
  </si>
  <si>
    <t>PERFORMANCE CLASS CLASSIC A GL FR 100 DIM 11W/827 E27</t>
  </si>
  <si>
    <t>PARATHOM DIM CL A GL FR 100 dim 11W/827 E27</t>
  </si>
  <si>
    <t>PERFORMANCE CLASS CLASSIC A GL FR 150 DIM 18W/827 E27</t>
  </si>
  <si>
    <t>PARATHOM DIM CL A GL FR 150 dim 18W/827 E27</t>
  </si>
  <si>
    <t>CLASSIC A LED PERFORMANCE CLASS NON- DIM CLARA</t>
  </si>
  <si>
    <t>PERFORMANCE CLASS CLASSIC A FIL 40 non-dim 4W/827 E27</t>
  </si>
  <si>
    <t>PARATHOM CL A FIL 40 non-dim 4W/827 E27</t>
  </si>
  <si>
    <t>PERFORMANCE CLASS CLASSIC A FIL 40 non-dim 4W/840 E27</t>
  </si>
  <si>
    <t>PARATHOM CL A FIL 40 non-dim 4W/840 E27</t>
  </si>
  <si>
    <t>PERFORMANCE CLASS CLASSIC A FIL 40 non-dim 4W/827 B22d</t>
  </si>
  <si>
    <t>PARATHOM CL A FIL 40 non-dim 4W/827 B22d</t>
  </si>
  <si>
    <t>PERFORMANCE CLASS CLASSIC A FIL 60 non-dim 6.5W/827 E27</t>
  </si>
  <si>
    <t>PARATHOM CL A FIL 60 non-dim 6,5W/827 E27</t>
  </si>
  <si>
    <t>PERFORMANCE CLASS CLASSIC A FIL 60 non-dim 6.5W/840 E27</t>
  </si>
  <si>
    <t>PARATHOM CL A FIL 60 non-dim 6,5W/840 E27</t>
  </si>
  <si>
    <t>PERFORMANCE CLASS CLASSIC A FIL 60 non-dim 6.5W/827 B22d</t>
  </si>
  <si>
    <t>PARATHOM CL A FIL 60 non-dim 6,5W/827 B22d</t>
  </si>
  <si>
    <t>PERFORMANCE CLASS CLASSIC A FIL 75 non-dim 7.5W/827 E27</t>
  </si>
  <si>
    <t>PARATHOM CL A FIL 75 non-dim 7,5W/827 E27</t>
  </si>
  <si>
    <t>PERFORMANCE CLASS CLASSIC A FIL 75 non-dim 7.5W/840 E27</t>
  </si>
  <si>
    <t>PARATHOM CL A FIL 75 non-dim 7,5W/840 E27</t>
  </si>
  <si>
    <t>PERFORMANCE CLASS CLASSIC A FIL 100 non-dim 11W/827 E27</t>
  </si>
  <si>
    <t>PARATHOM CL A FIL 100 non-dim 11W/827 E27</t>
  </si>
  <si>
    <t>PERFORMANCE CLASS CLASSIC A FIL 100 non-dim 11W/840 E27</t>
  </si>
  <si>
    <t>PARATHOM CL A FIL 100 non-dim 11W/840 E27</t>
  </si>
  <si>
    <t>CLASSIC A LED PERFORMANCE CLASS NON- DIM FOSCA</t>
  </si>
  <si>
    <t>PERFORMANCE CLASS CLASSIC A GL FR 40 non-dim 4W/827 E27</t>
  </si>
  <si>
    <t>PARATHOM CL A GL FR 40 non-dim 4W/827 E27</t>
  </si>
  <si>
    <t>PERFORMANCE CLASS CLASSIC A GL FR 40 non-dim 4W/840 E27</t>
  </si>
  <si>
    <t>PARATHOM CL A GL FR 40 non-dim 4W/840 E27</t>
  </si>
  <si>
    <t>PERFORMANCE CLASS CLASSIC A GL FR 40 non-dim 4W/827 B22d</t>
  </si>
  <si>
    <t>PARATHOM CL A GL FR 40 non-dim 4W/827 B22d</t>
  </si>
  <si>
    <t>PERFORMANCE CLASS CLASSIC A GL FR 60 non-dim 6.5W/827 E27</t>
  </si>
  <si>
    <t>PARATHOM CL A GL FR 60 non-dim 6,5W/827 E27</t>
  </si>
  <si>
    <t>PERFORMANCE CLASS CLASSIC A GL FR 60 non-dim 6.5W/840 E27</t>
  </si>
  <si>
    <t>PARATHOM CL A GL FR 60 non-dim 6,5W/840 E27</t>
  </si>
  <si>
    <t>PERFORMANCE CLASS CLASSIC A GL FR 60 non-dim 6.5W/827 B22d</t>
  </si>
  <si>
    <t>PARATHOM CL A GL FR 60 non-dim 6,5W/827 B22d</t>
  </si>
  <si>
    <t>PERFORMANCE CLASS CLASSIC A GL FR 75 non-dim 7.5W/827 E27</t>
  </si>
  <si>
    <t>PARATHOM CL A GL FR 75 non-dim 7,5W/827 E27</t>
  </si>
  <si>
    <t>PERFORMANCE CLASS CLASSIC A GL FR 75 non-dim 7.5W/840 E27</t>
  </si>
  <si>
    <t>PARATHOM CL A GL FR 75 non-dim 7,5W/840 E27</t>
  </si>
  <si>
    <t>PERFORMANCE CLASS CLASSIC A GL FR 100 non-dim 11W/827 E27</t>
  </si>
  <si>
    <t>PARATHOM CL A GL FR 100 non-dim 11W/827 E27</t>
  </si>
  <si>
    <t>PERFORMANCE CLASS CLASSIC A GL FR 150 non-dim 17W/827 E27</t>
  </si>
  <si>
    <t>PARATHOM CL A GL FR 150 non-dim 17W/827 E27</t>
  </si>
  <si>
    <t>PERFORMANCE CLASS CLASSIC A GL FR 150 non-dim 17W/840 E27</t>
  </si>
  <si>
    <t>PARATHOM CL A GL FR 150 non-dim 17W/840 E27</t>
  </si>
  <si>
    <t>PERFORMANCE CLASS CLASSIC A GL FR 200 non-dim 24W/827 E27</t>
  </si>
  <si>
    <t>PARATHOM CL A GL FR 200 non-dim 24W/827 E27</t>
  </si>
  <si>
    <t>PERFORMANCE CLASS CLASSIC A GL FR 200 non-dim 24W/840 E27</t>
  </si>
  <si>
    <t>PARATHOM CL A GL FR 200 non-dim 24W/840 E27</t>
  </si>
  <si>
    <t>CLASSIC B LED PERFORMANCE DIM CLARA</t>
  </si>
  <si>
    <t>PERFORMANCE CLASS CLASSIC B FIL 40 DIM 4.8W/827 E14</t>
  </si>
  <si>
    <t>PARATHOM DIM CL B FIL 40 dim 4,8W/827 E14</t>
  </si>
  <si>
    <t>PERFORMANCE CLASS CLASSIC B FIL 40 DIM 4.8W/827 E27</t>
  </si>
  <si>
    <t>PARATHOM DIM CL B FIL 40 dim 4,8W/827 E27</t>
  </si>
  <si>
    <t>CLASSIC B LED PERFORMANCE DIM FOSCA</t>
  </si>
  <si>
    <t>PERFORMANCE CLASS CLASSIC B GL FR 40 DIM 4.8W/827 E14</t>
  </si>
  <si>
    <t>PARATHOM DIM CL B GL FR 40 dim 4,8W/827 E14</t>
  </si>
  <si>
    <t>PERFORMANCE CLASS CLASSIC B GL FR 40 DIM 4.8W/827 B22d</t>
  </si>
  <si>
    <t>PARATHOM DIM CL B GL FR 40 dim 4,8W/827 B22d</t>
  </si>
  <si>
    <t>PERFORMANCE CLASS CLASSIC B GL FR 60 DIM 5.5W/827 E14</t>
  </si>
  <si>
    <t>PARATHOM DIM CL B GL FR 60 dim 5,5W/827 E14</t>
  </si>
  <si>
    <t>CLASSIC B LED PERFORMANCE NON-DIM CLARA</t>
  </si>
  <si>
    <t>PERFORMANCE CLASS CLASSIC B FIL 25 non-dim 2.5W/827 E14</t>
  </si>
  <si>
    <t>PARATHOM CL B FIL 25 non-dim 2,5W/827 E14</t>
  </si>
  <si>
    <t>PERFORMANCE CLASS CLASSIC B FIL 25 non-dim 2.5W/827 B22d</t>
  </si>
  <si>
    <t>PARATHOM CL B FIL 25 non-dim 2,5W/827 B22d</t>
  </si>
  <si>
    <t>PERFORMANCE CLASS CLASSIC B FIL 40 non-dim 4W/827 E14</t>
  </si>
  <si>
    <t>PARATHOM CL B FIL 40 non-dim 4W/827 E14</t>
  </si>
  <si>
    <t>PERFORMANCE CLASS CLASSIC B FIL 40 non-dim 4W/827 B22d</t>
  </si>
  <si>
    <t>PARATHOM CL B FIL 40 non-dim 4W/827 B22d</t>
  </si>
  <si>
    <t>PERFORMANCE CLASS CLASSIC B FIL 40 non-dim 4W/827 E27</t>
  </si>
  <si>
    <t>PARATHOM CL B FIL 40 non-dim 4W/827 E27</t>
  </si>
  <si>
    <t>PERFORMANCE CLASS CLASSIC B FIL 40 non-dim 4W/840 E14</t>
  </si>
  <si>
    <t>PARATHOM CL B FIL 40 non-dim 4W/840 E14</t>
  </si>
  <si>
    <t>PERFORMANCE CLASS CLASSIC BA FIL 40 non-dim 4W/827 E14</t>
  </si>
  <si>
    <t>PARATHOM CL BA FIL 40 non-dim 4W/827 E14</t>
  </si>
  <si>
    <t>PERFORMANCE CLASS CLASSIC BW FIL 40 non-dim 4W/827 E14</t>
  </si>
  <si>
    <t>PARATHOM CL BW FIL 40 non-dim 4W/827 E14</t>
  </si>
  <si>
    <t>PERFORMANCE CLASS CLASSIC B FIL 60 non-dim 5.5W/827 E14</t>
  </si>
  <si>
    <t>PARATHOM CL B FIL 60 non-dim 5,5W/827 E14</t>
  </si>
  <si>
    <t>CLASSIC B LED PERFORMANCE NON-DIM FOSCA</t>
  </si>
  <si>
    <t>PERFORMANCE CLASS CLASSIC B GL FR 25 non-dim 2.5W/827 E14</t>
  </si>
  <si>
    <t>PARATHOM CL B GL FR 25 non-dim 2,5W/827 E14</t>
  </si>
  <si>
    <t>PERFORMANCE CLASS CLASSIC B GL FR 40 non-dim 4W/827 B22d</t>
  </si>
  <si>
    <t>PARATHOM CL B GL FR 40 non-dim 4W/827 B22d</t>
  </si>
  <si>
    <t>PERFORMANCE CLASS CLASSIC B GL FR 40 non-dim 4W/827 E14</t>
  </si>
  <si>
    <t>PARATHOM CL B GL FR 40 non-dim 4W/827 E14</t>
  </si>
  <si>
    <t>PERFORMANCE CLASS CLASSIC B GL FR 60 non-dim 5.5W/827 E14</t>
  </si>
  <si>
    <t>PARATHOM CL B GL FR 60 non-dim 5,5W/827 E14</t>
  </si>
  <si>
    <t>CLASSIC P LED PERFORMANCE  DIM CLARA</t>
  </si>
  <si>
    <t>PERFORMANCE CLASS CLASSIC P FIL 40 DIM 4.8W/827 E27</t>
  </si>
  <si>
    <t>PARATHOM DIM CL P FIL 40 dim 4,8W/827 E27</t>
  </si>
  <si>
    <t>PERFORMANCE CLASS CLASSIC P FIL 40 DIM 4.8W/827 E14</t>
  </si>
  <si>
    <t>PARATHOM DIM CL P FIL 40 dim 4,8W/827 E14</t>
  </si>
  <si>
    <t>CLASSIC P LED PERFORMANCE  DIM FOSCA</t>
  </si>
  <si>
    <t>PERFORMANCE CLASS CLASSIC P GL FR 25 DIM 2.8W/827 E14</t>
  </si>
  <si>
    <t>PARATHOM DIM CL P GL FR 25 dim 2,8W/827 E14</t>
  </si>
  <si>
    <t>PERFORMANCE CLASS CLASSIC P GL FR 25 DIM 2.8W/827 E27</t>
  </si>
  <si>
    <t>PARATHOM DIM CL P GL FR 25 dim 2,8W/827 E27</t>
  </si>
  <si>
    <t>PERFORMANCE CLASS CLASSIC P GL FR 40 DIM 4.8W/827 E14</t>
  </si>
  <si>
    <t>PARATHOM DIM CL P GL FR 40 dim 4,8W/827 E14</t>
  </si>
  <si>
    <t>PERFORMANCE CLASS CLASSIC P GL FR 40 DIM 4.8W/827 E27</t>
  </si>
  <si>
    <t>PARATHOM DIM CL P GL FR 40 dim 4,8W/827 E27</t>
  </si>
  <si>
    <t>PERFORMANCE CLASS CLASSIC P GL FR 40 DIM 4.8W/827 B22d</t>
  </si>
  <si>
    <t>PARATHOM DIM CL P GL FR 40 dim 4,8W/827 B22d</t>
  </si>
  <si>
    <t>PERFORMANCE CLASS CLASSIC P GL FR 60 DIM 5.5W/827 E14</t>
  </si>
  <si>
    <t>PARATHOM DIM CL P GL FR 60 dim 6,5W/827 E14</t>
  </si>
  <si>
    <t>CLASSIC P LED PERFORMANCE CLARA</t>
  </si>
  <si>
    <t>PERFORMANCE CLASS CLASSIC P FIL 15 non-dim 1.5W/827 E27</t>
  </si>
  <si>
    <t>PARATHOM CL P FIL 15 non-dim 1,5W/827 E27</t>
  </si>
  <si>
    <t>PERFORMANCE CLASS CLASSIC P FIL 25 non-dim 2.5W/827 E14</t>
  </si>
  <si>
    <t>PARATHOM CL P FIL 25 non-dim 2,5W/827 E14</t>
  </si>
  <si>
    <t>PERFORMANCE CLASS CLASSIC P FIL 25 non-dim 2.5W/827 E27</t>
  </si>
  <si>
    <t>PARATHOM CL P FIL 25 non-dim 2,5W/827 E27</t>
  </si>
  <si>
    <t>PERFORMANCE CLASS CLASSIC P FIL 40 non-dim 4W/827 E14</t>
  </si>
  <si>
    <t>PARATHOM CL P FIL 40 non-dim 4W/827 E14</t>
  </si>
  <si>
    <t>PERFORMANCE CLASS CLASSIC P FIL 60 non-dim 5.5W/827 E14</t>
  </si>
  <si>
    <t>PARATHOM CL P FIL 60 non-dim 5,5W/827 E14</t>
  </si>
  <si>
    <t>PERFORMANCE CLASS CLASSIC P FIL 60 non-dim 5.5W/827 E27</t>
  </si>
  <si>
    <t>PARATHOM CL P FIL 60 non-dim 5,5W/827 E27</t>
  </si>
  <si>
    <t>CLASSIC P LED PERFORMANCE FOSCA</t>
  </si>
  <si>
    <t>PERFORMANCE CLASS CLASSIC P GL FR 25 non-dim 2.5W/827 E14</t>
  </si>
  <si>
    <t>PARATHOM CL P GL FR 25 non-dim 2,5W/827 E14</t>
  </si>
  <si>
    <t>PERFORMANCE CLASS CLASSIC P GL FR 25 non-dim 2.5W/827 E27</t>
  </si>
  <si>
    <t>PARATHOM CL P GL FR 25 non-dim 2,5W/827 E27</t>
  </si>
  <si>
    <t>PERFORMANCE CLASS CLASSIC P GL FR 40 non-dim 4W/827 E14</t>
  </si>
  <si>
    <t>PARATHOM CL P GL FR 40 non-dim 4W/827 E14</t>
  </si>
  <si>
    <t>PERFORMANCE CLASS CLASSIC P GL FR 40 non-dim 4W/827 B22d</t>
  </si>
  <si>
    <t>PARATHOM CL P GL FR 40 non-dim 4W/827 B22d</t>
  </si>
  <si>
    <t>PERFORMANCE CLASS CLASSIC P GL FR 40 non-dim 4W/827 E27</t>
  </si>
  <si>
    <t>PARATHOM CL P GL FR 40 non-dim 4W/827 E27</t>
  </si>
  <si>
    <t>PERFORMANCE CLASS CLASSIC P GL FR 60 non-dim 5.5W/827 E14</t>
  </si>
  <si>
    <t>PARATHOM CL P GL FR 60 non-dim 5,5W/827 E14</t>
  </si>
  <si>
    <t>GLOBE125 LED PERFORMANCE FILAMENT</t>
  </si>
  <si>
    <t>PERFORMANCE CLASS CLASSIC GLOBE125 FIL 25 non-dim 2.5W/827 E27</t>
  </si>
  <si>
    <t>PARATHOM CL GLOBE125 FIL 25 non-dim 2,5W/827 E27</t>
  </si>
  <si>
    <t>PERFORMANCE CLASS CLASSIC GLOBE125 FIL 40 non-dim 4W/827 E27</t>
  </si>
  <si>
    <t>PARATHOM CL GLOBE125 FIL 40 non-dim 4W/827 E27</t>
  </si>
  <si>
    <t>PERFORMANCE CLASS CLASSIC GLOBE125 FIL 60 non-dim 7W/827 E27</t>
  </si>
  <si>
    <t>PARATHOM CL GLOBE125 FIL 60 non-dim 6,5W/827 E27</t>
  </si>
  <si>
    <t>GLOBE95 LED PERFORMANCE DIM GLASS FOSCA</t>
  </si>
  <si>
    <t>PERFORMANCE CLASS CLASSIC GLOBE95 GL FR 75 DIM 7.5W/827 E27</t>
  </si>
  <si>
    <t>PARATHOM DIM CL GLOBE95 GL FR 75 dim 7,5W/827 E27</t>
  </si>
  <si>
    <t>PERFORMANCE CLASS CLASSIC GLOBE95 GL FR 100 DIM 11W/827 E27</t>
  </si>
  <si>
    <t>PARATHOM DIM CL GLOBE95 GL FR 100 dim 11W/827 E27</t>
  </si>
  <si>
    <t>GLOBE LED PERFOMARMANCE GLASS FOSCA</t>
  </si>
  <si>
    <t>PERFORMANCE CLASS CLASSIC GLOBE95 GL FR 60 non-dim 6.5W/827 E27</t>
  </si>
  <si>
    <t>PARATHOM CL GLOBE95 GL FR 60 non-dim 6,5W/827 E27</t>
  </si>
  <si>
    <t>PERFORMANCE CLASS CLASSIC GLOBE95 GL FR 100 non-dim 11W/827 E27</t>
  </si>
  <si>
    <t>PARATHOM CL GLOBE95 GL FR 100 non-dim 11W/827 E27</t>
  </si>
  <si>
    <t>EDISON LED PERFORMANCE</t>
  </si>
  <si>
    <t>PERFORMANCE CLASS CLASSIC Edison FIL 40 non-dim 4W/827 E27</t>
  </si>
  <si>
    <t>PARATHOM CL Edison FIL 40 non-dim 4W/827 E27</t>
  </si>
  <si>
    <t>PERFORMANCE CLASS CLASSIC Edison GL FR 40 non-dim 4W/827 E27</t>
  </si>
  <si>
    <t>PARATHOM CL Edison GL FR 40 non-dim 4W/827 E27</t>
  </si>
  <si>
    <t>PERFORMANCE CLASS CLASSIC Edison GL FR 55 non-dim 6.5W/827 E27</t>
  </si>
  <si>
    <t>PARATHOM CL Edison GL FR 55 non-dim 6,5W/827 E27</t>
  </si>
  <si>
    <t>CLASSIC LED 1906 DIM</t>
  </si>
  <si>
    <t>Vintage 1906 LED dim CLASSIC Edison FIL GOLD 55 DIM 6.5W/824 E27</t>
  </si>
  <si>
    <t>Vintage 1906 LED dim CL Edison FIL GOLD 55 dim 6,5W/824 E27</t>
  </si>
  <si>
    <t>Vintage 1906 LED dim CLASSIC GLOBE125 FIL GOLD 55 DIM 6.5W/824 E27</t>
  </si>
  <si>
    <t>Vintage 1906 LED dim CL GLOBE125 FIL GOLD 55 dim 6,5W/824 E27</t>
  </si>
  <si>
    <t>CLASSIC LED A, GLOBO e EDISON FILAMENTO MAGNÉTICO</t>
  </si>
  <si>
    <t>Vintage 1906 Classic A 4 Filament Magnetic 1.8W 818 Smoke E27</t>
  </si>
  <si>
    <t xml:space="preserve">Vintage 1906 Edison 6 Filament Magnetic 2.2W 818 Smoke E27 </t>
  </si>
  <si>
    <t>Vintage 1906 Globe 95 6 Filament Magnetic 2.2W 818 Smoke E27</t>
  </si>
  <si>
    <t>Vintage 1906 Classic A 8 Filament Magnetic 1.8W 827 Gold E272</t>
  </si>
  <si>
    <t>Vintage 1906 Classic A 10 Filament Magnetic 1.8W 827 Clear E27</t>
  </si>
  <si>
    <t xml:space="preserve">Vintage 1906 Edison 12 Filament Magnetic 2.2W 827 Gold E272 </t>
  </si>
  <si>
    <t>Vintage 1906 Globe 95 12 Filament Magnetic 2.2W 827 Gold E27</t>
  </si>
  <si>
    <t>Vintage 1906 Edison 16 Filament Magnetic 2.2W 827 Clear E27</t>
  </si>
  <si>
    <t>Vintage 1906 Globe 95 16 Filament Magnetic 2.2W 827 Clear E27</t>
  </si>
  <si>
    <t>CLASSIC LED 1906 DIM SPIRAL FILAMENT CLARA</t>
  </si>
  <si>
    <t>Vintage 1906 Edison 40 Filament DIM 4.8W 827 Clear E27</t>
  </si>
  <si>
    <t>Vintage 1906 Globe 95 40 Filament DIM 4.8W 827 Clear E27</t>
  </si>
  <si>
    <t>Vintage 1906 Globe 80 40 Filament DIM 4.8W 827 Clear E27</t>
  </si>
  <si>
    <t>Vintage 1906 Classic A 40 Filament DIM 4.8W 827 Clear E27</t>
  </si>
  <si>
    <t>Vintage 1906 Classic B 40 Filament DIM 4.8W 827 Clear E14</t>
  </si>
  <si>
    <t>Vintage 1906 Classic P 40 Filament DIM 4.8W 827 Clear E14</t>
  </si>
  <si>
    <t>CLASSIC LED 1906 DIM SPIRAL FILAMENT - GOLD &amp; SMOKE Glass</t>
  </si>
  <si>
    <t>Vintage 1906 LED dim CLASSIC GLOBE125 FIL GOLD 28 DIM 4W/820 E27</t>
  </si>
  <si>
    <t>Vintage 1906 LED dim CL GLOBE125 FIL GOLD 28 dim 4W/820 E27</t>
  </si>
  <si>
    <t>Vintage 1906 LED dim CLASSIC Edison FIL GOLD 28 DIM 4W/820 E27</t>
  </si>
  <si>
    <t>Vintage 1906 LED dim CL Edison FIL GOLD 28 dim 4W/820 E27</t>
  </si>
  <si>
    <t>Vintage 1906 Mini Edison ST 45 33 Filament DIM 4.8W 822 Gold E271</t>
  </si>
  <si>
    <t>Vintage 1906 LED dim CLASSIC GLOBE200 FIL GOLD 28 DIM 4W/820 E27</t>
  </si>
  <si>
    <t>Vintage 1906 LED dim CL GLOBE200 FIL GOLD 28 dim 4W/820 E27</t>
  </si>
  <si>
    <t>Vintage 1906 LED dim CLASSIC A160 FIL GOLD 28 DIM 4W/820 E27</t>
  </si>
  <si>
    <t>Vintage 1906 LED dim CL A160 FIL GOLD 28 dim 4W/820 E27</t>
  </si>
  <si>
    <t>Vintage 1906 LED dim CLASSIC GLOBE200 FIL SMOKE 16 DIM 4W/818 E27</t>
  </si>
  <si>
    <t>Vintage 1906 LED dim CL GLOBE200 FIL SMOKE 16 dim 4W/818 E27</t>
  </si>
  <si>
    <t>Vintage 1906 LED dim CLASSIC A160 FIL SMOKE 16 DIM 4W/818 E27</t>
  </si>
  <si>
    <t>Vintage 1906 LED dim CL A160 FIL SMOKE 16 dim 4W/818 E27</t>
  </si>
  <si>
    <t>LED Vintage 1906 Spiral ULTRA THIN Filaments - Dim SMOKE</t>
  </si>
  <si>
    <t>Vintage 1906 LED dim CLASSIC Edison FIL SMOKE 30 DIM 7.8W/818 E27</t>
  </si>
  <si>
    <t>Vintage 1906 LED dim CL Edison FIL SMOKE 30 dim 7,8W/818 E27</t>
  </si>
  <si>
    <t>Vintage 1906 LED dim CLASSIC Globe80 FIL SMOKE 30 DIM 7.8W/818 E27</t>
  </si>
  <si>
    <t>Vintage 1906 LED dim CL Globe80 FIL SMOKE 30 dim 7,8W/818 E27</t>
  </si>
  <si>
    <t>Vintage 1906 LED dim CLASSIC GLOBE95 FIL SMOKE 30 DIM 7.8W/818 E27</t>
  </si>
  <si>
    <t>Vintage 1906 LED dim CL Globe95 FIL SMOKE 30 dim 7,8W/818 E27</t>
  </si>
  <si>
    <t>Vintage 1906 LED dim CLASSIC Globe125 FIL SMOKE 30 DIM 7.8W/818 E27</t>
  </si>
  <si>
    <t>Vintage 1906 LED dim CL Globe125 FIL SMOKE 30 dim 7,8W/818 E27</t>
  </si>
  <si>
    <t>Vintage 1906 LED dim CLASSIC Globe200 FIL SMOKE 10 DIM 4.8W/818 E27</t>
  </si>
  <si>
    <t>Vintage 1906 LED dim CL Globe200 FIL SMOKE 18 dim 4,8W/818 E27</t>
  </si>
  <si>
    <t>LED Vintage 1906 Straight ULTRA THIN Filaments - Dim SMOKE</t>
  </si>
  <si>
    <t>Vintage 1906 LED dim CLASSIC Edison FIL SMOKE 42 DIM 11W/818 E27</t>
  </si>
  <si>
    <t>Vintage 1906 LED dim CL Edison FIL SMOKE 42 dim 11W/818 E27</t>
  </si>
  <si>
    <t>Vintage 1906 LED dim CLASSIC Globe80 FIL SMOKE 42 DIM 11W/818 E27</t>
  </si>
  <si>
    <t>Vintage 1906 LED dim CL Globe80 FIL SMOKE 42 dim 11W/818 E27</t>
  </si>
  <si>
    <t>Vintage 1906 LED dim CLASSIC GLOBE95 FIL SMOKE 42 DIM 11W/818 E27</t>
  </si>
  <si>
    <t>Vintage 1906 LED dim CL Globe95 FIL SMOKE 42 dim 11W/818 E27</t>
  </si>
  <si>
    <t>Vintage 1906 LED dim CLASSIC Globe125 FIL SMOKE 42 DIM 11W/818 E27</t>
  </si>
  <si>
    <t>Vintage 1906 LED dim CL Globe125 FIL SMOKE 42 dim 11W/818 E27</t>
  </si>
  <si>
    <t>LED Vintage 1906 Spiral ULTRA THIN Filaments - Dim GOLD</t>
  </si>
  <si>
    <t>Vintage 1906 LED dim CLASSIC B FIL GOLD 25 DIM 3.4W/822 E14</t>
  </si>
  <si>
    <t>Vintage 1906 LED dim CL B FIL GOLD 25 dim 3,4W/822 E14</t>
  </si>
  <si>
    <t>Vintage 1906 LED dim CLASSIC P FIL GOLD 25 DIM 3.4W/822 E14</t>
  </si>
  <si>
    <t>Vintage 1906 LED dim CL P FIL GOLD 25 dim 3,4W/822 E14</t>
  </si>
  <si>
    <t>Vintage 1906 LED dim CLASSIC A FIL GOLD 35 DIM 4.8W/822 E27</t>
  </si>
  <si>
    <t>Vintage 1906 LED dim CL A FIL GOLD 35 dim 4,8W/822 E27</t>
  </si>
  <si>
    <t>Vintage 1906 LED dim CLASSIC Edison FIL GOLD 37 DIM 4.8W/822 E27</t>
  </si>
  <si>
    <t>Vintage 1906 LED dim CL Edison FIL GOLD 37 dim 4,8W/822 E27</t>
  </si>
  <si>
    <t>Vintage 1906 LED dim CLASSIC Edison FIL GOLD 48 DIM 7W/822 E27</t>
  </si>
  <si>
    <t>Vintage 1906 LED dim CL Edison FIL GOLD 48 dim 7W/822 E27</t>
  </si>
  <si>
    <t>Vintage 1906 LED dim CLASSIC Globe80 FIL GOLD 37 DIM 4.8W/822 E27</t>
  </si>
  <si>
    <t>Vintage 1906 LED dim CL Globe80 FIL GOLD 37 dim 4,8W/822 E27</t>
  </si>
  <si>
    <t>Vintage 1906 LED dim CLASSIC Globe80 FIL GOLD 48 DIM 7W/822 E27</t>
  </si>
  <si>
    <t>Vintage 1906 LED dim CL Globe80 FIL GOLD 48 dim 7W/822 E27</t>
  </si>
  <si>
    <t>Vintage 1906 LED dim CLASSIC GLOBE95 FIL GOLD 37 DIM 4.8W/822 E27</t>
  </si>
  <si>
    <t>Vintage 1906 LED dim CL Globe95 FIL GOLD 37 dim 4,8W/822 E27</t>
  </si>
  <si>
    <t>Vintage 1906 LED dim CLASSIC GLOBE95 FIL GOLD 48 DIM 7W/822 E27</t>
  </si>
  <si>
    <t>Vintage 1906 LED dim CL Globe95 FIL GOLD 48 dim 7W/822 E27</t>
  </si>
  <si>
    <t>Vintage 1906 LED dim CLASSIC Globe125 FIL GOLD 37 DIM 4.8W/822 E27</t>
  </si>
  <si>
    <t>Vintage 1906 LED dim CL Globe125 FIL GOLD 37 dim 4,8W/822 E27</t>
  </si>
  <si>
    <t>Vintage 1906 LED dim CLASSIC Globe125 FIL GOLD 48 DIM 7W/822 E27</t>
  </si>
  <si>
    <t>Vintage 1906 LED dim CL Globe125 FIL GOLD 48 dim 7W/822 E27</t>
  </si>
  <si>
    <t>Vintage 1906 LED dim CLASSIC Globe200 FIL GOLD 33 DIM 4.8W/822 E27</t>
  </si>
  <si>
    <t>Vintage 1906 LED dim CL Globe200 FIL GOLD 33 dim 4,8W/822 E27</t>
  </si>
  <si>
    <t>LED Vintage 1906 Straight ULTRA THIN Filaments - Dim GOLD</t>
  </si>
  <si>
    <t>Vintage 1906 LED dim CLASSIC Edison FIL GOLD 40 DIM 5.8W/822 E27</t>
  </si>
  <si>
    <t>Vintage 1906 LED dim CL Edison FIL GOLD 40 dim 5,8W/822 E27</t>
  </si>
  <si>
    <t>Vintage 1906 LED dim CLASSIC Edison FIL GOLD 60 DIM 8.8W/822 E27</t>
  </si>
  <si>
    <t>Vintage 1906 LED dim CL Edison FIL GOLD 60 dim 8,8W/822 E27</t>
  </si>
  <si>
    <t>Vintage 1906 LED dim CLASSIC Globe80 FIL GOLD 40 DIM 5.8W/822 E27</t>
  </si>
  <si>
    <t>Vintage 1906 LED dim CL Globe80 FIL GOLD 40 dim 5,8W/822 E27</t>
  </si>
  <si>
    <t>Vintage 1906 LED dim CLASSIC Globe80 FIL GOLD 60 DIM 8.8W/822 E27</t>
  </si>
  <si>
    <t>Vintage 1906 LED dim CL Globe80 FIL GOLD 60 dim 8,8W/822 E27</t>
  </si>
  <si>
    <t>Vintage 1906 LED dim CLASSIC GLOBE95 FIL GOLD 40 DIM 5.8W/822 E27</t>
  </si>
  <si>
    <t>Vintage 1906 LED dim CL Globe95 FIL GOLD 40 dim 5,8W/822 E27</t>
  </si>
  <si>
    <t>Vintage 1906 LED dim CLASSIC GLOBE95 FIL GOLD 60 DIM 8.8W/822 E27</t>
  </si>
  <si>
    <t>Vintage 1906 LED dim CL Globe95 FIL GOLD 60 dim 8,8W/822 E27</t>
  </si>
  <si>
    <t>Vintage 1906 LED dim CLASSIC Globe125 FIL GOLD 40 DIM 5.8W/822 E27</t>
  </si>
  <si>
    <t>Vintage 1906 LED dim CL Globe125 FIL GOLD 40 dim 5,8W/822 E27</t>
  </si>
  <si>
    <t>Vintage 1906 LED dim CLASSIC Globe125 FIL GOLD 60 DIM 8.8W/822 E27</t>
  </si>
  <si>
    <t>Vintage 1906 LED dim CL Globe125 FIL GOLD 60 dim 8,8W/822 E27</t>
  </si>
  <si>
    <t>Vintage 1906 LED dim CLASSIC D170G White 30 DIM 4.8W/827 E27</t>
  </si>
  <si>
    <t>Vintage 1906 LED dim CL D170G White 30 dim 4,8W/827 E27</t>
  </si>
  <si>
    <t>Vintage 1906 LED dim CLASSIC Nest Smoke FIL SMOKE 10 DIM 4.8W/818 E27</t>
  </si>
  <si>
    <t>Vintage 1906 LED dim CL Nest Smoke FIL SMOKE 10 dim 4,8W/818 E27</t>
  </si>
  <si>
    <t>Vintage 1906 LED dim CLASSIC Nest Gold FIL GOLD 33 DIM 4.8W/824 E27</t>
  </si>
  <si>
    <t>Vintage 1906 LED dim CL Nest Gold FIL GOLD 33 dim 4,8W/824 E27</t>
  </si>
  <si>
    <t>Vintage 1906 LED dim CLASSIC T10 FIL GOLD 40 DIM 4.8W/822 E27</t>
  </si>
  <si>
    <t>Vintage 1906 LED dim CL T10 FIL GOLD 40 dim 4,8W/822 E27</t>
  </si>
  <si>
    <t>Vintage 1906 LED dim CLASSIC Globe 140E FIL SMOKE 15 DIM 4.5W/816 E27</t>
  </si>
  <si>
    <t>Vintage 1906 LED dim CL Globe 140E FIL SMOKE 15 dim 4,5W/816 E27</t>
  </si>
  <si>
    <t>Vintage 1906 LED dim CLASSIC ET124 Green 20 DIM 4.5W/816 E27</t>
  </si>
  <si>
    <t>Vintage 1906 LED dim CL ET124 Green 20 dim 4,5W/816 E27</t>
  </si>
  <si>
    <t>Vintage 1906 LED dim CLASSIC G170G Blue 8 DIM 4.5W/816 E27</t>
  </si>
  <si>
    <t>Vintage 1906 LED dim CL G170G Blue 8 dim 4,5W/816 E27</t>
  </si>
  <si>
    <t>Vintage 1906 LED dim CLASSIC G170G Pink 15 DIM 4.5W/816 E27</t>
  </si>
  <si>
    <t>Vintage 1906 LED dim CL G170G Pink 15 dim 4,5W/816 E27</t>
  </si>
  <si>
    <t>Vintage 1906 LED dim CLASSIC A160 FIL SMOKE 10 DIM 4.5W/817 E27</t>
  </si>
  <si>
    <t>Vintage 1906 LED dim CL A160 FIL SMOKE 10 dim 4,5W/817 E27</t>
  </si>
  <si>
    <t>Vintage 1906 LED dim CLASSIC AW188 FIL SMOKE 15 DIM 4W/818 E27</t>
  </si>
  <si>
    <t>Vintage 1906 LED dim CL AW188 FIL SMOKE 15 dim 4W/818 E27</t>
  </si>
  <si>
    <t>Vintage 1906 LED dim CLASSIC C125 FIL SMOKE 15 DIM 4W/818 E27</t>
  </si>
  <si>
    <t>Vintage 1906 LED dim CL C125 FIL SMOKE 15 dim 4W/818 E27</t>
  </si>
  <si>
    <t>CLASSIC LED 1906 NON-DIM</t>
  </si>
  <si>
    <t>Vintage 1906 LED CLASSIC A FIL SMOKE 10 non-dim 3.4W/818 E27</t>
  </si>
  <si>
    <t>Vintage 1906 LED CL A FIL SMOKE 10 non-dim 3,4W/818 E27</t>
  </si>
  <si>
    <t>Vintage 1906 LED CLASSIC Edison FIL SMOKE 10 non-dim 3.4W/818 E27</t>
  </si>
  <si>
    <t>Vintage 1906 LED CL Edison FIL SMOKE 10 non-dim 3,4W/818 E27</t>
  </si>
  <si>
    <t>Vintage 1906 LED CLASSIC GLOBE95 FIL SMOKE 10 non-dim 3.4W/818 E27</t>
  </si>
  <si>
    <t>Vintage 1906 LED CL Globe 95 FIL SMOKE 10 non-dim 3,4W/818 E27</t>
  </si>
  <si>
    <t>CLASSIC LED 1906 A, B, BA, BW</t>
  </si>
  <si>
    <t>Vintage 1906 LED CLASSIC A FIL GOLD 22 non-dim 2.5W/824 E27</t>
  </si>
  <si>
    <t>Vintage 1906 LED CL A FIL GOLD 22 non-dim 2,5W/824 E27</t>
  </si>
  <si>
    <t>Vintage 1906 LED CLASSIC A FIL GOLD 35 non-dim 4W/824 E27</t>
  </si>
  <si>
    <t>Vintage 1906 LED CL A FIL GOLD 35 non-dim 4W/824 E27</t>
  </si>
  <si>
    <t>Vintage 1906 LED CLASSIC A FIL GOLD 50 non-dim 6.5W/824 E27</t>
  </si>
  <si>
    <t>Vintage 1906 LED CL A FIL GOLD 50 non-dim 6,5W/824 E27</t>
  </si>
  <si>
    <t>Vintage 1906 LED CLASSIC A FIL GOLD 63 non-dim 7.5W/824 E27</t>
  </si>
  <si>
    <t>Vintage 1906 LED CL A FIL GOLD 63 non-dim 7,5W/824 E27</t>
  </si>
  <si>
    <t>Vintage 1906 LED CLASSIC B FIL GOLD 12 non-dim 1.5W/824 E14</t>
  </si>
  <si>
    <t>Vintage 1906 LED CL B FIL GOLD 12 non-dim 1,5W/824 E14</t>
  </si>
  <si>
    <t>Vintage 1906 LED CLASSIC B FIL GOLD 22 non-dim 2.5W/824 E14</t>
  </si>
  <si>
    <t>Vintage 1906 LED CL B FIL GOLD 22 non-dim 2,5W/824 E14</t>
  </si>
  <si>
    <t>Vintage 1906 LED CLASSIC B FIL GOLD 35 non-dim 4W/824 E14</t>
  </si>
  <si>
    <t>Vintage 1906 LED CL B FIL GOLD 35 non-dim 4W/824 E14</t>
  </si>
  <si>
    <t>Vintage 1906 LED CLASSIC BA FIL GOLD 12 non-dim 1.5W/824 E14</t>
  </si>
  <si>
    <t>Vintage 1906 LED CL BA FIL GOLD 12 non-dim 1,5W/824 E14</t>
  </si>
  <si>
    <t>Vintage 1906 LED CLASSIC BA FIL GOLD 22 non-dim 2.5W/824 E14</t>
  </si>
  <si>
    <t>Vintage 1906 LED CL BA FIL GOLD 22 non-dim 2,5W/824 E14</t>
  </si>
  <si>
    <t>Vintage 1906 LED CLASSIC BW FIL GOLD 12 non-dim 1.5W/824 E14</t>
  </si>
  <si>
    <t>Vintage 1906 LED CL BW FIL GOLD 12 non-dim 1,5W/824 E14</t>
  </si>
  <si>
    <t>Vintage 1906 LED CLASSIC BW FIL GOLD 22 non-dim 2.5W/824 E14</t>
  </si>
  <si>
    <t>Vintage 1906 LED CL BW FIL GOLD 22 non-dim 2,5W/824 E14</t>
  </si>
  <si>
    <t>CLASSIC LED 1906 P, EDISON, GLOBE</t>
  </si>
  <si>
    <t>Vintage 1906 LED CLASSIC P FIL GOLD 22 non-dim 2.5W/824 E14</t>
  </si>
  <si>
    <t>Vintage 1906 LED CL P FIL GOLD 22 non-dim 2,5W/824 E14</t>
  </si>
  <si>
    <t>Vintage 1906 LED CLASSIC P FIL GOLD 35 non-dim 4W/824 E14</t>
  </si>
  <si>
    <t>Vintage 1906 LED CL P FIL GOLD 35 non-dim 4W/824 E14</t>
  </si>
  <si>
    <t>Vintage 1906 LED CLASSIC Edison FIL GOLD 22 non-dim 2.5W/824 E27</t>
  </si>
  <si>
    <t>Vintage 1906 LED CL Edison FIL GOLD 22 non-dim 2,5W/824 E27</t>
  </si>
  <si>
    <t>Vintage 1906 LED CLASSIC Edison FIL GOLD 35 non-dim 4W/824 E27</t>
  </si>
  <si>
    <t>Vintage 1906 LED CL Edison FIL GOLD 35 non-dim 4W/824 E27</t>
  </si>
  <si>
    <t>Vintage 1906 LED CLASSIC GLOBE125 FIL GOLD 22 non-dim 2.5W/824 E27</t>
  </si>
  <si>
    <t>Vintage 1906 LED CL GLOBE125 FIL GOLD 22 non-dim 2,5W/824 E27</t>
  </si>
  <si>
    <t>Vintage 1906 LED CLASSIC GLOBE125 FIL GOLD 35 non-dim 4W/824 E27</t>
  </si>
  <si>
    <t>Vintage 1906 LED CL GLOBE125 FIL GOLD 35 non-dim 4W/824 E27</t>
  </si>
  <si>
    <t>Vintage 1906 LED CLASSIC GLOBE125 FIL GOLD 52 non-dim 6.5W/824 E27</t>
  </si>
  <si>
    <t>Vintage 1906 LED CL GLOBE125 FIL GOLD 52 non-dim 6,5W/824 E27</t>
  </si>
  <si>
    <t>CLASSIC LED 1906 TUBULAR, OVAL</t>
  </si>
  <si>
    <t>Vintage 1906 LED CLASSIC Tubular FIL GOLD 20 non-dim 2.5W/820 E27</t>
  </si>
  <si>
    <t>Vintage 1906 LED CL Tubular FIL GOLD 20 non-dim 2,5W/820 E27</t>
  </si>
  <si>
    <t>Vintage 1906 LED CLASSIC Tubular FIL GOLD 35 non-dim 4W/820 E27</t>
  </si>
  <si>
    <t>Vintage 1906 LED CL Tubular FIL GOLD 35 non-dim 4W/820 E27</t>
  </si>
  <si>
    <t>Vintage 1906 LED CLASSIC OVAL FIL GOLD 40 non-dim 4W/824 E27</t>
  </si>
  <si>
    <t>Vintage 1906 LED CL OVAL FIL GOLD 40 non-dim 4W/824 E27</t>
  </si>
  <si>
    <t>Vintage 1906 LED CLASSIC PINECONE FIL GOLD 40 non-dim 4W/824 E27</t>
  </si>
  <si>
    <t>Vintage 1906 LED CL PINECONE FIL GOLD 40 non-dim 4W/824 E27</t>
  </si>
  <si>
    <t>Vintage 1906 LED CLASSIC DIAMOND FIL GOLD 40 non-dim 4W/824 E27</t>
  </si>
  <si>
    <t>Vintage 1906 LED CL DIAMOND FIL GOLD 40 non-dim 4W/824 E27</t>
  </si>
  <si>
    <t>CLASSIC LED 1906 SPIRAL FILAMENT - GOLD &amp; SMOKE Glass</t>
  </si>
  <si>
    <t>Vintage 1906 LED CLASSIC Edison FIL GOLD 28 non-dim 4W/820 E27</t>
  </si>
  <si>
    <t>Vintage 1906 LED CL Edison FIL GOLD 28 non-dim 4W/820 E27</t>
  </si>
  <si>
    <t>Vintage 1906 LED CLASSIC GLOBE125 FIL GOLD 28 non-dim 4W/820 E27</t>
  </si>
  <si>
    <t>Vintage 1906 LED CL GLOBE125 FIL GOLD 28 non-dim 4W/820 E27</t>
  </si>
  <si>
    <t>Vintage 1906 LED CLASSIC A160 FIL GOLD 28 non-dim 4W/820 E27</t>
  </si>
  <si>
    <t>Vintage 1906 LED CL A160 FIL GOLD 28 non-dim 4W/820 E27</t>
  </si>
  <si>
    <t>Vintage 1906 LED CLASSIC GLOBE200 FIL GOLD 28 non-dim 4W/820 E27</t>
  </si>
  <si>
    <t>Vintage 1906 LED CL GLOBE200 FIL GOLD 28 non-dim 4W/820 E27</t>
  </si>
  <si>
    <t>Vintage 1906 LED CLASSIC Edison FIL SMOKE 16 non-dim 4W/818 E27</t>
  </si>
  <si>
    <t>Vintage 1906 LED CL Edison FIL SMOKE 16 non-dim 4W/818 E27</t>
  </si>
  <si>
    <t>Vintage 1906 LED CLASSIC GLOBE125 FIL SMOKE 16 non-dim 4W/818 E27</t>
  </si>
  <si>
    <t>Vintage 1906 LED CL GLOBE125 FIL SMOKE 16 non-dim 4W/818 E27</t>
  </si>
  <si>
    <t>Vintage 1906 LED CLASSIC GLOBE200 FIL SMOKE 16 non-dim 4W/818 E27</t>
  </si>
  <si>
    <t>Vintage 1906 LED CL GLOBE200 FIL SMOKE 16 non-dim 4W/818 E27</t>
  </si>
  <si>
    <t>Vintage 1906 LED CLASSIC A160 FIL SMOKE 16 non-dim 4W/818 E27</t>
  </si>
  <si>
    <t>Vintage 1906 LED CL A160 FIL SMOKE 16 non-dim 4W/818 E27</t>
  </si>
  <si>
    <t>PAR16 LED SUPERIOR</t>
  </si>
  <si>
    <t>SUPERIOR CLASS Spot PAR16 GL 35 dim 3.4W/927 GU10</t>
  </si>
  <si>
    <t>PARATHOM PRO Spot PAR16 GL 35 dim 3,4W/927 GU10</t>
  </si>
  <si>
    <t>SUPERIOR CLASS Spot PAR16 GL 35 dim 3.4W/930 GU10</t>
  </si>
  <si>
    <t>PARATHOM PRO Spot PAR16 GL 35 dim 3,4W/930 GU10</t>
  </si>
  <si>
    <t>SUPERIOR CLASS Spot PAR16 GL 35 dim 3.4W/940 GU10</t>
  </si>
  <si>
    <t>PARATHOM PRO Spot PAR16 GL 35 dim 3,4W/940 GU10</t>
  </si>
  <si>
    <t>SUPERIOR CLASS Spot PAR16 GL 50 DIM 6W/927 GU10</t>
  </si>
  <si>
    <t>PARATHOM PRO Spot PAR16 GL 50 dim 6W/927 GU10</t>
  </si>
  <si>
    <t>SUPERIOR CLASS Spot PAR16 GL 50 DIM 6W/930 GU10</t>
  </si>
  <si>
    <t>PARATHOM PRO Spot PAR16 GL 50 dim 6W/930 GU10</t>
  </si>
  <si>
    <t>SUPERIOR CLASS Spot PAR16 GL 50 DIM 6W/940 GU10</t>
  </si>
  <si>
    <t>PARATHOM PRO Spot PAR16 GL 50 dim 6W/940 GU10</t>
  </si>
  <si>
    <t>Superior Class Spot PAR16 GL 80 DIM 9.5W/927 GU10</t>
  </si>
  <si>
    <t>PARATHOM PRO Spot PAR16 GL 80 dim 9,5W/927 GU10</t>
  </si>
  <si>
    <t>Superior Class Spot PAR16 GL 80 DIM 9.5W/930 GU10</t>
  </si>
  <si>
    <t>PARATHOM PRO Spot PAR16 GL 80 dim 9,5W/930 GU10</t>
  </si>
  <si>
    <t>Superior Class Spot PAR16 GL 80 DIM 9.5W/940 GU10</t>
  </si>
  <si>
    <t>PARATHOM PRO Spot PAR16 GL 80 dim 9,5W/940 GU10</t>
  </si>
  <si>
    <t>LED COMFORT/SUPERIOR Spot PAR16 GL 35 dim 3.7W/927 GU10</t>
  </si>
  <si>
    <t>LED COMFORT/SUPERIOR Spot PAR16 GL 35 dim 3,7W/927 GU10</t>
  </si>
  <si>
    <t>LED COMFORT/SUPERIOR Spot PAR16 GL 35 dim 3.7W/940 GU10</t>
  </si>
  <si>
    <t>LED COMFORT/SUPERIOR Spot PAR16 GL 35 dim 3,7W/940 GU10</t>
  </si>
  <si>
    <t>LED COMFORT/SUPERIOR Spot PAR16 GL 50 dim 4.7W/927 GU10</t>
  </si>
  <si>
    <t>LED COMFORT/SUPERIOR Spot PAR16 GL 50 dim 4,7W/927 GU10</t>
  </si>
  <si>
    <t>LED COMFORT/SUPERIOR Spot PAR16 GL 50 dim 4.7W/940 GU10</t>
  </si>
  <si>
    <t>LED COMFORT/SUPERIOR Spot PAR16 GL 50 dim 4,7W/940 GU10</t>
  </si>
  <si>
    <t>LED COMFORT/SUPERIOR Spot PAR16 GL 32 dim 4.1W/927 GU10</t>
  </si>
  <si>
    <t>LED COMFORT/SUPERIOR Spot PAR16 GL 32 dim 4,1W/927 GU10</t>
  </si>
  <si>
    <t>LED COMFORT/SUPERIOR Spot PAR16 GL 32 dim 4.1W/940 GU10</t>
  </si>
  <si>
    <t>LED COMFORT/SUPERIOR Spot PAR16 GL 32 dim 4,1W/940 GU10</t>
  </si>
  <si>
    <t>SUPERIOR CLASS Spot PAR16 GL 46 DIM 6W/927 GU10</t>
  </si>
  <si>
    <t>LED COMFORT/SUPERIOR Spot PAR16 GL 46 dim 6,7W/927 GU10</t>
  </si>
  <si>
    <t>SUPERIOR CLASS Spot PAR16 GL 46 DIM 6W/940 GU10</t>
  </si>
  <si>
    <t>LED COMFORT/SUPERIOR Spot PAR16 GL 46 dim 6,7W/940 GU10</t>
  </si>
  <si>
    <t>PAR16 LED PERFORMANCE DIM</t>
  </si>
  <si>
    <t>PERFORMANCE CLASS Spot PAR16 GL 35 DIM 3.4W/927 GU10</t>
  </si>
  <si>
    <t>PARATHOM DIM Spot PAR16 GL 35 dim 3,4W/927 GU10</t>
  </si>
  <si>
    <t>PERFORMANCE CLASS Spot PAR16 GL 35 DIM 3.4W/930 GU10</t>
  </si>
  <si>
    <t>PARATHOM DIM Spot PAR16 GL 35 dim 3,4W/930 GU10</t>
  </si>
  <si>
    <t>PERFORMANCE CLASS Spot PAR16 GL 35 DIM 3.4W/940 GU10</t>
  </si>
  <si>
    <t>PARATHOM DIM Spot PAR16 GL 35 dim 3,4W/940 GU10</t>
  </si>
  <si>
    <t>PERFORMANCE CLASS Spot PAR16 GL 50 DIM 4.5W/927 GU10</t>
  </si>
  <si>
    <t>PARATHOM DIM Spot PAR16 GL 50 dim 4,5W/927 GU10</t>
  </si>
  <si>
    <t>PERFORMANCE CLASS Spot PAR16 GL 50 DIM 4.5W/930 GU10</t>
  </si>
  <si>
    <t>PARATHOM DIM Spot PAR16 GL 50 dim 4,5W/930 GU10</t>
  </si>
  <si>
    <t>PERFORMANCE CLASS Spot PAR16 GL 50 DIM 4.5W/940 GU10</t>
  </si>
  <si>
    <t>PARATHOM DIM Spot PAR16 GL 50 dim 4,5W/940 GU10</t>
  </si>
  <si>
    <t>PERFORMANCE CLASS Spot PAR16 GL 80 DIM 8.3W/927 GU10</t>
  </si>
  <si>
    <t>PARATHOM DIM Spot PAR16 GL 80 dim 8,3W/927 GU10</t>
  </si>
  <si>
    <t>PERFORMANCE CLASS Spot PAR16 GL 80 DIM 8.3W/930 GU10</t>
  </si>
  <si>
    <t>PARATHOM DIM Spot PAR16 GL 80 dim 8,3W/930 GU10</t>
  </si>
  <si>
    <t>PERFORMANCE CLASS Spot PAR16 GL 80 DIM 8.3W/940 GU10</t>
  </si>
  <si>
    <t>PARATHOM DIM Spot PAR16 GL 80 dim 8,3W/940 GU10</t>
  </si>
  <si>
    <t>PERFORMANCE CLASS Spot PAR16 GL 51 DIM 7.9W/927 GU10</t>
  </si>
  <si>
    <t>PARATHOM DIM Spot PAR16 GL 80 dim 7,9W/927 GU10</t>
  </si>
  <si>
    <t>PERFORMANCE CLASS Spot PAR16 GL 51 DIM 7.9W/930 GU10</t>
  </si>
  <si>
    <t>PARATHOM DIM Spot PAR16 GL 80 dim 7,9W/930 GU10</t>
  </si>
  <si>
    <t>PERFORMANCE CLASS Spot PAR16 GL 51 DIM 7.9W/940 GU10</t>
  </si>
  <si>
    <t>PARATHOM DIM Spot PAR16 GL 80 dim 7,9W/940 GU10</t>
  </si>
  <si>
    <t>PERFORMANCE CLASS Spot PAR16 GL 100 DIM 9.6W/827 GU10</t>
  </si>
  <si>
    <t>PARATHOM DIM Spot PAR16 GL 100 dim 9,6W/827 GU10</t>
  </si>
  <si>
    <t>PERFORMANCE CLASS Spot PAR16 GL 100 DIM 9.6W/830 GU10</t>
  </si>
  <si>
    <t>PARATHOM DIM Spot PAR16 GL 100 dim 9,6W/830 GU10</t>
  </si>
  <si>
    <t>PERFORMANCE CLASS Spot PAR16 GL 100 DIM 9.6W/840 GU10</t>
  </si>
  <si>
    <t>PARATHOM DIM Spot PAR16 GL 100 dim 9,6W/840 GU10</t>
  </si>
  <si>
    <t>PAR16 LED PERFORMANCE</t>
  </si>
  <si>
    <t>PERFORMANCE CLASS Spot PAR16 GL 35 non-dim 2.6W/827 GU10</t>
  </si>
  <si>
    <t>PARATHOM Spot PAR16 GL 35 non-dim 2,6W/827 GU10</t>
  </si>
  <si>
    <t>PERFORMANCE CLASS Spot PAR16 GL 35 non-dim 2.6W/830 GU10</t>
  </si>
  <si>
    <t>PARATHOM Spot PAR16 GL 35 non-dim 2,6W/830 GU10</t>
  </si>
  <si>
    <t>PERFORMANCE CLASS Spot PAR16 GL 35 non-dim 2.6W/840 GU10</t>
  </si>
  <si>
    <t>PARATHOM Spot PAR16 GL 35 non-dim 2,6W/840 GU10</t>
  </si>
  <si>
    <t>PERFORMANCE CLASS Spot PAR16 GL 50 non-dim 4.3W/827 GU10</t>
  </si>
  <si>
    <t>PARATHOM Spot PAR16 GL 50 non-dim 4,3W/827 GU10</t>
  </si>
  <si>
    <t>PERFORMANCE CLASS Spot PAR16 GL 50 non-dim 4.3W/830 GU10</t>
  </si>
  <si>
    <t>PARATHOM Spot PAR16 GL 50 non-dim 4,3W/830 GU10</t>
  </si>
  <si>
    <t>PERFORMANCE CLASS Spot PAR16 GL 50 non-dim 4.3W/840 GU10</t>
  </si>
  <si>
    <t>PARATHOM Spot PAR16 GL 50 non-dim 4,3W/840 GU10</t>
  </si>
  <si>
    <t>PERFORMANCE CLASS Spot PAR16 GL 30 non-dim 4.3W/827 GU10</t>
  </si>
  <si>
    <t>PERFORMANCE CLASS Spot PAR16 GL 30 non-dim 4.3W/830 GU10</t>
  </si>
  <si>
    <t>PERFORMANCE CLASS Spot PAR16 GL 30 non-dim 4.3W/840 GU10</t>
  </si>
  <si>
    <t>PERFORMANCE CLASS Spot PAR16 GL 80 non-dim 6.9W/827 GU10</t>
  </si>
  <si>
    <t>PARATHOM Spot PAR16 GL 80 non-dim 6,9W/827 GU10</t>
  </si>
  <si>
    <t>PERFORMANCE CLASS Spot PAR16 GL 49 non-dim 6.9W/827 GU10</t>
  </si>
  <si>
    <t>PERFORMANCE CLASS Spot PAR16 GL 49 non-dim 6.9W/830 GU10</t>
  </si>
  <si>
    <t>PARATHOM Spot PAR16 GL 80 non-dim 6,9W/830 GU10</t>
  </si>
  <si>
    <t>PERFORMANCE CLASS Spot PAR16 GL 80 non-dim 6.9W/830 GU10</t>
  </si>
  <si>
    <t>PERFORMANCE CLASS Spot PAR16 GL 49 non-dim 6.9W/840 GU10</t>
  </si>
  <si>
    <t>PARATHOM Spot PAR16 GL 80 non-dim 6,9W/840 GU10</t>
  </si>
  <si>
    <t>PERFORMANCE CLASS Spot PAR16 GL 80 non-dim 6.9W/840 GU10</t>
  </si>
  <si>
    <t>PERFORMANCE CLASS Spot PAR16 GL 100 non-dim 9.6W/827 GU10</t>
  </si>
  <si>
    <t>PARATHOM Spot PAR16 GL 100 non-dim 9,6W/827 GU10</t>
  </si>
  <si>
    <t>PERFORMANCE CLASS Spot PAR16 GL 100 non-dim 9.6W/830 GU10</t>
  </si>
  <si>
    <t>PARATHOM Spot PAR16 GL 100 non-dim 9,6W/830 GU10</t>
  </si>
  <si>
    <t>PERFORMANCE CLASS Spot PAR16 GL 100 non-dim 9.6W/840 GU10</t>
  </si>
  <si>
    <t>PARATHOM Spot PAR16 GL 100 non-dim 9,6W/840 GU10</t>
  </si>
  <si>
    <t>VALUE PAR16</t>
  </si>
  <si>
    <t>VALUE CLASS Spot PAR16 GL 50 non-dim 4.3W/830 GU10</t>
  </si>
  <si>
    <t>LED VALUE Spot PAR16 GL 50 non-dim 4,3W/830 GU10</t>
  </si>
  <si>
    <t>VALUE CLASS Spot PAR16 GL 50 non-dim 4.3W/840 GU10</t>
  </si>
  <si>
    <t>LED VALUE Spot PAR16 GL 50 non-dim 4,3W/840 GU10</t>
  </si>
  <si>
    <t>VALUE CLASS Spot PAR16 GL 50 non-dim 4.3W/865 GU10</t>
  </si>
  <si>
    <t>LED VALUE Spot PAR16 GL 50 non-dim 4,3W/865 GU10</t>
  </si>
  <si>
    <t>VALUE CLASS Spot PAR16 GL 80 non-dim 6.9W/830 GU10</t>
  </si>
  <si>
    <t>LED VALUE Spot PAR16 GL 80 non-dim 6,9W/830 GU10</t>
  </si>
  <si>
    <t>VALUE CLASS Spot PAR16 GL 80 non-dim 6.9W/840 GU10</t>
  </si>
  <si>
    <t>LED VALUE Spot PAR16 GL 80 non-dim 6,9W/840 GU10</t>
  </si>
  <si>
    <t>VALUE CLASS Spot PAR16 GL 80 non-dim 6.9W/865 GU10</t>
  </si>
  <si>
    <t>LED VALUE Spot PAR16 GL 80 non-dim 6,9W/865 GU10</t>
  </si>
  <si>
    <t>VALUE CLASS Spot PAR16 GL 49 non-dim 6.9W/830 GU10</t>
  </si>
  <si>
    <t>VALUE CLASS Spot PAR16 GL 49 non-dim 6.9W/840 GU10</t>
  </si>
  <si>
    <t>VALUE CLASS Spot PAR16 GL 49 non-dim 6.9W/865 GU10</t>
  </si>
  <si>
    <t>LED VALUE Spot PAR16 GL 49 non-dim 6,9W/865 GU10</t>
  </si>
  <si>
    <t>Value Class CLASSIC A FIL 40 non-dim 4W/827 E27</t>
  </si>
  <si>
    <t>LED VALUE CL A FIL 40 non-dim 4W/827 E27</t>
  </si>
  <si>
    <t>Value Class CLASSIC A 40 FR non-dim 4.9W/827 E27</t>
  </si>
  <si>
    <t>LED VALUE CL A FR 40 non-dim 4,9W/827 E27</t>
  </si>
  <si>
    <t>Value Class CLASSIC A 40 FR non-dim 4.9W/840 E27</t>
  </si>
  <si>
    <t>LED VALUE CL A FR 40 non-dim 4,9W/840 E27</t>
  </si>
  <si>
    <t>Value Class CLASSIC A 40 FR non-dim 4.9W/865 E27</t>
  </si>
  <si>
    <t>LED VALUE CL A FR 40 non-dim 4,9W/865 E27</t>
  </si>
  <si>
    <t>Value Class CLASSIC A FIL 60 non-dim 6.5W/827 E27</t>
  </si>
  <si>
    <t>LED VALUE CL A FIL 60 non-dim 6,5W/827 E27</t>
  </si>
  <si>
    <t>Value Class CLASSIC A FIL 60 non-dim 6.5W/840 E27</t>
  </si>
  <si>
    <t>LED VALUE CL A FIL 60 non-dim 6,5W/840 E27</t>
  </si>
  <si>
    <t>Value Class CLASSIC A 60 FR non-dim 8.5W/827 E27</t>
  </si>
  <si>
    <t>LED VALUE CL A FR 60 non-dim 8,5W/827 E27</t>
  </si>
  <si>
    <t>Value Class CLASSIC A 60 FR non-dim 8.5W/840 E27</t>
  </si>
  <si>
    <t>LED VALUE CL A FR 60 non-dim 8,5W/840 E27</t>
  </si>
  <si>
    <t>Value Class CLASSIC A 60 FR non-dim 8.5W/865 E27</t>
  </si>
  <si>
    <t>LED VALUE CL A FR 60 non-dim 8,5W/865 E27</t>
  </si>
  <si>
    <t>Value Class CLASSIC A FIL 75 non-dim 7.5W/827 E27</t>
  </si>
  <si>
    <t>LED VALUE CL A FIL 75 non-dim 7,5W/827 E27</t>
  </si>
  <si>
    <t>Value Class CLASSIC A FIL 75 non-dim 7.5W/840 E27</t>
  </si>
  <si>
    <t>LED VALUE CL A FIL 75 non-dim 7,5W/840 E27</t>
  </si>
  <si>
    <t>Value Class CLASSIC A 75 FR non-dim 10W/827 E27</t>
  </si>
  <si>
    <t>LED VALUE CL A FR 75 non-dim 10W/827 E27</t>
  </si>
  <si>
    <t>Value Class CLASSIC A 75 FR non-dim 10W/840 E27</t>
  </si>
  <si>
    <t>LED VALUE CL A FR 75 non-dim 10W/840 E27</t>
  </si>
  <si>
    <t>Value Class CLASSIC A FIL 100 non-dim 11W/827 E27</t>
  </si>
  <si>
    <t>LED VALUE CL A FIL 100 non-dim 11W/827 E27</t>
  </si>
  <si>
    <t>Value Class CLASSIC A FIL 100 non-dim 11W/840 E27</t>
  </si>
  <si>
    <t>LED VALUE CL A FIL 100 non-dim 11W/840 E27</t>
  </si>
  <si>
    <t>Value Class CLASSIC A 100 FR non-dim 13W/827 E27</t>
  </si>
  <si>
    <t>LED VALUE CL A FR 100 non-dim 13W/827 E27</t>
  </si>
  <si>
    <t>Value Class CLASSIC A 100 FR non-dim 13W/840 E27</t>
  </si>
  <si>
    <t>LED VALUE CL A FR 100 non-dim 13W/840 E27</t>
  </si>
  <si>
    <t>Value Class CLASSIC A 100 FR non-dim 13W/865 E27</t>
  </si>
  <si>
    <t>LED VALUE CL A FR 100 non-dim 13W/865 E27</t>
  </si>
  <si>
    <t>Value Class CLASSIC B FIL 40 non-dim 4W/827 E14</t>
  </si>
  <si>
    <t>LED VALUE CL B FIL 40 non-dim 4W/827 E14</t>
  </si>
  <si>
    <t>Value Class CLASSIC B 40 FR non-dim 4.9W/827 E14</t>
  </si>
  <si>
    <t>LED VALUE CL B FR 40 non-dim 4,9W/827 E14</t>
  </si>
  <si>
    <t>Value Class CLASSIC B 40 FR non-dim 4.9W/840 E14</t>
  </si>
  <si>
    <t>LED VALUE CL B FR 40 non-dim 4,9W/840 E14</t>
  </si>
  <si>
    <t>Value Class CLASSIC B 40 FR non-dim 4.9W/865 E14</t>
  </si>
  <si>
    <t>LED VALUE CL B FR 40 non-dim 4,9W/865 E14</t>
  </si>
  <si>
    <t>Value Class CLASSIC B 60 FR non-dim 7.5W/827 E14</t>
  </si>
  <si>
    <t>LED VALUE CL B FR 60 non-dim 7W/827 E14</t>
  </si>
  <si>
    <t>Value Class CLASSIC P FIL 40 non-dim 4W/827 E14</t>
  </si>
  <si>
    <t>LED VALUE CL P FIL 40 non-dim 4W/827 E14</t>
  </si>
  <si>
    <t>Value Class CLASSIC P 40 FR non-dim 4.9W/827 E14</t>
  </si>
  <si>
    <t>LED VALUE CL P FR 40 non-dim 4,9W/827 E14</t>
  </si>
  <si>
    <t>Value Class CLASSIC P 40 FR non-dim 4.9W/840 E14</t>
  </si>
  <si>
    <t>LED VALUE CL P FR 40 non-dim 4,9W/840 E14</t>
  </si>
  <si>
    <t>Value Class CLASSIC P 40 FR non-dim 4.9W/865 E14</t>
  </si>
  <si>
    <t>LED VALUE CL P FR 40 non-dim 4,9W/865 E14</t>
  </si>
  <si>
    <t>Value Class CLASSIC P 60 FR non-dim 7.5W/827 E14</t>
  </si>
  <si>
    <t>LED VALUE CL P FR 60 non-dim 7W/827 E14</t>
  </si>
  <si>
    <t>MR16 LED SUPERIOR</t>
  </si>
  <si>
    <t>Superior Class Spot MR16 GL 20 dim 3.6W/927 GU5.3</t>
  </si>
  <si>
    <t>PARATHOM PRO Spot MR16 GL 20 dim 3,6W/927 GU5.3</t>
  </si>
  <si>
    <t>Superior Class Spot MR16 GL 20 dim 3.6W/930 GU5.3</t>
  </si>
  <si>
    <t>PARATHOM PRO Spot MR16 GL 20 dim 3,6W/930 GU5.3</t>
  </si>
  <si>
    <t>Superior Class Spot MR16 GL 20 dim 3.6W/940 GU5.3</t>
  </si>
  <si>
    <t>PARATHOM PRO Spot MR16 GL 20 dim 3,6W/940 GU5.3</t>
  </si>
  <si>
    <t>SUPERIOR CLASS Spot MR16 GL 35 DIM 6.3W/927 GU5.3</t>
  </si>
  <si>
    <t>PARATHOM PRO Spot MR16 GL 35 dim 6,3W/927 GU5.3</t>
  </si>
  <si>
    <t>SUPERIOR CLASS Spot MR16 GL 35 DIM 6.3W/930 GU5.3</t>
  </si>
  <si>
    <t>PARATHOM PRO Spot MR16 GL 35 dim 6,3W/930 GU5.3</t>
  </si>
  <si>
    <t>SUPERIOR CLASS Spot MR16 GL 35 DIM 6.3W/940 GU5.3</t>
  </si>
  <si>
    <t>PARATHOM PRO Spot MR16 GL 35 dim 6,3W/940 GU5.3</t>
  </si>
  <si>
    <t>SUPERIOR CLASS Spot MR16 GL 43 DIM 6.6W/927 GU5.3</t>
  </si>
  <si>
    <t>PARATHOM PRO Spot MR16 GL 43 dim 7,8W/927 GU5.3</t>
  </si>
  <si>
    <t>SUPERIOR CLASS Spot MR16 GL 43 DIM 6.6W/930 GU5.3</t>
  </si>
  <si>
    <t>PARATHOM PRO Spot MR16 GL 43 dim 7,8W/930 GU5.3</t>
  </si>
  <si>
    <t>SUPERIOR CLASS Spot MR16 GL 43 DIM 6.6W/940 GU5.3</t>
  </si>
  <si>
    <t>PARATHOM PRO Spot MR16 GL 43 dim 7,8W/940 GU5.3</t>
  </si>
  <si>
    <t>Superior Class Spot MR16 GL 35 DIM 5W/927 GU5.3</t>
  </si>
  <si>
    <t>LED COMFORT/SUPERIOR Spot MR16 GL 35 dim 5W/927 GU5.3</t>
  </si>
  <si>
    <t>Superior Class Spot MR16 GL 35 DIM 5W/940 GU5.3</t>
  </si>
  <si>
    <t>LED COMFORT/SUPERIOR Spot MR16 GL 35 dim 5W/940 GU5.3</t>
  </si>
  <si>
    <t>Superior Class Spot MR16 GL 50 DIM 8W/927 GU5.3</t>
  </si>
  <si>
    <t>LED COMFORT/SUPERIOR Spot MR16 GL 50 dim 8W/927 GU5.3</t>
  </si>
  <si>
    <t>Superior Class Spot MR16 GL 50 DIM 8W/940 GU5.3</t>
  </si>
  <si>
    <t>LED COMFORT/SUPERIOR Spot MR16 GL 50 dim 8W/940 GU5.3</t>
  </si>
  <si>
    <t>MR16 LED PERFORMANCE DIM</t>
  </si>
  <si>
    <t>PERFORMANCE CLASS Spot MR16 GL 20 dim 3.4W/927 GU5.3</t>
  </si>
  <si>
    <t>PARATHOM DIM Spot MR16 GL 20 dim 3,4W/927 GU5.3</t>
  </si>
  <si>
    <t>PERFORMANCE CLASS Spot MR16 GL 20 dim 3.4W/930 GU5.3</t>
  </si>
  <si>
    <t>PARATHOM DIM Spot MR16 GL 20 dim 3,4W/930 GU5.3</t>
  </si>
  <si>
    <t>PERFORMANCE CLASS Spot MR16 GL 20 dim 3.4W/940 GU5.3</t>
  </si>
  <si>
    <t>PARATHOM DIM Spot MR16 GL 20 dim 3,4W/940 GU5.3</t>
  </si>
  <si>
    <t>PERFORMANCE CLASS Spot MR16 GL 35 DIM 5W/927 GU5.3</t>
  </si>
  <si>
    <t>PARATHOM DIM Spot MR16 GL 35 dim 5W/927 GU5.3</t>
  </si>
  <si>
    <t>PERFORMANCE CLASS Spot MR16 GL 35 DIM 5W/930 GU5.3</t>
  </si>
  <si>
    <t>PARATHOM DIM Spot MR16 GL 35 dim 5W/930 GU5.3</t>
  </si>
  <si>
    <t>PERFORMANCE CLASS Spot MR16 GL 35 DIM 5W/940 GU5.3</t>
  </si>
  <si>
    <t>PARATHOM DIM Spot MR16 GL 35 dim 5W/940 GU5.3</t>
  </si>
  <si>
    <t>PERFORMANCE CLASS Spot MR16 GL 50 DIM 8W/927 GU5.3</t>
  </si>
  <si>
    <t>PARATHOM DIM Spot MR16 GL 50 dim 8W/927 GU5.3</t>
  </si>
  <si>
    <t>PERFORMANCE CLASS Spot MR16 GL 50 DIM 8W/930 GU5.3</t>
  </si>
  <si>
    <t>PARATHOM DIM Spot MR16 GL 50 dim 8W/930 GU5.3</t>
  </si>
  <si>
    <t>PERFORMANCE CLASS Spot MR16 GL 50 DIM 8W/940 GU5.3</t>
  </si>
  <si>
    <t>PARATHOM DIM Spot MR16 GL 50 dim 8W/940 GU5.3</t>
  </si>
  <si>
    <t>MR16 LED PERFORMANCE</t>
  </si>
  <si>
    <t>PERFORMANCE CLASS Spot MR16 GL 20 non-dim 2.6W/827 GU5.3</t>
  </si>
  <si>
    <t>PARATHOM Spot MR16 GL 20 non-dim 2,6W/827 GU5.3</t>
  </si>
  <si>
    <t>PERFORMANCE CLASS Spot MR16 GL 20 non-dim 2.6W/830 GU5.3</t>
  </si>
  <si>
    <t>PARATHOM Spot MR16 GL 20 non-dim 2,6W/830 GU5.3</t>
  </si>
  <si>
    <t>PERFORMANCE CLASS Spot MR16 GL 20 non-dim 2.6W/840 GU5.3</t>
  </si>
  <si>
    <t>PARATHOM Spot MR16 GL 20 non-dim 2,6W/840 GU5.3</t>
  </si>
  <si>
    <t>PERFORMANCE CLASS Spot MR16 GL 35 non-dim 3.8W/827 GU5.3</t>
  </si>
  <si>
    <t>PARATHOM Spot MR16 GL 35 non-dim 3,8W/827 GU5.3</t>
  </si>
  <si>
    <t>PERFORMANCE CLASS Spot MR16 GL 35 non-dim 3.8W/830 GU5.3</t>
  </si>
  <si>
    <t>PARATHOM Spot MR16 GL 35 non-dim 3,8W/830 GU5.3</t>
  </si>
  <si>
    <t>PERFORMANCE CLASS Spot MR16 GL 35 non-dim 3.8W/840 GU5.3</t>
  </si>
  <si>
    <t>PARATHOM Spot MR16 GL 35 non-dim 3,8W/840 GU5.3</t>
  </si>
  <si>
    <t>PERFORMANCE CLASS Spot MR16 GL 50 non-dim 6.5W/827 GU5.3</t>
  </si>
  <si>
    <t>PARATHOM Spot MR16 GL 50 non-dim 8W/827 GU5.3</t>
  </si>
  <si>
    <t>PERFORMANCE CLASS Spot MR16 GL 50 non-dim 6.5W/830 GU5.3</t>
  </si>
  <si>
    <t>PARATHOM Spot MR16 GL 50 non-dim 8W/830 GU5.3</t>
  </si>
  <si>
    <t>PERFORMANCE CLASS Spot MR16 GL 50 non-dim 6.5W/840 GU5.3</t>
  </si>
  <si>
    <t>PARATHOM Spot MR16 GL 50 non-dim 8W/840 GU5.3</t>
  </si>
  <si>
    <t>MR16 LED PERFORMANCE 120º</t>
  </si>
  <si>
    <t>Performance Spot MR16 GL 20 non-dim 2.6W/827 GU5.3</t>
  </si>
  <si>
    <t>Performance Spot MR16 GL 35 non-dim 4.3W/827 GU5.3</t>
  </si>
  <si>
    <t>Performance Spot MR16 GL 50 non-dim 6.5W/827 GU5.3</t>
  </si>
  <si>
    <t>MR11 LED PERFORMANCE DIM</t>
  </si>
  <si>
    <t>PERFORMANCE CLASS Spot MR11 GL 35 DIM 4.5W/927 GU4</t>
  </si>
  <si>
    <t>PARATHOM DIM Spot MR11 GL 35 dim 4,5W/927 GU4</t>
  </si>
  <si>
    <t>PERFORMANCE CLASS Spot MR11 GL 20 DIM 2.8W/927 GU4</t>
  </si>
  <si>
    <t>PARATHOM DIM Spot MR11 GL 20 dim 3,2W/927 GU4</t>
  </si>
  <si>
    <t>MR11 LED PERFORMANCE</t>
  </si>
  <si>
    <t>PERFORMANCE CLASS Spot MR11 GL 20 non-dim 2.5W/827 GU4</t>
  </si>
  <si>
    <t>PARATHOM Spot MR11 GL 20 non-dim 2,5W/827 GU4</t>
  </si>
  <si>
    <t>PERFORMANCE CLASS Spot MR11 GL 20 non-dim 2.5W/840 GU4</t>
  </si>
  <si>
    <t>PARATHOM Spot MR11 GL 20 non-dim 2,5W/840 GU4</t>
  </si>
  <si>
    <t>PERFORMANCE CLASS Spot MR11 GL 35 non-dim 4.2W/827 GU4</t>
  </si>
  <si>
    <t>PARATHOM Spot MR11 GL 35 non-dim 4,2W/827 GU4</t>
  </si>
  <si>
    <t>PERFORMANCE CLASS Spot MR11 GL 35 non-dim 4.2W/840 GU4</t>
  </si>
  <si>
    <t>PARATHOM Spot MR11 GL 35 non-dim 4,2W/840 GU4</t>
  </si>
  <si>
    <t>GX53 LED STAR</t>
  </si>
  <si>
    <t>LED STAR Spot GX53 FR 40 non-dim 4.9W/827 GX53</t>
  </si>
  <si>
    <t>LED STAR Spot GX53 FR 40 non-dim 4.9W/840 GX53</t>
  </si>
  <si>
    <t>AR111 LED SUPERIOR</t>
  </si>
  <si>
    <t>SUPERIOR CLASS Spot AR111 HS 50 DIM 7.4W/927 G53</t>
  </si>
  <si>
    <t>PARATHOM PRO Spot AR111 HS 50 Dim 7,4W/927 G53</t>
  </si>
  <si>
    <t>SUPERIOR CLASS Spot AR111 HS 50 DIM 7.4W/930 G53</t>
  </si>
  <si>
    <t>PARATHOM PRO Spot AR111 HS 50 Dim 7,4W/930 G53</t>
  </si>
  <si>
    <t>PARATHOM PRO Spot AR111 HS 50 dim 7,4W/927 G53</t>
  </si>
  <si>
    <t>SUPERIOR CLASS Spot AR111 HS 75 DIM 11.7W/927 G53</t>
  </si>
  <si>
    <t>PARATHOM PRO Spot AR111 HS 75 Dim 11,7W/927 G53</t>
  </si>
  <si>
    <t>SUPERIOR CLASS Spot AR111 HS 75 DIM 11.7W/930 G53</t>
  </si>
  <si>
    <t>PARATHOM PRO Spot AR111 HS 75 Dim 11,7W/930 G53</t>
  </si>
  <si>
    <t>SUPERIOR CLASS Spot AR111 HS 75 DIM 11.7W/940 G53</t>
  </si>
  <si>
    <t>PARATHOM PRO Spot AR111 HS 75 Dim 11,7W/940 G53</t>
  </si>
  <si>
    <t>SUPERIOR CLASS Spot AR111 HS 100 DIM 13.5W/927 G53</t>
  </si>
  <si>
    <t>PARATHOM PRO Spot AR111 HS 100 Dim 13,5W/927 G53</t>
  </si>
  <si>
    <t>PAR20, PAR30, PAR38 LED PERFORMANCE DIM</t>
  </si>
  <si>
    <t>PERFORMANCE CLASS Spot PAR20 GL 50 DIM 6.4W/927 E27</t>
  </si>
  <si>
    <t>PARATHOM DIM Spot PAR20 GL 50 dim 6,4W/927 E27</t>
  </si>
  <si>
    <t>PERFORMANCE CLASS Spot PAR30 GL 75 DIM 10W/927 E27</t>
  </si>
  <si>
    <t>PARATHOM DIM Spot PAR30 GL 75 dim 10W/927 E27</t>
  </si>
  <si>
    <t>PERFORMANCE CLASS Spot PAR38 GL 120 DIM 15.2W/927 E27</t>
  </si>
  <si>
    <t>PARATHOM DIM Spot PAR38 GL 120 dim 15,2W/927 E27</t>
  </si>
  <si>
    <t>PERFORMANCE CLASS Spot PAR38 GL 120 non-dim 13.5W/827 E27</t>
  </si>
  <si>
    <t>PARATHOM Spot PAR38 GL 120 non-dim 12W/827 E27</t>
  </si>
  <si>
    <t>PERFORMANCE CLASS Spot PAR16 GL 50 DIM 4.8W/927 E14</t>
  </si>
  <si>
    <t>PARATHOM DIM Spot PAR16 GL 50 dim 4,8W/927 E14</t>
  </si>
  <si>
    <t>PERFORMANCE CLASS Spot PAR16 GL 50 non-dim 4.5W/827 E14</t>
  </si>
  <si>
    <t>PARATHOM Spot PAR16 GL 50 non-dim 4,5W/827 E14</t>
  </si>
  <si>
    <t>SUPERIOR CLASS Spot R50 GL 60 DIM 4.8W/927 E14</t>
  </si>
  <si>
    <t>LED COMFORT/SUPERIOR Spot R50 GL 60 dim 4,8W/927 E14</t>
  </si>
  <si>
    <t>SUPERIOR CLASS Spot R50 GL 60 DIM 4.8W/940 E14</t>
  </si>
  <si>
    <t>LED COMFORT/SUPERIOR Spot R50 GL 60 dim 4,8W/940 E14</t>
  </si>
  <si>
    <t>SUPERIOR CLASS Spot R63 GL 60 DIM 4.9W/927 E27</t>
  </si>
  <si>
    <t>LED COMFORT/SUPERIOR Spot R63 GL 60 dim 4,8W/927 E27</t>
  </si>
  <si>
    <t>SUPERIOR CLASS Spot R80 GL 60 DIM 4.9W/927 E27</t>
  </si>
  <si>
    <t>LED COMFORT/SUPERIOR Spot R80 GL 60 dim 4,8W/927 E27</t>
  </si>
  <si>
    <t>LED PERFOMANCE DIM</t>
  </si>
  <si>
    <t>PERFORMANCE CLASS Spot R50 GL 60 DIM 5.9W/927 E14</t>
  </si>
  <si>
    <t>PARATHOM DIM Spot R50 GL 60 dim 5,9W/927 E14</t>
  </si>
  <si>
    <t>PERFORMANCE CLASS Spot R63 GL 60 DIM 4.9W/927 E27</t>
  </si>
  <si>
    <t>PARATHOM DIM Spot R63 GL 60 dim 5,9W/927 E27</t>
  </si>
  <si>
    <t>PERFORMANCE CLASS Spot R80 GL 60 DIM 4.9W/927 E27</t>
  </si>
  <si>
    <t>PARATHOM DIM Spot R80 GL 60 dim 5,9W/927 E27</t>
  </si>
  <si>
    <t>PERFORMANCE CLASS Spot R80 GL 100 DIM 8.5W/827 E27</t>
  </si>
  <si>
    <t>PARATHOM DIM Spot R80 GL 100 dim 9,6W/827 E27</t>
  </si>
  <si>
    <t>LED PERFOMANCE</t>
  </si>
  <si>
    <t>LED STAR Spot R39 GL 25 non-dim 1.5W/827 E14</t>
  </si>
  <si>
    <t>LED STAR Spot R39 GL 25 non-dim 1,5W/827 E14</t>
  </si>
  <si>
    <t>PERFORMANCE CLASS Spot R50 GL 25 non-dim 1.5W/827 E14</t>
  </si>
  <si>
    <t>PARATHOM Spot R50 GL 25 non-dim 1,5W/827 E14</t>
  </si>
  <si>
    <t>PERFORMANCE CLASS Spot R50 GL 40 non-dim 2.6W/827 E14</t>
  </si>
  <si>
    <t>PARATHOM Spot R50 GL 40 non-dim 2,6W/827 E14</t>
  </si>
  <si>
    <t>PERFORMANCE CLASS Spot R50 GL 60 non-dim 4.3W/827 E14</t>
  </si>
  <si>
    <t>PARATHOM Spot R50 GL 60 non-dim 4,3W/827 E14</t>
  </si>
  <si>
    <t>PERFORMANCE CLASS Spot R63 GL 40 non-dim 2.9W/827 E27</t>
  </si>
  <si>
    <t>PARATHOM Spot R63 GL 40 non-dim 2,6W/827 E27</t>
  </si>
  <si>
    <t>PERFORMANCE CLASS Spot R63 GL 60 non-dim 4.8W/827 E27</t>
  </si>
  <si>
    <t>PARATHOM Spot R63 GL 60 non-dim 4,3W/827 E27</t>
  </si>
  <si>
    <t>PERFORMANCE CLASS Spot R80 GL 100 non-dim 8.5W/827 E27</t>
  </si>
  <si>
    <t>PARATHOM Spot R80 GL 100 non-dim 9,1W/827 E27</t>
  </si>
  <si>
    <t>PERFORMANCE CLASS Spot R80 GL 60 non-dim 4.8W/827 E27</t>
  </si>
  <si>
    <t>PARATHOM Spot R80 GL 60 non-dim 4,3W/827 E27</t>
  </si>
  <si>
    <t>CLASSIC A LED - FROSTED (Heatsink Portfolio)</t>
  </si>
  <si>
    <t>CLASSIC A SUPERIOR CLASS - COMFORT LIGHT CRI 97</t>
  </si>
  <si>
    <t>SUPERIOR CLASS CLASSIC A 40 FR non-dim 4.9W/927 E27</t>
  </si>
  <si>
    <t>SUPERIOR CLASS CLASSIC A 60 FR non-dim 9.4W/927 E27</t>
  </si>
  <si>
    <t>SUPERIOR CLASS CLASSIC B 25 FR non-dim 2.8W/927 E14</t>
  </si>
  <si>
    <t>SUPERIOR CLASS CLASSIC B 40 FR non-dim 4.9W/927 E14</t>
  </si>
  <si>
    <t>SUPERIOR CLASS CLASSIC P 40 FR non-dim 4.9W/927 E14</t>
  </si>
  <si>
    <t>CLASSIC A &amp; B SUPERIOR CLASS - FACILITY LAMP</t>
  </si>
  <si>
    <t>SUPERIOR CLASS CLASSIC A 60 FR non-dim 7W/827 E27</t>
  </si>
  <si>
    <t>PARATHOM+ FACILITY CL A FR 60 non-dim 7W/827 E27</t>
  </si>
  <si>
    <t>SUPERIOR CLASS CLASSIC A 75 FR non-dim 9W/827 E27</t>
  </si>
  <si>
    <t>PARATHOM+ FACILITY CL A FR 75 non-dim 9W/827 E27</t>
  </si>
  <si>
    <t>SUPERIOR CLASS CLASSIC A 60 FR non-dim 7W/840 E27</t>
  </si>
  <si>
    <t>SUPERIOR CLASS CLASSIC A 75 FR non-dim 9W/840 E27</t>
  </si>
  <si>
    <t>SUPERIOR CLASS CLASSIC B 60 FR non-dim 7.3W/827 E14</t>
  </si>
  <si>
    <t>SUPERIOR CLASS CLASSIC B 60 FR non-dim 7.3W/840 E14</t>
  </si>
  <si>
    <t>CLASSIC A PERFORMANCE CLASS - DIM</t>
  </si>
  <si>
    <t>PERFORMANCE CLASS CLASSIC A 60 FR DIM 8.8W/827 E27</t>
  </si>
  <si>
    <t>PARATHOM DIM CL A FR 60 dim 8,8W/827 E27</t>
  </si>
  <si>
    <t>PERFORMANCE CLASS CLASSIC A 75 FR DIM 10.5W/827 E27</t>
  </si>
  <si>
    <t>PARATHOM DIM CL A FR 75 dim 10,5W/827 E27</t>
  </si>
  <si>
    <t>PERFORMANCE CLASS CLASSIC A 100 FR DIM 14W/827 E27</t>
  </si>
  <si>
    <t>PARATHOM DIM CL A FR 100 dim 14W/827 E27</t>
  </si>
  <si>
    <t>PERFORMANCE CLASS CLASSIC A 150 FR DIM 20W/827 E27</t>
  </si>
  <si>
    <t>PARATHOM DIM CL A FR 150 dim 20W/827 E27</t>
  </si>
  <si>
    <t>CLASSIC A VALUE CLASS - NON-DIM</t>
  </si>
  <si>
    <t>PERFORMANCE CLASS CLASSIC A 40 FR non-dim 4.9W/827 E27</t>
  </si>
  <si>
    <t>PARATHOM CL A FR 40 non-dim 4,9W/827 E27</t>
  </si>
  <si>
    <t>PERFORMANCE CLASS CLASSIC A 40 FR non-dim 4.9W/840 E27</t>
  </si>
  <si>
    <t>PARATHOM CL A FR 40 non-dim 4,9W/840 E27</t>
  </si>
  <si>
    <t>PERFORMANCE CLASS CLASSIC A 60 FR non-dim 8.5W/827 E27</t>
  </si>
  <si>
    <t>PARATHOM CL A FR 60 non-dim 8,5W/827 E27</t>
  </si>
  <si>
    <t>PERFORMANCE CLASS CLASSIC A 60 FR non-dim 8.5W/840 E27</t>
  </si>
  <si>
    <t>PARATHOM CL A FR 60 non-dim 8,5W/840 E27</t>
  </si>
  <si>
    <t>PERFORMANCE CLASS CLASSIC A 60 FR non-dim 8.5W/827 B22d</t>
  </si>
  <si>
    <t>PARATHOM CL A FR 60 non-dim 8,5W/827 B22d</t>
  </si>
  <si>
    <t>PERFORMANCE CLASS CLASSIC A 75 FR non-dim 10W/827 E27</t>
  </si>
  <si>
    <t>PARATHOM CL A FR 75 non-dim 10W/827 E27</t>
  </si>
  <si>
    <t>PERFORMANCE CLASS CLASSIC A 75 FR non-dim 10W/840 E27</t>
  </si>
  <si>
    <t>PARATHOM CL A FR 75 non-dim 10W/840 E27</t>
  </si>
  <si>
    <t>PERFORMANCE CLASS CLASSIC A 100 FR non-dim 13W/827 E27</t>
  </si>
  <si>
    <t>PARATHOM CL A FR 100 non-dim 13W/827 E27</t>
  </si>
  <si>
    <t>PERFORMANCE CLASS CLASSIC A 100 FR non-dim 13W/840 E27</t>
  </si>
  <si>
    <t>PARATHOM CL A FR 100 non-dim 13W/840 E27</t>
  </si>
  <si>
    <t>PERFORMANCE CLASS CLASSIC A 150 FR non-dim 19W/827 E27</t>
  </si>
  <si>
    <t>PARATHOM CL A FR 150 non-dim 19W/827 E27</t>
  </si>
  <si>
    <t>CLASSIC A LED SUPERSTAR+ LOW VOLTAGE LAMP</t>
  </si>
  <si>
    <t>LED SUPERSTAR+ CLASSIC A 45 FR non-dim 6.5W/840 E27</t>
  </si>
  <si>
    <t>LED SUPERSTAR+ CLASSIC A 65 FR non-dim 9W/840 E27</t>
  </si>
  <si>
    <t>LED SUPERSTAR+ CLASSIC A 45 FR non-dim 6.5W/827 E27</t>
  </si>
  <si>
    <t>LED SUPERSTAR+ CLASSIC A 65 FR non-dim 9W/827 E27</t>
  </si>
  <si>
    <t>CLASSIC B PERFORMANCE DIM (Heatsink)</t>
  </si>
  <si>
    <t>PERFORMANCE CLASS CLASSIC B 40 FR DIM 4.9W/827 E14</t>
  </si>
  <si>
    <t>PERFORMANCE CLASS CLASSIC B 40 FR non-dim 4.9W/827 E14</t>
  </si>
  <si>
    <t>PARATHOM CL B FR 40 non-dim 4,9W/827 E14</t>
  </si>
  <si>
    <t>CLASSIC P LED - FROSTED (Heatsink)</t>
  </si>
  <si>
    <t>PERFORMANCE CLASS CLASSIC P 40 FR DIM 4.9W/827 E14</t>
  </si>
  <si>
    <t>PERFORMANCE CLASS CLASSIC P 40 FR non-dim 4.9W/827 E14</t>
  </si>
  <si>
    <t>CLASSIC STICK  - Dim &amp; Comfort Light CRI 90 (Heatsink)</t>
  </si>
  <si>
    <t>SUPERIOR CLASS CLASSIC STICK 70 FR DIM 11W/927 E27</t>
  </si>
  <si>
    <t>LED COMFORT/SUPERIOR CL STICK FR 75 dim 11W/927 E27</t>
  </si>
  <si>
    <t>SUPERIOR CLASS CLASSIC STICK 75 FR DIM 11W/940 E27</t>
  </si>
  <si>
    <t>LED COMFORT/SUPERIOR CL STICK FR 75 dim 11W/940 E27</t>
  </si>
  <si>
    <t>SUPERIOR CLASS CLASSIC STICK 75 FR DIM 11W/965 E27</t>
  </si>
  <si>
    <t>LED COMFORT/SUPERIOR CL STICK FR 75 dim 11W/965 E27</t>
  </si>
  <si>
    <t>CLASSIC STICK -  Non-dim  (Heatsink)</t>
  </si>
  <si>
    <t>PERFORMANCE CLASS CLASSIC STICK 60 FR non-dim 8W/827 E27</t>
  </si>
  <si>
    <t>PERFORMANCE CLASS CLASSIC STICK 60 FR non-dim 8W/840 E27</t>
  </si>
  <si>
    <t>PERFORMANCE CLASS CLASSIC STICK 75 FR non-dim 9W/827 E27</t>
  </si>
  <si>
    <t>PERFORMANCE CLASS CLASSIC STICK 75 FR non-dim 9W/840 E27</t>
  </si>
  <si>
    <t>PERFORMANCE CLASS SPECIAL T26 FR 20 non-dim 2.3W/827 E14</t>
  </si>
  <si>
    <t>PARATHOM SPECIAL T26 FR 20 non-dim 2,3W/827 E14</t>
  </si>
  <si>
    <t>PERFORMANCE CLASS SPECIAL T26 FR 20 non-dim 2.3W/865 E14</t>
  </si>
  <si>
    <t>PARATHOM SPECIAL T26 FR 20 non-dim 2,3W/865 E14</t>
  </si>
  <si>
    <t xml:space="preserve"> SPECIAL T26 FIL 5 non-dim 1,6W/824 E14</t>
  </si>
  <si>
    <t>PERFORMANCE CLASS SPECIAL T26 FIL 10 non-dim 1.3W/827 E14</t>
  </si>
  <si>
    <t>PARATHOM SPECIAL T26 FIL 10 non-dim 2,2W/827 E14</t>
  </si>
  <si>
    <t>PERFORMANCE CLASS SPECIAL T26 FIL 25 non-dim 2.8W/827 E14</t>
  </si>
  <si>
    <t>PARATHOM SPECIAL T26 FIL 25 non-dim 2,8W/827 E14</t>
  </si>
  <si>
    <t>PERFORMANCE CLASS SPECIAL T26 FIL 25 non-dim 2.8W/865 E14</t>
  </si>
  <si>
    <t>PARATHOM SPECIAL T26 FIL 25 non-dim 2,8W/865 E14</t>
  </si>
  <si>
    <t>PERFORMANCE CLASS SPECIAL T26 FIL 40 non-dim 4.2W/827 E14</t>
  </si>
  <si>
    <t>PARATHOM SPECIAL T26 FIL 40 non-dim 4W/827 E14</t>
  </si>
  <si>
    <t xml:space="preserve"> SPECIAL T26 FIL 55 non-dim 6,5W/827 E14</t>
  </si>
  <si>
    <t>SPECIAL T SLIM DIM</t>
  </si>
  <si>
    <t xml:space="preserve"> SPECIAL SPECIAL T SLIM CL 75 dim 9W/827 B15d</t>
  </si>
  <si>
    <t xml:space="preserve"> SPECIAL SPECIAL T SLIM CL 60 dim 7W/827 E14</t>
  </si>
  <si>
    <t xml:space="preserve"> SPECIAL SPECIAL T SLIM CL 60 dim 7.3W/827 E27</t>
  </si>
  <si>
    <t xml:space="preserve"> SPECIAL SPECIAL T SLIM CL 60 dim 7,3W/827 E27</t>
  </si>
  <si>
    <t xml:space="preserve"> SPECIAL SPECIAL T SLIM CL 60 dim 7W/827 GU10</t>
  </si>
  <si>
    <t xml:space="preserve"> SPECIAL SPECIAL T SLIM CL 60 non-dim 7W/827 B15d</t>
  </si>
  <si>
    <t xml:space="preserve">LED PIN 12V DIM  </t>
  </si>
  <si>
    <t>PERFORMANCE CLASS SPECIAL PIN CL 20 DIM 2W/827 G4</t>
  </si>
  <si>
    <t>PARATHOM DIM SPECIAL PIN CL 20 dim 2W/827 G4</t>
  </si>
  <si>
    <t>DIM SPECIAL PIN CL 40 dim 4.5W/827 GY6.35</t>
  </si>
  <si>
    <t>DIM SPECIAL PIN CL 40 dim 4,5W/827 GY6.35</t>
  </si>
  <si>
    <t xml:space="preserve"> SPECIAL PIN MICRO CL 10 non-dim 1W/827 G4</t>
  </si>
  <si>
    <t>PERFORMANCE CLASS SPECIAL PIN CL 10 non-dim 0.9W/827 G4</t>
  </si>
  <si>
    <t>PARATHOM SPECIAL PIN CL 10 non-dim 0,9W/827 G4</t>
  </si>
  <si>
    <t>PERFORMANCE CLASS SPECIAL PIN CL 20 non-dim 1.8W/827 G4</t>
  </si>
  <si>
    <t>PARATHOM SPECIAL PIN CL 20 non-dim 1,8W/827 G4</t>
  </si>
  <si>
    <t>PERFORMANCE CLASS SPECIAL PIN CL 28 non-dim 2.6W/827 G4</t>
  </si>
  <si>
    <t>PARATHOM SPECIAL PIN CL 28 non-dim 2,6W/827 G4</t>
  </si>
  <si>
    <t>PERFORMANCE CLASS SPECIAL PIN CL 28 non-dim 2.6W/827 GY6.35</t>
  </si>
  <si>
    <t>PARATHOM SPECIAL PIN CL 28 non-dim 2,6W/827 GY6.35</t>
  </si>
  <si>
    <t>PERFORMANCE CLASS SPECIAL PIN CL 40 non-dim 4W/827 GY6.35</t>
  </si>
  <si>
    <t>PARATHOM SPECIAL PIN CL 40 non-dim 4W/827 GY6.35</t>
  </si>
  <si>
    <t xml:space="preserve">PERFORMANCE DIM LED PIN G9  </t>
  </si>
  <si>
    <t>PERFORMANCE CLASS SPECIAL PIN CL 30 DIM 3W/827 G9</t>
  </si>
  <si>
    <t>PARATHOM DIM SPECIAL PIN CL 30 dim 3W/827 G9</t>
  </si>
  <si>
    <t>PERFORMANCE CLASS SPECIAL PIN CL 40 DIM 4W/827 G9</t>
  </si>
  <si>
    <t>PARATHOM DIM SPECIAL PIN CL 40 dim 4W/827 G9</t>
  </si>
  <si>
    <t xml:space="preserve">PERFORMANCE LED PIN G9  </t>
  </si>
  <si>
    <t>PERFORMANCE CLASS SPECIAL PIN CL 20 non-dim 1.9W/827 G9</t>
  </si>
  <si>
    <t>PARATHOM SPECIAL PIN CL 20 non-dim 1,9W/827 G9</t>
  </si>
  <si>
    <t>PERFORMANCE CLASS SPECIAL PIN CL 30 non-dim 2.6W/827 G9</t>
  </si>
  <si>
    <t>PARATHOM SPECIAL PIN CL 30 non-dim 2,6W/827 G9</t>
  </si>
  <si>
    <t>PERFORMANCE CLASS SPECIAL PIN CL 30 non-dim 2.6W/840 G9</t>
  </si>
  <si>
    <t>PARATHOM SPECIAL PIN CL 30 non-dim 2,6W/840 G9</t>
  </si>
  <si>
    <t>PERFORMANCE CLASS SPECIAL PIN CL 40 non-dim 4.2W/827 G9</t>
  </si>
  <si>
    <t>PARATHOM SPECIAL PIN CL 40 non-dim 4,2W/827 G9</t>
  </si>
  <si>
    <t>PERFORMANCE CLASS SPECIAL PIN CL 40 non-dim 4.2W/840 G9</t>
  </si>
  <si>
    <t>PARATHOM SPECIAL PIN CL 40 non-dim 4,2W/840 G9</t>
  </si>
  <si>
    <t>PERFORMANCE CLASS SPECIAL PIN CL 50 non-dim 4.8W/827 G9</t>
  </si>
  <si>
    <t>PARATHOM SPECIAL PIN CL 50 non-dim 4,8W/827 G9</t>
  </si>
  <si>
    <t>PERFORMANCE CLASS SPECIAL PIN CL 50 non-dim 4.8W/840 G9</t>
  </si>
  <si>
    <t>PARATHOM SPECIAL PIN CL 50 non-dim 4,8W/840 G9</t>
  </si>
  <si>
    <t>LED PIN G9 FROSTED</t>
  </si>
  <si>
    <t xml:space="preserve"> SPECIAL PIN FR 19 non-dim 1,9W/827 G9</t>
  </si>
  <si>
    <t xml:space="preserve"> SPECIAL PIN FR 28 non-dim 2,6W/827 G9</t>
  </si>
  <si>
    <t xml:space="preserve"> SPECIAL PIN FR 37 non-dim 4,2W/827 G9</t>
  </si>
  <si>
    <t xml:space="preserve">PERFORMANCE DIM LINE R7s </t>
  </si>
  <si>
    <t>PERFORMANCE CLASS SPECIAL LINE 78 CL 75 DIM 9.5W/827 R7S</t>
  </si>
  <si>
    <t>PARATHOM DIM SPECIAL LINE 78 CL 75 dim 9,5W/827 R7S</t>
  </si>
  <si>
    <t>PERFORMANCE CLASS SPECIAL LINE 78 CL 100 DIM 12W/827 R7S</t>
  </si>
  <si>
    <t>PARATHOM DIM SPECIAL LINE 78 CL 100 dim 12W/827 R7S</t>
  </si>
  <si>
    <t>PERFORMANCE CLASS SPECIAL LINE 118 CL 125 DIM 15W/827 R7S</t>
  </si>
  <si>
    <t>PARATHOM DIM SPECIAL LINE 118 CL 125 dim 16W/827 R7S</t>
  </si>
  <si>
    <t>PERFORMANCE CLASS SPECIAL LINE 118 CL 150 DIM 18.2W/827 R7S</t>
  </si>
  <si>
    <t>PARATHOM DIM SPECIAL LINE 118 CL 150 dim 19W/827 R7S</t>
  </si>
  <si>
    <t xml:space="preserve">PERFORMANCE LINE R7s </t>
  </si>
  <si>
    <t>PERFORMANCE CLASS SPECIAL LINE 78 CL 60 non-dim 7.3W/827 R7S</t>
  </si>
  <si>
    <t>PARATHOM SPECIAL LINE 78 CL 60 non-dim 6,5W/827 R7S</t>
  </si>
  <si>
    <t>PERFORMANCE CLASS SPECIAL LINE 78 CL 75 non-dim 8W/827 R7S</t>
  </si>
  <si>
    <t>PARATHOM SPECIAL LINE 78 CL 75 non-dim 8,2W/827 R7S</t>
  </si>
  <si>
    <t>PERFORMANCE CLASS SPECIAL LINE 78 CL 100 non-dim 11.5W/827 R7S</t>
  </si>
  <si>
    <t>PARATHOM SPECIAL LINE 78 CL 100 non-dim 12W/827 R7S</t>
  </si>
  <si>
    <t>PERFORMANCE CLASS SPECIAL LINE 118 CL 100 non-dim 13W/827 R7S</t>
  </si>
  <si>
    <t>PARATHOM SPECIAL LINE 118 CL 100 non-dim 13W/827 R7S</t>
  </si>
  <si>
    <t>PERFORMANCE CLASS SPECIAL LINE 118 CL 125 non-dim 15W/827 R7S</t>
  </si>
  <si>
    <t>PARATHOM SPECIAL LINE 118 CL 125 non-dim 16W/827 R7S</t>
  </si>
  <si>
    <t>PERFORMANCE CLASS SPECIAL LINE 118 CL 150 non-dim 18.2W/827 R7S</t>
  </si>
  <si>
    <t>PARATHOM SPECIAL LINE 118 CL 150 non-dim 19W/827 R7S</t>
  </si>
  <si>
    <t xml:space="preserve"> SPECIAL LINE 78 CL 60 non-dim 7W/827 R7S</t>
  </si>
  <si>
    <t xml:space="preserve"> SPECIAL LINE 118 CL 100 non-dim 12W/827 R7S</t>
  </si>
  <si>
    <t>LED STAR SPECIAL S19 FR 60 non-dim 9W/827 S19</t>
  </si>
  <si>
    <t xml:space="preserve"> SPECIAL S15 FR 32 non-dim 4W/827 S15s</t>
  </si>
  <si>
    <t xml:space="preserve"> SPECIAL S15 FR 57 non-dim 7W/827 S15s</t>
  </si>
  <si>
    <t>LEDinestra DIM - Dimmable</t>
  </si>
  <si>
    <t>LEDinestra DIM 30cm 3.1W/827 FR S14s</t>
  </si>
  <si>
    <t>LEDinestra DIM 30cm 3,1W/827 FR S14s</t>
  </si>
  <si>
    <t>LEDinestra DIM 30cm 3.1W/827 FR S14d</t>
  </si>
  <si>
    <t>LEDinestra DIM 30cm 3,1W/827 FR S14d</t>
  </si>
  <si>
    <t>LEDinestra DIM 50cm 4.9W/827 FR S14s</t>
  </si>
  <si>
    <t>LEDinestra DIM 50cm 4,9W/827 FR S14s</t>
  </si>
  <si>
    <t>LEDinestra DIM 50cm 4.9W/827 FR S14d</t>
  </si>
  <si>
    <t>LEDinestra DIM 50cm 4,9W/827 FR S14d</t>
  </si>
  <si>
    <t>LEDinestra DIM 100cm 9.9W/827 FR S14s</t>
  </si>
  <si>
    <t>LEDinestra DIM 100cm 9,9W/827 FR S14s</t>
  </si>
  <si>
    <t xml:space="preserve">LEDinestra 30cm non-dim 3.5W/827 FR S14d </t>
  </si>
  <si>
    <t xml:space="preserve">LEDinestra 30cm non-dim 3,5W/827 FR S14d </t>
  </si>
  <si>
    <t xml:space="preserve">LEDinestra 30cm non-dim 3.5W/827 FR S14s </t>
  </si>
  <si>
    <t xml:space="preserve">LEDinestra 30cm non-dim 3,5W/827 FR S14s </t>
  </si>
  <si>
    <t xml:space="preserve">LEDinestra 50cm non-dim 6W/827 FR S14d </t>
  </si>
  <si>
    <t xml:space="preserve">LEDinestra 50cm non-dim 6W/827 FR S14s </t>
  </si>
  <si>
    <t xml:space="preserve"> SPECIAL CIRCOLUX FR 100 non-dim 14,5W/827 E27</t>
  </si>
  <si>
    <t>LED STAR+ CL A FIL 40 GLOWdim 4W/827 E27</t>
  </si>
  <si>
    <t>LED STAR+ CL A FIL 60 GLOWdim 6.5W/827 E27</t>
  </si>
  <si>
    <t>LED STAR+ CL A FIL 60 GLOWdim 6,5W/827 E27</t>
  </si>
  <si>
    <t>LED STAR+ CL B FIL 40 GLOWdim 4W/827 E14</t>
  </si>
  <si>
    <t>LED STAR+ CL GLOBE125 FIL 60 GLOWdim 6.5W/827 E27</t>
  </si>
  <si>
    <t>LED STAR+ CL GLOBE125 FIL 60 GLOWdim 6,5W/827 E27</t>
  </si>
  <si>
    <t>LED STAR+ CL P FIL 40 GLOWdim 4W/827 E14</t>
  </si>
  <si>
    <t>Superior Class Spot PAR16 GL 50 GLOWdim 4.5W/827 GU10</t>
  </si>
  <si>
    <t>PARATHOM+ Spot PAR16 GL 50 GLOWdim 4,5W/827 GU10</t>
  </si>
  <si>
    <t>SUPERIOR CLASS Spot AR111 HS 50 GLOWdim 7.2W/927 G53</t>
  </si>
  <si>
    <t>PARATHOM+ Spot AR111 HS 50 GLOWdim 7,2W/927 G53</t>
  </si>
  <si>
    <t>LED STAR+ CL A FIL 60 non-dim 7W/827 E27</t>
  </si>
  <si>
    <t>LED STAR+ CL B FIL 40 non-dim 4W/827 E14</t>
  </si>
  <si>
    <t>LED STAR+ CL P FIL 40 non-dim 4W/827 E14</t>
  </si>
  <si>
    <t>LED STAR+ CL A FIL 60 non-dim 6.5W/827 E27</t>
  </si>
  <si>
    <t>LED STAR+ CL A FIL 60 non-dim 6,5W/827 E27</t>
  </si>
  <si>
    <t>LED STAR+ Spot PAR16 GL 50 non-dim 3.7W/827 GU10</t>
  </si>
  <si>
    <t>LED STAR+ Spot PAR16 GL 50 non-dim 3,7W/827 GU10</t>
  </si>
  <si>
    <t>LED STAR+ SPECIAL PIN CL 40 non-dim 4W/827 G9</t>
  </si>
  <si>
    <t>SUPERIOR Daylight Sensor CLA</t>
  </si>
  <si>
    <t>Superior Class CLASSIC A FIL 40 non-dim 4.9W/827 E27 DaylightSensor</t>
  </si>
  <si>
    <t>PARATHOM+ CL A FIL 40 non-dim 4,9W/827 E27</t>
  </si>
  <si>
    <t>Superior Class CLASSIC A FIL 60 non-dim 7.3W/827 E27 DaylightSensor</t>
  </si>
  <si>
    <t>PARATHOM+ CL A FIL 60 non-dim 7,3W/827 E27</t>
  </si>
  <si>
    <t>SUPERIOR CLASS CLASSIC A 60 FR non-dim 8.8W/827 E27 DaylightSensor</t>
  </si>
  <si>
    <t>PARATHOM+ CL A FR 60 non-dim 8,8W/827 E27</t>
  </si>
  <si>
    <t>SUPERIOR MOTION  Sensor CLA</t>
  </si>
  <si>
    <t>SUPERIOR CLASS CLASSIC A FIL 60 non-dim 7.3W/827 E27</t>
  </si>
  <si>
    <t>SUPERIOR CLASS CLASSIC A 60 FR non-dim 8.8W/827 E27</t>
  </si>
  <si>
    <t>SUPERIOR CLASS CLASSIC A 75 FR non-dim 10W/827 E27</t>
  </si>
  <si>
    <t>PERFORMANCE CLASS CLASSIC P FIL Mirror Silver 31 non-dim 4W/827 E14</t>
  </si>
  <si>
    <t>PARATHOM CL P FIL Mirror Silver 31 non-dim 4W/827 E14</t>
  </si>
  <si>
    <t>PERFORMANCE CLASS CLASSIC A FIL Mirror Silver 50 non-dim 6.5W/827 E27</t>
  </si>
  <si>
    <t>PARATHOM CL A FIL Mirror Silver 50 non-dim 6,5W/827 E27</t>
  </si>
  <si>
    <t xml:space="preserve">NOVO </t>
  </si>
  <si>
    <t>Lâmpadas Tradicionais</t>
  </si>
  <si>
    <t>Luminárias</t>
  </si>
  <si>
    <t>Link Ficha Produto</t>
  </si>
  <si>
    <t xml:space="preserve">TRUSYS FLEX P RAIL 600 8P WT       </t>
  </si>
  <si>
    <t xml:space="preserve">TRUSYS FLEX P RAIL 600 8P END WT   </t>
  </si>
  <si>
    <t xml:space="preserve">PL COMP 600 V 35W 830 840 U19 PS   </t>
  </si>
  <si>
    <t xml:space="preserve">PL COMP 600 V 35W 830 840 U19 DALI </t>
  </si>
  <si>
    <t>TRUSYS FLEX RAIL</t>
  </si>
  <si>
    <t>TRUSYS FLEX BLIND COVER 1500 WT (tampa cega)</t>
  </si>
  <si>
    <t xml:space="preserve">TRUSYS FLEX SENSOR TRACK 600 8P WT </t>
  </si>
  <si>
    <t>TRUSYS FLEX SENSOR TRACK 1500 8P WT</t>
  </si>
  <si>
    <t xml:space="preserve">TRUSYS FLEX T5 TRACK ST WT         </t>
  </si>
  <si>
    <t xml:space="preserve">TRUSYS FLEX T5 TRACK DT WT         </t>
  </si>
  <si>
    <t xml:space="preserve">TRUSYS FLEX T5 TRACK REFLECTOR VW  </t>
  </si>
  <si>
    <t xml:space="preserve">TRUSYS FLEX BLIND COVER 600 WT     </t>
  </si>
  <si>
    <t xml:space="preserve">DP S 1200 18W 840 IP65 GY          </t>
  </si>
  <si>
    <t xml:space="preserve">DP S 1500 26W 840 IP65 GY          </t>
  </si>
  <si>
    <t xml:space="preserve">			DR DS-P-40/220-240/1A0
			</t>
  </si>
  <si>
    <t>DR AY DS-P- CLAMP DUO (2 unid)</t>
  </si>
  <si>
    <t>Driver DR-V-30/220-240/24</t>
  </si>
  <si>
    <t>Driver DR-V-60/220-240/24</t>
  </si>
  <si>
    <t>Driver DR-V-120/220-240/24</t>
  </si>
  <si>
    <t>Driver DR-V-150/220-240/24</t>
  </si>
  <si>
    <t xml:space="preserve">DALI PRO 2 IOT   </t>
  </si>
  <si>
    <t>PANEL 600 PROTECT</t>
  </si>
  <si>
    <t>HB SEN P 147W 840 110DEG IP65</t>
  </si>
  <si>
    <t>HB SEN P 87W 840 110DEG IP65</t>
  </si>
  <si>
    <t>HB SEN P 147W 840 70DEG IP65</t>
  </si>
  <si>
    <t>HB SEN P 190W 840 110DEG IP65</t>
  </si>
  <si>
    <t>LOW BAY FLEX</t>
  </si>
  <si>
    <t>CLASSIC B PERFORMANCE nomDIM (Heatsink)</t>
  </si>
  <si>
    <t>VALUE CLASSIC A, B e P</t>
  </si>
  <si>
    <t>SPECIAL T26 FIL 55 non-dim 6.5W/827 E14</t>
  </si>
  <si>
    <t>SPECIAL SPECIAL T SLIM CL 60 non-dim 7W/827 B15d</t>
  </si>
  <si>
    <t>SPECIAL PIN MICRO CL 10 non-dim 1W/827 G4</t>
  </si>
  <si>
    <t>SPECIAL PIN FR 19 non-dim 1.9W/827 G9</t>
  </si>
  <si>
    <t>SPECIAL PIN FR 28 non-dim 2.6W/827 G9</t>
  </si>
  <si>
    <t>SPECIAL PIN FR 37 non-dim 4.2W/827 G9</t>
  </si>
  <si>
    <t>SPECIAL LINE 78 CL 60 non-dim 7W/827 R7S</t>
  </si>
  <si>
    <t>SPECIAL LINE 118 CL 100 non-dim 12W/827 R7S</t>
  </si>
  <si>
    <t>SPECIAL S15 FR 32 non-dim 4W/827 S15s</t>
  </si>
  <si>
    <t>SPECIAL S15 FR 57 non-dim 7W/827 S15s</t>
  </si>
  <si>
    <t>SPECIAL CIRCOLUX FR 100 non-dim 14.5W/827 E27</t>
  </si>
  <si>
    <t>SPOT COMBO E ACESSÓRIOS</t>
  </si>
  <si>
    <t>DOWNLIGHT IP44 E ACESSÓRIOS</t>
  </si>
  <si>
    <t>SPOT ADJUST (GEN2)</t>
  </si>
  <si>
    <t>SPOT FIX (GEN 2)</t>
  </si>
  <si>
    <t>SF COMPACT IK10 300 24 W 3000 K IP65 WT</t>
  </si>
  <si>
    <t>SF COMPACT IK10 300 24 W 4000 K IP65 WT</t>
  </si>
  <si>
    <t>SF CIRC 250 V 13 W 830 IP44</t>
  </si>
  <si>
    <t>SF CIRC 250 V 13 W 840 IP44</t>
  </si>
  <si>
    <t>SF CIRC 350 V 18 W 830 IP44</t>
  </si>
  <si>
    <t>SF CIRC 350 V 18 W 840 IP44</t>
  </si>
  <si>
    <t>SF CIRC 400 V 24 W 830 IP44</t>
  </si>
  <si>
    <t>SF CIRC 400 V 24 W 840 IP44T</t>
  </si>
  <si>
    <t>SF CIRC 250 SEN V 13 W 830 IP44</t>
  </si>
  <si>
    <t>SF CIRC 250 SEN V 13 W 840 IP44</t>
  </si>
  <si>
    <t>SF CIRC 350 SEN V 18 W 830 IP44</t>
  </si>
  <si>
    <t>SF CIRC 350 SEN V 18 W 840 IP44</t>
  </si>
  <si>
    <t>SF CIRC 400 SEN V 24 W 830 IP44</t>
  </si>
  <si>
    <t>SF CIRC 400 SEN V 24 W 840 IP44</t>
  </si>
  <si>
    <t>SF CIRCULAR 250 Cover</t>
  </si>
  <si>
    <t>SF CIRCULAR 350 Cover</t>
  </si>
  <si>
    <t>SF CIRCULAR 400 Cover</t>
  </si>
  <si>
    <t>SF CIRC 500 V 42W 830 IP44 PS</t>
  </si>
  <si>
    <t>SURFACE CIRCULAR - ACESSÓRIOS</t>
  </si>
  <si>
    <t>SF CIRC 500 V 42W 840 IP44 PS </t>
  </si>
  <si>
    <t xml:space="preserve">SURFACE CIRCULAR SENSOR </t>
  </si>
  <si>
    <t xml:space="preserve">SURFACE CIRCULAR  </t>
  </si>
  <si>
    <t>SURFACE BULKHEAD</t>
  </si>
  <si>
    <t>SURFACE BULKHEAD SENSOR</t>
  </si>
  <si>
    <t>SURFACE BULKHEAD EMERGENCY</t>
  </si>
  <si>
    <t>SURFACE BULKHEAD EMERGENCY SENSOR</t>
  </si>
  <si>
    <t>SURFACE BULKHEAD - ACESSÓRIOS</t>
  </si>
  <si>
    <t>SF BLKH 250 10W/3000K WT IP65</t>
  </si>
  <si>
    <t>SF BLKH 250 10W/4000K WT IP65</t>
  </si>
  <si>
    <t>SF BLKH 250 10W/3000K BK IP65</t>
  </si>
  <si>
    <t>SF BLKH 250 10W/4000K BK IP65</t>
  </si>
  <si>
    <t>SF BLKH 300 15W/3000K WT IP65</t>
  </si>
  <si>
    <t>SF BLKH 300 15W/4000K WT IP65</t>
  </si>
  <si>
    <t>SF BLKH 300 15W/3000K BK IP65</t>
  </si>
  <si>
    <t>SF BLKH 300 15W/4000K BK IP65</t>
  </si>
  <si>
    <t>SF BLKH 250 S 10W/3000K WT IP65</t>
  </si>
  <si>
    <t>SF BLKH 250 S 10W/4000K WT IP65</t>
  </si>
  <si>
    <t>SF BLKH 250 S 10W/3000K BK IP65</t>
  </si>
  <si>
    <t>SF BLKH 250 S 10W/4000K BK IP65</t>
  </si>
  <si>
    <t>SF BLKH 300 S 15W/3000K WT IP65</t>
  </si>
  <si>
    <t>SF BLKH 300 S 15W/4000K WT IP65</t>
  </si>
  <si>
    <t>SF BLKH 300 S 15W/3000K BK IP65</t>
  </si>
  <si>
    <t>SF BLKH 300 S 15W/4000K BK IP65</t>
  </si>
  <si>
    <t>SF BLKH 250 EM 10 W 3000 K WT IP65</t>
  </si>
  <si>
    <t>SF BLKH 250 EM 10 W 4000 K WT IP65</t>
  </si>
  <si>
    <t>SF BLKH 250 EM 10 W 3000 K BK IP65</t>
  </si>
  <si>
    <t>SF BLKH 250 EM 10 W 4000 K BK IP65</t>
  </si>
  <si>
    <t>SF BLKH 300 EM 15 W 3000 K WT IP65</t>
  </si>
  <si>
    <t>SF BLKH 300 EM 15 W 4000 K WT IP65</t>
  </si>
  <si>
    <t>SF BLKH 300 EM 15 W 3000 K BK IP65</t>
  </si>
  <si>
    <t>SF BLKH 300 EM 15 W 4000 K BK IP65</t>
  </si>
  <si>
    <t>SF BLKH RING 250 WT</t>
  </si>
  <si>
    <t>SF BLKH RING 250 BK</t>
  </si>
  <si>
    <t>SF BLKH RING 300 WT</t>
  </si>
  <si>
    <t>SF BLKH RING 300 BK</t>
  </si>
  <si>
    <t>SF BLKH EYELID 250 WT</t>
  </si>
  <si>
    <t>SF BLKH EYELID 250 BK</t>
  </si>
  <si>
    <t>SF BLKH EYELID 300 WT</t>
  </si>
  <si>
    <t>SF BLKH EYELID 300 BK</t>
  </si>
  <si>
    <t>PANEL INDV 600 33 W 3000 K</t>
  </si>
  <si>
    <t>PANEL INDV 600 33 W 4000 K</t>
  </si>
  <si>
    <t>PANEL INDV 600 33 W 3000 K DALI</t>
  </si>
  <si>
    <t>PANEL INDV 600 33 W 4000 K DALI</t>
  </si>
  <si>
    <t>PANEL INDV 600 33 W-4000 K ZBVR</t>
  </si>
  <si>
    <t>PANEL INDV EM 600 33 W 3000 K</t>
  </si>
  <si>
    <t>PANEL INDV EM 600 33 W 4000 K</t>
  </si>
  <si>
    <t>PANEL PROTECT UGR19</t>
  </si>
  <si>
    <t>PANEL COMPACT 600 V</t>
  </si>
  <si>
    <t>PANEL COMPACT 600 V UGR19</t>
  </si>
  <si>
    <t>PANEL COMPACT 600 V CRI 90</t>
  </si>
  <si>
    <t>PANEL COMPACT 1200x300 V</t>
  </si>
  <si>
    <t>PANEL COMPACT 1200x300 V CRI&gt;90</t>
  </si>
  <si>
    <t>PANEL COMPACT 1200x600 V</t>
  </si>
  <si>
    <t xml:space="preserve">PANEL COMPACT 1200x600 V UGR19 </t>
  </si>
  <si>
    <t>PANEL ECO UGR19</t>
  </si>
  <si>
    <t>PL ECO 600 E 36W 830</t>
  </si>
  <si>
    <t>PL ECO 600 E 36W 840</t>
  </si>
  <si>
    <t>PL ECO 600 E 36W 865</t>
  </si>
  <si>
    <t>PL ECO 600 E 36W 830 U19</t>
  </si>
  <si>
    <t>PL ECO 600 E 36W 840 U19</t>
  </si>
  <si>
    <t>PL ECO 600 E 36W 865 U19</t>
  </si>
  <si>
    <t>PANEL 600 Surface Mount Kit H75 WT (kit montagem saliente)</t>
  </si>
  <si>
    <t>PANEL 600 Surface Mount Kit H50 WT (kit montagem saliente)</t>
  </si>
  <si>
    <t>PANEL 600 Surface Mount KIT H75 BK (kit montagem saliente)</t>
  </si>
  <si>
    <t>PANEL 1200 Security Bracket (suporte de segurança) - 2 unid.</t>
  </si>
  <si>
    <t>PANEL 1200 Surface Mount Kit WT (kit montagem saliente)</t>
  </si>
  <si>
    <t>PANEL 1200 Surface Mount Kit BK (kit montagem saliente)</t>
  </si>
  <si>
    <t>PANEL 1200x300 Surface Mount Kit VALUE H70 (kit montagem saliente)</t>
  </si>
  <si>
    <t>INDIVILED Direct ON-Off</t>
  </si>
  <si>
    <t>INDIVILED Direct DALI</t>
  </si>
  <si>
    <t xml:space="preserve"> INDIVILED Direct/Indirect ON-OFF</t>
  </si>
  <si>
    <t xml:space="preserve"> INDIVILED - ACCESSORIOS</t>
  </si>
  <si>
    <t>LN UO 1200 25 W 4000 K</t>
  </si>
  <si>
    <t>LN UO 1200 33 W 3000 K</t>
  </si>
  <si>
    <t>LN UO 1200 33 W 4000 K</t>
  </si>
  <si>
    <t>LN UO 1500 30 W 4000 K</t>
  </si>
  <si>
    <t>LN UO 1500 46 W 3000 K</t>
  </si>
  <si>
    <t>LN UO 1500 46 W 4000 K</t>
  </si>
  <si>
    <t>LN UO 1500 60 W 4000 K</t>
  </si>
  <si>
    <t>LN UO EM 1200 25 W 4000 K</t>
  </si>
  <si>
    <t>LN UO EM 1200 33 W 3000 K</t>
  </si>
  <si>
    <t>LN UO EM 1200 33 W 4000 K</t>
  </si>
  <si>
    <t>LN UO EM 1500 30 W 4000 K</t>
  </si>
  <si>
    <t>LN UO EM 1500 46 W 3000 K</t>
  </si>
  <si>
    <t>LN UO EM 1500 46 W 4000 K</t>
  </si>
  <si>
    <t>LN UO EM 1500 60 W 4000 K</t>
  </si>
  <si>
    <t>LN COMP SWITCH 300 4 W 3000 K</t>
  </si>
  <si>
    <t>LN COMP SWITCH 300 4 W 4000 K</t>
  </si>
  <si>
    <t>LN COMP SWITCH 600 8 W 3000 K</t>
  </si>
  <si>
    <t>LN COMP SWITCH 600 8 W 4000 K</t>
  </si>
  <si>
    <t>LN COMP SWITCH 900 12 W 3000 K</t>
  </si>
  <si>
    <t>LN COMP SWITCH 900 12 W 4000 K</t>
  </si>
  <si>
    <t>LN COMP SWITCH 1200 14 W 3000 K</t>
  </si>
  <si>
    <t>LN COMP SWITCH 1200 14 W 4000 K</t>
  </si>
  <si>
    <t>LN COMP SWITCH 1500 17W/3000K</t>
  </si>
  <si>
    <t>LN COMP SWITCH 1500 17W/4000K</t>
  </si>
  <si>
    <t>LN COMP HO 600 10 W 3000 K</t>
  </si>
  <si>
    <t>LN COMP HO 600 10 W 4000 K</t>
  </si>
  <si>
    <t>LN COMP HO 900 15 W 3000 K</t>
  </si>
  <si>
    <t>LN COMP HO 900 15 W 4000 K</t>
  </si>
  <si>
    <t>LN COMP HO 1200 20 W 3000 K</t>
  </si>
  <si>
    <t>LN COMP HO 1200 20 W 4000 K</t>
  </si>
  <si>
    <t>LN COMP HO 1500 25 W 3000 K</t>
  </si>
  <si>
    <t>LN COMP HO 1500 25 W 4000 K</t>
  </si>
  <si>
    <t>LN COMP Batten 600 10 W 3000 K</t>
  </si>
  <si>
    <t>LN COMP Batten 600 10 W 4000 K</t>
  </si>
  <si>
    <t>LN COMP Batten 1200 20 W 3000 K</t>
  </si>
  <si>
    <t>LN COMP Batten 1200 20 W 4000 K</t>
  </si>
  <si>
    <t>LN COMP Batten 1500 25 W 3000 K</t>
  </si>
  <si>
    <t>LN COMP Batten 1500 25 W 4000 K</t>
  </si>
  <si>
    <t>DP COMPACT 1200 23W/3000K IP66 GR</t>
  </si>
  <si>
    <t>DP COMPACT 1200 23 W 4000K IP66 GR</t>
  </si>
  <si>
    <t>DP COMPACT 1200 44W/3000K IP66 GR</t>
  </si>
  <si>
    <t>DP COMPACT 1200 44 W 4000K IP66 GR</t>
  </si>
  <si>
    <t>DP COMPACT 1200 44 W 6500K IP66 GR</t>
  </si>
  <si>
    <t>DP COMPACT 1500 31W/3000K IP66 GR</t>
  </si>
  <si>
    <t>DP COMPACT 1500 31 W 4000K IP66 GR</t>
  </si>
  <si>
    <t>DP COMPACT 1500 55W/3000K IP66 GR</t>
  </si>
  <si>
    <t>DP COMPACT 1500 55 W 4000K IP66 GR</t>
  </si>
  <si>
    <t>DP COMPACT 1500 55 W 6500K IP66 GR</t>
  </si>
  <si>
    <t>DAMP PROOF COMPACT - GER 1</t>
  </si>
  <si>
    <t>DP COMP 1200 V 33W 840 IP66 PS</t>
  </si>
  <si>
    <t>DP COMP 600 V 16W 840 IP66</t>
  </si>
  <si>
    <t>DP COMP 1500 V 50W 840 IP66 PS</t>
  </si>
  <si>
    <t>DAMP PROOF COMPACT - GER 2</t>
  </si>
  <si>
    <t>DP 1200 18W 840 IP65 GY</t>
  </si>
  <si>
    <t>DP 1200 18W 865 IP65 GY</t>
  </si>
  <si>
    <t>DP 1200 32W 830 IP65 GY</t>
  </si>
  <si>
    <t>DP 1200 32W 840 IP65 GY</t>
  </si>
  <si>
    <t>DP 1200 32W 865 IP65 GY</t>
  </si>
  <si>
    <t>DP 1500 26W 865 IP65 GY</t>
  </si>
  <si>
    <t>DP 1500 46W 830 IP65 GY</t>
  </si>
  <si>
    <t>DP 1500 46W 840 IP65 GY</t>
  </si>
  <si>
    <t>DP 1500 46W 865 IP65 GY</t>
  </si>
  <si>
    <t>DP 1500 58W 840 IP65 GY</t>
  </si>
  <si>
    <t>DP 1500 58W 865 IP65 GY</t>
  </si>
  <si>
    <t>DP 1500 81W 840 IP65 GY</t>
  </si>
  <si>
    <t>DP 1500 81W 865 IP65 GY</t>
  </si>
  <si>
    <t>DAMP PROOF - GER 2</t>
  </si>
  <si>
    <t>DP 1500 26W 840 IP65 GY</t>
  </si>
  <si>
    <t>DP DALI 1200 18W 840 IP65 GY</t>
  </si>
  <si>
    <t>DP DALI 1200 18W 865 IP65 GY</t>
  </si>
  <si>
    <t>DP DALI 1200 32W 830 IP65 GY</t>
  </si>
  <si>
    <t>DP DALI 1200 32W 840 IP65 GY</t>
  </si>
  <si>
    <t>DP DALI 1200 32W 865 IP65 GY</t>
  </si>
  <si>
    <t>DP DALI 1500 26W 840 IP65 GY</t>
  </si>
  <si>
    <t>DP DALI 1500 26W 865 IP65 GY</t>
  </si>
  <si>
    <t>DP DALI 1500 46W 830 IP65 GY</t>
  </si>
  <si>
    <t>DP DALI 1500 46W 840 IP65 GY</t>
  </si>
  <si>
    <t>DP DALI 1500 46W 865 IP65 GY</t>
  </si>
  <si>
    <t>DP DALI 1500 58W 840 IP65 GY</t>
  </si>
  <si>
    <t>DP DALI 1500 58W 865 IP65 GY</t>
  </si>
  <si>
    <t>DAMP PROOF DALI - GER 2</t>
  </si>
  <si>
    <t>DAMP PROOF EMERGÊNCIA - GER 2</t>
  </si>
  <si>
    <t>DP 5TH 1200 32W 840 IP65 GY</t>
  </si>
  <si>
    <t>DP 5TH 1500 46W 840 IP65 GY</t>
  </si>
  <si>
    <t>DP EM 1200 18W 840 IP65 GY</t>
  </si>
  <si>
    <t>DP EM 1200 18W 865 IP65 GY</t>
  </si>
  <si>
    <t>DP EM 1200 32W 830 IP65 GY</t>
  </si>
  <si>
    <t>DP EM 1200 32W 840 IP65 GY</t>
  </si>
  <si>
    <t>DP EM 1200 32W 865 IP65 GY</t>
  </si>
  <si>
    <t>DP EM 1500 26W 840 IP65 GY</t>
  </si>
  <si>
    <t>DP EM 1500 26W 865 IP65 GY</t>
  </si>
  <si>
    <t>DP EM 1500 46W 830 IP65 GY</t>
  </si>
  <si>
    <t>DP EM 1500 46W 840 IP65 GY</t>
  </si>
  <si>
    <t>DP EM 1500 46W 865 IP65 GY</t>
  </si>
  <si>
    <t>DP EM 1500 58W 840 IP65 GY</t>
  </si>
  <si>
    <t>DP EM 1500 58W 865 IP65 GY</t>
  </si>
  <si>
    <t>DP EM 1500 81W 840 IP65 GY</t>
  </si>
  <si>
    <t>DP EM 1500 81W 865 IP65 GY</t>
  </si>
  <si>
    <t>DP S 1200 32W 840 IP65 GY</t>
  </si>
  <si>
    <t>DP S 1500 46W 840 IP65 GY</t>
  </si>
  <si>
    <t>DP S 1500 58W 840 IP65 GY</t>
  </si>
  <si>
    <t>DAMP PROOF SENSOR - GER 2</t>
  </si>
  <si>
    <t>DP VAL 600 9 W 4000 K IP65</t>
  </si>
  <si>
    <t>DP VAL 600 18 W 4000 K IP65</t>
  </si>
  <si>
    <t>DP VAL 1200 20 W 4000 K IP65</t>
  </si>
  <si>
    <t>DP VAL 1200 40 W 4000 K IP65</t>
  </si>
  <si>
    <t>DP VAL 1500 25 W 4000 K IP65</t>
  </si>
  <si>
    <t>DP VAL 1500 50 W 4000 K IP65</t>
  </si>
  <si>
    <t>DP VAL 1800 34 W 4000 K IP65</t>
  </si>
  <si>
    <t>DP VAL 1800 70 W 4000 K IP65</t>
  </si>
  <si>
    <t>DAMP PROOF HOUSING DALI - GER 3</t>
  </si>
  <si>
    <t>DAMP PROOF HOUSING EM - GER 3</t>
  </si>
  <si>
    <t>DAMP PROOF 600 1xLAMP HOUSING IP65 - GER 2</t>
  </si>
  <si>
    <t>DAMP PROOF 600 2xLAMP HOUSING IP65  - GER 2</t>
  </si>
  <si>
    <t>DAMP PROOF 1200 1xLAMP HOUSING IP65  - GER 2</t>
  </si>
  <si>
    <t>DAMP PROOF 1200 2xLAMP HOUSING IP65  - GER 2</t>
  </si>
  <si>
    <t>DAMP PROOF 1500 1xLAMP HOUSING IP65  - GER 2</t>
  </si>
  <si>
    <t>DAMP PROOF 1500 2xLAMP HOUSING IP65  - GER 2</t>
  </si>
  <si>
    <t>DP COMP TH 1200 V 33W 840 IP66 PS</t>
  </si>
  <si>
    <t>DP COMP TH 1200 V 33W 865 IP66 PS</t>
  </si>
  <si>
    <t>DP COMP TH 1500 V 50W 840 IP66 PS</t>
  </si>
  <si>
    <t>DP COMP TH 1500 V 50W 865 IP66 PS</t>
  </si>
  <si>
    <t>DP COMP TH 1500 V 62W 840 IP66</t>
  </si>
  <si>
    <t>DAMP PROOF HOUSING - GER 3 (CARCAÇA S/ PLATINE)</t>
  </si>
  <si>
    <t>DP HOUSING 600 P 1XLAMP IP65 (s/ platine)</t>
  </si>
  <si>
    <t>DP HOUSING 600 P 2XLAMP IP65 (s/ platine)</t>
  </si>
  <si>
    <t>DP HOUSING 1200 P 1XLAMP IP65  (s/ platine)</t>
  </si>
  <si>
    <t>DP HOUSING 1200 P 2XLAMP IP65  (s/ platine)</t>
  </si>
  <si>
    <t>DP HOUSING 1500 P 1XLAMP IP65 (s/ platine)</t>
  </si>
  <si>
    <t>DP HOUSING 1500 P 2XLAMP IP65 (s/ platine)</t>
  </si>
  <si>
    <t>DP HOUSING DALI 1200 P 1XLAMP IP65 (s/ platine)</t>
  </si>
  <si>
    <t>DP HOUSING DALI 1200 P 2XLAMP IP65  (s/ platine)</t>
  </si>
  <si>
    <t>DP HOUSING DALI 1500 P 1XLAMP IP65  (s/ platine)</t>
  </si>
  <si>
    <t>DP HOUSING DALI 1500 P 2XLAMP IP65  (s/ platine)</t>
  </si>
  <si>
    <t>DP HOUSING EM 1200 P 1XLAMP IP65  (s/ platine)</t>
  </si>
  <si>
    <t>DP HOUSING EM 1200 P 2XLAMP IP65  (s/ platine)</t>
  </si>
  <si>
    <t>DP HOUSING EM 1500 P 1XLAMP IP65  (s/ platine)</t>
  </si>
  <si>
    <t>DP HOUSING EM 1500 P 2XLAMP IP65  (s/ platine)</t>
  </si>
  <si>
    <t>HIGH BAY DALI GER 3</t>
  </si>
  <si>
    <t>HIGH BAY PERFORMANCE GER 4</t>
  </si>
  <si>
    <t>HIGH BAY  SENSOR GER 4</t>
  </si>
  <si>
    <t>HB SENSOR REMOTE CONTROL 87 147 190W</t>
  </si>
  <si>
    <t>HIGH BAY - ACESSÓRIOS GER 4</t>
  </si>
  <si>
    <t>HB DALI 93 W 4000 K 70DEG IP65</t>
  </si>
  <si>
    <t>HB DALI 93 W 4000 K 110DEG IP65</t>
  </si>
  <si>
    <t>HB DALI 155 W 4000 K 70DEG IP65</t>
  </si>
  <si>
    <t>HB DALI 155 W 4000 K 110DEG IP65</t>
  </si>
  <si>
    <t>HB DALI 190 W 4000 K 70DEG IP65</t>
  </si>
  <si>
    <t>HB DALI 190 W 4000 K 110DEG IP65</t>
  </si>
  <si>
    <t>HB DALI 210 W 4000 K 70DEG IP65</t>
  </si>
  <si>
    <t>LOW BAY FLEX DALI</t>
  </si>
  <si>
    <t>FLOODLIGHT PERFORMANCE ASYM 55x110 DALI</t>
  </si>
  <si>
    <t>FLOODLIGHT PERFORMANCE ASYM 45x140 DALI</t>
  </si>
  <si>
    <t>FLOODLIGHT PERFORMANCE SYM R30 DALI</t>
  </si>
  <si>
    <t>FLOODLIGHT  PERFORMANCE SYM 60 DALI</t>
  </si>
  <si>
    <t>FLOODLIGHT 65 W - 200 W - GER 3</t>
  </si>
  <si>
    <t>FLOODLIGHT 10 W - 50 W  - GER 3</t>
  </si>
  <si>
    <t>FLOODLIGHT SENSOR  - GER 3</t>
  </si>
  <si>
    <t>FLOODLIGHT PHOTOCELL - GER 3</t>
  </si>
  <si>
    <t>FLOODLIGHT COMPACT VALUE - GER 2</t>
  </si>
  <si>
    <t>FL PFM ASYM 55x110 50 W 3000 K BK</t>
  </si>
  <si>
    <t>FL PFM ASYM 55x110 50 W 4000 K BK</t>
  </si>
  <si>
    <t>FL PFM ASYM 55x110 100 W 3000 K BK</t>
  </si>
  <si>
    <t>FL PFM ASYM 55x110 100 W 4000 K BK</t>
  </si>
  <si>
    <t>FL PFM ASYM 55x110 150 W 3000 K BK</t>
  </si>
  <si>
    <t>FL PFM ASYM 55x110 150 W 4000 K BK</t>
  </si>
  <si>
    <t>FL PFM ASYM 55x110 200 W 3000 K BK</t>
  </si>
  <si>
    <t>FL PFM ASYM 55x110 200 W 4000 K BK</t>
  </si>
  <si>
    <t>FL PFM ASYM 55x110 290 W 3000 K BK</t>
  </si>
  <si>
    <t>FL PFM ASYM 55x110 290 W 4000 K BK</t>
  </si>
  <si>
    <t>FL PFM ASYM 45x140 50 W 3000 K BK</t>
  </si>
  <si>
    <t>FL PFM ASYM 45x140 50 W 4000 K BK</t>
  </si>
  <si>
    <t>FL PFM ASYM 45x140 100 W 3000 K BK</t>
  </si>
  <si>
    <t>FL PFM ASYM 45x140 100 W 4000 K BK</t>
  </si>
  <si>
    <t>FL PFM ASYM 45x140 150 W 3000 K BK</t>
  </si>
  <si>
    <t>FL PFM ASYM 45x140 150 W 4000 K BK</t>
  </si>
  <si>
    <t>FL PFM ASYM 45x140 200 W 3000 K BK</t>
  </si>
  <si>
    <t>FL PFM ASYM 45x140 200 W 4000 K BK</t>
  </si>
  <si>
    <t>FL PFM ASYM 45x140 290 W 3000 K BK</t>
  </si>
  <si>
    <t>FL PFM ASYM 45x140 290 W 4000 K BK</t>
  </si>
  <si>
    <t>FL PFM SYM R30 150 W 3000 K BK</t>
  </si>
  <si>
    <t>FL PFM SYM R30 150 W 4000 K BK</t>
  </si>
  <si>
    <t>FL PFM SYM R30 200 W 3000 K BK</t>
  </si>
  <si>
    <t>FL PFM SYM R30 200 W 4000 K BK</t>
  </si>
  <si>
    <t>FL PFM SYM R30 290 W 3000 K BK</t>
  </si>
  <si>
    <t>FL PFM SYM R30 290 W 4000 K BK</t>
  </si>
  <si>
    <t>FL PFM SYM 60 150 W 3000 K BK</t>
  </si>
  <si>
    <t>FL PFM SYM 60 150 W 4000 K BK</t>
  </si>
  <si>
    <t>FL PFM SYM 60 200 W 3000 K BK</t>
  </si>
  <si>
    <t>FL PFM SYM 60 200 W 4000 K BK</t>
  </si>
  <si>
    <t>FL PFM SYM 60 290 W 3000 K BK</t>
  </si>
  <si>
    <t>FL PFM SYM 60 290 W 4000 K BK</t>
  </si>
  <si>
    <t>FL PFM 10 W 3000 K SYM 100 BK</t>
  </si>
  <si>
    <t>FL PFM 10 W 3000 K SYM 100 WT</t>
  </si>
  <si>
    <t>FL PFM 10 W 4000 K SYM 100 BK</t>
  </si>
  <si>
    <t>FL PFM 10 W 4000 K SYM 100 WT</t>
  </si>
  <si>
    <t>FL PFM 10 W 6500 K SYM 100 BK</t>
  </si>
  <si>
    <t>FL PFM 10 W 6500 K SYM 100 WT</t>
  </si>
  <si>
    <t>FL PFM 20 W 3000 K SYM 100 BK</t>
  </si>
  <si>
    <t>FL PFM 20 W 3000 K SYM 100 WT</t>
  </si>
  <si>
    <t>FL PFM 20 W 4000 K SYM 100 BK</t>
  </si>
  <si>
    <t>FL PFM 20 W 4000 K SYM 100 WT</t>
  </si>
  <si>
    <t>FL PFM 20 W 6500 K SYM 100 BK</t>
  </si>
  <si>
    <t>FL PFM 20 W 6500 K SYM 100 WT</t>
  </si>
  <si>
    <t>FL PFM 30 W 3000 K SYM 100 BK</t>
  </si>
  <si>
    <t>FL PFM 30 W 3000 K SYM 100 WT</t>
  </si>
  <si>
    <t>FL PFM 30 W 4000 K SYM 100 BK</t>
  </si>
  <si>
    <t>FL PFM 30 W 4000 K SYM 100 WT</t>
  </si>
  <si>
    <t>FL PFM 30 W 6500 K SYM 100 BK</t>
  </si>
  <si>
    <t>FL PFM 30 W 6500 K SYM 100 WT</t>
  </si>
  <si>
    <t>FL PFM 50 W 3000 K SYM 100 BK</t>
  </si>
  <si>
    <t>FL PFM 50 W 3000 K SYM 100 WT</t>
  </si>
  <si>
    <t>FL PFM 50 W 4000 K SYM 100 BK</t>
  </si>
  <si>
    <t>FL PFM 50 W 4000 K SYM 100 WT</t>
  </si>
  <si>
    <t>FL PFM 50 W 6500 K SYM 100 BK</t>
  </si>
  <si>
    <t>FL PFM 50 W 6500 K SYM 100 WT</t>
  </si>
  <si>
    <t>FL PFM 65 W 3000 K SYM 100 BK</t>
  </si>
  <si>
    <t>FL PFM 65 W 4000 K SYM 100 BK</t>
  </si>
  <si>
    <t>FL PFM 65 W 6500 K SYM 100 BK</t>
  </si>
  <si>
    <t>FL PFM 80 W 3000 K SYM 100 BK</t>
  </si>
  <si>
    <t>FL PFM 80 W 4000 K SYM 100 BK</t>
  </si>
  <si>
    <t>FL PFM 80 W 6500 K SYM 100 BK</t>
  </si>
  <si>
    <t>FL PFM 125 W 3000 K SYM 100 BK</t>
  </si>
  <si>
    <t>FL PFM 125 W 4000 K SYM 100 BK</t>
  </si>
  <si>
    <t>FL PFM 125 W 6500 K SYM 100 BK</t>
  </si>
  <si>
    <t>FL PFM 165 W 3000 K SYM 100 BK</t>
  </si>
  <si>
    <t>FL PFM 165 W 4000 K SYM 100 BK</t>
  </si>
  <si>
    <t>FL PFM 165 W 6500 K SYM 100 BK</t>
  </si>
  <si>
    <t>FL PFM 200 W 3000 K SYM 100 BK</t>
  </si>
  <si>
    <t>FL PFM 200 W 4000 K SYM 100 BK</t>
  </si>
  <si>
    <t>FL PFM 200 W 6500 K SYM 100 BK</t>
  </si>
  <si>
    <t>FL PFM 10 W 3000 K SYM 100 S BK</t>
  </si>
  <si>
    <t>FL PFM 10 W 3000 K SYM 100 S WT</t>
  </si>
  <si>
    <t>FL PFM 10 W 4000 K SYM 100 S BK</t>
  </si>
  <si>
    <t>FL PFM 10 W 4000 K SYM 100 S WT</t>
  </si>
  <si>
    <t>FL PFM 20 W 3000 K SYM 100 S BK</t>
  </si>
  <si>
    <t>FL PFM 20 W 3000 K SYM 100 S WT</t>
  </si>
  <si>
    <t>FL PFM 20 W 4000 K SYM 100 S BK</t>
  </si>
  <si>
    <t>FL PFM 20 W 4000 K SYM 100 S WT</t>
  </si>
  <si>
    <t>FL PFM 50 W 3000 K SYM 100 S BK</t>
  </si>
  <si>
    <t>FL PFM 50 W 3000 K SYM 100 S WT</t>
  </si>
  <si>
    <t>FL PFM 50 W 4000 K SYM 100 S BK</t>
  </si>
  <si>
    <t>FL PFM 50 W 4000 K SYM 100 S WT</t>
  </si>
  <si>
    <t>FL PFM 65 W 4000 K SYM 100 SL BK</t>
  </si>
  <si>
    <t>FL PFM 80 W 4000 K SYM 100 SL BK</t>
  </si>
  <si>
    <t>FL PFM 125 W 4000 K SYM 100 SL BK</t>
  </si>
  <si>
    <t>FL PFM 165 W 4000 K SYM 100 SL BK</t>
  </si>
  <si>
    <t>FL PFM 200 W 4000 K SYM 100 SL BK</t>
  </si>
  <si>
    <t>FL COMP V 10W 830 SYM 100 BK</t>
  </si>
  <si>
    <t>FL COMP V 10W 830 SYM 100 WT</t>
  </si>
  <si>
    <t>FL COMP V 10W 840 SYM 100 BK</t>
  </si>
  <si>
    <t>FL COMP V 10W 840 SYM 100 WT</t>
  </si>
  <si>
    <t>FL COMP V 10W 865 SYM 100 BK</t>
  </si>
  <si>
    <t>FL COMP V 10W 865 SYM 100 WT</t>
  </si>
  <si>
    <t>FL COMP V 20W 830 SYM 100 BK</t>
  </si>
  <si>
    <t>FL COMP V 20W 830 SYM 100 WT</t>
  </si>
  <si>
    <t>FL COMP V 20W 840 SYM 100 BK</t>
  </si>
  <si>
    <t>FL COMP V 20W 840 SYM 100 WT</t>
  </si>
  <si>
    <t>FL COMP V 20W 865 SYM 100 BK</t>
  </si>
  <si>
    <t>FL COMP V 20W 865 SYM 100 WT</t>
  </si>
  <si>
    <t>FL COMP V 50W 830 SYM 100 BK</t>
  </si>
  <si>
    <t>FL COMP V 50W 830 SYM 100 WT</t>
  </si>
  <si>
    <t>FL COMP V 50W 840 SYM 100 BK</t>
  </si>
  <si>
    <t>FL COMP V 50W 840 SYM 100 WT</t>
  </si>
  <si>
    <t>FL COMP V 50W 865 SYM 100 BK</t>
  </si>
  <si>
    <t>FL COMP V 50W 865 SYM 100 WT</t>
  </si>
  <si>
    <t>FL COMP V 90W 830 SYM 100 BK</t>
  </si>
  <si>
    <t>FL COMP V 90W 840 SYM 100 BK</t>
  </si>
  <si>
    <t>FL COMP V 90W 865 SYM 100 BK</t>
  </si>
  <si>
    <t>FL COMP V 135W 830 SYM 100 BK</t>
  </si>
  <si>
    <t>FL COMP V 135W 840 SYM 100 BK</t>
  </si>
  <si>
    <t>FL COMP V 135W 865 SYM 100 BK</t>
  </si>
  <si>
    <t>FL COMP V 180 W 830 SYM 100 BK</t>
  </si>
  <si>
    <t>FL COMP V 180W 840 SYM 100 BK</t>
  </si>
  <si>
    <t>FL COMP V 180W 865 SYM 100 BK</t>
  </si>
  <si>
    <t>FL COMP SEN V 10W 830 SYM 100 BK</t>
  </si>
  <si>
    <t>FL COMP SEN V 10W 840 SYM 100 BK</t>
  </si>
  <si>
    <t>FL COMP SEN V 20W 830 SYM 100 BK</t>
  </si>
  <si>
    <t>FL COMP SEN V 20W 840 SYM 100 BK</t>
  </si>
  <si>
    <t>FL COMP SEN V 50W 830 SYM 100 BK</t>
  </si>
  <si>
    <t>FL COMP SEN V 50W 840 SYM 100 BK</t>
  </si>
  <si>
    <t>DL UGR19 PFM DN155 14W 840 IP54</t>
  </si>
  <si>
    <t>DL UGR19 PFM DN195 21W 830 IP54</t>
  </si>
  <si>
    <t>DL UGR19 PFM DN195 21 W 840 IP54</t>
  </si>
  <si>
    <t>DL UGR19 PFM DN155 14W 830 IP54</t>
  </si>
  <si>
    <t>DL UGR19 PFM DN155 14 W 830 IP54 DALI</t>
  </si>
  <si>
    <t>DL UGR19 PFM DN155 14 W 840 IP54 DALI</t>
  </si>
  <si>
    <t>DL UGR19 PFM DN155 14 W 840 IP54 ZBVR</t>
  </si>
  <si>
    <t>DL UGR19 PFM DN195 21 W 830 IP54 DALI</t>
  </si>
  <si>
    <t>DL UGR19 PFM DN195 21 W 840 IP54 DALI</t>
  </si>
  <si>
    <t>DL UGR19 PFM DN195 21 W840 IP54 ZBVR WT</t>
  </si>
  <si>
    <t>TRUSYS FLEX P 70W 865 W CL WT EM</t>
  </si>
  <si>
    <t>TRUSYS FLEX P 70W 865 W OP WT EM</t>
  </si>
  <si>
    <t>TRUSYS FLEX P 50W 865 DS CL WT EM</t>
  </si>
  <si>
    <t>TRUSYS FLEX P 70W 865 W OP WT DALI</t>
  </si>
  <si>
    <t>TRUSYS FLEX P 70W 865 W CL WT DALI</t>
  </si>
  <si>
    <t>TRUSYS FLEX P 50W 865 DS CL WT DALI</t>
  </si>
  <si>
    <t>PANEL D/I 1200 UGR19 36W/4000K ZBVR</t>
  </si>
  <si>
    <t>SL FLEX SM RV25ST P 13W 727 WAL</t>
  </si>
  <si>
    <t>SL FLEX SM RV25ST P 36W 730 WAL</t>
  </si>
  <si>
    <t>SL FLEX SM RV25ST P 13W 740 WAL</t>
  </si>
  <si>
    <t>SL FLEX SM RV25ST P 25W 730 WAL</t>
  </si>
  <si>
    <t>SL FLEX SM RV25ST P 25W 727 WAL</t>
  </si>
  <si>
    <t>SL FLEX SM RV25ST P 25W 740 WAL</t>
  </si>
  <si>
    <t>SL FLEX SM RV25ST P 36W 727WAL</t>
  </si>
  <si>
    <t>SL FLEX SM RV25ST P 36W 740 WAL</t>
  </si>
  <si>
    <t>SL FLEX MD RV25ST P 58W 730 WAL</t>
  </si>
  <si>
    <t>SL FLEX MD RV25ST P 80W 730 WAL</t>
  </si>
  <si>
    <t>SL FLEX MD RV25ST P 58W 727 WAL</t>
  </si>
  <si>
    <t>SL FLEX MD RV25ST P 58W 740 WAL</t>
  </si>
  <si>
    <t>SL FLEX MD RV25ST P 80W 727 WAL</t>
  </si>
  <si>
    <t>SL FLEX MD RV25ST P 80W 740 WAL</t>
  </si>
  <si>
    <t>SL FLEX MD RW35ST P 80W 727 WAL</t>
  </si>
  <si>
    <t>SL FLEX MD RW35ST P 80W 740 WAL</t>
  </si>
  <si>
    <t>SL FLEX MD RW35ST P 80W 730 WAL</t>
  </si>
  <si>
    <t>SL FLEX LA RV25ST P 110W 730 WAL</t>
  </si>
  <si>
    <t>SL FLEX LA RV25ST P 110W 727 WAL</t>
  </si>
  <si>
    <t>SL FLEX LA RV25ST P 110W 740 WAL</t>
  </si>
  <si>
    <t>SL FLEX LA RW35ST P 110W 727 WAL</t>
  </si>
  <si>
    <t>SL FLEX LA RW35ST P 110W 740 WAL</t>
  </si>
  <si>
    <t>SL FLEX LA RW35ST P 110W 730 WAL</t>
  </si>
  <si>
    <t>SL FLEX LA RW35ST P 158W 727 WAL</t>
  </si>
  <si>
    <t>SL FLEX LA RW35ST P 158W 730 WAL</t>
  </si>
  <si>
    <t>SL FLEX LA RW35ST P 158W 740 WAL</t>
  </si>
  <si>
    <t>SL FLEX LA RV25ST P 158W 727 WAL</t>
  </si>
  <si>
    <t>SL FLEX LA RV25ST P 158W 740 WAL</t>
  </si>
  <si>
    <t>SL FLEX LA RV25ST P 158W 730 WAL</t>
  </si>
  <si>
    <t>SL AREA SPD LA V 90W 727 RV35ST GY</t>
  </si>
  <si>
    <t>SL AREA SPD LA V 90W 730 RV35ST GY</t>
  </si>
  <si>
    <t>SL AREA SPD LA V 90W 740 RV35ST GY</t>
  </si>
  <si>
    <t>SL AREA SPD LA V 90W 765 RV35ST GY</t>
  </si>
  <si>
    <t>SL AREA SPD LA V 120W727 RV35ST GY</t>
  </si>
  <si>
    <t>SL AREA SPD LA V 120W730 RV35ST GY</t>
  </si>
  <si>
    <t>SL AREA SPD LA V 120W740 RV35ST GY</t>
  </si>
  <si>
    <t>SL AREA SPD LA V 120W765 RV35ST GY</t>
  </si>
  <si>
    <t>SL AREA SPD XL V 150W727 RV35ST GY</t>
  </si>
  <si>
    <t>SL AREA SPD XL V 150W730 RV35ST GY</t>
  </si>
  <si>
    <t>SL AREA SPD XL V 150W740 RV35ST GY</t>
  </si>
  <si>
    <t>SL AREA SPD XL V 150W765 RV35ST GY</t>
  </si>
  <si>
    <t>SL FLEX - ACESSÓRIOS</t>
  </si>
  <si>
    <t>STREETLIGHT AREA - ACESSÓRIOS</t>
  </si>
  <si>
    <t>ECO AREA  - ACESSÓRIOS</t>
  </si>
  <si>
    <t xml:space="preserve">VIVARES ZIGBEE </t>
  </si>
  <si>
    <t>BIOLUX HCL  DALI</t>
  </si>
  <si>
    <t>BIOLUX HCL  ZIGBEE</t>
  </si>
  <si>
    <t>BIOLUX HCL DL DN150 20W TW ZB</t>
  </si>
  <si>
    <t>Fita Led LS SUP-2000/TW/927-965/5 (rolo de 5m - 21,6W/m)</t>
  </si>
  <si>
    <t>Fita Led LS SUP-2000/TW/927-965/5/IP67 (rolo de 5m - 21,6W/m)</t>
  </si>
  <si>
    <t>Fita Led LS PFM-1000/COB/927/5 (rolo de 5m - 11W/m)</t>
  </si>
  <si>
    <t>Fita Led LS PFM-1000/COB/930/5 (rolo de 5m - 11W/m)</t>
  </si>
  <si>
    <t>Fita Led LS PFM-1000/COB/940/5 (rolo de 5m - 11W/m)</t>
  </si>
  <si>
    <t>Fita Led LS PFM-1000/COB/965/5 (rolo de 5m - 11W/m)</t>
  </si>
  <si>
    <t>Fita Led LS P-500/927/5 (rolo de 5m - 4,2W/m)</t>
  </si>
  <si>
    <t>Fita Led LS P-500/930/5 (rolo de 5m - 4,2W/m)</t>
  </si>
  <si>
    <t>Fita Led LS P-500/940/5 (rolo de 5m - 4,2W/m)</t>
  </si>
  <si>
    <t>Fita Led LS P-500/965/5 (rolo de 5m - 4,2W/m)</t>
  </si>
  <si>
    <t>Fita Led LS P-1000/927/5 (rolo de 5m - 8,6W/m)</t>
  </si>
  <si>
    <t>Fita Led LS P-1000/930/5 (rolo de 5m - 8,6W/m)</t>
  </si>
  <si>
    <t>Fita Led LS P-1000/940/5 (rolo de 5m - 8,6W/m)</t>
  </si>
  <si>
    <t>Fita Led LS P-1000/965/5 (rolo de 5m - 8,6W/m)</t>
  </si>
  <si>
    <t>Fita Led LS P-1500/927/5  (rolo de 5m - 12W/m)</t>
  </si>
  <si>
    <t>Fita Led LS P-1500/930/5 (rolo de 5m - 12W/m)</t>
  </si>
  <si>
    <t>Fita Led LS P-1500/940/5 (rolo de 5m - 12W/m)</t>
  </si>
  <si>
    <t>Fita Led LS P-1500/965/5 (rolo de 5m - 12W/m)</t>
  </si>
  <si>
    <t>Fita Led LS P-2000/927/5 (rolo de 5m - 15,6W/m)</t>
  </si>
  <si>
    <t>Fita Led LS P-2000/930/5(rolo de 5m - 15,6W/m)</t>
  </si>
  <si>
    <t>Fita Led LS P-2000/940/5 (rolo de 5m - 15,6W/m)</t>
  </si>
  <si>
    <t>Fita Led LS P-2000/965/5 (rolo de 5m - 15,6W/m)</t>
  </si>
  <si>
    <t>Fita Led LS P-500/927/5/IP67 (rolo de 5m - 4,2W/m)</t>
  </si>
  <si>
    <t>Fita Led LS P-500/930/5/IP67 (rolo de 5m - 4,2W/m)</t>
  </si>
  <si>
    <t>Fita Led LS P-500/940/5/IP67 (rolo de 5m - 4,2W/m)</t>
  </si>
  <si>
    <t>Fita Led LS P-500/965/5/IP67 (rolo de 5m - 4,2W/m)</t>
  </si>
  <si>
    <t>Fita Led LS P-1000/927/5/IP67 (rolo de 5m - 8,6W/m)</t>
  </si>
  <si>
    <t>Fita Led LS P-1000/930/5/IP67 (rolo de 5m - 8,6W/m)</t>
  </si>
  <si>
    <t>Fita Led LS P-1000/940/5/IP67 (rolo de 5m - 8,6W/m)</t>
  </si>
  <si>
    <t>Fita Led LS P-1000/965/5/IP67 (rolo de 5m - 8,6W/m)</t>
  </si>
  <si>
    <t>Fita Led LS P-1500/927/5/IP67  (rolo de 5m - 15,6W/m)</t>
  </si>
  <si>
    <t>Fita Led LS P-1500/930/5/IP67  (rolo de 5m - 15,6W/m)</t>
  </si>
  <si>
    <t>Fita Led LS P-1500/940/5/IP67  (rolo de 5m - 15,6W/m)</t>
  </si>
  <si>
    <t>Fita Led LS P-1500/965/5/IP67  (rolo de 5m - 15,6W/m)</t>
  </si>
  <si>
    <t>Fita Led LS P-2000/927/5/IP67 (rolo de 5m - 15,6W/m)</t>
  </si>
  <si>
    <t>Fita Led LS P-2000/930/5/IP67 (rolo de 5m - 15,6W/m)</t>
  </si>
  <si>
    <t>Fita Led LS P-2000/940/5/IP67 (rolo de 5m - 15,6W/m)</t>
  </si>
  <si>
    <t>Fita Led LS P-2000/965/5/IP67 (rolo de 5m - 15,6W/m)</t>
  </si>
  <si>
    <t>Fita Led LS PFM-1000/RGBW/827/5  (rolo de 5m - 20W/m)</t>
  </si>
  <si>
    <t>Fita Led LS PFM-1000/RGBW/830/5  (rolo de 5m - 20W/m)</t>
  </si>
  <si>
    <t>Fita Led LS PFM-1000/RGBW/840/5  (rolo de 5m - 20W/m)</t>
  </si>
  <si>
    <t>Fita Led LS PFM-1000/RGBW/865/5  (rolo de 5m - 20W/m)</t>
  </si>
  <si>
    <t>Fita Led LS PFM-1000/RGBW/827/5/IP66  (rolo de 5m - 20W/m)</t>
  </si>
  <si>
    <t>Fita Led LS PFM-1000/RGBW/830/5/IP66  (rolo de 5m - 20W/m)</t>
  </si>
  <si>
    <t>Fita Led LS PFM-1000/RGBW/840/5/IP66  (rolo de 5m - 20W/m)</t>
  </si>
  <si>
    <t>Fita Led LS PFM-1000/RGBW/865/5/IP66  (rolo de 5m - 20W/m)</t>
  </si>
  <si>
    <t>Fita Led LS V-500/827/5  (rolo de 5m - 5W/m)</t>
  </si>
  <si>
    <t>Fita Led LS V-500/830/5  (rolo de 5m - 5W/m)</t>
  </si>
  <si>
    <t>Fita Led LS V-500/840/5  (rolo de 5m - 5W/m)</t>
  </si>
  <si>
    <t>Fita Led LS V-500/865/5  (rolo de 5m - 5W/m)</t>
  </si>
  <si>
    <t>Fita Led LS V-1000/827/5  (rolo de 5m - 9W/m)</t>
  </si>
  <si>
    <t>Fita Led LS V-1000/830/5  (rolo de 5m - 9W/m)</t>
  </si>
  <si>
    <t>Fita Led LS V-1000/840/5  (rolo de 5m - 9W/m)</t>
  </si>
  <si>
    <t>Fita Led LS V-1000/865/5 (rolo de 5m - 9W/m)</t>
  </si>
  <si>
    <t>Fita Led LS V-1500/827/5  (rolo de 5m - 13,2W/m)</t>
  </si>
  <si>
    <t>Fita Led LS V-1500/830/5 (rolo de 5m - 13,2W/m)</t>
  </si>
  <si>
    <t>Fita Led LS V-1500/840/5 (rolo de 5m - 13,2W/m)</t>
  </si>
  <si>
    <t>Fita Led LS V-1500/865/5 (rolo de 5m - 13,2W/m)</t>
  </si>
  <si>
    <t>Fita Led LS V-2000/827/5 (rolo de 5m - 16W/m)</t>
  </si>
  <si>
    <t>Fita Led LS V-2000/830/5 (rolo de 5m - 16W/m)</t>
  </si>
  <si>
    <t>Fita Led LS V-2000/840/5 (rolo de 5m - 16W/m)</t>
  </si>
  <si>
    <t>Fita Led LS V-2000/865/5 (rolo de 5m - 16W/m)</t>
  </si>
  <si>
    <t>Fita Led LS V-500/827/5/IP66  (rolo de 5m - 5W/m)</t>
  </si>
  <si>
    <t>Fita Led LS V-500/830/5/IP66 (rolo de 5m - 5W/m)</t>
  </si>
  <si>
    <t>Fita Led LS V-500/840/5/IP66 (rolo de 5m - 5W/m)</t>
  </si>
  <si>
    <t>Fita Led LS V-500/865/5/IP66  (rolo de 5m - 5W/m)</t>
  </si>
  <si>
    <t>Fita Led LS V-1000/827/5/IP66  (rolo de 5m - 9W/m)</t>
  </si>
  <si>
    <t>Fita Led LS V-1000/830/5/IP66  (rolo de 5m - 9W/m)</t>
  </si>
  <si>
    <t>Fita Led LS V-1000/840/5/IP66  (rolo de 5m - 9W/m)</t>
  </si>
  <si>
    <t>Fita Led LS V-1000/865/5/IP66 (rolo de 5m - 9W/m)</t>
  </si>
  <si>
    <t>Fita Led LS V-1500/827/5/IP66 (rolo de 5m - 13,2W/m)</t>
  </si>
  <si>
    <t>Fita Led LS V-1500/830/5/IP66 (rolo de 5m - 13,2W/m)</t>
  </si>
  <si>
    <t>Fita Led LS V-1500/840/5/IP66 (rolo de 5m - 13,2W/m)</t>
  </si>
  <si>
    <t>Fita Led LS V-1500/865/5/IP66 (rolo de 5m - 13,2W/m)</t>
  </si>
  <si>
    <t>Fita Led LS V-2000/827/5/IP66 (rolo de 5m - 16W/m)</t>
  </si>
  <si>
    <t>Fita Led LS V-2000/830/5/IP66 (rolo de 5m - 16W/m)</t>
  </si>
  <si>
    <t>Fita Led LS V-2000/840/5/IP66 (rolo de 5m - 16W/m)</t>
  </si>
  <si>
    <t>Fita Led LS V-2000/865/5/IP66 (rolo de 5m - 16W/m)</t>
  </si>
  <si>
    <t>Fita Led LS VAL-500/RGB/5   (rolo de 5m - 14,4W/m)</t>
  </si>
  <si>
    <t>Fita Led LS VAL-500/RGB/5/IP65  (rolo de 5m - 14,4W/m)</t>
  </si>
  <si>
    <t>Fita Led LS VAL-600/830/50 (rolo de 50m - 6,1 W/m)</t>
  </si>
  <si>
    <t>Fita Led LS VAL-600/840/50 (rolo de 50m - 6,1 W/m)</t>
  </si>
  <si>
    <t>Fita Led LS VAL-600/865/50 (rolo de 50m - 6,1 W/m)</t>
  </si>
  <si>
    <t>Fita Led LS VAL-1400/830/50 (rolo de 50m - 13,2 W/m)</t>
  </si>
  <si>
    <t>Fita Led LS VAL-1400/840/50 (rolo de 50m - 13,2 W/m)</t>
  </si>
  <si>
    <t>Fita Led LS VAL-1400/865/50 (rolo de 50m - 13,2 W/m)</t>
  </si>
  <si>
    <t>Fita Led LS VAL-600/830/30/IP65 (rolo de 30m - 6,1W/m)</t>
  </si>
  <si>
    <t>Fita Led LS VAL-600/840/30/IP65 (rolo de 30m - 6,1W/m)</t>
  </si>
  <si>
    <t>Fita Led LS VAL-600/865/30/IP65 (rolo de 30m - 6,1W/m)</t>
  </si>
  <si>
    <t>Fita Led LS VAL-1400/830/30/IP65 (rolo de 30m - 13,2 W/m)</t>
  </si>
  <si>
    <t>Fita Led LS VAL-1400/840/30/IP65 (rolo de 30m - 13,2 W/m)</t>
  </si>
  <si>
    <t>Fita Led LS VAL-1400/865/30/IP65 (rolo de 30m - 13,2 W/m)</t>
  </si>
  <si>
    <t>Controlador LC RF CONTROL 24V ­RGBW/TW</t>
  </si>
  <si>
    <t>Comando LC RF REMOTE TW</t>
  </si>
  <si>
    <t>Comando LC RF REMOTE RGBW</t>
  </si>
  <si>
    <t xml:space="preserve">Painel LC RF TOUCH PANEL TW </t>
  </si>
  <si>
    <t xml:space="preserve">Painel LC RF TOUCH PANEL RGBW </t>
  </si>
  <si>
    <t>Ligador Fita-Driver LED Strip Superior Connectors-CSD/P3 (2 unid.)</t>
  </si>
  <si>
    <t>Ligador Fita-Fita LED Strip Superior Connectors-CSD/P3 (2 unid.)</t>
  </si>
  <si>
    <t>Ligador Fita-Fita LED Strip Superior Connectors-CSW/P3/50 (50mm) (2 unid.)</t>
  </si>
  <si>
    <t>Ligador Fita-Driver  LED Strip Superior Connectors-CP/P3/500/P (2 unid.)</t>
  </si>
  <si>
    <t>Ligador Fita-Fita LED Strip Superior Connectors-CSD/P3/P (2 unid.)</t>
  </si>
  <si>
    <t>Ligador Fita-Fita LED Strip Superior Connectors-CSW/P3/50/P (50mm) (2 unid.)</t>
  </si>
  <si>
    <t xml:space="preserve">Ligador Fita-Driver  LS AY PFM -CP/P2/500/COB  (2 unid.)    </t>
  </si>
  <si>
    <t>Ligador Fita-Fita LS AY PFM -CSW/P2/50/COB (50mm)  (2 unid.)</t>
  </si>
  <si>
    <t>Ligador Fita-Fita LS AY PFM -CSD/P2/COB  (2 unid.)</t>
  </si>
  <si>
    <t>Ligador Fita-Driver LS AY-CP/P2/500 (2 unid.)</t>
  </si>
  <si>
    <t>Ligador Fita-Driver LS AY-CP/P2/500/P (2 unid.)</t>
  </si>
  <si>
    <t>Ligador Fita-Fita LS AY-CSD/P2 (2 unid.)</t>
  </si>
  <si>
    <t>Ligador Fita-Fita LS AY-CSD/P2/P (2 unid.)</t>
  </si>
  <si>
    <t>Ligador Fita-Fita LS AY-CSW/P2/50  (50mm) (2 unid.)</t>
  </si>
  <si>
    <t>Ligador Fita-Fita  LS AY-CSW/P2/50/P (50mm) (2 unid.)</t>
  </si>
  <si>
    <t>Ligador Fita-Driver LED Strip PerformLedvance Connectors-CP/P5/500 (2 unid.)</t>
  </si>
  <si>
    <t>Ligador Fita-Fita LED Strip PerformLedvance Connectors-CSD/P5 (2 unid.)</t>
  </si>
  <si>
    <t>Ligador Fita-Fita LED Strip PerformLedvance Connectors-CSW/P5/50  (50mm) (2 unid.)</t>
  </si>
  <si>
    <t>Ligador Fita-Driver  LED Strip AY PFM-CP/P5/500P (2 unid.)</t>
  </si>
  <si>
    <t>Ligador Fita-Fita LED Strip AY PFM- CSD/P5/P (2 unid.)</t>
  </si>
  <si>
    <t>Ligador Fita-Fita LED Strip Ay PFM-CSW/P5/50/P (50mm) (2 unid.)</t>
  </si>
  <si>
    <t>Ligador Fita-Driver  LED Strip Value Connectors-CP/P5/500 (2 unid.)</t>
  </si>
  <si>
    <t>Ligador Fita-Fita LED Strip Value Connectors-CSD/P5 (2 unid.)</t>
  </si>
  <si>
    <t>Ligador Fita-FitaLED Strip Value Connectors-CSW/P5/50 (50mm) (2 unid.)</t>
  </si>
  <si>
    <t>Ligador Fita-Driver  LS AY VAL-CP/P4/500/P (2 unid.)</t>
  </si>
  <si>
    <t>Ligador Fita-Fita LS AY VAL-CSD/P4/P (2 unid.)</t>
  </si>
  <si>
    <t>Ligador Fita-Fita LS AY VAL-CSW/P4/50/P (50mm) (2 unid.)</t>
  </si>
  <si>
    <t>Topos de silicone LED Strip Superior Silicone Glue-12/SE/P SIL-SEAL - TW (4 unid.)</t>
  </si>
  <si>
    <t>Topos de silicone LED Strip PerformLedvance Silicone Glue-13/SE/P SIL-SEAL - RGBW (4 unid.)</t>
  </si>
  <si>
    <t>Topos de silicone LS AY VAL-SE/P + SILICONE SEAL - RGB (4 unid.)</t>
  </si>
  <si>
    <t>Topos de silicone LS AY-10/SE SILICONSEAL - PROTECT  (4 unid.)</t>
  </si>
  <si>
    <t>Clip de Montagem LED Strip PerformLedvance Mounting Bracket-13/SMB (2 unid.)</t>
  </si>
  <si>
    <t>Clip de Montagem LED Strip Value Mounting Bracket-12/SMB (2 unid.)</t>
  </si>
  <si>
    <t>Clip de Montagem LED Strip Superior Mounting Bracket-12/SMB (2 unid.)</t>
  </si>
  <si>
    <t>Clip de Montagem LS AY-10/SMB/P</t>
  </si>
  <si>
    <t>Clip de Montagem LS AY-8/SMB</t>
  </si>
  <si>
    <t>Perfil de Alumínio LS AY-PW01/U/26X8/14/1  (troço de 1mt.)</t>
  </si>
  <si>
    <t>Perfil de Alumínio LS AY-PW01/U/26X8/14/2 (troço de 2mts.)</t>
  </si>
  <si>
    <t>Difusor opalino para perfil LS AY-PC/W01/D/1  (troço de 1mt.)</t>
  </si>
  <si>
    <t>Difusor opalino para perfil LS AY-PC/W01/D/2 (troço de 2mts.)</t>
  </si>
  <si>
    <t>Difusor transparente para perfil LS AY-PC/W01/C/1  (troço de 1mt.)</t>
  </si>
  <si>
    <t>Difusor transparente para perfil LS AY-PC/W01/C/2 (troço de 2mts.)</t>
  </si>
  <si>
    <t>Topo s/ Perfuração para perfil  LS AY-PW01/EC (2 unid.)</t>
  </si>
  <si>
    <t>Topo c/ perfuração para perfil LS AY-PW01/EC/H (2 unid.)</t>
  </si>
  <si>
    <t>Clip de montagem  LS AY-PW01/MB (2 unid.)</t>
  </si>
  <si>
    <t>Perfil de Alumínio LS AY-PW02/UW/39X26/14/1  (troço de 1mt.)</t>
  </si>
  <si>
    <t>Perfil de Alumínio LS AY-PW02/UW/39X26/14/2 (troço de 2mts.)</t>
  </si>
  <si>
    <t>Difusor opalino para perfil LS AY-PC/W02/D/1  (troço de 1mt.)</t>
  </si>
  <si>
    <t>Difusor opalino para perfil LS AY-PC/W02/D/2 (troço de 2mts.)</t>
  </si>
  <si>
    <t>Difusor transparente para perfil LS AY-PC/W02/C/1 (troço de 1mt.)</t>
  </si>
  <si>
    <t>Difusor transparente para perfil LS AY-PC/W02/C/2 (troço de 2mts.)</t>
  </si>
  <si>
    <t>Topo s/ Perfuração para perfil LS AY-PW02/EC (2 unid.)</t>
  </si>
  <si>
    <t>Topo c/ perfuração para perfil LS AY-PW02/EC/H (2 unid.)</t>
  </si>
  <si>
    <t>Clip de montagem  LS AY-PW02/MB (2 unid.)</t>
  </si>
  <si>
    <t>Perfil de Alumínio LS AY-PW03/U/26X26/14/1  (troço de 1mt.)</t>
  </si>
  <si>
    <t>Perfil de Alumínio LS AY-PW03/U/26X26/14/2 (troço de 2mts.)</t>
  </si>
  <si>
    <t>Topo s/ Perfuração para perfil  LS AY-PW03/EC (2 unid.)</t>
  </si>
  <si>
    <t>Topo c/ perfuração para perfil LS AY-PW03/EC/H (2 unid.)</t>
  </si>
  <si>
    <t>Clip de montagem  LS AY-PW03/MB (2 unid.)</t>
  </si>
  <si>
    <t>Perfil de Alumínio LS AY-PF01/UW/22X6/10/1 (troço de 1mt.)</t>
  </si>
  <si>
    <t>Perfil de Alumínio LS AY-PF01/UW/22X6/10/2 (troço de 2mts.)</t>
  </si>
  <si>
    <t>Difusor opalino para perfil LS AY-PC/P02/D/1  (troço de 1mt.)</t>
  </si>
  <si>
    <t>Difusor opalino para perfil LS AY-PC/P02/D/2(troço de 2mts.)</t>
  </si>
  <si>
    <t>Difusor transparente para perfil LS AY-PC/P02/C/1  (troço de 1mt.)</t>
  </si>
  <si>
    <t>Difusor transparente para perfil LS AY-PC/P02/C/2 (troço de 2mts.)</t>
  </si>
  <si>
    <t>Topo s/ Perfuração para perfil  LS AY-PF01/EC (2 unid.)</t>
  </si>
  <si>
    <t>Topo c/ perfuração para perfil LS AY-PF01/EC/H (2 unid.)</t>
  </si>
  <si>
    <t>Clip de montagem  LS AY-PF01/MB (2 unid.)</t>
  </si>
  <si>
    <t>Perfil de Alumínio LS AY-PF02/U/16X5/10/1 (troço de 1mt.)</t>
  </si>
  <si>
    <t>Perfil de Alumínio LS AY-PF02/U/16X5/10/2 (troço de 2mts.)</t>
  </si>
  <si>
    <t>Difusor opalino para perfil LS AY-PC/P01/D/1 (troço de 1mt.)</t>
  </si>
  <si>
    <t>Difusor opalino para perfil LS AY-PC/P01/D/2 (troço de 2mts.)</t>
  </si>
  <si>
    <t>Difusor transparente para perfil LS AY-PC/P01/C/1  (troço de 1mt.)</t>
  </si>
  <si>
    <t>Difusor transparente para perfil LS AY-PC/P01/C/2 (troço de 2mts.)</t>
  </si>
  <si>
    <t>Topo s/ Perfuração para perfil  LS AY-PF02/EC (2 unid.)</t>
  </si>
  <si>
    <t>Topo c/ perfuração para perfil LS AY-PF02/EC/H (2 unid.)</t>
  </si>
  <si>
    <t>Clip de montagem LS AY-PF02/MB (2 unid.)</t>
  </si>
  <si>
    <t>Perfil de Alumínio LS AY-PF03/UW/25X7/12/1  (troço de 1mt.)</t>
  </si>
  <si>
    <t>Perfil de Alumínio LS AY-PF03/UW/25X7/12/2 (troço de 2mts.)</t>
  </si>
  <si>
    <t>Difusor opalino para perfil LS AY-PC/R01/D/1  (troço de 1mt.)</t>
  </si>
  <si>
    <t>Difusor opalino para perfil LS AY-PC/R01/D/2(troço de 2mts.)</t>
  </si>
  <si>
    <t>Difusor transparente para perfil LS AY-PC/R01/C/1  (troço de 1mt.)</t>
  </si>
  <si>
    <t>Difusor transparente para perfil LS AY-PC/R01/C/2 (troço de 2mts.)</t>
  </si>
  <si>
    <t>Topo s/ Perfuração para perfil  LS AY-PF03/EC (2 unid.)</t>
  </si>
  <si>
    <t>Topo c/ perfuração para perfil LS AY-PF03/EC/H (2 unid.)</t>
  </si>
  <si>
    <t>Clip de montagem  LS AY-PF03/MB (2 unid.)</t>
  </si>
  <si>
    <t>Perfil de Alumínio  LS AY-PF04/U/17X7/12/1  (troço de 1mt.)</t>
  </si>
  <si>
    <t>Perfil de Alumínio  LS AY-PF04/U/17X7/12/2 (troço de 2mts.)</t>
  </si>
  <si>
    <t>Topo s/ Perfuração para perfil  LS AY-PF04/EC (2 unid.)</t>
  </si>
  <si>
    <t>Topo c/ perfuração para perfil LS AY-PF04/EC/H(2 unid.)</t>
  </si>
  <si>
    <t>Clip de montagem  LS AY-PF04/MB (2 unid.)</t>
  </si>
  <si>
    <t>Perfil de Alumínio LS AY-PM01/UW/21,5X12/10/1 (troço de 1mt.)</t>
  </si>
  <si>
    <t xml:space="preserve">Perfil de Alumínio LS AY-PM01/UW/21,5X12/10/2 (troço de 2mts.) </t>
  </si>
  <si>
    <t>Topo s/ Perfuração para perfil  LS AY-PM01/EC (2 unid.)</t>
  </si>
  <si>
    <t>Topo c/ Perfuração para perfil  LS AY-PM01/EC/H (2 unid.)</t>
  </si>
  <si>
    <t>Clip de montagem  LS AY-PM01/MB (2 unid.)</t>
  </si>
  <si>
    <t>Perfil de Alumínio LS AY-PM04/UW/23X15,5/10/1  (troço de 1mt.)</t>
  </si>
  <si>
    <t>Perfil de Alumínio LS AY-PM04/UW/23X15,5/10/2 (troço de 2mts.)</t>
  </si>
  <si>
    <t>Difusor opalino para perfil LS AY-PC/R02/D/1  (troço de 1mt.)</t>
  </si>
  <si>
    <t>Difusor opalino para perfil LS AY-PC/R02/D/2 (troço de 2mts.)</t>
  </si>
  <si>
    <t>Difusor transparente para perfil LS AY-PC/R02/C/1  (troço de 1mt.)</t>
  </si>
  <si>
    <t>Difusor transparente para perfil LS AY-PC/R02/C/2 (troço de 2mts.)</t>
  </si>
  <si>
    <t>Topo s/ Perfuração para perfil  LS AY-PM04/EC (2 unid.)</t>
  </si>
  <si>
    <t>Topo c/ perfuração para perfil LS AY-PM04/EC/H (2 unid.)</t>
  </si>
  <si>
    <t>Clip de montagem  LS AY-PM04/MB (2 unid.)</t>
  </si>
  <si>
    <t>Perfil de Alumínio LS AY-PM05/U/17,5X14,5/10/1 (troço de 1mt.)</t>
  </si>
  <si>
    <t>Perfil de Alumínio LS AY-PM05/U/17,5X14,5/10/2 (troço de 2mts.)</t>
  </si>
  <si>
    <t>Topo s/ Perfuração para perfil  LS AY-PM05/EC (2 unid.)</t>
  </si>
  <si>
    <t>Topo c/ perfuração para perfil LS AY-PM05/EC/H (2 unid.)</t>
  </si>
  <si>
    <t>Clip de montagem  LS AY-PM05/MB (2 unid.)</t>
  </si>
  <si>
    <t>Perfil de Alumínio  LS AY-PM02/R/18X15,5/10/1  (troço de 1mt.)</t>
  </si>
  <si>
    <t>Perfil de Alumínio LS AY-PM02/R/18X15,5/10/2 (troço de 2mts.)</t>
  </si>
  <si>
    <t>Topo s/ Perfuração para perfil  LS AY-PM02/EC (2 unid.)</t>
  </si>
  <si>
    <t>Topo c/ perfuração para perfil LS AY-PM02/EC/H (2 unid.)</t>
  </si>
  <si>
    <t>Clip de montagem  LS AY-PM02/MB (2 unid.)</t>
  </si>
  <si>
    <t>Perfil de Alumínio LS AY-PM03/E/19X19/10/1  (troço de 1mt.)</t>
  </si>
  <si>
    <t>Perfil de Alumínio LS AY-PM03/E/19X19/10/2 (troço de 2mts.)</t>
  </si>
  <si>
    <t>Topo s/ Perfuração para perfil  LS AY-PM03/EC (2 unid.)</t>
  </si>
  <si>
    <t>Topo c/ perfuração para perfil LS AY-PM03/EC/H (2 unid.)</t>
  </si>
  <si>
    <t>Clip de montagem  LS AY-PM03/MB (2 unid.)</t>
  </si>
  <si>
    <t>Perfil de Alumínio LS AY-PM06/E/18X18/12/1  (troço de 1mt.)</t>
  </si>
  <si>
    <t>Perfil de Alumínio LS AY-PM06/E/18X18/12/2 (troço de 2mts.)</t>
  </si>
  <si>
    <t>Topo s/ Perfuração para perfil  LS AY-PM06/EC (2 unid.)</t>
  </si>
  <si>
    <t>Topo c/ perfuração para perfil LS AY-PM06/EC/H (2 unid.)</t>
  </si>
  <si>
    <t>Clip de montagem  LS AY-PM06/MB (2 unid.)</t>
  </si>
  <si>
    <t>Driver DR DALI-SUP-45/220-240/24</t>
  </si>
  <si>
    <t>Driver DR DALI-SUP-80/220-240/24</t>
  </si>
  <si>
    <t>Driver DR DALI-SUP-150/220-240/24</t>
  </si>
  <si>
    <t>Driver DR-SUP-30/220-240/24</t>
  </si>
  <si>
    <t>Driver DR-SUP-60/220-240/24</t>
  </si>
  <si>
    <t>Driver DR-SUP-100/220-240/24</t>
  </si>
  <si>
    <t>Driver DR-SUP-200/220-240/24</t>
  </si>
  <si>
    <t>Driver DR DIM-PFM-20/220-240/24/P</t>
  </si>
  <si>
    <t>Driver DR DIM-PFM-40/220-240/24/P</t>
  </si>
  <si>
    <t>Driver DR DIM-PFM-60/220-240/24/P</t>
  </si>
  <si>
    <t>Driver DR DIM-PFM-100/220-240/24/P</t>
  </si>
  <si>
    <t>Driver DR DIM-PFM-150/220-240/24/P</t>
  </si>
  <si>
    <t>Driver DR DIM-PFM-250/220-240/24/P</t>
  </si>
  <si>
    <t>Driver DR-PFM-30/220-240/24/P</t>
  </si>
  <si>
    <t>Driver DR-PFM-60/220-240/24/P</t>
  </si>
  <si>
    <t>Driver DR-PFM-100/220-240/24/P</t>
  </si>
  <si>
    <t>Driver DR-PFM-150/220-240/24/P</t>
  </si>
  <si>
    <t>Driver DR-PFM-250/220-240/24/P</t>
  </si>
  <si>
    <t>Acess. Driver</t>
  </si>
  <si>
    <t>Driver LED Corrente Constante PERFORMANCE Class –  não protegidos Dip-Switch</t>
  </si>
  <si>
    <t>DRIVER LED DALI PERFORMANCE Class - para corrente constante com interface de regulação DALI</t>
  </si>
  <si>
    <t>LEDTUBE T8 EM CON P 600 7,5W 840</t>
  </si>
  <si>
    <t>LEDTUBE T8 EM CON P 600 7,5W 865</t>
  </si>
  <si>
    <t>LEDTUBE T8 EM CON P 1200 16W 840</t>
  </si>
  <si>
    <t>LEDTUBE T8 EM CON P 1200 16W 865</t>
  </si>
  <si>
    <t>LEDTUBE T8 EM CON P 1500 24W 840</t>
  </si>
  <si>
    <t>LEDTUBE T8 EM CON P 1500 24W 865</t>
  </si>
  <si>
    <t>Connected Sensor ST8 LB Gen2</t>
  </si>
  <si>
    <t>Connected Sensor ST8 HB Gen2</t>
  </si>
  <si>
    <t xml:space="preserve">LEDTUBE T8 EM UO V 1200 20W 830    </t>
  </si>
  <si>
    <t xml:space="preserve">LEDTUBE T8 EM UO V 1200 20W 840    </t>
  </si>
  <si>
    <t xml:space="preserve">LEDTUBE T8 EM UO V 1200 20W 865    </t>
  </si>
  <si>
    <t xml:space="preserve">LEDTUBE T8 EM UO V 1500 29W 830    </t>
  </si>
  <si>
    <t xml:space="preserve">LEDTUBE T8 EM UO V 1500 29W 840    </t>
  </si>
  <si>
    <t xml:space="preserve">LEDTUBE T8 EM UO V 1500 29W 865    </t>
  </si>
  <si>
    <t xml:space="preserve">LEDTUBE T8 EM V 438 5.4W 830       </t>
  </si>
  <si>
    <t xml:space="preserve">LEDTUBE T8 EM V 438 5.4W 840       </t>
  </si>
  <si>
    <t xml:space="preserve">LEDTUBE T8 EM V 438 5.4W 865       </t>
  </si>
  <si>
    <t xml:space="preserve">LEDTUBE T8 EM V 600 6.6W 830       </t>
  </si>
  <si>
    <t xml:space="preserve">LEDTUBE T8 EM V 600 6.6W 840       </t>
  </si>
  <si>
    <t xml:space="preserve">LEDTUBE T8 EM V 600 6.6W 865       </t>
  </si>
  <si>
    <t xml:space="preserve">LEDTUBE T8 EM V 720 7W 830         </t>
  </si>
  <si>
    <t xml:space="preserve">LEDTUBE T8 EM V 720 7W 840         </t>
  </si>
  <si>
    <t xml:space="preserve">LEDTUBE T8 EM V 720 7W 865         </t>
  </si>
  <si>
    <t xml:space="preserve">LEDTUBE T8 EM V 900 10W 830        </t>
  </si>
  <si>
    <t xml:space="preserve">LEDTUBE T8 EM V 900 10W 840        </t>
  </si>
  <si>
    <t xml:space="preserve">LEDTUBE T8 EM V 900 10W 865        </t>
  </si>
  <si>
    <t xml:space="preserve">LEDTUBE T8 EM V 1050 11.6W 830     </t>
  </si>
  <si>
    <t xml:space="preserve">LEDTUBE T8 EM V 1050 11.6W 840     </t>
  </si>
  <si>
    <t xml:space="preserve">LEDTUBE T8 EM V 1050 11.6W 865     </t>
  </si>
  <si>
    <t xml:space="preserve">LEDTUBE T8 EM V 1200 15W 830       </t>
  </si>
  <si>
    <t xml:space="preserve">LEDTUBE T8 EM V 1200 15W 840       </t>
  </si>
  <si>
    <t xml:space="preserve">LEDTUBE T8 EM V 1200 15W 865       </t>
  </si>
  <si>
    <t xml:space="preserve">LEDTUBE T8 EM V 1500 18.3W 830     </t>
  </si>
  <si>
    <t xml:space="preserve">LEDTUBE T8 EM V 1500 18.3W 840     </t>
  </si>
  <si>
    <t xml:space="preserve">LEDTUBE T8 EM V 1500 18.3W 865     </t>
  </si>
  <si>
    <t xml:space="preserve">LEDTUBE T8 EM MS P 600 6.8W 840    </t>
  </si>
  <si>
    <t xml:space="preserve">LEDTUBE T8 EM MS P 1200 13.1W 840  </t>
  </si>
  <si>
    <t xml:space="preserve">LEDTUBE T8 EM MS P 1500 19.3W 840  </t>
  </si>
  <si>
    <t xml:space="preserve">LEDTUBE T8 EM FOOD P 600 5.2W 833  </t>
  </si>
  <si>
    <t xml:space="preserve">LEDTUBE T8 EM FOOD P 900 7.9W 833  </t>
  </si>
  <si>
    <t>LEDTUBE T8 EM FOOD P 1200 11.6W 833</t>
  </si>
  <si>
    <t>LEDTUBE T8 EM FOOD P 1500 17.9W 833</t>
  </si>
  <si>
    <t xml:space="preserve">LEDTUBE T8 UN UO P 1200 15W 840    </t>
  </si>
  <si>
    <t xml:space="preserve">LEDTUBE T8 UN UO P 1200 15W 865    </t>
  </si>
  <si>
    <t xml:space="preserve">LEDTUBE T8 UN UO P 1500 23W 840    </t>
  </si>
  <si>
    <t xml:space="preserve">LEDTUBE T8 UN UO P 1500 23W 865    </t>
  </si>
  <si>
    <t xml:space="preserve">LEDTUBE T8 UN P 600 7,5W 830       </t>
  </si>
  <si>
    <t xml:space="preserve">LEDTUBE T8 UN P 600 7,5W 840       </t>
  </si>
  <si>
    <t xml:space="preserve">LEDTUBE T8 UN P 600 7,5W 865       </t>
  </si>
  <si>
    <t xml:space="preserve">LEDTUBE T8 UN P 1200 14W 830       </t>
  </si>
  <si>
    <t xml:space="preserve">LEDTUBE T8 UN P 1200 14W 840       </t>
  </si>
  <si>
    <t xml:space="preserve">LEDTUBE T8 UN P 1200 14W 865       </t>
  </si>
  <si>
    <t xml:space="preserve">LEDTUBE T8 UN P 1500 20W 830       </t>
  </si>
  <si>
    <t xml:space="preserve">LEDTUBE T8 UN P 1500 20W 840       </t>
  </si>
  <si>
    <t xml:space="preserve">LEDTUBE T8 UN P 1500 20W 865       </t>
  </si>
  <si>
    <t xml:space="preserve">LEDTUBE T8 UN V 600 8W 830         </t>
  </si>
  <si>
    <t xml:space="preserve">LEDTUBE T8 UN V 600 8W 840         </t>
  </si>
  <si>
    <t xml:space="preserve">LEDTUBE T8 UN V 600 8W 865         </t>
  </si>
  <si>
    <t xml:space="preserve">LEDTUBE T8 UN V 1200 18W 830       </t>
  </si>
  <si>
    <t xml:space="preserve">LEDTUBE T8 UN V 1200 18W 840       </t>
  </si>
  <si>
    <t xml:space="preserve">LEDTUBE T8 UN V 1200 18W 865       </t>
  </si>
  <si>
    <t xml:space="preserve">LEDTUBE T8 UN V 1500 24W 830       </t>
  </si>
  <si>
    <t xml:space="preserve">LEDTUBE T8 UN V 1500 24W 840       </t>
  </si>
  <si>
    <t xml:space="preserve">LEDTUBE T8 UN V 1500 24W 865       </t>
  </si>
  <si>
    <t xml:space="preserve">LEDTUBE T8 HF UO P 1200 15W 840    </t>
  </si>
  <si>
    <t xml:space="preserve">LEDTUBE T8 HF UO P 1200 15W 865    </t>
  </si>
  <si>
    <t xml:space="preserve">LEDTUBE T8 HF UO P 1500 23W 840    </t>
  </si>
  <si>
    <t xml:space="preserve">LEDTUBE T8 HF UO P 1500 23W 865    </t>
  </si>
  <si>
    <t xml:space="preserve">LEDTUBE T8 HF P 600 7,5W 830       </t>
  </si>
  <si>
    <t xml:space="preserve">LEDTUBE T8 HF P 600 7,5W 840       </t>
  </si>
  <si>
    <t xml:space="preserve">LEDTUBE T8 HF P 600 7,5W 865       </t>
  </si>
  <si>
    <t xml:space="preserve">LEDTUBE T8 HF P 1200 14W 830       </t>
  </si>
  <si>
    <t xml:space="preserve">LEDTUBE T8 HF P 1200 14W 840       </t>
  </si>
  <si>
    <t xml:space="preserve">LEDTUBE T8 HF P 1200 14W 865       </t>
  </si>
  <si>
    <t xml:space="preserve">LEDTUBE T8 HF P 1500 20W 830       </t>
  </si>
  <si>
    <t xml:space="preserve">LEDTUBE T8 HF P 1500 20W 840       </t>
  </si>
  <si>
    <t xml:space="preserve">LEDTUBE T8 HF P 1500 20W 865       </t>
  </si>
  <si>
    <t>ANCE LEDTUBE T8 HF VALUE Gen 11 (ECG)</t>
  </si>
  <si>
    <t xml:space="preserve">LEDTUBE T8 HF V 600 8W 840         </t>
  </si>
  <si>
    <t xml:space="preserve">LEDTUBE T8 HF V 600 8W 865         </t>
  </si>
  <si>
    <t xml:space="preserve">LEDTUBE T5 HF HO80 P 1449 36W 830  </t>
  </si>
  <si>
    <t xml:space="preserve">LEDTUBE T5 HF HO80 P 1449 36W 840  </t>
  </si>
  <si>
    <t xml:space="preserve">LEDTUBE T5 HF HO80 P 1449 36W 865  </t>
  </si>
  <si>
    <t xml:space="preserve">LEDTUBE T5 HF HO54 P 1149 26W 830  </t>
  </si>
  <si>
    <t xml:space="preserve">LEDTUBE T5 HF HO54 P 1149 26W 840  </t>
  </si>
  <si>
    <t xml:space="preserve">LEDTUBE T5 HF HO54 P 1149 26W 865  </t>
  </si>
  <si>
    <t xml:space="preserve">LEDTUBE T5 HF HO49 P 1449 26W 830  </t>
  </si>
  <si>
    <t xml:space="preserve">LEDTUBE T5 HF HO49 P 1449 26W 840  </t>
  </si>
  <si>
    <t xml:space="preserve">LEDTUBE T5 HF HO49 P 1449 26W 865  </t>
  </si>
  <si>
    <t xml:space="preserve">LEDTUBE T5 HF HE35 P 1449 18W 830  </t>
  </si>
  <si>
    <t xml:space="preserve">LEDTUBE T5 HF HE35 P 1449 18W 840  </t>
  </si>
  <si>
    <t xml:space="preserve">LEDTUBE T5 HF HE35 P 1449 18W 865  </t>
  </si>
  <si>
    <t xml:space="preserve">LEDTUBE T5 HF HE28 P 1149 16W 830  </t>
  </si>
  <si>
    <t xml:space="preserve">LEDTUBE T5 HF HE28 P 1149 16W 840  </t>
  </si>
  <si>
    <t xml:space="preserve">LEDTUBE T5 HF HE28 P 1149 16W 865  </t>
  </si>
  <si>
    <t xml:space="preserve">LEDTUBE T5 HF HE21 P 849 10W 830   </t>
  </si>
  <si>
    <t xml:space="preserve">LEDTUBE T5 HF HE21 P 849 10W 840   </t>
  </si>
  <si>
    <t xml:space="preserve">LEDTUBE T5 HF HE21 P 849 10W 865   </t>
  </si>
  <si>
    <t xml:space="preserve">LEDTUBE T5 HF HE14 P 549 7W 830    </t>
  </si>
  <si>
    <t xml:space="preserve">LEDTUBE T5 HF HE14 P 549 7W 840    </t>
  </si>
  <si>
    <t xml:space="preserve">LEDTUBE T5 HF HE14 P 549 7W 865    </t>
  </si>
  <si>
    <t xml:space="preserve">LEDTUBE T5 AC  HO80 P 1449 36W 830  </t>
  </si>
  <si>
    <t xml:space="preserve">LEDTUBE T5 AC  HO80 P 1449 36W 840  </t>
  </si>
  <si>
    <t xml:space="preserve">LEDTUBE T5 AC  HO80 P 1449 36W 865  </t>
  </si>
  <si>
    <t xml:space="preserve">LEDTUBE T5 AC HO54 P 1149 26W 830  </t>
  </si>
  <si>
    <t xml:space="preserve">LEDTUBE T5 AC HO54 P 1149 26W 865  </t>
  </si>
  <si>
    <t xml:space="preserve">LEDTUBE T5 AC HO54 P 1149 26W 840  </t>
  </si>
  <si>
    <t xml:space="preserve">LEDTUBE T5 AC HO49 P 1449 26W 830  </t>
  </si>
  <si>
    <t xml:space="preserve">LEDTUBE T5 AC HO49 P 1449 26W 840  </t>
  </si>
  <si>
    <t xml:space="preserve">LEDTUBE T5 AC HO49 P1449 26W 865  </t>
  </si>
  <si>
    <t xml:space="preserve">LEDTUBE T5 AC HO39 P 849 16W 830   </t>
  </si>
  <si>
    <t xml:space="preserve">LEDTUBE T5 AC HO39 P 849 16W 840   </t>
  </si>
  <si>
    <t xml:space="preserve">LEDTUBE T5 AC HO39 P 849 16W 865   </t>
  </si>
  <si>
    <t xml:space="preserve">LEDTUBE T5 AC HO24 P 549 10W 830   </t>
  </si>
  <si>
    <t xml:space="preserve">LEDTUBE T5 AC HO24 P 549 10W 840   </t>
  </si>
  <si>
    <t xml:space="preserve">LEDTUBE T5 AC HO24 P 549 10W 865   </t>
  </si>
  <si>
    <t xml:space="preserve">LEDTUBE T5 AC HE35 P 1449 18W 830   </t>
  </si>
  <si>
    <t xml:space="preserve">LEDTUBE T5 AC HE35 P 1449 18W 840   </t>
  </si>
  <si>
    <t xml:space="preserve">LEDTUBE T5 AC HE35 P 1449 18W 865   </t>
  </si>
  <si>
    <t>LEDTUBE T5 AC HE28 P 1149 16W 830       </t>
  </si>
  <si>
    <t xml:space="preserve">LEDTUBE T5 AC HE28 P 1149 16W 840    </t>
  </si>
  <si>
    <t xml:space="preserve">LEDTUBE T5 AC HE28 P 1149 16W 865  </t>
  </si>
  <si>
    <t xml:space="preserve">LEDTUBE T5 AC HE21 849 10W 830      </t>
  </si>
  <si>
    <t xml:space="preserve">LEDTUBE T5 AC HE21 849 10W 840      </t>
  </si>
  <si>
    <t xml:space="preserve">LEDTUBE T5 AC HE21 849 10W 865     </t>
  </si>
  <si>
    <t xml:space="preserve">LEDTUBE T5 AC HE14 P 549 8W 830 </t>
  </si>
  <si>
    <t xml:space="preserve">LEDTUBE T5 AC HE14 P 549 8W 840 </t>
  </si>
  <si>
    <t xml:space="preserve">LEDTUBE T5 AC  HE14 P 549 8W 865 </t>
  </si>
  <si>
    <t xml:space="preserve">LEDTUBE T5 HF L8 SHORT V 288 4W 840 </t>
  </si>
  <si>
    <t xml:space="preserve">LEDTUBE T5 HF L13 SHORT V 517 7W 830 </t>
  </si>
  <si>
    <t xml:space="preserve">LEDTUBE T5 HF L13 SHORT V 517 7W 840 </t>
  </si>
  <si>
    <t xml:space="preserve">LEDTUBE T5 HF L8 SHORT V 288 4W 830 </t>
  </si>
  <si>
    <t xml:space="preserve">LEDTUBE T8 EXT P 1500 23W 840    </t>
  </si>
  <si>
    <t xml:space="preserve">LEDTUBE T8 EXT P 1500 23W 865    </t>
  </si>
  <si>
    <t xml:space="preserve">LEDTUBE T8 EXT P 1200 15W 840    </t>
  </si>
  <si>
    <t xml:space="preserve">LEDTUBE T8 EXT P 1200 15W 865    </t>
  </si>
  <si>
    <t xml:space="preserve">LEDTUBE T5 EXT P HO80 1449 37W 840    </t>
  </si>
  <si>
    <t xml:space="preserve">LEDTUBE T5 EXT P HO80 1449 37W 865    </t>
  </si>
  <si>
    <t xml:space="preserve">LEDTUBE T5 EXT P HO49 1449 26W 840    </t>
  </si>
  <si>
    <t xml:space="preserve">LEDTUBE T5 EXT P HO49 1449 26W 865    </t>
  </si>
  <si>
    <t xml:space="preserve">LEDTUBE T5 EXT P HO54 1149 26W 840    </t>
  </si>
  <si>
    <t xml:space="preserve">LEDTUBE T5 EXT P HO54 1149 26W 865    </t>
  </si>
  <si>
    <t xml:space="preserve">LEDTUBE T5 EXT P HE35 1449 18W 840    </t>
  </si>
  <si>
    <t xml:space="preserve">LEDTUBE T5 EXT P HE35 1449 18W 865    </t>
  </si>
  <si>
    <t>LED TUBE StarterTube T8</t>
  </si>
  <si>
    <t>LED TUBE T9 C 22 EM V 11W 830 G10Q</t>
  </si>
  <si>
    <t>LED TUBE T9 C 22 EM V 11W 840 G10Q</t>
  </si>
  <si>
    <t>LED TUBE T9 C 22 EM V 11W 865 G10Q</t>
  </si>
  <si>
    <t>LED TUBE T9 C 32 EM V 18.3W 830 G10Q</t>
  </si>
  <si>
    <t>LED TUBE T9 C 32 EM V 18.3W 840 G10Q</t>
  </si>
  <si>
    <t>LED TUBE T9 C 32 EM V 18.3W 865 G10Q</t>
  </si>
  <si>
    <t>LED TUBE T9 C 40 EM V 24W 840 G10Q</t>
  </si>
  <si>
    <t>LED TUBE T9 C 40 EM V 24W 865 G10Q</t>
  </si>
  <si>
    <t xml:space="preserve">DULUX LED D10 EM V 5W 830 G24D-1 </t>
  </si>
  <si>
    <t xml:space="preserve">DULUX LED D10 EM V 5W 840 G24D-1 </t>
  </si>
  <si>
    <t xml:space="preserve">DULUX LED D13 EM V 6W 830 G24D-1 </t>
  </si>
  <si>
    <t xml:space="preserve">DULUX LED D13 EM V 6W 840 G24D-1 </t>
  </si>
  <si>
    <t xml:space="preserve">DULUX LED D18 EM V 7W 830 G24D-2 </t>
  </si>
  <si>
    <t xml:space="preserve">DULUX LED D18 EM V 7W 840 G24D-2 </t>
  </si>
  <si>
    <t xml:space="preserve">DULUX LED D26 EM V 9W 830 G24D-3 </t>
  </si>
  <si>
    <t xml:space="preserve">DULUX LED D26 EM V 9W 840 G24D-3 </t>
  </si>
  <si>
    <t xml:space="preserve">DULUX LED D13 VT EM V 5.5W 830G24D </t>
  </si>
  <si>
    <t xml:space="preserve">DULUX LED D13 VT EM V 5.5W 840G24D </t>
  </si>
  <si>
    <t xml:space="preserve">DULUX LED D18 VT EM V 7.5W 830G24D </t>
  </si>
  <si>
    <t xml:space="preserve">DULUX LED D18 VT EM V 7.5W 840G24D </t>
  </si>
  <si>
    <t xml:space="preserve">DULUX LED D26 VT EM V 9.5W 830G24D </t>
  </si>
  <si>
    <t xml:space="preserve">DULUX LED D26 VT EM V 9.5W 840G24D </t>
  </si>
  <si>
    <t xml:space="preserve">DULUX LED D/E13HF V 6W 830 G24Q-1 </t>
  </si>
  <si>
    <t xml:space="preserve">DULUX LED D/E13HF V 6W 840 G24Q-1 </t>
  </si>
  <si>
    <t xml:space="preserve">DULUX LED D/E18HF V 7W 830 G24Q-2 </t>
  </si>
  <si>
    <t xml:space="preserve">DULUX LED D/E18HF V 7W 840 G24Q-2 </t>
  </si>
  <si>
    <t xml:space="preserve">DULUX LED D/E26HF V 10W 830 G24Q-3 </t>
  </si>
  <si>
    <t xml:space="preserve">DULUX LED D/E26HF V 10W 840 G24Q-3 </t>
  </si>
  <si>
    <t xml:space="preserve">DULUX LED S7 EM V 3.5W 830 G23 </t>
  </si>
  <si>
    <t xml:space="preserve">DULUX LED S7 EM V 3.5W 840 G23 </t>
  </si>
  <si>
    <t xml:space="preserve">DULUX LED S9 EM V 4W 830 G23 </t>
  </si>
  <si>
    <t xml:space="preserve">DULUX LED S9 EM V 4W 840 G23 </t>
  </si>
  <si>
    <t xml:space="preserve">DULUX LED S11 EM V 6W 830 G23 </t>
  </si>
  <si>
    <t xml:space="preserve">DULUX LED S11 EM V 6W 840 G23 </t>
  </si>
  <si>
    <t xml:space="preserve">DULUX LED L18 HF V 8W 830  2G11 </t>
  </si>
  <si>
    <t xml:space="preserve">DULUX LED L18 HF V 8W 840  2G11 </t>
  </si>
  <si>
    <t xml:space="preserve">DULUX LED L24 HF V 12W 830  2G11 </t>
  </si>
  <si>
    <t xml:space="preserve">DULUX LED L24 HF V 12W 840  2G11 </t>
  </si>
  <si>
    <t xml:space="preserve">DULUX LED L36 HF V 18W 830  2G11 </t>
  </si>
  <si>
    <t xml:space="preserve">DULUX LED L36 HF V 18W 840  2G11 </t>
  </si>
  <si>
    <t xml:space="preserve">DULUX LED L55 HF V 25W 830  2G11 </t>
  </si>
  <si>
    <t xml:space="preserve">DULUX LED L55 HF V 25W 840  2G11 </t>
  </si>
  <si>
    <t xml:space="preserve">DULUX LED F18 EM V 8W 830  2G10 </t>
  </si>
  <si>
    <t xml:space="preserve">DULUX LED F18 EM V 8W 840  2G10 </t>
  </si>
  <si>
    <t xml:space="preserve">DULUX LED F24 EM V 12W 830  2G10 </t>
  </si>
  <si>
    <t xml:space="preserve">DULUX LED F24 EM V 12W 840  2G10 </t>
  </si>
  <si>
    <t xml:space="preserve">DULUX LED F36 EM V 20W 830  2G10 </t>
  </si>
  <si>
    <t xml:space="preserve">DULUX LED F36 EM V 20W 840  2G10 </t>
  </si>
  <si>
    <t xml:space="preserve">DULUX LED T/E13 HF V 6W 830 GX24Q-1 </t>
  </si>
  <si>
    <t xml:space="preserve">DULUX LED T/E13 HF V 6W 840 GX24Q-1 </t>
  </si>
  <si>
    <t xml:space="preserve">DULUX LED T/E18 HF V 7W 830 GX24Q-2 </t>
  </si>
  <si>
    <t xml:space="preserve">DULUX LED T/E18 HF V 7W 840 GX24Q-2 </t>
  </si>
  <si>
    <t>DULUX LED T/E26 HF V 10W 830 GX24Q-3</t>
  </si>
  <si>
    <t>DULUX LED T/E26 HF V 10W 840 GX24Q-3</t>
  </si>
  <si>
    <t>DULUX LED T/E32 HF V 16W 830 GX24Q-3</t>
  </si>
  <si>
    <t>DULUX LED T/E32 HF V 16W 840 GX24Q-3</t>
  </si>
  <si>
    <t>DULUX LED T/E42 HF V 20W 830 GX24Q-4</t>
  </si>
  <si>
    <t>DULUX LED T/E42 HF V 20W 840 GX24Q-4</t>
  </si>
  <si>
    <t xml:space="preserve">DULUX LED SQ16 EM V 7W 830 GR8  </t>
  </si>
  <si>
    <t xml:space="preserve">DULUX LED SQ16 EM V 7W 835 GR8  </t>
  </si>
  <si>
    <t xml:space="preserve">DULUX LED SQ28 EM V 13W 830 GR8  </t>
  </si>
  <si>
    <t xml:space="preserve">DULUX LED SQ28 EM V 13W 835 GR8  </t>
  </si>
  <si>
    <t xml:space="preserve">DULUX LED T13 EM V 6W 830 GX24d-1 </t>
  </si>
  <si>
    <t xml:space="preserve">DULUX LED T13 EM V 6W 840 GX24d-1 </t>
  </si>
  <si>
    <t xml:space="preserve">DULUX LED T18 EM V 7W 830 GX24d-2 </t>
  </si>
  <si>
    <t xml:space="preserve">DULUX LED T18 EM V 7W 840 GX24d-2 </t>
  </si>
  <si>
    <t xml:space="preserve">DULUX LED T26 EM V 9W 830 GX24d-3 </t>
  </si>
  <si>
    <t xml:space="preserve">DULUX LED T26 EM V 9W 840 GX24d-3 </t>
  </si>
  <si>
    <t xml:space="preserve">HQL LED FIL V 1800LM 13W 827 E27   </t>
  </si>
  <si>
    <t xml:space="preserve">HQL LED FIL V 2000LM 13W 840 E27   </t>
  </si>
  <si>
    <t xml:space="preserve">HQL LED FIL V 2700LM 20W 827 E27   </t>
  </si>
  <si>
    <t xml:space="preserve">HQL LED FIL V 3000LM 20W 840 E27   </t>
  </si>
  <si>
    <t xml:space="preserve">HQL LED FIL V 3600LM 24W 827 E27   </t>
  </si>
  <si>
    <t xml:space="preserve">HQL LED FIL V 4000LM 24W 840 E27   </t>
  </si>
  <si>
    <t xml:space="preserve">HQL LED FIL V 5400LM 38W 827 E27   </t>
  </si>
  <si>
    <t xml:space="preserve">HQL LED FIL V 6000LM 38W 827 E27   </t>
  </si>
  <si>
    <t xml:space="preserve">HQL LED FIL V 6000LM 38W 840 E40   </t>
  </si>
  <si>
    <t xml:space="preserve">HQL LED FIL V 8100LM 60W 827 E40  </t>
  </si>
  <si>
    <t xml:space="preserve">HQL LED FIL V 9000LM 60W 840 E40   </t>
  </si>
  <si>
    <t>NAV 50 LED FIL V 3600LM 21W 727 E27</t>
  </si>
  <si>
    <t>NAV 50 LED FIL V 4000LM 21W 740 E27</t>
  </si>
  <si>
    <t>NAV 70 LED FIL V 5400LM 35W 727 E27</t>
  </si>
  <si>
    <t>NAV 70 LED FIL V 6000LM 35W 740 E27</t>
  </si>
  <si>
    <t>NAV 100 LED FIL V 7000LM 41W 727 E40</t>
  </si>
  <si>
    <t>NAV 100 LED FIL V 7500LM 41W 740 E40</t>
  </si>
  <si>
    <t>SPECIAL T26 FIL 5 non-dim 1W/824 E14</t>
  </si>
  <si>
    <t>Phase-Out Agosto'23</t>
  </si>
  <si>
    <t>Phase-Out Fevereiro'23</t>
  </si>
  <si>
    <t>Stock limitado</t>
  </si>
  <si>
    <t>Tensão constante 24V DALI</t>
  </si>
  <si>
    <t xml:space="preserve">OT SLIM 30/220-240     </t>
  </si>
  <si>
    <t>OT SLIM 60/220-240</t>
  </si>
  <si>
    <t>OT SLIM 100/220-240</t>
  </si>
  <si>
    <t>OT SLIM 160/220-240</t>
  </si>
  <si>
    <t xml:space="preserve">OT SLIM 250/220-240 </t>
  </si>
  <si>
    <t xml:space="preserve">OTI DALI 80/220-240/24 4CH DT6/8 </t>
  </si>
  <si>
    <t xml:space="preserve">Interface DALI /KNX </t>
  </si>
  <si>
    <t>DALI PRO 2 IoT CONTROLLER (Osram /Ledvance)</t>
  </si>
  <si>
    <t>OT 40/170-240/1A0 4DIMLT2 G2 CE</t>
  </si>
  <si>
    <t xml:space="preserve">DALI-2 SENSOR LS/PD C CI </t>
  </si>
  <si>
    <t xml:space="preserve">DALI-2 SENSOR LS/PD HB LI </t>
  </si>
  <si>
    <t xml:space="preserve">DALI-2 SENSOR LS/PD O CI </t>
  </si>
  <si>
    <t>DALI-2 SENSOR LS/PD W CM</t>
  </si>
  <si>
    <t>DALI-2 SENSOR PD HB CM</t>
  </si>
  <si>
    <t>DALI PCU TW G2</t>
  </si>
  <si>
    <t>QBM 220-240 LS/PD CM KIT</t>
  </si>
  <si>
    <t>lms</t>
  </si>
  <si>
    <t>OTI DALI 50/220-240/24 4CH DT6/8 G3</t>
  </si>
  <si>
    <t>OTI DALI 80/220-240/24 4CH DT6/8 G3</t>
  </si>
  <si>
    <t>OTI DALI 160/220-240/24 2CH DT6/8 G3</t>
  </si>
  <si>
    <t>OTI DALI 35/220-240/1A0 NFC L</t>
  </si>
  <si>
    <t>OTI DALI 35/220-240/1A0 LT2</t>
  </si>
  <si>
    <t>OPTOTRONIC® Corrente Constante - Regulação DALI</t>
  </si>
  <si>
    <t>LN MAG BATTEN T5 V 868</t>
  </si>
  <si>
    <t>DP SPECIAL 1200 22 W 4000 K WT IP67</t>
  </si>
  <si>
    <t>DP SPECIAL 1200 42 W 4000 K WT IP67</t>
  </si>
  <si>
    <t>DP SPECIAL 1500 30 W 4000 K WT IP67</t>
  </si>
  <si>
    <t>DP SPECIAL 1500 50 W 4000 K WT IP67</t>
  </si>
  <si>
    <t xml:space="preserve">OPTOTRONIC® Corrente Constante _Regulação </t>
  </si>
  <si>
    <t>Phase-Out Agosto'24</t>
  </si>
  <si>
    <t>Phase-Out Agosto'25</t>
  </si>
  <si>
    <t>Phase-Out Agosto'26</t>
  </si>
  <si>
    <t>Phase-Out Agosto'27</t>
  </si>
  <si>
    <t>Phase-Out Agosto'28</t>
  </si>
  <si>
    <t>Phase-Out Agosto'29</t>
  </si>
  <si>
    <t>Phase-Out Agosto'30</t>
  </si>
  <si>
    <t>Phase-Out Agosto'31</t>
  </si>
  <si>
    <t>Phase-Out Agosto'32</t>
  </si>
  <si>
    <t>Phase-Out Agosto'33</t>
  </si>
  <si>
    <t>Phase-Out Fevereiro'24</t>
  </si>
  <si>
    <t>Phase-Out Fevereiro'25</t>
  </si>
  <si>
    <t>Phase-Out Fevereiro'26</t>
  </si>
  <si>
    <t>Phase-Out Fevereiro'27</t>
  </si>
  <si>
    <t>Phase-Out Fevereiro'28</t>
  </si>
  <si>
    <t>OTI DALI 10/220-240/700 NFC</t>
  </si>
  <si>
    <t>OPTOTRONIC® Corrente Constante - ON/OFF</t>
  </si>
  <si>
    <t>OT FIT 50/220-240/250 D L</t>
  </si>
  <si>
    <t>OT FIT 55/220-240/1A0 CS L G2</t>
  </si>
  <si>
    <t>OT FIT 75/220-240/1A4 CS L G2</t>
  </si>
  <si>
    <t>OT FIT 75/220-240/1A6 CS</t>
  </si>
  <si>
    <t xml:space="preserve">OT FIT 120/220-240/750 D LT2 L </t>
  </si>
  <si>
    <t>OTI DALI 15/220-240/1A0 LT2</t>
  </si>
  <si>
    <t>OTI DALI 25/220-240/700 LT2 DIM</t>
  </si>
  <si>
    <t>OTI DALI 35/220-240/700 LT2L G2</t>
  </si>
  <si>
    <t>OTI DALI 35/220-240/1A0 NFC</t>
  </si>
  <si>
    <t xml:space="preserve">OTI DALI 80/220-240/1A6 LT2 L </t>
  </si>
  <si>
    <t xml:space="preserve">OTI DALI 50/220-240/1A4 LT2 FAN </t>
  </si>
  <si>
    <t>OTI DALI 80/220-240/2A1 LT2 L</t>
  </si>
  <si>
    <t>OTI DALI 90/220-240/700D LT2 L</t>
  </si>
  <si>
    <t>SF CIRC 500 SEN V 42W 830 IP44 PS</t>
  </si>
  <si>
    <t>SF CIRC 500 SEN V 42W 840 IP44 PS</t>
  </si>
  <si>
    <t xml:space="preserve">Código EAN </t>
  </si>
  <si>
    <t>Designação</t>
  </si>
  <si>
    <t>Qt/Unid. Venda</t>
  </si>
  <si>
    <t>Tipologia</t>
  </si>
  <si>
    <t>OBS</t>
  </si>
  <si>
    <t>POTÊNCIA</t>
  </si>
  <si>
    <t>TEMPERATURA DE COR</t>
  </si>
  <si>
    <t>BATHROOM LUMINAIRES</t>
  </si>
  <si>
    <t>SMART+ BATHROOM FAMILY LUMINAIRES</t>
  </si>
  <si>
    <t>SMART+ WIFI WALL ORBIS® ROUND IP44</t>
  </si>
  <si>
    <t>CASA-DE-BANHO</t>
  </si>
  <si>
    <t>SMART+ WIFI WALL ORBIS® WAVE IP44</t>
  </si>
  <si>
    <t>SMART+ WIFI WALL ORBIS® AQUA IP44</t>
  </si>
  <si>
    <t>SMART CEILING LUMINAIRES</t>
  </si>
  <si>
    <t>SMART+ WIFI CEILING ORBIS® DISC IP44</t>
  </si>
  <si>
    <t>SMART AND WALL LUMINAIRES</t>
  </si>
  <si>
    <t>SMART+ WIFI WALL ORBIS® DUPLO IP44</t>
  </si>
  <si>
    <t>SMART+ WIFI WALL ORBIS® ELYPSE IP44</t>
  </si>
  <si>
    <t>SMART+ WIFI WALL ORBIS® BATH IP44</t>
  </si>
  <si>
    <t>DECOR SQUARE IP44</t>
  </si>
  <si>
    <t xml:space="preserve"> CEILING LUMINAIRES</t>
  </si>
  <si>
    <t xml:space="preserve"> BATHROOM CLASSIC ROUND IP44</t>
  </si>
  <si>
    <t xml:space="preserve">NOVIDADE JÁ DISPONÍVEL </t>
  </si>
  <si>
    <t>ORBIS DISC CLICK CCT IP44</t>
  </si>
  <si>
    <t>Sensor Ceiling Luminaires</t>
  </si>
  <si>
    <t>ORBIS IP44</t>
  </si>
  <si>
    <t>WALL AND MIRROR LUMINAIRES</t>
  </si>
  <si>
    <t>MIRROR LIGHT SQUARE</t>
  </si>
  <si>
    <t>WALL LIGHT TRIPLE HEAD</t>
  </si>
  <si>
    <t>ORBIS DISC BAR CLICK CCT IP44</t>
  </si>
  <si>
    <t xml:space="preserve">BATHROOM CLASSIC CLYLINDER IP44 </t>
  </si>
  <si>
    <t>LED Recess GU10 IP65 adjustable with Lamp</t>
  </si>
  <si>
    <t>Luminárias Estanques</t>
  </si>
  <si>
    <t>SMART+ DAMP-PROOF LUMINAIRES</t>
  </si>
  <si>
    <t>SMART+ WIFI SUBMARINE® LED</t>
  </si>
  <si>
    <t>DAMP-PROOF</t>
  </si>
  <si>
    <t>Luminárias Estanques Sensor</t>
  </si>
  <si>
    <t>SUBMARINE® LED SENSOR</t>
  </si>
  <si>
    <t xml:space="preserve">Luminárias Estanques Forma Linear </t>
  </si>
  <si>
    <t>Damp-proof and bulkhead Luminaires</t>
  </si>
  <si>
    <t>SUBMARINE® LED THROUGH-WIRING</t>
  </si>
  <si>
    <t>SUBMARINE® INTEGRATED</t>
  </si>
  <si>
    <t>SUBMARINE®</t>
  </si>
  <si>
    <t>ESSENTIAL DAMP-PROOF LUMINAIRES</t>
  </si>
  <si>
    <t>Essentials Damp Proof w LED Tubes</t>
  </si>
  <si>
    <t>Essentials Damp Proof integrated</t>
  </si>
  <si>
    <t>Luminária Estanques Forma Oval</t>
  </si>
  <si>
    <t>LED BULKHEAD</t>
  </si>
  <si>
    <t>NATURE LOOP</t>
  </si>
  <si>
    <t>Submarine NATURE LOOP</t>
  </si>
  <si>
    <t>Damp Proof in PCR material</t>
  </si>
  <si>
    <t xml:space="preserve">SUBMARINE® NATURE LOOP 1X7 W 60 4000 K </t>
  </si>
  <si>
    <t>NOVIDADE MARCH 1st 2024</t>
  </si>
  <si>
    <t xml:space="preserve">SUBMARINE® NATURE LOOP 2X7 W 60 4000 K </t>
  </si>
  <si>
    <t xml:space="preserve">SUBMARINE® NATURE LOOP 1X15 W 120 4000 K </t>
  </si>
  <si>
    <t xml:space="preserve">SUBMARINE® NATURE LOOP 2X15 W 120 4000 K </t>
  </si>
  <si>
    <t xml:space="preserve">SUBMARINE® NATURE LOOP 1X19 W 150 4000 K </t>
  </si>
  <si>
    <t>SUBMARINE® NATURE LOOP 2X19 W 150 4000 K</t>
  </si>
  <si>
    <t>DECOR LUMINAIRES</t>
  </si>
  <si>
    <t>SMART+ DECOR LUMINAIRES</t>
  </si>
  <si>
    <t>Smart + Wifi Decor Pendant Twist</t>
  </si>
  <si>
    <t>DECOR</t>
  </si>
  <si>
    <t>Smart + Wifi Table Decor Twist</t>
  </si>
  <si>
    <t>SMART+ WIFI ORBIS® WALL TWIST</t>
  </si>
  <si>
    <t>SMART+ WIFI CEILING DECOR SWAN</t>
  </si>
  <si>
    <t>SMART+ WIFI ORBIS® WALL SWAN</t>
  </si>
  <si>
    <t>SMART+ WIFI CEILING DECOR WOOD</t>
  </si>
  <si>
    <t>SMART+ WIFI TABLE DECOR WOOD</t>
  </si>
  <si>
    <t>SMART+ WIFI PENDANT DECOR WOOD</t>
  </si>
  <si>
    <t>SMART+ WIFI WALL DECOR WOOD</t>
  </si>
  <si>
    <t>SMART+ WIFI ORBIS® WALL CYLINDRO</t>
  </si>
  <si>
    <t>SMART+ WIFI ORBIS® WALL CROSS</t>
  </si>
  <si>
    <t>DECOR NAIROBI FAMILY</t>
  </si>
  <si>
    <t>DECOR NAIROBI PENDANT</t>
  </si>
  <si>
    <t>DECOR NAIROBI CEILING</t>
  </si>
  <si>
    <t>DECOR NAIROBI TABLE</t>
  </si>
  <si>
    <t>DECOR NAIROBI WALL</t>
  </si>
  <si>
    <t>DECOR MEMPHIS FAMILY</t>
  </si>
  <si>
    <t>DECOR MEMPHIS CEILING</t>
  </si>
  <si>
    <t>DECOR MEMPHIS TABLE</t>
  </si>
  <si>
    <t>DECOR MEMPHIS FLOOR</t>
  </si>
  <si>
    <t>DECOR TOKYO FAMILY</t>
  </si>
  <si>
    <t>Decor Tokyo Wall</t>
  </si>
  <si>
    <t>Decor Tokyo Table</t>
  </si>
  <si>
    <t>Decor Tokyo Pendant</t>
  </si>
  <si>
    <t>DECOR WOOD AND BLACK FAMILY</t>
  </si>
  <si>
    <t>Decor Wood and Black Wall</t>
  </si>
  <si>
    <t>Decor Wood and Black Table Touch</t>
  </si>
  <si>
    <t>DECOR PERCHERO FAMILY</t>
  </si>
  <si>
    <t>Decor Perchero</t>
  </si>
  <si>
    <t>PHASE-OUT</t>
  </si>
  <si>
    <t>DECOR FILAMENT LUMINAIRES</t>
  </si>
  <si>
    <t>Magnetic Filament Floor and Table Luminaires</t>
  </si>
  <si>
    <t>Filament Downlights</t>
  </si>
  <si>
    <t>Floor Luminaires for decorative LED bulbs</t>
  </si>
  <si>
    <t>NOVIDADE JANUARY 31st 2024</t>
  </si>
  <si>
    <t>DECOR SPOT SERIES</t>
  </si>
  <si>
    <t>Spot Cork</t>
  </si>
  <si>
    <t>DECOR SPOT CORK 1X3.4W 927 GU10 BK</t>
  </si>
  <si>
    <t>DECOR SPOT CORK 2X3.4W 927 GU10 BK</t>
  </si>
  <si>
    <t>DECOR SPOT CORK SP 3X3.4W 927GU10BK</t>
  </si>
  <si>
    <t>DECOR SPOT CORK 3X3.4W 927 GU10 BK</t>
  </si>
  <si>
    <t>DECOR SPOT CORK 4X3.4W 927 GU10 BK</t>
  </si>
  <si>
    <t>DECOR SPOT CORK 1X3.4W 927 GU10 WT</t>
  </si>
  <si>
    <t>DECOR SPOT CORK 2X3.4W 927 GU10 WT</t>
  </si>
  <si>
    <t>DECOR SPOT CORK SP 3X3.4W 927GU10WT</t>
  </si>
  <si>
    <t>DECOR SPOT CORK 3X3.4W 927 GU10 WT</t>
  </si>
  <si>
    <t>DECOR SPOT CORK 4X3.4W 927 GU10 WT</t>
  </si>
  <si>
    <t>Spot Pluto</t>
  </si>
  <si>
    <t>DECOR SPOT PLUTO 90MM 5W 830 WT</t>
  </si>
  <si>
    <t>DECOR SPOT PLUTO 298MM 10W 830 WT</t>
  </si>
  <si>
    <t>DECOR SPOT PLUTO 498MM 15W 830 WT</t>
  </si>
  <si>
    <t>DECOR SPOT PLUTO 698MM 20W 830 WT</t>
  </si>
  <si>
    <t>DECOR SPOT PLUTO 90MM 5W 830 BK</t>
  </si>
  <si>
    <t>DECOR SPOT PLUTO 298MM 10W 830 BK</t>
  </si>
  <si>
    <t>DECOR SPOT PLUTO 498MM 15W 830 BK</t>
  </si>
  <si>
    <t>DECOR SPOT PLUTO 698MM 20W 830 BK</t>
  </si>
  <si>
    <t>Spot Saturn Click CCT</t>
  </si>
  <si>
    <t>DECOR SPOT SATURN W 80MM 11W CCT WT</t>
  </si>
  <si>
    <t>DECOR SPOT SATURN W 463MM 20W CCTWT</t>
  </si>
  <si>
    <t>DECOR SPOT SATURN W 668MM 30W CCTWT</t>
  </si>
  <si>
    <t>DECOR SPOT SATURN CLG418MM 20WCCTWT</t>
  </si>
  <si>
    <t>DECOR SPOT SATURN W 80MM 11W CCT BK</t>
  </si>
  <si>
    <r>
      <t xml:space="preserve">DECOR SPOT SATURN W </t>
    </r>
    <r>
      <rPr>
        <sz val="10"/>
        <rFont val="Calibri"/>
        <family val="2"/>
        <charset val="238"/>
        <scheme val="minor"/>
      </rPr>
      <t>463MM 20W CCTBK</t>
    </r>
  </si>
  <si>
    <t>DECOR SPOT SATURN W 668MM 30W CCTBK</t>
  </si>
  <si>
    <t>DECOR SPOT SATURN CLG418MM 20WCCTBK</t>
  </si>
  <si>
    <t>Spot Mercury</t>
  </si>
  <si>
    <t>DECOR SPOT MERCURY 1X3.4W927GU10 BK</t>
  </si>
  <si>
    <t>DECOR SPOT MERCURY 2X3.4W927GU10 BK</t>
  </si>
  <si>
    <t>DECOR SPOT MERCURY 3X3.4W927GU10 BK</t>
  </si>
  <si>
    <t>DECOR SPOT MERCURY 4X3.4W927GU10 BK</t>
  </si>
  <si>
    <t>DECOR SPOT MERCURY 1X3.4W927GU10 WT</t>
  </si>
  <si>
    <t>DECOR SPOT MERCURY 2X3.4W927GU10 WT</t>
  </si>
  <si>
    <t>DECOR SPOT MERCURY 3X3.4W927GU10 WT</t>
  </si>
  <si>
    <t>DECOR SPOT MERCURY 4X3.4W927GU10 WT</t>
  </si>
  <si>
    <t>Spot Venus</t>
  </si>
  <si>
    <t>DECOR SPOT VENUS 125MM 5.5W 830 WT</t>
  </si>
  <si>
    <t>DECOR SPOT VENUS 300MM 10.5W 830 WT</t>
  </si>
  <si>
    <t>DECOR SPOT VENUS 500MM 16W 830 WT</t>
  </si>
  <si>
    <t>DECOR SPOT VENUS 695MM 21W 830 WT</t>
  </si>
  <si>
    <t>DECOR SPOT VENUS 125MM 5.5W 830 BK</t>
  </si>
  <si>
    <t>DECOR SPOT VENUS 300MM 10.5W 830 BK</t>
  </si>
  <si>
    <t>DECOR SPOT VENUS 500MM 16W 830 BK</t>
  </si>
  <si>
    <t>DECOR SPOT VENUS 695MM 21W 830 BK</t>
  </si>
  <si>
    <t>Spot Jupiter</t>
  </si>
  <si>
    <t>DECOR SPOT JUPITER 130MM 5.8W 830SI</t>
  </si>
  <si>
    <t>DECOR SPOT JUPITER 300MM 11.5W830SI</t>
  </si>
  <si>
    <t>DECOR SPOT JUPITER 500MM 16.5W830SI</t>
  </si>
  <si>
    <t>DECOR SPOT JUPITER 700MM 22W 830 SI</t>
  </si>
  <si>
    <t>DECOR SPOT JUPITER 260X260 22W830SI</t>
  </si>
  <si>
    <t>Spot Neptune</t>
  </si>
  <si>
    <t>DECOR SP NEPTUNE 330MM 13W SEL WT</t>
  </si>
  <si>
    <t>DECOR SP NEPTUNE 530MM 20W SEL WT</t>
  </si>
  <si>
    <t>DECOR SP NEPTUNE 730MM 27W SEL WT</t>
  </si>
  <si>
    <t>DECOR SP NEPTUNE 700MM 27W SEL WT</t>
  </si>
  <si>
    <t>DECOR SP NEPTUNE 330MM 13W SEL BK</t>
  </si>
  <si>
    <t>DECOR SP NEPTUNE 530MM 20W SEL BK</t>
  </si>
  <si>
    <t>DECOR SP NEPTUNE 730MM 27W SEL BK</t>
  </si>
  <si>
    <t>DECOR SP NEPTUNE 700MM 27W SEL BK</t>
  </si>
  <si>
    <t>Spot Mars</t>
  </si>
  <si>
    <t>DECOR SPOT MARS 200MM 17W SEL WT</t>
  </si>
  <si>
    <t>DECOR SPOT MARS 400MM 30W SEL WT</t>
  </si>
  <si>
    <t>DECOR SPOT MARS 550MM 42W SEL WT</t>
  </si>
  <si>
    <t>DECOR SPOT MARS 700MM 59W SEL WT</t>
  </si>
  <si>
    <t>DECOR SPOT MARS 200MM 17W SEL BK</t>
  </si>
  <si>
    <t>DECOR SPOT MARS 400MM 30W SEL BK</t>
  </si>
  <si>
    <t>DECOR SPOT MARS 550MM 42W SEL BK</t>
  </si>
  <si>
    <t>DECOR SPOT MARS 700MM 59W SEL BK</t>
  </si>
  <si>
    <t>ENTERTAINMENT PORTFOLIO</t>
  </si>
  <si>
    <t>Flex Range Extension</t>
  </si>
  <si>
    <t>Smart Wifi RGBIC Flex</t>
  </si>
  <si>
    <t>ENTERTAINMENT</t>
  </si>
  <si>
    <t>Smart+ WIFI Convertible Floor LUM</t>
  </si>
  <si>
    <t>Smart+ WIFI Wall Washer LUM</t>
  </si>
  <si>
    <t xml:space="preserve">Smart+ WIFI RGBW Ball Light </t>
  </si>
  <si>
    <t>SMART WIFI BALL MINI MGC RGBW</t>
  </si>
  <si>
    <t>SMART WIFI BALL MGC RGBW</t>
  </si>
  <si>
    <t xml:space="preserve">Smart+ WIFI HDMI SYNC KIT </t>
  </si>
  <si>
    <t>Smart+ WIFI Mood Light Bar</t>
  </si>
  <si>
    <t>Smart+ WIFI Floor Slim</t>
  </si>
  <si>
    <t>Smart+ WIFI Floor Round</t>
  </si>
  <si>
    <t>Smart+ WIFI Floor Corner</t>
  </si>
  <si>
    <t>GADGETS</t>
  </si>
  <si>
    <t>INDOOR MOBILE LUMINAIRES</t>
  </si>
  <si>
    <t>GADGETS PILHAS/BATERIA</t>
  </si>
  <si>
    <t>Clock LED USB</t>
  </si>
  <si>
    <t>Bathroom Gadget Range</t>
  </si>
  <si>
    <t>NIGHTLUX</t>
  </si>
  <si>
    <t>NIGHTLUX Ceiling</t>
  </si>
  <si>
    <t>NIGHTLUX® hall</t>
  </si>
  <si>
    <t>NIGHTLUX® torch</t>
  </si>
  <si>
    <t>NIGHTLUX® stair</t>
  </si>
  <si>
    <t>LINEARLED Mobile Blacklight</t>
  </si>
  <si>
    <t>LINEAR LED MOBILE</t>
  </si>
  <si>
    <t>LINEARLED Mobile Hanger</t>
  </si>
  <si>
    <t xml:space="preserve">LINEARLED Mobile </t>
  </si>
  <si>
    <t>LINEARLED Mobile IR</t>
  </si>
  <si>
    <t>LEDstixx USB</t>
  </si>
  <si>
    <t>LEDstixx</t>
  </si>
  <si>
    <t>LUMIstixx</t>
  </si>
  <si>
    <t>Dot-it Touch</t>
  </si>
  <si>
    <t>Dot-it Classic</t>
  </si>
  <si>
    <t>GADGETS FICHA</t>
  </si>
  <si>
    <t>LUNETTA</t>
  </si>
  <si>
    <t>GADGETS REDE</t>
  </si>
  <si>
    <t>LINEAR Shelf</t>
  </si>
  <si>
    <t>Cabinet LED Spot</t>
  </si>
  <si>
    <t>Mobile Camera Light Ring</t>
  </si>
  <si>
    <t>OUTDOOR MOBILE LUMINAIRES</t>
  </si>
  <si>
    <t>Linear LED Task Light IP 54</t>
  </si>
  <si>
    <t>SPYLUX</t>
  </si>
  <si>
    <t>Battery LED Spotlight Familie</t>
  </si>
  <si>
    <t>DoorLED Down</t>
  </si>
  <si>
    <t>DOORLED UPDOWN</t>
  </si>
  <si>
    <t>GADGETS SOLARES</t>
  </si>
  <si>
    <t>DoorLED Solar</t>
  </si>
  <si>
    <t>FLOODLIGHTS</t>
  </si>
  <si>
    <t>SMART+ FLOODLIGHTS</t>
  </si>
  <si>
    <t>Smart+ WIFI flood</t>
  </si>
  <si>
    <t>Smart+ Wifi Flood RGBW 50W and 100W</t>
  </si>
  <si>
    <t>Smart+ Flood + WIFI remote control bundle</t>
  </si>
  <si>
    <t>ENDURA SENSOR FLOODLIGHTS</t>
  </si>
  <si>
    <t>Endura Flood Sensor - warm light</t>
  </si>
  <si>
    <t>Endura Flood - cool light</t>
  </si>
  <si>
    <t>Floodlight Essentials Sensor</t>
  </si>
  <si>
    <t>ENDURA  FLOODLIGHTS</t>
  </si>
  <si>
    <t>ENDURA FLOOD - warm light</t>
  </si>
  <si>
    <t>ENDURA FLOOD - cool light</t>
  </si>
  <si>
    <t>Floodlight Essential</t>
  </si>
  <si>
    <t>Essentials High Power Floodlights with and w/o sensor</t>
  </si>
  <si>
    <t>Floodlight Essentials 4000K with EU plug</t>
  </si>
  <si>
    <t>WORKLIGHTS</t>
  </si>
  <si>
    <t>BATTERY WORKLIGHTS</t>
  </si>
  <si>
    <t>LED WORKLIGHT Battery</t>
  </si>
  <si>
    <t>LED WORKLIGHT Battery TUBE (Car Repair Lamp)</t>
  </si>
  <si>
    <t>WORKLIGHTS VALUE</t>
  </si>
  <si>
    <t>Worklight Value Battery Pocket</t>
  </si>
  <si>
    <t>Worklight Value Battery with R-Stand</t>
  </si>
  <si>
    <t>Worklight Value Battery Panel</t>
  </si>
  <si>
    <t>Worklight Value Battery Flex</t>
  </si>
  <si>
    <t>PORTABLE WORKLIGHTS</t>
  </si>
  <si>
    <t>LED Worklight – R-Stand Socket</t>
  </si>
  <si>
    <t>LED Worklight – S-Stand Socket</t>
  </si>
  <si>
    <t>Worklight Value R-Stand</t>
  </si>
  <si>
    <t>Worklight Value</t>
  </si>
  <si>
    <t>Worklight Value 360º</t>
  </si>
  <si>
    <t>LED Worklight Panel</t>
  </si>
  <si>
    <t>TRIPOD WORKLIGHTS</t>
  </si>
  <si>
    <t>LED Worklight Tripod Adjust- and Removable</t>
  </si>
  <si>
    <t>LED Worklight – Tripod</t>
  </si>
  <si>
    <t>Worklight Value Tripod</t>
  </si>
  <si>
    <t>INDOOR CEILING AND WALL</t>
  </si>
  <si>
    <t>SMART+ WIFI PANEL LUMINAIRES</t>
  </si>
  <si>
    <t>Smart+ Planon Frameless Sparkle</t>
  </si>
  <si>
    <t>CEILING AND WALL</t>
  </si>
  <si>
    <t>Smart+ WIFI PLANON Frameless Square</t>
  </si>
  <si>
    <t>Smart+ WIFI PLANON Frameless Rectangular</t>
  </si>
  <si>
    <t>Smart+ WIFI PLANON Frameless Round</t>
  </si>
  <si>
    <t xml:space="preserve">Smart+ Planon Frame RGB  </t>
  </si>
  <si>
    <t xml:space="preserve">Smart+ Planon Hole with RGB Backlight  </t>
  </si>
  <si>
    <t>Smart+ WIFI PLANON™ PLUS BACKLIGHT RGB + Remote Control</t>
  </si>
  <si>
    <t>Smart+ WIFI PLANON Plus Square</t>
  </si>
  <si>
    <t>SMART+ WIFI PLANON™ PLUS RECTANGULAR</t>
  </si>
  <si>
    <t>Smart+ Wifi Panel magic RGB</t>
  </si>
  <si>
    <t>PANEL LUMINAIRES</t>
  </si>
  <si>
    <t>Planon™ Frameless Square</t>
  </si>
  <si>
    <t>Planon™ Frameless Rectangular</t>
  </si>
  <si>
    <t>Planon™ Frameless Round</t>
  </si>
  <si>
    <t>Planon Plus</t>
  </si>
  <si>
    <t>Panel Essential 60x60cm</t>
  </si>
  <si>
    <t>SQUARE SMART CEILING LUMINAIRES</t>
  </si>
  <si>
    <t>SMART+ WIFI ORBIS® MAGNET TW</t>
  </si>
  <si>
    <t>SMART+ WIFI ORBIS® BACKLIGHT Square TW+RGB</t>
  </si>
  <si>
    <t>Smart+ WIFI Ceiling Orbis Stella TW+RGB</t>
  </si>
  <si>
    <t>Smart+ WIFI Ceiling Orbis Saddie TW+RGB</t>
  </si>
  <si>
    <t>Smart+ WIFI Ceiling Orbis Clean TW</t>
  </si>
  <si>
    <t>ROUND SMART + CEILING LUMINAIRES</t>
  </si>
  <si>
    <t xml:space="preserve">Smart+ ORBIS Ultra Slim with RGB Backlight  </t>
  </si>
  <si>
    <t>Smart+ ORBIS Claria TW + RGB</t>
  </si>
  <si>
    <t>Smart+ ORBIS Kurt TW</t>
  </si>
  <si>
    <t xml:space="preserve">Smart+ ORBIS Wood TW </t>
  </si>
  <si>
    <t>Smart+ WIFI Ceiling Orbis Sparkle TW</t>
  </si>
  <si>
    <t>Smart+ WIFI Ceiling Orbis Gavin TW</t>
  </si>
  <si>
    <t>Smart+ WIFI Ceiling Orbis Lisa TW</t>
  </si>
  <si>
    <t>Smart+ WIFI Ceiling Orbis Jaden TW</t>
  </si>
  <si>
    <t>Smart+ WIFI Orbis Backlight TW+RGB</t>
  </si>
  <si>
    <t>Smart+ WIFI Ceiling Orbis Circle TW+RGB</t>
  </si>
  <si>
    <t>Smart+ WIFI Ceiling Orbis Stea TW+RGB</t>
  </si>
  <si>
    <t>Smart+ WIFI Ceiling Orbis Rumor TW+RGB</t>
  </si>
  <si>
    <t>Smart+ WIFI ORBIS Ceiling Donut</t>
  </si>
  <si>
    <t>Smart+ WIFI ORBIS Ceiling Kite</t>
  </si>
  <si>
    <t>Smart+ WIFI ORBIS Ceiling Moon</t>
  </si>
  <si>
    <t>Smart+ WIFI ORBIS Ceiling Plate</t>
  </si>
  <si>
    <t>Smart+ WIFI ORBIS Ceiling Cromo</t>
  </si>
  <si>
    <t>Smart+ WIFI ORBIS Ceiling Frame</t>
  </si>
  <si>
    <t>Smart+ WIFI ORBIS Ceiling Eye</t>
  </si>
  <si>
    <t>Smart+ WIFI ORBIS Ceiling Cylinder</t>
  </si>
  <si>
    <t>Smart+ WIFI ORBIS Ceiling Spiral</t>
  </si>
  <si>
    <t>Smart+ Wifi Ceiling Zest magic RGB White and ring black</t>
  </si>
  <si>
    <t>Smart+ Wifi Ceiling Zest magic RGB White and ring white</t>
  </si>
  <si>
    <t>SMART+ CEILING FANS</t>
  </si>
  <si>
    <t>Smart+ WIFI Ceiling Fan &amp; Light</t>
  </si>
  <si>
    <t>SENSOR CEILING LUMINAIRES</t>
  </si>
  <si>
    <t xml:space="preserve">ORBIS® Frame Click Sensor </t>
  </si>
  <si>
    <t>ORBIS® Plate Click Sensor</t>
  </si>
  <si>
    <t>ORBIS® Square Click Sensor</t>
  </si>
  <si>
    <t>CEILING LUMINAIRES</t>
  </si>
  <si>
    <t>INDOOR CEILING</t>
  </si>
  <si>
    <t>ORBIS Ultra Slim 3 Step Click-Dim</t>
  </si>
  <si>
    <t>LED Click White</t>
  </si>
  <si>
    <t>LED Color+White</t>
  </si>
  <si>
    <t>Orbis Sparkle</t>
  </si>
  <si>
    <t xml:space="preserve">Orbis CCT/DIM and ORBIS PURE </t>
  </si>
  <si>
    <t>CEILING PORTFOLIO</t>
  </si>
  <si>
    <t>Ceiling Moia Series</t>
  </si>
  <si>
    <t>Ceiling Orbis Madrid</t>
  </si>
  <si>
    <t>Ceiling Orbis Paris</t>
  </si>
  <si>
    <t>Ceiling Orbis Milan</t>
  </si>
  <si>
    <t>Ceiling Orbis Berlin</t>
  </si>
  <si>
    <t>Ceiling Orbis Dublin</t>
  </si>
  <si>
    <t>Ceiling Orbis London</t>
  </si>
  <si>
    <t>Ceiling Spiral series round ON OFF </t>
  </si>
  <si>
    <t>Ceiling Spiral series oval ON OFF</t>
  </si>
  <si>
    <t>Ceiling Spiral main and side light series ON OFF</t>
  </si>
  <si>
    <t>Ceiling Spiral layers series ON OFF</t>
  </si>
  <si>
    <t>ORBIS® SPARKLEDOT CLICK SENSOR</t>
  </si>
  <si>
    <t>Ceiling Essential</t>
  </si>
  <si>
    <t>Ceiling Essential E27</t>
  </si>
  <si>
    <t>FLEX AND ENTERTAINMENT PORTFOLIO</t>
  </si>
  <si>
    <t>Color Sensor Flex</t>
  </si>
  <si>
    <t>LED STRIPS</t>
  </si>
  <si>
    <t>Non Smart+ Flex Range</t>
  </si>
  <si>
    <t>Flexrange Extension</t>
  </si>
  <si>
    <t xml:space="preserve">Smart+ WIFI Outdoor Flex </t>
  </si>
  <si>
    <t>COB Strips White</t>
  </si>
  <si>
    <t>COB Strips White Outdoor IP44</t>
  </si>
  <si>
    <t>SMART+ INDOOR LED STRIPS</t>
  </si>
  <si>
    <t>Smart+ Flex Strips</t>
  </si>
  <si>
    <t>SMART+ WiFi Flex Multicolor</t>
  </si>
  <si>
    <t>SMART+ Bluetooth Flex Multicolor</t>
  </si>
  <si>
    <t>SMART+ BT FLEX 3M</t>
  </si>
  <si>
    <t>SMART+ BT FLEX 5M</t>
  </si>
  <si>
    <t>SMART+ ZigBee Flex Multicolor</t>
  </si>
  <si>
    <t xml:space="preserve">INDOOR LED STRIPS </t>
  </si>
  <si>
    <t>Flex TV Mood Light</t>
  </si>
  <si>
    <t>SMART+ OUTDOOR LED STRIPS</t>
  </si>
  <si>
    <t>Smart+ WiFi Neon Flex RGBTW</t>
  </si>
  <si>
    <t xml:space="preserve">Smart+ Bluetooth Flex Outdoor Multicolor </t>
  </si>
  <si>
    <t>Smart+ ZigBee Outdoor Flex Multicolor</t>
  </si>
  <si>
    <t>OUTDOOR LED STRIPS</t>
  </si>
  <si>
    <t>Flex Strips</t>
  </si>
  <si>
    <t>Neon Flex Digital RGB</t>
  </si>
  <si>
    <t>Neon Flex White</t>
  </si>
  <si>
    <t>OFFICE, TABLE, UNDERCABINET, FUNCTIONAL</t>
  </si>
  <si>
    <t>UNDERCABINET LUMINAIRES</t>
  </si>
  <si>
    <t>Smart+ Undercabinet</t>
  </si>
  <si>
    <t>Smart+ WIFI Undercabinet Round</t>
  </si>
  <si>
    <t>FUNCTIONAL</t>
  </si>
  <si>
    <t>Smart+ WIFI Cabinet LED Slim TW</t>
  </si>
  <si>
    <t>Smart+ WIFI Cabinet LED Panel TW</t>
  </si>
  <si>
    <t>Smart+ Wifi Undercabinet LED Slim Sensor Select</t>
  </si>
  <si>
    <t>Undercabinet</t>
  </si>
  <si>
    <t>Linear LED Flat Socket USB</t>
  </si>
  <si>
    <t>Undercabinet LED Spot Puck</t>
  </si>
  <si>
    <t>Undercabinet LED Spot Slim Magnet</t>
  </si>
  <si>
    <t>Linear LED Flat Sensor CCT Click</t>
  </si>
  <si>
    <t>Linear LED Swivel Sensor</t>
  </si>
  <si>
    <t>Linear LED Flip Sensor</t>
  </si>
  <si>
    <t>Cabinet LED Slim</t>
  </si>
  <si>
    <t>Cabinet LED Corner</t>
  </si>
  <si>
    <t>Cabinet LED Panel</t>
  </si>
  <si>
    <t>Linear LED Slim (RGBW)</t>
  </si>
  <si>
    <t>Linear LED Turn</t>
  </si>
  <si>
    <t>Linear LED Flat</t>
  </si>
  <si>
    <t>Office Luminaires</t>
  </si>
  <si>
    <t>Office Line</t>
  </si>
  <si>
    <t>NOVIDADE DECEMBER 15th 2023</t>
  </si>
  <si>
    <t>Linear Light Wrap</t>
  </si>
  <si>
    <t>LED Office Line</t>
  </si>
  <si>
    <t>Functional Luminaires</t>
  </si>
  <si>
    <t>LED Batten Sensor</t>
  </si>
  <si>
    <t>LED Value Batten</t>
  </si>
  <si>
    <t>LED Switch Batten</t>
  </si>
  <si>
    <t>LED Power Batten</t>
  </si>
  <si>
    <t>Office Luminaires SUN@Home</t>
  </si>
  <si>
    <t>Workspace Family</t>
  </si>
  <si>
    <t>LEDVANCE Sun@Home</t>
  </si>
  <si>
    <t>Office Light Family</t>
  </si>
  <si>
    <t>Table Luminaires</t>
  </si>
  <si>
    <t>Panan Fold DIM USB</t>
  </si>
  <si>
    <t>Panan Clip Square DIM USB</t>
  </si>
  <si>
    <t>Panan Clip</t>
  </si>
  <si>
    <t>PANAN® Clip White</t>
  </si>
  <si>
    <t xml:space="preserve">Panan® Disc Single </t>
  </si>
  <si>
    <t>Panan® Alu CCT</t>
  </si>
  <si>
    <t>OUTDOOR</t>
  </si>
  <si>
    <t>Smart+ Table Luminaires</t>
  </si>
  <si>
    <t>Smart+ Outdoor Table Luminaires</t>
  </si>
  <si>
    <t>Smart+ WIFI Outdoor Table Frame Maxi</t>
  </si>
  <si>
    <t>=HIPERLIGAÇÃO("https://ledvance.com/pt/product-datasheet/232992/210586";"Ficha de Produto")</t>
  </si>
  <si>
    <t>Smart+ WIFI Table Frame Powerbank</t>
  </si>
  <si>
    <t>Smart+ Outdoor Luminaires</t>
  </si>
  <si>
    <t>Smart+ Outdoor Wall Luminaires</t>
  </si>
  <si>
    <t>Smart+ WIFI Rotary UpDown RGBW</t>
  </si>
  <si>
    <t>Outdoor Style</t>
  </si>
  <si>
    <t>Smart+ Outdoor Eclipse</t>
  </si>
  <si>
    <t>Smart+ WiFi Outdoor Trunk Square</t>
  </si>
  <si>
    <t>Smart+ WiFi Outdoor Swing Round</t>
  </si>
  <si>
    <t>Smart+ WIFI Beam Adjust Wall</t>
  </si>
  <si>
    <t>Smart+ WIFI Brick RGBW</t>
  </si>
  <si>
    <t>Smart+ WIFI Curve</t>
  </si>
  <si>
    <t>SMART+ WIFI PIPE RGBW</t>
  </si>
  <si>
    <t>SMART+ WIFI CASCADE RGBW</t>
  </si>
  <si>
    <t>SMART+ WIFI UPDOWN FLARE RGBW</t>
  </si>
  <si>
    <t>SMART+ WIFI CUBE MULTICOLOR</t>
  </si>
  <si>
    <t xml:space="preserve">SMART+ WIFI LANTERN FLARE </t>
  </si>
  <si>
    <t>SMART+ Bluetooth Lantern Modern</t>
  </si>
  <si>
    <t>SMART+ MODERN LANTERN Bollard 50cm Multicolor</t>
  </si>
  <si>
    <t>SMART+ MODERN LANTERN Bollard 90cm Multicolor</t>
  </si>
  <si>
    <t>Endura Style Luminaires Wall</t>
  </si>
  <si>
    <t>Endura Led Integrado</t>
  </si>
  <si>
    <t>Outdoor Endura Style Dallas</t>
  </si>
  <si>
    <t>Outdoor Endura Style Rondo</t>
  </si>
  <si>
    <t>NOVIDADE JANUARY 1st 2024</t>
  </si>
  <si>
    <t>Outdoor Garden Table Luminaire</t>
  </si>
  <si>
    <t>Endura Style Beam Adj Wall</t>
  </si>
  <si>
    <t>Endura Style Entrance Number</t>
  </si>
  <si>
    <t>Endura Style IP65 Wall</t>
  </si>
  <si>
    <t>OUTDOOR ENDURA STYLE IVO WALL IP65 DG</t>
  </si>
  <si>
    <t>OUTDOOR ENDURA STYLE ILJA WALL IP65 DG</t>
  </si>
  <si>
    <t>OUTDOOR ENDURA STYLE ILAY WALL IP65 DG</t>
  </si>
  <si>
    <t>OUTDOOR ENDURA STYLE IDRI WALL IP65 DG</t>
  </si>
  <si>
    <t>OUTDOOR ENDURA STYLE IDAR WALL IP65 DG</t>
  </si>
  <si>
    <t>OUTDOOR ENDURA STYLE IHSAN WALL IP65 DG</t>
  </si>
  <si>
    <t>OUTDOOR ENDURA STYLE IVAN WALL IP65 DG</t>
  </si>
  <si>
    <t>Endura Style Disc</t>
  </si>
  <si>
    <t>Endura Style Bat</t>
  </si>
  <si>
    <t>Endura® Style Crystal</t>
  </si>
  <si>
    <t>Endura® STYLE PYRAMID</t>
  </si>
  <si>
    <t>Endura® STYLE Lantern Mode</t>
  </si>
  <si>
    <t>Endura® STYLE Bow</t>
  </si>
  <si>
    <t>Endura Style UpDown Edge</t>
  </si>
  <si>
    <t>Endura Style Plate</t>
  </si>
  <si>
    <t>Endura Style UpDown Flex</t>
  </si>
  <si>
    <t>Endura Style UpDown Deco</t>
  </si>
  <si>
    <t>Endura Style UpDown Puck</t>
  </si>
  <si>
    <t>Endura Style UpDown</t>
  </si>
  <si>
    <t>Endura Style Wall Wide Sensor</t>
  </si>
  <si>
    <t>Endura Style Wall</t>
  </si>
  <si>
    <t>Endura Style Mini Spot</t>
  </si>
  <si>
    <t>Endura Style Midi Spot</t>
  </si>
  <si>
    <t>Endura Style Spot Round</t>
  </si>
  <si>
    <t>Endura Style Wide</t>
  </si>
  <si>
    <t>Endura Style Ring / Square</t>
  </si>
  <si>
    <t>Endura Style Shield Round / Shield Square</t>
  </si>
  <si>
    <t>Endura Style Luminaires Product Families</t>
  </si>
  <si>
    <t>ENDURA® STYLE FLARE</t>
  </si>
  <si>
    <t>ENDURA® STYLE - Ellipse</t>
  </si>
  <si>
    <t>ENDURA® STYLE CYLINDER</t>
  </si>
  <si>
    <t>Endura E27</t>
  </si>
  <si>
    <t>Endura Classic IP65</t>
  </si>
  <si>
    <t>ENDURA CLASSIC SENSOR FIGO   </t>
  </si>
  <si>
    <t>ENDURA CLASSIC SENSOR EBRO</t>
  </si>
  <si>
    <t xml:space="preserve">Outdoor ENDURA CLASSIC Bollard	</t>
  </si>
  <si>
    <t>Endura Classic Tubular Wall</t>
  </si>
  <si>
    <t>Endura Classic Lantern Cylinder</t>
  </si>
  <si>
    <t>Endura Classic Lantern Square</t>
  </si>
  <si>
    <t>ENDURA® CLASSIC PIPE AMBER E27</t>
  </si>
  <si>
    <t>ENDURA® CLASSIC CASCADE AMBER E27</t>
  </si>
  <si>
    <t>ENDURA® CLASSIC CASCADE CLEAR E27</t>
  </si>
  <si>
    <t>ENDURA® CLASSIC FRAME E27</t>
  </si>
  <si>
    <t>ENDURA® CLASSIC CALICE</t>
  </si>
  <si>
    <t>ENDURA® CLASSIC TRADITION ALU</t>
  </si>
  <si>
    <t>ENDURA® CLASSIC POST</t>
  </si>
  <si>
    <t>Endura GU10</t>
  </si>
  <si>
    <t>Endura Classic Square</t>
  </si>
  <si>
    <t>Endura Classic Cube Adjust Wall GU10</t>
  </si>
  <si>
    <t>Endura Classic Wall Rotary UpDown GU10</t>
  </si>
  <si>
    <t>Endura Classic Cannon Wall GU10</t>
  </si>
  <si>
    <t>Endura Classic Beam Wall GU10</t>
  </si>
  <si>
    <t>Endura GX53</t>
  </si>
  <si>
    <t>Endura Classic Spot Square Wall GX53</t>
  </si>
  <si>
    <t>Outdoor Hybrid 12V System</t>
  </si>
  <si>
    <t>Accessories</t>
  </si>
  <si>
    <t>Garden Spikes</t>
  </si>
  <si>
    <t>BOLLARDS SST</t>
  </si>
  <si>
    <t>BOLLARDS BK</t>
  </si>
  <si>
    <t>SMART Outdoor Smart+ BT Solar</t>
  </si>
  <si>
    <t>Smart+ Outdoor Solar Table Luminaires</t>
  </si>
  <si>
    <t>Smart+ Outdoor Bluetooth Tableframe Solar</t>
  </si>
  <si>
    <t>Smart+ Outdoor Bluetooth Table Lantern Solar</t>
  </si>
  <si>
    <t>Outdoor Solar</t>
  </si>
  <si>
    <t>Style Wall</t>
  </si>
  <si>
    <t>ENDURA SOLAR BRICKLUME WIDE SEN DG LEDV</t>
  </si>
  <si>
    <t>ENDURA SOLAR BRICKLUME WIDE SEN WT LEDV</t>
  </si>
  <si>
    <t>ENDURA SOLAR BRICKLUME SEN DG LEDV</t>
  </si>
  <si>
    <t>ENDURA SOLAR BRICKLUME SEN WT LEDV</t>
  </si>
  <si>
    <t>Endura Style Solar Glow</t>
  </si>
  <si>
    <t xml:space="preserve">Endura Solar Oval Wall </t>
  </si>
  <si>
    <t>Endura Style Solar Lunar</t>
  </si>
  <si>
    <t>Endura Style Solar Tossa</t>
  </si>
  <si>
    <t>Endura Style Solar Sensor Wall Circle</t>
  </si>
  <si>
    <t>ENDURA GARDEN SOLAR SPOT WALL&amp;SPIKE</t>
  </si>
  <si>
    <t>Outdoor Luminaires Product Families</t>
  </si>
  <si>
    <t>ENDURA® STYLE SOLAR BOUQUET</t>
  </si>
  <si>
    <t>ENDURA® STYLE – SOLAR Double Circle</t>
  </si>
  <si>
    <t>Solar Floodlights</t>
  </si>
  <si>
    <t xml:space="preserve">ENDURA Flood Solar Butterfly </t>
  </si>
  <si>
    <t>ENDURA Flood Solar Sensor</t>
  </si>
  <si>
    <t>SOLAR FLOODLIGHTS</t>
  </si>
  <si>
    <t>Endura Flood Solar</t>
  </si>
  <si>
    <t>Smart+ Garden Luminaires</t>
  </si>
  <si>
    <t>SMART+ WIFI String Light IP44 RGBW</t>
  </si>
  <si>
    <t>Smart+ WIFI Gardenpole</t>
  </si>
  <si>
    <t>Smart+ WIFI Garden Spot Wall &amp; Spike</t>
  </si>
  <si>
    <t>Smart+ WIFI Garden Dot</t>
  </si>
  <si>
    <t>Smart+ ZigBee Gardenpole Multicolor</t>
  </si>
  <si>
    <t xml:space="preserve">SMART+ ZB GARDENPOLE RGBW </t>
  </si>
  <si>
    <t>Endura Garden Luminaires</t>
  </si>
  <si>
    <t>Endura Classic Gardenspot Spike</t>
  </si>
  <si>
    <t>Endura Garden Dot</t>
  </si>
  <si>
    <t>Endura Garden Flood Spike</t>
  </si>
  <si>
    <t>VINTAGE</t>
  </si>
  <si>
    <t>VINTAGE EDITION 1906® PIPE COLLECTION</t>
  </si>
  <si>
    <t>Indoor Pendulum</t>
  </si>
  <si>
    <t>Vintage Pendulum</t>
  </si>
  <si>
    <t>Vintage Canopy</t>
  </si>
  <si>
    <t>SPOTS &amp; DOWNLIGHTS</t>
  </si>
  <si>
    <t>SMART+ SPOTS &amp; DOWNLIGHTS</t>
  </si>
  <si>
    <t>Smart+ Downlights</t>
  </si>
  <si>
    <t xml:space="preserve">SMART+ WIFI ORBIS® DOWNLIGHT SURFACE TW </t>
  </si>
  <si>
    <t>SMART+ WIFI DOWNLIGHT SLIM TW</t>
  </si>
  <si>
    <t>SMART+ WIFI SPOT TW RGB</t>
  </si>
  <si>
    <t>Spots</t>
  </si>
  <si>
    <t>ORBIS Surface Round/Square Spot</t>
  </si>
  <si>
    <t>Downlights</t>
  </si>
  <si>
    <t>LED DOWNLIGHT SLIM</t>
  </si>
  <si>
    <t>LED DOWNLIGHT SLIM 3-Pack</t>
  </si>
  <si>
    <t>LED RECESS GU10 - 3 PACK</t>
  </si>
  <si>
    <t>LED RECESS GU10 - 5 PACK</t>
  </si>
  <si>
    <t>LED RECESS GU10 Twist Lock IP20</t>
  </si>
  <si>
    <t>SPOT SET ADJ 3x5W SimpleDIM</t>
  </si>
  <si>
    <t>LED DOWNLIGHT TWIST PRO</t>
  </si>
  <si>
    <t>Essentials Spot and Downlights</t>
  </si>
  <si>
    <t>Essentials Spotlights GU10</t>
  </si>
  <si>
    <t>SECURITY: CAMERA &amp; SENSOR</t>
  </si>
  <si>
    <t>Camera Lum</t>
  </si>
  <si>
    <t>Smart+ and Camera Luminaires</t>
  </si>
  <si>
    <t>Smart+ Wifi Cloud Camera Control</t>
  </si>
  <si>
    <t>SECURITY AND CAMERA</t>
  </si>
  <si>
    <t>Smart+ Wifi Globe E27 Camera Control Track &amp; Trace</t>
  </si>
  <si>
    <t>SMART+ Wifi Multispot Camera</t>
  </si>
  <si>
    <t>SMART+ Wifi Circle Wall &amp; Ceiling Camera Control</t>
  </si>
  <si>
    <t>SMART+ Wifi Entrance Camera Control</t>
  </si>
  <si>
    <t>Smart+ Wifi Wall Round Camera</t>
  </si>
  <si>
    <t>Smart+ Wifi Wall Camera Control</t>
  </si>
  <si>
    <t>Smart+ Wifi Flood Camera Control</t>
  </si>
  <si>
    <t>Sensor Endura Pro Lum</t>
  </si>
  <si>
    <t>Outdoor Security</t>
  </si>
  <si>
    <t>Stand-alone sensors</t>
  </si>
  <si>
    <t>Sensor Wall</t>
  </si>
  <si>
    <t>Sensor Wall 360º</t>
  </si>
  <si>
    <t>Outdoor Flood</t>
  </si>
  <si>
    <t>Endura PRO Flood Sensor</t>
  </si>
  <si>
    <t>Endura PRO Spot Sensor</t>
  </si>
  <si>
    <t>Endura PRO Updown Sensor</t>
  </si>
  <si>
    <t>SPOT SERIES</t>
  </si>
  <si>
    <t>LED SPOT G9 Series</t>
  </si>
  <si>
    <t>SPOTLIGHTS</t>
  </si>
  <si>
    <t>LED SPOT GU10 Series</t>
  </si>
  <si>
    <t>Spot series portfolio</t>
  </si>
  <si>
    <t>Led Spot Pear White</t>
  </si>
  <si>
    <t>Led Spot Pear Black</t>
  </si>
  <si>
    <t>Led Spot Pear Grey</t>
  </si>
  <si>
    <t>Led Spot Pear Octagon</t>
  </si>
  <si>
    <t>LED SPOT OCTAGON 1X3.4W 927 GU10 BK</t>
  </si>
  <si>
    <t>LED SPOT OCTAGON 2X3.4W 927 GU10 BK</t>
  </si>
  <si>
    <t>LED SPOT OCTAGON 3X3.4W 927 GU10 BK</t>
  </si>
  <si>
    <t>LED SPOT OCTAGON PL 4X3.4W927GU10BK</t>
  </si>
  <si>
    <t>LED SPOT OCTAGON 4X3.4W 927 GU10 BK</t>
  </si>
  <si>
    <t>LED SPOT OCTAGON 1X3.4W 927 GU10 WT</t>
  </si>
  <si>
    <t>LED SPOT OCTAGON 2X3.4W 927 GU10 WT</t>
  </si>
  <si>
    <t>LED SPOT OCTAGON 3X3.4W 927 GU10 WT</t>
  </si>
  <si>
    <t>LED SPOT OCTAGON PL 4X3.4W927GU10WT</t>
  </si>
  <si>
    <t>LED SPOT OCTAGON 4X3.4W 927 GU10 WT</t>
  </si>
  <si>
    <t>SUN&amp;HOME</t>
  </si>
  <si>
    <t>Mood Light Gen2 TW</t>
  </si>
  <si>
    <t>Orbis Circular</t>
  </si>
  <si>
    <t xml:space="preserve">Bathroom </t>
  </si>
  <si>
    <t>Panel Family</t>
  </si>
  <si>
    <t>Downlight Family</t>
  </si>
  <si>
    <t>Wall &amp; Ceiling Family</t>
  </si>
  <si>
    <t>Mood Light Family</t>
  </si>
  <si>
    <t>Lamp family</t>
  </si>
  <si>
    <t>TRACKLIGHTS</t>
  </si>
  <si>
    <t>Smart+ Tracklight Spots</t>
  </si>
  <si>
    <t xml:space="preserve">Smart+ Tracklight Spot Circle </t>
  </si>
  <si>
    <t xml:space="preserve">Smart+ Tracklight Spot Osaka </t>
  </si>
  <si>
    <t>Tracklight Spots &amp; pendant</t>
  </si>
  <si>
    <t xml:space="preserve">Tracklight Spot Mini Cylinder             </t>
  </si>
  <si>
    <t xml:space="preserve">Tracklight Spot Cylinder </t>
  </si>
  <si>
    <t xml:space="preserve">Tracklight Spot Cylinder Gold </t>
  </si>
  <si>
    <t xml:space="preserve">Tracklight Pendant Cylinder </t>
  </si>
  <si>
    <t>Tracklight Accessories</t>
  </si>
  <si>
    <t>SMART+ AND COMPONENTS</t>
  </si>
  <si>
    <t>Ledvance Smart+ Components Wifi</t>
  </si>
  <si>
    <t>SMART+ PLUG INDOOR /  TYPE</t>
  </si>
  <si>
    <t>COMPONENTS</t>
  </si>
  <si>
    <t>SMART+ OUTDOOR TERMINAL</t>
  </si>
  <si>
    <t>SMART+ WIFI REMOTE CONTROL RGBW</t>
  </si>
  <si>
    <t>SMART+ MOTION SENSOR</t>
  </si>
  <si>
    <t>SMART+ CONTACT SENSOR</t>
  </si>
  <si>
    <t>Ledvance Smart+ Components Bluetooth</t>
  </si>
  <si>
    <t>Ledvance Smart+ Components Zigbee</t>
  </si>
  <si>
    <t>Sensores</t>
  </si>
  <si>
    <t>Sensores para montagem em teto</t>
  </si>
  <si>
    <t>SENSOR CEILING FLUSH (para encastrar em teto)</t>
  </si>
  <si>
    <t>OUTROS</t>
  </si>
  <si>
    <t>SENSOR PARA TETO</t>
  </si>
  <si>
    <t>PLANT CENTRIC LIGHTING</t>
  </si>
  <si>
    <t>INDOOR GARDEN GROW ILLUMINATION</t>
  </si>
  <si>
    <t>Lâmpadas Smart+</t>
  </si>
  <si>
    <t>SMART+ WIFI</t>
  </si>
  <si>
    <t>SMART+ WIFI LAMPS AND COMPONENTS</t>
  </si>
  <si>
    <t>SMART+ WIFI CLASSIC LAMPS – SINGLE PACKS</t>
  </si>
  <si>
    <t>SMART+ WiFi Classic Dimmable</t>
  </si>
  <si>
    <t>SMART+ WiFi Classic 100 14W/2 700K E27</t>
  </si>
  <si>
    <t>WIFI</t>
  </si>
  <si>
    <t>2700K</t>
  </si>
  <si>
    <t>SMART+ WiFi Classic 75 9.5W/2 700K E27</t>
  </si>
  <si>
    <t>SMART+ WiFi Classic 60 9W/2 700K E27</t>
  </si>
  <si>
    <t>SMART+ WiFi Filament Classic Dimmable</t>
  </si>
  <si>
    <t>SMART+ WiFi Classic A GLFR 100 11/2 700K E27</t>
  </si>
  <si>
    <t>SMART+ WiFi Classic A GLFR 75 7.5W/2 700K E27</t>
  </si>
  <si>
    <t>SMART+ WiFi Classic A CLEAR 60 6W/2 700K E27</t>
  </si>
  <si>
    <t>SMART+ WiFi CL A Gold DIM 53  6W/824 E27</t>
  </si>
  <si>
    <t>2400K</t>
  </si>
  <si>
    <t>SMART+ WiFi Classic A Smoke 44 6W/2 500K E27</t>
  </si>
  <si>
    <t>2500K</t>
  </si>
  <si>
    <t>SMART+ WiFi Classic A GLFR 60 6W/2 700K B22d</t>
  </si>
  <si>
    <t>SMART+ WiFi Classic 100 14W/2 700…6 500K E27</t>
  </si>
  <si>
    <t>2700…6500K</t>
  </si>
  <si>
    <t>SMART+ WiFi Classic 75 9.5W/2 700…6 500K E27</t>
  </si>
  <si>
    <t>SMART+ WiFi Classic 60 9W/2 700…6 500K E27</t>
  </si>
  <si>
    <t>SMART+ WiFi CL A GL FR TW 60  6W/827 E27</t>
  </si>
  <si>
    <t>SMART+ WiFi Classic 60 9W/2 700…6 500K B22d</t>
  </si>
  <si>
    <t>SMART+ WiFi CL A Gold TW 40 dim 6W/822 E27</t>
  </si>
  <si>
    <t>2200…6500K</t>
  </si>
  <si>
    <t>SMART+ WiFi Classic Multicolour</t>
  </si>
  <si>
    <t>SMART+ WiFi Filament Classic Multicolour</t>
  </si>
  <si>
    <t>SMART+ WiFi Classic A RGBW 30 4.5W/2 700K E27</t>
  </si>
  <si>
    <t>SMART+ WiFi CL A FIL RGBTW 40 dim 4,8W/827 E27</t>
  </si>
  <si>
    <t>2700K…6500K</t>
  </si>
  <si>
    <t>SMART+ WIFI CANDLE LAMPS – SINGLE PACKS</t>
  </si>
  <si>
    <t>SMART+ WiFi Candle Dimmable</t>
  </si>
  <si>
    <t>SMART+ WiFi Candle 40 5W/2 700K E14</t>
  </si>
  <si>
    <t>SMART+ WiFi Filament Candle Dimmable</t>
  </si>
  <si>
    <t>SMART+ WiFi Candle Clear 40 4W/2 700K E14</t>
  </si>
  <si>
    <t>SMART+ WiFi Candle Tunable White</t>
  </si>
  <si>
    <t>SMART+ WiFi Candle 40 5W/2 700…6 500K E14</t>
  </si>
  <si>
    <t>SMART+ WiFi Candle Multicolour</t>
  </si>
  <si>
    <t>SMART+ WIFI MINI-GLOBE LAMPS – SINGLE PACKS</t>
  </si>
  <si>
    <t>SMART+ WiFi Mini Bulb Dimmable</t>
  </si>
  <si>
    <t>SMART+ WiFi Mini bulb 40 5W/2 700K E14</t>
  </si>
  <si>
    <t>SMART+ WiFi Filament Mini Bulb Dimmable</t>
  </si>
  <si>
    <t>SMART+ WiFi Mini bulb Clear 40 4W/2 700K E14</t>
  </si>
  <si>
    <t>SMART+ WiFi Mini bulb Clear 40 4W/2 700K E27</t>
  </si>
  <si>
    <t>SMART+ WiFi Mini Bulb Tunable White</t>
  </si>
  <si>
    <t>SMART+ WiFi Mini bulb 40 5W/2 700…6 500K E14</t>
  </si>
  <si>
    <t>SMART+ WiFi Mini Bulb Multicolour</t>
  </si>
  <si>
    <t>SMART+ WIFI FILAMENT LAMPS WITH EDISON BULB</t>
  </si>
  <si>
    <t>SMART+ WiFi Filament Edison Dimmable</t>
  </si>
  <si>
    <t>SMART+ WiFi CL Edison Clear 60 6W/2 700K E27</t>
  </si>
  <si>
    <t>SMART+ WiFi CL Edison Smoke 44 6W/2 500K E27</t>
  </si>
  <si>
    <t>SMART+ WiFi CL Edison Gold DIM 53  6W/824 E27</t>
  </si>
  <si>
    <t>SMART+ WiFi Filament Edison Tunable White</t>
  </si>
  <si>
    <t>SMART+ WiFi CL Edison FIL TW 60 dim 8W/827 E27</t>
  </si>
  <si>
    <t>SMART+ WiFi CL Edison Gold TW 50 dim 8W/822 E27</t>
  </si>
  <si>
    <t>2200…5000K</t>
  </si>
  <si>
    <t>SMART+ WiFi CL Edison FIL RGBTW 40 dim 4,8W/827 E27</t>
  </si>
  <si>
    <t>SMART+ WiFi CL Edison RGBW 30 4.5W/2 700K E27</t>
  </si>
  <si>
    <t>SMART+ WIFI LAMPS WITH GLOBE BULB</t>
  </si>
  <si>
    <t>SMART+ WiFi Filament Globe Dimmable</t>
  </si>
  <si>
    <t>SMART+ WiFi Globe125 Clear 60 6W/2 700K E27</t>
  </si>
  <si>
    <t>SMART+ WiFi Globe125 Gold 53 6W/2 400K E27</t>
  </si>
  <si>
    <t>SMART+ WiFi Globe125 Smoke 44 6W/2 500K E27</t>
  </si>
  <si>
    <t>SMART+ WiFi Globe200 Smoke 42 6W/2 500K E27</t>
  </si>
  <si>
    <t>SMART+ WIFI Globe Tunable White</t>
  </si>
  <si>
    <t>SMART+ WiFi CL Globe80 FIL TW 60 dim 8W/827 E27</t>
  </si>
  <si>
    <t>SMART+ WiFi CL Globe80 Gold TW 50 dim 8W/822 E27</t>
  </si>
  <si>
    <t>SMART+ WiFi Globe 95 100 14W/2 700...6 500K E27</t>
  </si>
  <si>
    <t>SMART+ WiFi CL Globe95 FIL TW 60 dim 8W/827 E27</t>
  </si>
  <si>
    <t>SMART+ WiFi CL Globe95 Gold TW 50 dim 8W/822 E27</t>
  </si>
  <si>
    <t>SMART+ WiFi CL Globe125 FIL TW 60 dim 8W/827 E27</t>
  </si>
  <si>
    <t>SMART+ WiFi CL Globe125 Gold TW 50 dim 8W/822 E27</t>
  </si>
  <si>
    <t>SMART+ WiFi Globe Multicolour</t>
  </si>
  <si>
    <t>SMART+ WiFi Globe125 RGBW 30 4.5W/2 700K E27</t>
  </si>
  <si>
    <t>SMART+ WiFi CL Globe125 FIL RGBTW 40 dim 4,8W/827 E27</t>
  </si>
  <si>
    <t>SMART+ WIFI REFLECTOR LAMPS – SINGLE PACKS</t>
  </si>
  <si>
    <t>SMART+ WiFi SPOT GU10 Dimmable</t>
  </si>
  <si>
    <t>SMART+ WiFi Spot 50 45° 5W/2 700K GU10</t>
  </si>
  <si>
    <t>SMART+ WiFi SPOT GU10 Tunable White</t>
  </si>
  <si>
    <t>SMART+ WiFi Spot 50 45° 5W/2 700…6 500K GU10</t>
  </si>
  <si>
    <t>SMART+ WiFi SPOT GU10 Multicolour</t>
  </si>
  <si>
    <t>SMART+ WIFI SPOT Concentra Tunable White</t>
  </si>
  <si>
    <t>SMART+ WIFI Spot 40 45° 3W/2 700…6 500K E14</t>
  </si>
  <si>
    <t>SMART+ WIFI Spot 60 45° 5W/2 700…6 500K E27</t>
  </si>
  <si>
    <t>SMART+ WIFI SPOT Concentra Multicolor</t>
  </si>
  <si>
    <t>SMART+ WiFi Spot 40 45° 3W/2 700…6 500K E14</t>
  </si>
  <si>
    <t>Single pack Tube</t>
  </si>
  <si>
    <t>SMART+ WiFi Tube T8 frosted TW 18 yes 9W/865 G13</t>
  </si>
  <si>
    <t>SMART+ WiFi Tube T8 frosted TW 36 yes 18W/865 G13</t>
  </si>
  <si>
    <t>SMART+ WiFi Tube T8 frosted TW 48 yes 24W/865 G13</t>
  </si>
  <si>
    <t>SMART+ WIFI CLASSIC LAMPS – DOUBLE PACKS</t>
  </si>
  <si>
    <t>SMART+ WiFi CL A FIL RGBW 30 dim 4,5W/827 E27</t>
  </si>
  <si>
    <t>SMART+ WIFI CLASSIC LAMPS – TRIPLE PACKS</t>
  </si>
  <si>
    <t>SMART+ WiFi Classic Tunable White</t>
  </si>
  <si>
    <t>SMART+ WIFI CANDLE LAMPS – TRIPLE PACKS</t>
  </si>
  <si>
    <t>SMART+ WIFI MINI-GLOBE LAMPS – TRIPLE PACKS</t>
  </si>
  <si>
    <t>SMART+ WIFI REFLECTOR LAMPS – TRIPLE PACKS</t>
  </si>
  <si>
    <t>Single pack PIN G9</t>
  </si>
  <si>
    <t>SMART+ WiFi SPECIAL PIN CL 30  3,5W/TW G9</t>
  </si>
  <si>
    <t>Sun@Home</t>
  </si>
  <si>
    <t xml:space="preserve">SMART+ WiFi </t>
  </si>
  <si>
    <t>Sun@Home CLASSIC A 40 FR TW 9W/922 E27</t>
  </si>
  <si>
    <t>Sun@Home CLASSIC A 75 FR TW 12W/922 E27</t>
  </si>
  <si>
    <t>Sun@Home CLASSIC B 25 FR TW 4,9W/922 E14</t>
  </si>
  <si>
    <t>Sun@Home Spot PAR16 40 Glas TW 4,9W/922 GU10</t>
  </si>
  <si>
    <t>SMART+ ZIGBEE</t>
  </si>
  <si>
    <t>SMART+ ZIGBEE LAMPS</t>
  </si>
  <si>
    <t>SMART+ ZIGBEE CLASSIC LAMPS</t>
  </si>
  <si>
    <t>SMART+ Zigbee Classic Dimmable</t>
  </si>
  <si>
    <t>SMART+ ZB CLASSIC A FR 60  9W/DIM E27</t>
  </si>
  <si>
    <t>ZIGBEE</t>
  </si>
  <si>
    <t>SMART+ Zigbee Classic Tunable White</t>
  </si>
  <si>
    <t>SMART+ ZB CLASSIC A FR 60  9W/TW E27</t>
  </si>
  <si>
    <t>SMART+ Zigbee Classic Multicolour</t>
  </si>
  <si>
    <t>SMART+ ZB CLASSIC A FR 60  9W/RGBW E27</t>
  </si>
  <si>
    <t>2000...6500K</t>
  </si>
  <si>
    <t>SMART+ ZB CLASSIC A FR 60  9W/RGBW B22d</t>
  </si>
  <si>
    <t>SMART+ ZIGBEE CANDLE LAMPS</t>
  </si>
  <si>
    <t>SMART+ Zigbee Candle Dimmable</t>
  </si>
  <si>
    <t>SMART+ ZB CLASSIC B FR 40  4,9W/DIM E14</t>
  </si>
  <si>
    <t>SMART+ Zigbee Candle Tunable White</t>
  </si>
  <si>
    <t>SMART+ ZB Candle 40 5W E14</t>
  </si>
  <si>
    <t>=HIPERLIGAÇÃO("https://ledvance.com/pt/product-datasheet/6388/203893";"Ficha de Produto")</t>
  </si>
  <si>
    <t>SMART+ ZIGBEE MINI-GLOBE LAMPS</t>
  </si>
  <si>
    <t>SMART+ Zigbee Mini Bulb Dimmable</t>
  </si>
  <si>
    <t>SMART+ ZB Mini bulb 40 5W/2 700K E14</t>
  </si>
  <si>
    <t>SMART+ Zigbee Mini Bulb Tunable White</t>
  </si>
  <si>
    <t>SMART+ ZB Mini bulb 40 5W/2 700…6 500K E14</t>
  </si>
  <si>
    <t>SMART+ ZIGBEE FILAMENT LAMP WITH CLASSIC BULB</t>
  </si>
  <si>
    <t>SMART+ Zigbee Filament Classic Dimmable</t>
  </si>
  <si>
    <t>SMART+ ZB CLASSIC A Gold 52  6W/824 E27</t>
  </si>
  <si>
    <t>SMART+ ZIGBEE FILAMENT LAMP WITH EDISON BULB</t>
  </si>
  <si>
    <t>SMART+ Zigbee Filament Edison Dimmable</t>
  </si>
  <si>
    <t>SMART+ ZB CL EDISON 53 GOLD 6W/2 400K E27</t>
  </si>
  <si>
    <t>SMART+ ZIGBEE FILAMENT LAMP WITH GLOBE BULB</t>
  </si>
  <si>
    <t>SMART+ Zigbee Filament Globe Dimmable</t>
  </si>
  <si>
    <t>SMART+ ZB CL GLOBE 53 GOLD 6W/2 400K E27</t>
  </si>
  <si>
    <t>SMART+ ZIGBEE REFLECTOR LAMPS</t>
  </si>
  <si>
    <t>SMART+ Zigbee Spot GU10 Dimmable</t>
  </si>
  <si>
    <t>SMART+ ZB Spot 50 5W/2 700 36° GU10</t>
  </si>
  <si>
    <t>SMART+ Zigbee Spot GU10 Tunable White</t>
  </si>
  <si>
    <t>SMART+ ZB Spot 50 5W/2 700…6 500K 36° GU10</t>
  </si>
  <si>
    <t>SMART+ Zigbee Spot GU10 Multicolour</t>
  </si>
  <si>
    <t>SMART+ ZB Spot 28 5W/2 700…6 500K 120° GU10</t>
  </si>
  <si>
    <t>2000…6500K</t>
  </si>
  <si>
    <t>SMART+ WIFI ORBIS WALL ROUND 480mm TW</t>
  </si>
  <si>
    <t>3000…6500 K</t>
  </si>
  <si>
    <t>SMART+ WIFI ORBIS WALL ROUND 300mm TW</t>
  </si>
  <si>
    <t>SMART+ WIFI ORBIS WALL WAVE 200mm TW</t>
  </si>
  <si>
    <t>SMART+ WIFI ORBIS WALL WAVE 320mm TW</t>
  </si>
  <si>
    <t>15.00 W</t>
  </si>
  <si>
    <t>SMART+ WIFI ORBIS WALL WAVE 520mm TW</t>
  </si>
  <si>
    <t>21.00 W</t>
  </si>
  <si>
    <t>SMART+ WIFI ORBIS WALL WAVE 300x300mm TW</t>
  </si>
  <si>
    <t>26.00 W</t>
  </si>
  <si>
    <t>SMART+ WIFI ORBIS WALL AQUA 280x160mm TW</t>
  </si>
  <si>
    <t>12.00 W</t>
  </si>
  <si>
    <t>SMART+ WIFI ORBIS WALL AQUA 200x200mm TW</t>
  </si>
  <si>
    <t>SMART+ WIFI ORBIS WALL AQUA Round 200mm TW</t>
  </si>
  <si>
    <t>SMART+ WIFI ORBIS DISC 300mm TW</t>
  </si>
  <si>
    <t>SMART+ WIFI ORBIS DISC 400mm TW</t>
  </si>
  <si>
    <t>25.00 W</t>
  </si>
  <si>
    <t>SMART+ WIFI ORBIS DISC 500mm TW</t>
  </si>
  <si>
    <t>SMART+ WIFI ORBIS WALL DUPLO 300mm</t>
  </si>
  <si>
    <t>SMART+ WIFI ORBIS WALL DUPLO 450mm TW</t>
  </si>
  <si>
    <t>20.00 W</t>
  </si>
  <si>
    <t>SMART+ WIFI ORBIS WALL DUPLO 580mm TW</t>
  </si>
  <si>
    <t>27.00 W</t>
  </si>
  <si>
    <t>SMART+ WIFI ORBIS WALL ELYPSE 120mm TW</t>
  </si>
  <si>
    <t>7.00 W</t>
  </si>
  <si>
    <t>SMART+ WIFI ORBIS WALL ELYPSE 340mm TW</t>
  </si>
  <si>
    <t>SMART+ WIFI ORBIS WALL ELYPSE 560mm TW</t>
  </si>
  <si>
    <t>SMART+ WIFI ORBIS WALL BATH 400mm White TW</t>
  </si>
  <si>
    <t>17.00 W</t>
  </si>
  <si>
    <t>SMART+ WIFI ORBIS WALL BATH 300mm White TW</t>
  </si>
  <si>
    <t>13.00 W</t>
  </si>
  <si>
    <t>SMART+ WIFI ORBIS WALL BATH 400mm Black TW</t>
  </si>
  <si>
    <t>SMART+ WIFI ORBIS WALL BATH 300mm Black TW</t>
  </si>
  <si>
    <t xml:space="preserve">Decor Square 150x150mm G9 IP44 </t>
  </si>
  <si>
    <t>not relevant</t>
  </si>
  <si>
    <t>Decor Square 350x150mm 2 x G9 IP44</t>
  </si>
  <si>
    <t>Decor Square 550x150mm 3 x G9 IP44</t>
  </si>
  <si>
    <t>Decor Square 350x350mm 4 x G9 IP44</t>
  </si>
  <si>
    <t>Bathroom Ceiling Luminaire IP44 E27 310mm E27 Black</t>
  </si>
  <si>
    <t>Bathroom Ceiling Luminaire IP44 E27 310mm E27 Chrome</t>
  </si>
  <si>
    <t>Bathroom Ceiling CCT IP44 300mm Black Click-CCT</t>
  </si>
  <si>
    <t>3000 … 4000 K</t>
  </si>
  <si>
    <t>Bathroom Ceiling CCT IP44 300mm Chrome Click-CCT</t>
  </si>
  <si>
    <t xml:space="preserve">ORBIS® IP44 300mm 15.5W </t>
  </si>
  <si>
    <t>15.50 W</t>
  </si>
  <si>
    <t>3000 K</t>
  </si>
  <si>
    <t>ORBIS® IP44 400mm 25W</t>
  </si>
  <si>
    <t>LED SQUARE IP44 14W IP44 Click-CCT</t>
  </si>
  <si>
    <t>14.00 W</t>
  </si>
  <si>
    <t>3000 K/4000 K</t>
  </si>
  <si>
    <t>LED SPOT IP44 3 x 7W IP44 Click-CCT</t>
  </si>
  <si>
    <t>Bathroom Mirror CCT IP44 400mm Black Click-CCT</t>
  </si>
  <si>
    <t>Bathroom Mirror CCT IP44 400mm Chrome Click-CCT</t>
  </si>
  <si>
    <t>Bathroom Wall Luminaire IP44 E14 320mm E14 Black</t>
  </si>
  <si>
    <t>Bathroom Wall Luminaire IP44 E14 320mm E14 Chrome</t>
  </si>
  <si>
    <t>Bathroom Wall Luminaire IP44 E14 455mm E14 Black</t>
  </si>
  <si>
    <t>Bathroom Wall Luminaire IP44 E14 455mm E14 Chrome</t>
  </si>
  <si>
    <t>LED SPOT RECESS IP65 TWISTLOCK GU10 4.3W 2700K White IP65</t>
  </si>
  <si>
    <t>4.30 W</t>
  </si>
  <si>
    <t>2700 K</t>
  </si>
  <si>
    <t>SMART+ DAMP PROOF SUBMARINE TUNABLE WHITE 120cm TW</t>
  </si>
  <si>
    <t>2700…6500 K</t>
  </si>
  <si>
    <t>SUBMARINE SENSOR 60cm 8W 4000K</t>
  </si>
  <si>
    <t>4000 K</t>
  </si>
  <si>
    <t>SUBMARINE SENSOR 120cm 16W 4000K</t>
  </si>
  <si>
    <t>16.00 W</t>
  </si>
  <si>
    <t>SUBMARINE SENSOR 150cm 19W 4000K</t>
  </si>
  <si>
    <t>19.00 W</t>
  </si>
  <si>
    <t>SUBMARINE THROUGHWIRING 120cm 15W 4000K</t>
  </si>
  <si>
    <t>SUBMARINE THROUGHWIRING 150cm 19W 4000K</t>
  </si>
  <si>
    <t>SUBMARINE® Integrated 0.6M 18W 4000K</t>
  </si>
  <si>
    <t>SUBMARINE® Integrated 1.2M 36W 4000K</t>
  </si>
  <si>
    <t>36.00 W</t>
  </si>
  <si>
    <t>SUBMARINE® Integrated 1.5M 48W 4000K</t>
  </si>
  <si>
    <t>48.00 W</t>
  </si>
  <si>
    <t>SUBMARINE® Integrated Slim Value Slim Value 0.6M 10W 4000K</t>
  </si>
  <si>
    <t>10.00 W</t>
  </si>
  <si>
    <t>SUBMARINE® Integrated Slim Value Slim Value 1.2M 18W 4000K</t>
  </si>
  <si>
    <t>SUBMARINE® Integrated Slim Value Slim Value 1.5M 24W 4000K</t>
  </si>
  <si>
    <t>24.00 W</t>
  </si>
  <si>
    <t>SUBMARINE® 1 x 7W 4000K</t>
  </si>
  <si>
    <t>SUBMARINE® 2 x 7W 4000K</t>
  </si>
  <si>
    <t>SUBMARINE® 1 x 15W 4000K</t>
  </si>
  <si>
    <t>SUBMARINE® 2 x 15W 4000K</t>
  </si>
  <si>
    <t>SUBMARINE® 1 x 19W 4000K</t>
  </si>
  <si>
    <t>SUBMARINE® 2 x 19W 4000K</t>
  </si>
  <si>
    <t>38.00 W</t>
  </si>
  <si>
    <t>Essentials Damp Proof 7W 600mm 4000K</t>
  </si>
  <si>
    <t>Essentials Damp Proof 2x7W 600mm 4000K</t>
  </si>
  <si>
    <t>Essentials Damp Proof 15W 1200mm 4000K</t>
  </si>
  <si>
    <t>Essentials Damp Proof 2x15W 1200mm 4000K</t>
  </si>
  <si>
    <t>Essentials Damp Proof Integrated 600mm 9W 4000K</t>
  </si>
  <si>
    <t>9.00 W</t>
  </si>
  <si>
    <t>Essentials Damp Proof Integrated 1200mm 18W 4000K</t>
  </si>
  <si>
    <t>LED BULKHEAD 6W 4000K White</t>
  </si>
  <si>
    <t>LED BULKHEAD 6W 4000K Black</t>
  </si>
  <si>
    <t>LED BULKHEAD 11W 4000K White</t>
  </si>
  <si>
    <t>11.00 W</t>
  </si>
  <si>
    <t>LED BULKHEAD 11W 4000K Black</t>
  </si>
  <si>
    <t>Smart+ Twist Pendant Black TW</t>
  </si>
  <si>
    <t>24.50 W</t>
  </si>
  <si>
    <t>Smart+ Twist Pendant White TW</t>
  </si>
  <si>
    <t>Smart+ Twist Black Table TW</t>
  </si>
  <si>
    <t>Smart+ Twist White Table TW</t>
  </si>
  <si>
    <t>Smart+ Orbis Twist 230x127mm Black TW</t>
  </si>
  <si>
    <t>Smart+ Orbis Twist 230x127mm White TW</t>
  </si>
  <si>
    <t>Smart+ Swan White Ceiling TW</t>
  </si>
  <si>
    <t>22.00 W</t>
  </si>
  <si>
    <t>Smart+ Orbis Swan 300x150mm TW</t>
  </si>
  <si>
    <t>23.00 W</t>
  </si>
  <si>
    <t>Smart+ Orbis Swan 200x200mm TW</t>
  </si>
  <si>
    <t>Smart+ Wood Ceiling TW</t>
  </si>
  <si>
    <t>Smart+ Wood Table TW</t>
  </si>
  <si>
    <t>Smart+ Wood Pendant TW</t>
  </si>
  <si>
    <t>Smart+ Orbis Wood 210X110mm TW</t>
  </si>
  <si>
    <t>Smart+ Orbis Wood 110X110mm TW</t>
  </si>
  <si>
    <t>Smart+ Orbis Cylindro 200X127mm White TW</t>
  </si>
  <si>
    <t>Smart+ Orbis Cylindro  200X127mm Black TW</t>
  </si>
  <si>
    <t>Smart+ Orbis Cross 309x106mm Black TW</t>
  </si>
  <si>
    <t>Smart+ Orbis Cross 309x106mm White TW</t>
  </si>
  <si>
    <t>Decor Nairobi Pendant E27</t>
  </si>
  <si>
    <t>Decor Nairobi Ceiling 4 x E27</t>
  </si>
  <si>
    <t>Decor Nairobi Table E27</t>
  </si>
  <si>
    <t>Decor Nairobi Wall E27</t>
  </si>
  <si>
    <t>Decor Memphis Ceiling 3 x G9</t>
  </si>
  <si>
    <t>Decor Memphis Table G9</t>
  </si>
  <si>
    <t>Decor Memphis Floor 3 x G9</t>
  </si>
  <si>
    <t>Decor Tokio Wall</t>
  </si>
  <si>
    <t>5.00 W</t>
  </si>
  <si>
    <t>Decor Tokio Table</t>
  </si>
  <si>
    <t>Decor Tokio Pendant</t>
  </si>
  <si>
    <t>Decor Wood Wall E27</t>
  </si>
  <si>
    <t>Decor Wood Table Touch E27</t>
  </si>
  <si>
    <t xml:space="preserve">Decor Perchero Chrome IP44 </t>
  </si>
  <si>
    <t>Decor Perchero Gray</t>
  </si>
  <si>
    <t xml:space="preserve">Decor Perchero White GU10 </t>
  </si>
  <si>
    <t>Decor Perchero Wood</t>
  </si>
  <si>
    <t>Decor Filament Table</t>
  </si>
  <si>
    <t>1.20 W</t>
  </si>
  <si>
    <t>Decor Filament Floor</t>
  </si>
  <si>
    <t>Decor Filament Downlight Halo</t>
  </si>
  <si>
    <t>Decor Filament Downlight Echo</t>
  </si>
  <si>
    <t>Decor Filament Downlight Ripple</t>
  </si>
  <si>
    <t>Decor Stick Floor Dark Grey Tall E27</t>
  </si>
  <si>
    <t>Decor Stick Floor Dark Grey Short E27</t>
  </si>
  <si>
    <t>Decor Stick Floor Dark Grey 2XE27</t>
  </si>
  <si>
    <t>Decor Stick Floor Dark Grey 3XE27</t>
  </si>
  <si>
    <t>Decor Stick Floor Beige Tall E27</t>
  </si>
  <si>
    <t>Decor Stick Floor Beige Short E27</t>
  </si>
  <si>
    <t>Decor Stick Floor Beige 2XE27</t>
  </si>
  <si>
    <t>Decor Stick Floor Beige 3XE27</t>
  </si>
  <si>
    <t>SMART+ WIFI MAGIC RGB FLEX WITH REMOTE CONTROL 3M + RC</t>
  </si>
  <si>
    <t>SMART+ WIFI MAGIC RGB FLEX WITH REMOTE CONTROL 5M + RC</t>
  </si>
  <si>
    <t>SMART+ WIFI CONVERTIBLE FLOOR LUMINAIRE Magic RGBW</t>
  </si>
  <si>
    <t>SMART+ WIFI WALL WASHER LUMINAIRE RGB TW</t>
  </si>
  <si>
    <t>2700 … 5000 K</t>
  </si>
  <si>
    <t>SMART WIFI SYNCH BOX FLEX 5M Magic RGB</t>
  </si>
  <si>
    <t xml:space="preserve">Smart moodlights Black RGB + TW    </t>
  </si>
  <si>
    <t>SMART WIFI FLOOR CORNER SLIM WITH REMOTE CONTROL White SLIM RGB + TW + RC</t>
  </si>
  <si>
    <t>SMART WIFI FLOOR CORNER SLIM WITH REMOTE CONTROL Black SLIM RGB + TW + RC</t>
  </si>
  <si>
    <t>SMART WIFI FLOOR ROUND WITH REMOTE CONTROL Black RGB + TW + RC</t>
  </si>
  <si>
    <t>SMART WIFI FLOOR ROUND WITH REMOTE CONTROL White RGB + TW + RC</t>
  </si>
  <si>
    <t>SMART WIFI FLOOR CORNER WITH REMOTE CONTROL Black 1400mm RGB + TW</t>
  </si>
  <si>
    <t>SMART WIFI FLOOR CORNER WITH REMOTE CONTROL White 1400mm RGB + TW</t>
  </si>
  <si>
    <t>SMART WIFI FLOOR CORNER WITH REMOTE CONTROL Black 2000mm RGB + TW</t>
  </si>
  <si>
    <t>SMART WIFI FLOOR CORNER WITH REMOTE CONTROL White 2000mm RGB + TW</t>
  </si>
  <si>
    <t>LINEAR LED CLOCK Dimmable</t>
  </si>
  <si>
    <t>3.40 W</t>
  </si>
  <si>
    <t>BATHROOM Hand Towel Holder</t>
  </si>
  <si>
    <t>0.18 W</t>
  </si>
  <si>
    <t>BATHROOM Toilet Paper Holder</t>
  </si>
  <si>
    <t>BATHROOM Towel Rack</t>
  </si>
  <si>
    <t>0.36 W</t>
  </si>
  <si>
    <t>BATHROOM Hook Hanger</t>
  </si>
  <si>
    <t>NIGHTLUX LANTERN POWERBANK MULTI  Power-bank</t>
  </si>
  <si>
    <t>0.50 W</t>
  </si>
  <si>
    <t>NIGHTLUX LANTERN LANTERN</t>
  </si>
  <si>
    <t>0.65 W</t>
  </si>
  <si>
    <t>NIGHTLUX TOUCH RGBW Rabbit</t>
  </si>
  <si>
    <t>2.50 W</t>
  </si>
  <si>
    <t>NIGHTLUX TOUCH RGBW TV</t>
  </si>
  <si>
    <t>NIGHTLUX CARTOON Cartoon Sensor</t>
  </si>
  <si>
    <t>0.20 W</t>
  </si>
  <si>
    <t>NIGHTLUX CLOCK 0.3W</t>
  </si>
  <si>
    <t>0.30 W</t>
  </si>
  <si>
    <t>NIGHTLUX® Ceiling Silver</t>
  </si>
  <si>
    <t>1.70 W</t>
  </si>
  <si>
    <t>NIGHTLUX® Ceiling White</t>
  </si>
  <si>
    <t>NIGHTLUX® Hall White</t>
  </si>
  <si>
    <t>0.25 W</t>
  </si>
  <si>
    <t>NIGHTLUX® Hall Silver</t>
  </si>
  <si>
    <t>NIGHTLUX® Torch White</t>
  </si>
  <si>
    <t>0.35 W</t>
  </si>
  <si>
    <t>NIGHTLUX® Torch Silver</t>
  </si>
  <si>
    <t>NIGHTLUX® Stair White</t>
  </si>
  <si>
    <t>NIGHTLUX® Stair Silver</t>
  </si>
  <si>
    <t>LINEAR LED MOBILE BACKLIGHT USB Backlight sensor 200mm</t>
  </si>
  <si>
    <t>1.00 W</t>
  </si>
  <si>
    <t>LINEAR LED MOBILE BACKLIGHT USB Backlight sensor 400mm</t>
  </si>
  <si>
    <t>Linear LED Mobile HANGER USB HANGER 270MM USB WT</t>
  </si>
  <si>
    <t>2.35 W</t>
  </si>
  <si>
    <t>LINEAR LED MOBILE TILT USB Tilt Sensor</t>
  </si>
  <si>
    <t>1.90 W</t>
  </si>
  <si>
    <t>Linear LED Mobile Battery 200</t>
  </si>
  <si>
    <t>Linear LED Mobile Battery 300</t>
  </si>
  <si>
    <t>2.90 W</t>
  </si>
  <si>
    <t>Linear LED Mobile USB 200</t>
  </si>
  <si>
    <t>Linear LED Mobile USB 300</t>
  </si>
  <si>
    <t>1.50 W</t>
  </si>
  <si>
    <t>Linear LED MOBILE IR USB IR USB White</t>
  </si>
  <si>
    <t>LEDSTIXX USB USB Silver</t>
  </si>
  <si>
    <t>2.00 W</t>
  </si>
  <si>
    <t>LEDstixx® 6500 K</t>
  </si>
  <si>
    <t>0.60 W</t>
  </si>
  <si>
    <t>6500 K</t>
  </si>
  <si>
    <t xml:space="preserve">LUMIstixx® </t>
  </si>
  <si>
    <t>DOT-it Touch Slim White</t>
  </si>
  <si>
    <t>0.45 W</t>
  </si>
  <si>
    <t>DOT-it Touch High White</t>
  </si>
  <si>
    <t>DOT-it® CLASSIC SI</t>
  </si>
  <si>
    <t>0.23W</t>
  </si>
  <si>
    <t>7000 K</t>
  </si>
  <si>
    <t>DOT-IT NURSERY RGB</t>
  </si>
  <si>
    <t>DOT-IT NURSERY RGB 3 PC + Remote control</t>
  </si>
  <si>
    <t>0.17 W</t>
  </si>
  <si>
    <t>Lunetta Edge USB A&amp;C 3000K White</t>
  </si>
  <si>
    <t>12.50 W</t>
  </si>
  <si>
    <t>Lunetta Edge USB A&amp;C 3000K Black</t>
  </si>
  <si>
    <t>Lunetta Hexagon USB A&amp;C 3000K White</t>
  </si>
  <si>
    <t>LUNETTA SQUARE SENSOR RGB RGB 0.3W</t>
  </si>
  <si>
    <t>LUNETTA RAINDROP DIM Dimmable 0.5W</t>
  </si>
  <si>
    <t>LUNETTA TORCH INDUCTIVE SENSOR 2W</t>
  </si>
  <si>
    <t>LUNETTA Wave White</t>
  </si>
  <si>
    <t>LUNETTA® USB White</t>
  </si>
  <si>
    <t>LUNETTA® Hall White</t>
  </si>
  <si>
    <t>LUNETTA® Hall Sensor White</t>
  </si>
  <si>
    <t>0.70 W</t>
  </si>
  <si>
    <t>LUNETTA® Hall 3000K + Luminous Stickers</t>
  </si>
  <si>
    <t>LUNETTA® Slim White</t>
  </si>
  <si>
    <t>LUNETTA® Round White</t>
  </si>
  <si>
    <t>LUNETTA SUNSET SUNSET</t>
  </si>
  <si>
    <t>LUNETTA® Shine White</t>
  </si>
  <si>
    <t>0.28 W</t>
  </si>
  <si>
    <t>LUNETTA® Shine RGB RGB</t>
  </si>
  <si>
    <t>2700 … 6000 K</t>
  </si>
  <si>
    <t>LUNETTA® Glow White</t>
  </si>
  <si>
    <t>LINEAR SHELF 400mm</t>
  </si>
  <si>
    <t>6.50 W</t>
  </si>
  <si>
    <t>LINEAR SHELF 600mm</t>
  </si>
  <si>
    <t>LINEAR LED MAGNET 2 Spot Sensor 7W DIM</t>
  </si>
  <si>
    <t>LINEAR LED MAGNET 3 Spot Sensor 9.5W DIM</t>
  </si>
  <si>
    <t>9.50 W</t>
  </si>
  <si>
    <t>LINEAR LED MOBILE RING Tripod</t>
  </si>
  <si>
    <t>LINEAR LED MOBILE RING Desktop</t>
  </si>
  <si>
    <t>5.50 W</t>
  </si>
  <si>
    <t>LINEAR LED TASKLIGHT Task Light</t>
  </si>
  <si>
    <t>6.90 W</t>
  </si>
  <si>
    <t>SPYLUX® White</t>
  </si>
  <si>
    <t>0.3W</t>
  </si>
  <si>
    <t>Battery LED Spotlight Single 4W 4000K IP54 Black</t>
  </si>
  <si>
    <t>Battery LED Spotlight Double 10W 4000K IP54 Black</t>
  </si>
  <si>
    <t>Battery LED Spotlight Single 4W 4000K IP54 White</t>
  </si>
  <si>
    <t>Battery LED Spotlight Double 10W 4000K IP54 White</t>
  </si>
  <si>
    <t>Door LED Down 4000K White</t>
  </si>
  <si>
    <t>0.95 W</t>
  </si>
  <si>
    <t>Door LED Down 4000K Silver</t>
  </si>
  <si>
    <t>Door LED UpDown 4000K White</t>
  </si>
  <si>
    <t>0.80 W</t>
  </si>
  <si>
    <t>DoorLED Solar 4000K White</t>
  </si>
  <si>
    <t>3.00 W</t>
  </si>
  <si>
    <t>DoorLED Solar 4000K Silver</t>
  </si>
  <si>
    <t xml:space="preserve">SMART+ MULTICOLOR 10W RGB + W  </t>
  </si>
  <si>
    <t>SMART+ MULTICOLOR 20W RGB + W</t>
  </si>
  <si>
    <t>SMART+ MULTICOLOR 30W RGB + W</t>
  </si>
  <si>
    <t>SMART+ DIMMABLE 50 W DIM</t>
  </si>
  <si>
    <t>50.00 W</t>
  </si>
  <si>
    <t>SMART+ MULTICOLOR 50W RGB+W</t>
  </si>
  <si>
    <t>SMART+ MULTICOLOR 100W RGB+W</t>
  </si>
  <si>
    <t>100.00 W</t>
  </si>
  <si>
    <t>SMART+ MULTICOLOR WITH REMOTE CONTROL 20W RGB + W + RC</t>
  </si>
  <si>
    <t>ENDURA® FLOOD Sensor Warm White 10 W 3000 K DG</t>
  </si>
  <si>
    <t>ENDURA® FLOOD Sensor Warm White 10 W 3000 K WT</t>
  </si>
  <si>
    <t>ENDURA® FLOOD Sensor Warm White 20 W 3000 K DG</t>
  </si>
  <si>
    <t>ENDURA® FLOOD Sensor Warm White 20 W 3000 K WT</t>
  </si>
  <si>
    <t>ENDURA® FLOOD Sensor Warm White 30 W 3000 K DG</t>
  </si>
  <si>
    <t>ENDURA® FLOOD Sensor Warm White 30 W 3000 K WT</t>
  </si>
  <si>
    <t>ENDURA® FLOOD Sensor Warm White 50 W 3000 K DG</t>
  </si>
  <si>
    <t>ENDURA® FLOOD Sensor Warm White 50 W 3000 K WT</t>
  </si>
  <si>
    <t>ENDURA® FLOOD Sensor Cool White 10 W 4000 K DG</t>
  </si>
  <si>
    <t>ENDURA® FLOOD Sensor Cool White 20 W 4000 K DG</t>
  </si>
  <si>
    <t>ENDURA® FLOOD Sensor Cool White 30 W 4000 K DG</t>
  </si>
  <si>
    <t>ENDURA® FLOOD Sensor Cool White 50 W 4000 K DG</t>
  </si>
  <si>
    <t>Essentials Floodlights Sensor 10W 3000K</t>
  </si>
  <si>
    <t>Essentials Floodlights Sensor 10W 4000K</t>
  </si>
  <si>
    <t>Essentials Floodlights Sensor 10W 6500K</t>
  </si>
  <si>
    <t>Essentials Floodlights Sensor 20W 3000K</t>
  </si>
  <si>
    <t>Essentials Floodlights Sensor 20W 4000K</t>
  </si>
  <si>
    <t>Essentials Floodlights Sensor 20W 6500K</t>
  </si>
  <si>
    <t>Essentials Floodlights Sensor 30W 3000K</t>
  </si>
  <si>
    <t>Essentials Floodlights Sensor 30W 4000K</t>
  </si>
  <si>
    <t>Essentials Floodlights Sensor 30W 6500K</t>
  </si>
  <si>
    <t>Essentials Floodlights Sensor 50W 3000K</t>
  </si>
  <si>
    <t>Essentials Floodlights Sensor 50W 4000K</t>
  </si>
  <si>
    <t>Essentials Floodlights Sensor 50W 6500K</t>
  </si>
  <si>
    <t>ENDURA® FLOOD Warm White 10 W 3000 K DG</t>
  </si>
  <si>
    <t>ENDURA® FLOOD Warm White 10 W 3000 K WT</t>
  </si>
  <si>
    <t>ENDURA® FLOOD Warm White 20 W 3000 K DG</t>
  </si>
  <si>
    <t>ENDURA® FLOOD Warm White 20 W 3000 K WT</t>
  </si>
  <si>
    <t>ENDURA® FLOOD Warm White 30 W 3000 K DG</t>
  </si>
  <si>
    <t>ENDURA® FLOOD Warm White 30 W 3000 K WT</t>
  </si>
  <si>
    <t>ENDURA® FLOOD Warm White 50 W 3000 K DG</t>
  </si>
  <si>
    <t>ENDURA® FLOOD Warm White 50 W 3000 K WT</t>
  </si>
  <si>
    <t>ENDURA® FLOOD Cool White 10 W 4000 K DG</t>
  </si>
  <si>
    <t>ENDURA® FLOOD Cool White 20 W 4000 K DG</t>
  </si>
  <si>
    <t>ENDURA® FLOOD Cool White 30 W 4000 K DG</t>
  </si>
  <si>
    <t>ENDURA® FLOOD Cool White 50 W 4000 K DG</t>
  </si>
  <si>
    <t>ENDURA® FLOOD Cool White 100 W 4000 K DG</t>
  </si>
  <si>
    <t>ENDURA® FLOOD Cool White 150 W 4000 K DG</t>
  </si>
  <si>
    <t>150.00 W</t>
  </si>
  <si>
    <t>Essentials Floodlights 10W 3000K</t>
  </si>
  <si>
    <t>Essentials Floodlights 10W 4000K</t>
  </si>
  <si>
    <t>Essentials Floodlights 10W 6500K</t>
  </si>
  <si>
    <t>Essentials Floodlights 20W 3000K</t>
  </si>
  <si>
    <t>Essentials Floodlights 20W 4000K</t>
  </si>
  <si>
    <t>Essentials Floodlights 20W 6500K</t>
  </si>
  <si>
    <t>Essentials Floodlights 30W 3000K</t>
  </si>
  <si>
    <t>Essentials Floodlights 30W 4000K</t>
  </si>
  <si>
    <t>Essentials Floodlights 30W 6500K</t>
  </si>
  <si>
    <t>Essentials Floodlights 50W 3000K</t>
  </si>
  <si>
    <t>Essentials Floodlights 50W 4000K</t>
  </si>
  <si>
    <t>Essentials Floodlights 50W 6500K</t>
  </si>
  <si>
    <t>Essentials Floodlights 100W 4000K</t>
  </si>
  <si>
    <t>Essentials Floodlights 150W 4000K</t>
  </si>
  <si>
    <t>Essentials Floodlights 200W 4000K</t>
  </si>
  <si>
    <t>200.00 W</t>
  </si>
  <si>
    <t>Essentials Floodlights Sensor 100W 4000K</t>
  </si>
  <si>
    <t>Essentials Floodlights Sensor 150W 4000K</t>
  </si>
  <si>
    <t>Essentials Floodlights Sensor 200W 4000K</t>
  </si>
  <si>
    <t>Essentials Floodlights with EU Plug 10W 4000K</t>
  </si>
  <si>
    <t>Essentials Floodlights with EU Plug 30W 4000K</t>
  </si>
  <si>
    <t>Essentials Floodlights Sensor with EU Plug 20W 4000K</t>
  </si>
  <si>
    <t>WORKLIGHTS BATTERY 10W 4000K</t>
  </si>
  <si>
    <t>WORKLIGHTS BATTERY 20W 4000K</t>
  </si>
  <si>
    <t>WORKLIGHTS BATTERY 30W 4000K</t>
  </si>
  <si>
    <t>WORKLIGHTS BATTERY 67cm 4000K</t>
  </si>
  <si>
    <t>WORKLIGHTS VALUE BATTERY 10W 865</t>
  </si>
  <si>
    <t>WORKLIGHTS VALUE BATTERY 20W 865</t>
  </si>
  <si>
    <t>WORKLIGHTS VALUE BATTERY 30W 865</t>
  </si>
  <si>
    <t>WORKLIGHTS VALUE BATTERY 26W 865</t>
  </si>
  <si>
    <t>WORKLIGHTS VALUE BATTERY 7W 865</t>
  </si>
  <si>
    <t xml:space="preserve">WORKLIGHTS R-STAND SOCKET (GEN 2) 20 W 4000 K </t>
  </si>
  <si>
    <t xml:space="preserve">WORKLIGHTS R-STAND SOCKET (GEN 2) 30 W 4000 K </t>
  </si>
  <si>
    <t xml:space="preserve">WORKLIGHTS R-STAND SOCKET (GEN 2) 50 W 4000 K </t>
  </si>
  <si>
    <t xml:space="preserve">WORKLIGHTS S-STAND 20 W 4000 K </t>
  </si>
  <si>
    <t xml:space="preserve">WORKLIGHTS S-STAND 30 W 4000 K </t>
  </si>
  <si>
    <t xml:space="preserve">WORKLIGHTS S-STAND 50 W 4000 K </t>
  </si>
  <si>
    <t>WORKLIGHTS VALUE R-STAND 10W 865</t>
  </si>
  <si>
    <t>WORKLIGHTS VALUE R-STAND 20W 865</t>
  </si>
  <si>
    <t>WORKLIGHTS VALUE R-STAND 30W 865</t>
  </si>
  <si>
    <t>WORKLIGHTS VALUE R-STAND 50W 865</t>
  </si>
  <si>
    <t>WORKLIGHT VALUE FLEX 2x30W 865</t>
  </si>
  <si>
    <t>60.00 W</t>
  </si>
  <si>
    <t>WORKLIGHT VALUE 360° SOCKET 30W 865</t>
  </si>
  <si>
    <t>WORKLIGHT LED PANEL 50W 4000K</t>
  </si>
  <si>
    <t>WORKLIGHT BATTERY TRIPOD 40W 4000K</t>
  </si>
  <si>
    <t xml:space="preserve">WORKLIGHTS - TRIPOD 1x20W 4000K </t>
  </si>
  <si>
    <t xml:space="preserve">WORKLIGHTS - TRIPOD 2x20W 4000K </t>
  </si>
  <si>
    <t>40.00 W</t>
  </si>
  <si>
    <t xml:space="preserve">WORKLIGHTS - TRIPOD 1x30W 4000K </t>
  </si>
  <si>
    <t xml:space="preserve">WORKLIGHTS - TRIPOD 2x30W 4000K </t>
  </si>
  <si>
    <t>WORKLIGHTS - TRIPOD 1x50W 4000K</t>
  </si>
  <si>
    <t xml:space="preserve">WORKLIGHTS - TRIPOD 2x50W 4000K </t>
  </si>
  <si>
    <t>WORKLIGHT VALUE TRIPOD 1x10W 865</t>
  </si>
  <si>
    <t>WORKLIGHT VALUE TRIPOD 2x10W 865</t>
  </si>
  <si>
    <t>WORKLIGHT VALUE TRIPOD 1x20W 865</t>
  </si>
  <si>
    <t>WORKLIGHT VALUE TRIPOD 2x20W 865</t>
  </si>
  <si>
    <t>WORKLIGHT VALUE TRIPOD 1x30W 865</t>
  </si>
  <si>
    <t>WORKLIGHT VALUE TRIPOD 2x30W 865</t>
  </si>
  <si>
    <t>SMART+ Planon Frameless Sparkle 300x300mm TW</t>
  </si>
  <si>
    <t>SMART+ Planon Frameless Sparkle 450x450mm TW</t>
  </si>
  <si>
    <t>SMART+ Planon Frameless Sparkle 1200x300mm TW</t>
  </si>
  <si>
    <t>SMART+ Planon Frameless TW 300x300mm TW</t>
  </si>
  <si>
    <t>SMART+ Planon Frameless TW and Multicolor 300x300mm RGB + TW</t>
  </si>
  <si>
    <t>SMART+ Planon Frameless TW 450x450mm TW</t>
  </si>
  <si>
    <t>SMART+ Planon Frameless TW 600x600mm TW</t>
  </si>
  <si>
    <t>SMART+ Planon Frameless TW and Multicolor 600x600mm RGB + TW</t>
  </si>
  <si>
    <t>SMART+ Planon Frameless TW 400x100mm TW</t>
  </si>
  <si>
    <t>SMART+ Planon Frameless TW 600x100mm TW</t>
  </si>
  <si>
    <t>SMART+ Planon Frameless TW 600x300mm TW</t>
  </si>
  <si>
    <t>SMART+ Planon Frameless TW 800x100mm TW</t>
  </si>
  <si>
    <t>SMART+ Planon Frameless TW 1200x100mm TW</t>
  </si>
  <si>
    <t>SMART+ Planon Frameless TW and Multicolor 1200x100mm RGB + TW</t>
  </si>
  <si>
    <t>SMART+ Planon Frameless TW 1200x300mm TW</t>
  </si>
  <si>
    <t>SMART+ Planon Frameless TW and Multicolor 1200x300mm RGB + TW</t>
  </si>
  <si>
    <t>SMART+ Planon Frameless TW 300mm TW</t>
  </si>
  <si>
    <t>SMART+ Planon Frameless TW and Multicolor 300mm RGB + TW</t>
  </si>
  <si>
    <t>SMART+ Planon Frameless TW 450mm TW</t>
  </si>
  <si>
    <t>SMART+ Planon Plus RGBW 300x300mm RGB + TW</t>
  </si>
  <si>
    <t>SMART+ Planon Plus RGBW 450x450mm RGB + TW</t>
  </si>
  <si>
    <t>SMART+ Planon Plus RGBW 1200x300mm RGB + TW</t>
  </si>
  <si>
    <t>SMART+ Planon Plus Backlight with WiFi technology 450x450mm RGB + TW</t>
  </si>
  <si>
    <t>SMART+ Planon Plus Backlight with WiFi technology 1000x300mm RGB + TW</t>
  </si>
  <si>
    <t>SMART+ Planon Plus Backlight with WiFi technology with Remote Control 450x450mm RGB + TW + RC</t>
  </si>
  <si>
    <t>SMART+ Planon Plus Backlight with WiFi technology with Remote Control 600x600mm RGB + TW + RC</t>
  </si>
  <si>
    <t>SMART+ Planon Plus Backlight with WiFi technology with Remote Control 1000x250mm RGB + TW + RC</t>
  </si>
  <si>
    <t>SMART+ Planon Plus TW 300x300mm TW</t>
  </si>
  <si>
    <t>SMART+ Planon Plus RGBW 300x300mm RGB + White</t>
  </si>
  <si>
    <t>SMART+ Planon Plus TW 450x450mm TW</t>
  </si>
  <si>
    <t>SMART+ Planon Plus RGBW 450x450mm RGB + W</t>
  </si>
  <si>
    <t>SMART+ Planon Plus TW 600x600mm TW</t>
  </si>
  <si>
    <t>SMART+ Planon Plus RGBW 600x600mm RGB + W</t>
  </si>
  <si>
    <t>SMART+ Planon Plus TW 1200x300mm TW</t>
  </si>
  <si>
    <t>SMART+ Planon Plus RGBW 1200x300mm RGB + W</t>
  </si>
  <si>
    <t>SMART+ Planon Plus RGBW 600x300mm RGB + W</t>
  </si>
  <si>
    <t>SMART+ Planon Plus TW 600x300mm RGB + TW</t>
  </si>
  <si>
    <t>SMART+ WIFI PANEL MAGIC RGB 300x300mm</t>
  </si>
  <si>
    <t>SMART+ WIFI PANEL MAGIC RGB 450x450mm</t>
  </si>
  <si>
    <t>SMART+ WIFI PANEL MAGIC RGB 1200x300mm</t>
  </si>
  <si>
    <t>PLANON™ Frameless 300x300mm 19W 3000K</t>
  </si>
  <si>
    <t>PLANON™ Frameless 600x600mm 40W 3000K</t>
  </si>
  <si>
    <t>PLANON™ Frameless 1200x100mm 35W 3000K</t>
  </si>
  <si>
    <t>PLANON™ Frameless 1200x300mm 40W 3000K</t>
  </si>
  <si>
    <t>PLANON™ Frameless Round 300mm 19W 3000K</t>
  </si>
  <si>
    <t>PLANON™ Frameless Round 450mm 28W 3000K</t>
  </si>
  <si>
    <t>PLANON™ Plus 300x600mm 22W 3000K</t>
  </si>
  <si>
    <t>PLANON™ Plus 300x600mm 22W 4000K</t>
  </si>
  <si>
    <t>PLANON™ Plus 600x600mm 36W 3000K</t>
  </si>
  <si>
    <t>PLANON™ Plus 600x600mm 36W 4000K</t>
  </si>
  <si>
    <t>PLANON™ Plus 1200x300mm 36W 3000K</t>
  </si>
  <si>
    <t>PLANON™ Plus 1200x300mm 36W 4000K</t>
  </si>
  <si>
    <t>Essentials Panel 600x600mm 4000K</t>
  </si>
  <si>
    <t>Essentials Panel 600x600mm 6500K</t>
  </si>
  <si>
    <t>Essentials Panel 600x600mm Surface Frame</t>
  </si>
  <si>
    <t>Magnet White 300x300mm TW</t>
  </si>
  <si>
    <t>Magnet White 450x450mm TW</t>
  </si>
  <si>
    <t>42.00 W</t>
  </si>
  <si>
    <t>Magnet White 600x300mm TW</t>
  </si>
  <si>
    <t>Magnet Black 300x300mm TW</t>
  </si>
  <si>
    <t>Magnet Black 450x450mm TW</t>
  </si>
  <si>
    <t>Magnet Black 600x300mm TW</t>
  </si>
  <si>
    <t>Magnet Gray 450x450mm TW</t>
  </si>
  <si>
    <t>Magnet Gray 600x300mm TW</t>
  </si>
  <si>
    <t>Smart+ Orbis Ceiling White 350mm TW</t>
  </si>
  <si>
    <t>Smart+ Orbis Ceiling Black 350mm TW</t>
  </si>
  <si>
    <t>Smart+ Orbis Ceiling 485x485mm RGB + TW</t>
  </si>
  <si>
    <t>Smart+ Orbis Ceiling 500x500mm RGB + TW</t>
  </si>
  <si>
    <t>Clean Clean 530x530mm TW</t>
  </si>
  <si>
    <t>Smart+ Orbis Ceiling 235mm White RGB + TW</t>
  </si>
  <si>
    <t>Smart+ Orbis Ceiling 400mm White RGB + TW</t>
  </si>
  <si>
    <t>Smart+ Orbis Ceiling Black 235mm RGB + TW</t>
  </si>
  <si>
    <t>Smart+ Orbis Ceiling Black 400mm RGB + TW</t>
  </si>
  <si>
    <t>Smart+ Orbis Ceiling Claria 490mm RGB + TW</t>
  </si>
  <si>
    <t>Kurt Kurt 450mm TW</t>
  </si>
  <si>
    <t>Smart+ Orbis Ceiling Wood 400mm TW</t>
  </si>
  <si>
    <t>Sparkle Sparkle 460mm TW</t>
  </si>
  <si>
    <t>Sparkle Sparkle 560mm TW</t>
  </si>
  <si>
    <t>Gavin Gavin 500mm TW</t>
  </si>
  <si>
    <t>Lisa Lisa 500mm TW</t>
  </si>
  <si>
    <t>Jaden Jaden 500mm TW</t>
  </si>
  <si>
    <t>Smart+ Orbis Ceiling Circle Black 460mm RGB + TW</t>
  </si>
  <si>
    <t>Smart+ Orbis Ceiling Circle White 460mm RGB + TW</t>
  </si>
  <si>
    <t>Smart+ Orbis Ceiling 485mm RGB + TW</t>
  </si>
  <si>
    <t>Smart+ Orbis Ceiling 500mm  RGB + TW</t>
  </si>
  <si>
    <t>Donut White 400mm TW</t>
  </si>
  <si>
    <t>Kite White 340mm RGB + TW</t>
  </si>
  <si>
    <t>Kite White 410mm TW</t>
  </si>
  <si>
    <t>Kite White 510mm TW</t>
  </si>
  <si>
    <t>34.00 W</t>
  </si>
  <si>
    <t>Moon Black 380mm TW</t>
  </si>
  <si>
    <t>Moon Black 480mm TW</t>
  </si>
  <si>
    <t>Moon Gray 380mm TW</t>
  </si>
  <si>
    <t>Moon Gray 480mm TW</t>
  </si>
  <si>
    <t>Plate White 430mm TW</t>
  </si>
  <si>
    <t>Plate Grey 430mm TW</t>
  </si>
  <si>
    <t>Cromo 500mm TW</t>
  </si>
  <si>
    <t>Frame White 500mm TW</t>
  </si>
  <si>
    <t>Eye Gray 490mm TW</t>
  </si>
  <si>
    <t>Cylinder White 450mm TW</t>
  </si>
  <si>
    <t>Cylinder Gray 450mm TW</t>
  </si>
  <si>
    <t>Spiral White 500mm TW</t>
  </si>
  <si>
    <t xml:space="preserve">Smart+ Orbis Ceiling ZEST MAGIC RGB 500mm Black </t>
  </si>
  <si>
    <t>Smart+ Orbis Ceiling ZEST MAGIC RGB 500mm White</t>
  </si>
  <si>
    <t>Smart+ wifi ceiling fan Round 550mm + RC</t>
  </si>
  <si>
    <t>75.00 W</t>
  </si>
  <si>
    <t>Smart+ wifi ceiling fan Cylinder 550mm + RC</t>
  </si>
  <si>
    <t>78.00 W</t>
  </si>
  <si>
    <t>ORBIS CLICK SENSOR 335mm 24W</t>
  </si>
  <si>
    <t>ORBIS CLICK SENSOR 510mm 32W</t>
  </si>
  <si>
    <t>ORBIS CLICK SENSOR 430x430mm 50W</t>
  </si>
  <si>
    <t>ORBIS CLICK SENSOR 530x530mm 60W</t>
  </si>
  <si>
    <t>ORBIS ULTRA SLIM CLICK DIM Click-Dim 235mm White15W</t>
  </si>
  <si>
    <t>ORBIS ULTRA SLIM CLICK DIM Click-Dim 400mm White 22W</t>
  </si>
  <si>
    <t>ORBIS ULTRA SLIM CLICK DIM Click-Dim 235mm Black 15W</t>
  </si>
  <si>
    <t>ORBIS ULTRA SLIM CLICK DIM Click-Dim 400mm Black 22W</t>
  </si>
  <si>
    <t>LED CLICK White Round 200mm 16W</t>
  </si>
  <si>
    <t>LED CLICK White Round 300mm 18W</t>
  </si>
  <si>
    <t>LED CLICK White Square 200mm 16W</t>
  </si>
  <si>
    <t>LED CLICK White Square 300mm 18W</t>
  </si>
  <si>
    <t>LED COLOR + WHITE Round 200mm 18W + RC</t>
  </si>
  <si>
    <t>LED COLOR + WHITE Round 400mm 28W + RC</t>
  </si>
  <si>
    <t>LED COLOR + WHITE Square 200mm 17W + RC</t>
  </si>
  <si>
    <t>LED COLOR + WHITE Square 400mm 38W + RC</t>
  </si>
  <si>
    <t>ORBIS® Sparkle Click-DIM 400mm 24W</t>
  </si>
  <si>
    <t>ORBIS® Sparkle Click-CCT 400mm 24W</t>
  </si>
  <si>
    <t>ORBIS® Sparkle Remote-CCT 460mm 24W</t>
  </si>
  <si>
    <t>2800…6000 K</t>
  </si>
  <si>
    <t>ORBIS® Sparkle Remote-CCT 560mm 32W</t>
  </si>
  <si>
    <t>ORBIS® CCT / DIM Click-CCT 310mm 14W</t>
  </si>
  <si>
    <t>2700 K/4000 K/6500 K</t>
  </si>
  <si>
    <t>ORBIS® CCT / DIM Click-CCT 410mm 24W</t>
  </si>
  <si>
    <t>ORBIS® CCT / DIM Remote-CCT 310mm 14W</t>
  </si>
  <si>
    <t>ORBIS® CCT / DIM Remote-CCT 410mm 25W</t>
  </si>
  <si>
    <t xml:space="preserve">ORBIS® Pure 300mm 14.5W </t>
  </si>
  <si>
    <t>14.50 W</t>
  </si>
  <si>
    <t xml:space="preserve">ORBIS® Pure 400mm 24W </t>
  </si>
  <si>
    <t>CEILING MOIA 280mm 20W White</t>
  </si>
  <si>
    <t>CEILING MOIA 280mm 20W Black</t>
  </si>
  <si>
    <t>CEILING MOIA 380mm 24W 830 WT</t>
  </si>
  <si>
    <t>CEILING MOIA 380mm 24W 830 BK</t>
  </si>
  <si>
    <t>CEILING MOIA 480mm 36W White</t>
  </si>
  <si>
    <t>CEILING MOIA 480mm 36W Black</t>
  </si>
  <si>
    <t>ORBIS MADRID 290 mm 2XE27 WT</t>
  </si>
  <si>
    <t>ORBIS MADRID 290 mm 2XE27 BK</t>
  </si>
  <si>
    <t>ORBIS MADRID 290 mm 2XE27 NK</t>
  </si>
  <si>
    <t>ORBIS MADRID 290 mm 2XE27 WD</t>
  </si>
  <si>
    <t>ORBIS PARIS 300 mm 1XE27 WT</t>
  </si>
  <si>
    <t>ORBIS PARIS 300 mm 1XE27 BG</t>
  </si>
  <si>
    <t>ORBIS PARIS 300 mm 1XE27 BK</t>
  </si>
  <si>
    <t>ORBIS PARIS 300 mm 1XE27 BW</t>
  </si>
  <si>
    <t>ORBIS PARIS 400 mm 2XE27 WT</t>
  </si>
  <si>
    <t>ORBIS PARIS 400 mm 2XE27 BG</t>
  </si>
  <si>
    <t>ORBIS PARIS 400 mm 2XE27 BK</t>
  </si>
  <si>
    <t>ORBIS PARIS 400 mm 2XE27 BW</t>
  </si>
  <si>
    <t>ORBIS PARIS 480 mm 3XE27 WT</t>
  </si>
  <si>
    <t>ORBIS PARIS 480 mm 3XE27 BG</t>
  </si>
  <si>
    <t>ORBIS PARIS 480 mm 3XE27 BK</t>
  </si>
  <si>
    <t>ORBIS PARIS 480 mm 3XE27 BW</t>
  </si>
  <si>
    <t>ORBIS MILAN 305 mm 2XE27 WT</t>
  </si>
  <si>
    <t>ORBIS MILAN 305 mm 2XE27 BK</t>
  </si>
  <si>
    <t>ORBIS MILAN 305 mm 2XE27 NK</t>
  </si>
  <si>
    <t>ORBIS MILAN 305 mm 2XE27 WD</t>
  </si>
  <si>
    <t>ORBIS BERLIN 300 mm 16W  830 SI</t>
  </si>
  <si>
    <t>ORBIS BERLIN 300 mm 16W  830 BK</t>
  </si>
  <si>
    <t>ORBIS BERLIN 390 mm 24W  830 SI</t>
  </si>
  <si>
    <t>ORBIS BERLIN 390 mm 24W  830 BK</t>
  </si>
  <si>
    <t>ORBIS BERLIN 490 mm 36W  830 SI</t>
  </si>
  <si>
    <t>ORBIS BERLIN 490 mm 36W  830 BK</t>
  </si>
  <si>
    <t>ORBIS DUBLIN 300 mm 16W  830 SI</t>
  </si>
  <si>
    <t>ORBIS DUBLIN 390 mm 24W  830 SI</t>
  </si>
  <si>
    <t>ORBIS DUBLIN 490 mm 36W  830 SI</t>
  </si>
  <si>
    <t xml:space="preserve">ORBIS LONDON 280 mm 16W  830 WT </t>
  </si>
  <si>
    <t>ORBIS LONDON 280 mm 16W  830 BK</t>
  </si>
  <si>
    <t>ORBIS LONDON 400 mm 24W  830 WT</t>
  </si>
  <si>
    <t>ORBIS LONDON 400 mm 24W 830 BK</t>
  </si>
  <si>
    <t>ORBIS LONDON 480 mm 36W  830 WT</t>
  </si>
  <si>
    <t>ORBIS LONDON 480 mm 36W 830 BK</t>
  </si>
  <si>
    <t>ORBIS SPIRAL ROUND 365mm 38W White</t>
  </si>
  <si>
    <t>ORBIS SPIRAL ROUND 505mm 42W White</t>
  </si>
  <si>
    <t>ORBIS SPIRAL ROUND 685mm 63W White</t>
  </si>
  <si>
    <t>63.00 W</t>
  </si>
  <si>
    <t>ORBIS SPIRAL OVAL 360mm 27W White</t>
  </si>
  <si>
    <t>ORBIS SPIRAL OVAL 485mm 37W White</t>
  </si>
  <si>
    <t>37.00 W</t>
  </si>
  <si>
    <t>ORBIS SPIRAL OVAL 720mm 63W White</t>
  </si>
  <si>
    <t>ORBIS SPIRAL MAIN AND SIDE LIGHT 400mm 27W White</t>
  </si>
  <si>
    <t>ORBIS SPIRAL MAIN AND SIDE LIGHT 505mm 42W White</t>
  </si>
  <si>
    <t>ORBIS SPIRAL LAYERS Round 38W White</t>
  </si>
  <si>
    <t>ORBIS SPIRAL LAYERS Square 26W White</t>
  </si>
  <si>
    <t>ORBIS CLICK SENSOR 440mm 32W</t>
  </si>
  <si>
    <t>ORBIS CLICK SENSOR 340mm 24W</t>
  </si>
  <si>
    <t>Essentials Ceiling 250mm 13W 3000K</t>
  </si>
  <si>
    <t>Essentials Ceiling 250mm 13W 4000K</t>
  </si>
  <si>
    <t>Essentials Ceiling 250mm 13W 6500K</t>
  </si>
  <si>
    <t xml:space="preserve">Essentials Ceiling 400mm 24W 3000K </t>
  </si>
  <si>
    <t>Essentials Ceiling 400mm 24W 4000K</t>
  </si>
  <si>
    <t xml:space="preserve">Essentials Ceiling 400mm 24W 6500K </t>
  </si>
  <si>
    <t>ESSENTIALS CEILING RETROFIT LUMINAIRE 250mm E27</t>
  </si>
  <si>
    <t>ESSENTIALS CEILING RETROFIT LUMINAIRE 350mm 2xE27</t>
  </si>
  <si>
    <t>FLEX INDOOR AUDIO USB COLOR SENSOR 2M RGB Color Sensor USB</t>
  </si>
  <si>
    <t>1.80 W</t>
  </si>
  <si>
    <t>FLEX AUDIO USB WITH REMOTE CONTROL 2M RGB</t>
  </si>
  <si>
    <t>3.60 W</t>
  </si>
  <si>
    <t>FLEX  AUDIO WITH REMOTE CONTROL 3M RGB + RC</t>
  </si>
  <si>
    <t>FLEX  AUDIO WITH REMOTE CONTROL 5M RGB + RC</t>
  </si>
  <si>
    <t>FLEX RGB WITH REMOTE CONTROL 3M RGB + RC</t>
  </si>
  <si>
    <t>FLEX RGB WITH REMOTE CONTROL 5M RGB + RC</t>
  </si>
  <si>
    <t>NEONFLEX USB WITH REMOTE CONTROL 2M RGB USB + RC</t>
  </si>
  <si>
    <t>SMART+ WIFI OUTDOOR FLEX 3M RGB TW</t>
  </si>
  <si>
    <t>SMART+ WIFI OUTDOOR FLEX 5M RGB TW</t>
  </si>
  <si>
    <t>COB STRIPS CCT WITH REMOTE CONTROL 1.5M TW + RC</t>
  </si>
  <si>
    <t>COB STRIPS CCT WITH REMOTE CONTROL 5M TW + RC</t>
  </si>
  <si>
    <t>COB STRIPS WHITE 1.5M 3000K</t>
  </si>
  <si>
    <t>7.50 W</t>
  </si>
  <si>
    <t>COB STRIPS WHITE 5M 3000K</t>
  </si>
  <si>
    <t>COB STRIPS 5M 3000K</t>
  </si>
  <si>
    <t>COB STRIPS 3M 3000K</t>
  </si>
  <si>
    <t>SMART+ FLEX MULTICOLOR EXTENDABLE 2M RGB + TW</t>
  </si>
  <si>
    <t>8.50 W</t>
  </si>
  <si>
    <t>SMART+ FLEX MULTICOLOR EXT 1M RGB + TW</t>
  </si>
  <si>
    <t xml:space="preserve">SMART+ Flex RGBW 3P RGB + TW </t>
  </si>
  <si>
    <t>2000…6500 K</t>
  </si>
  <si>
    <t xml:space="preserve">SMART+ Flex RGBW 2P EXT RGB + W </t>
  </si>
  <si>
    <t>FLEX TV MOOD LIGHT 3500K USB</t>
  </si>
  <si>
    <t>2.70 W</t>
  </si>
  <si>
    <t>3500 K</t>
  </si>
  <si>
    <t>FLEX TV MOOD LIGHT WITH REMOTE CONTROL RGB USB + RC</t>
  </si>
  <si>
    <t>4.20 W</t>
  </si>
  <si>
    <t>RGB</t>
  </si>
  <si>
    <t>Smart+ Neon Flex Multicolor 3M RGB + TW</t>
  </si>
  <si>
    <t>Smart+ Neon Flex Multicolor 5M RGB + TW</t>
  </si>
  <si>
    <t>SMART+ Outdoor Flex Multicolor RGBW</t>
  </si>
  <si>
    <t>2000 … 6500 K</t>
  </si>
  <si>
    <t>NEON DIGITAL FLEX 3M RGB + RC</t>
  </si>
  <si>
    <t>NEON DIGITAL FLEX 5M RGB + RC</t>
  </si>
  <si>
    <t xml:space="preserve">NEON FLEX 3M 3000K </t>
  </si>
  <si>
    <t>NEON FLEX 5M 3000K</t>
  </si>
  <si>
    <t>29.00 W</t>
  </si>
  <si>
    <t>SMART+ UNDERCABINET ROUND TUNABLE WHITE 83mm TW</t>
  </si>
  <si>
    <t>SMART+ UNDERCABINET SLIM TUNABLE WHITE 50x3.75 TW</t>
  </si>
  <si>
    <t>SMART+ UNDERCABINET SLIM TUNABLE WHITE 50x3.75 TW EXT</t>
  </si>
  <si>
    <t>SMART+ UNDERCABINET TUNABLE WHITE 45.7x6.5 TW</t>
  </si>
  <si>
    <t>SMART+ UNDERCABINET TUNABLE WHITE 60x6.5 TW</t>
  </si>
  <si>
    <t>SMART+ UNDERCABINET PANEL TUNABLE WHITE 300x200mm TW</t>
  </si>
  <si>
    <t>SMART+ UNDERCABINET PANEL TUNABLE WHITE 300x200mm TW EXT</t>
  </si>
  <si>
    <t>6.80 W</t>
  </si>
  <si>
    <t>SMART+ WIFI UNDERCABINET SELECT SENSOR 7W</t>
  </si>
  <si>
    <t>LINEAR FLAT SOCKET USB 540mm 10W 4000K</t>
  </si>
  <si>
    <t>Spot Puck 65mm 3 x 3W White</t>
  </si>
  <si>
    <t>Spot Puck 65mm 3 x 3W Black</t>
  </si>
  <si>
    <t>Spot Magnet 75mm 8.5W 3000K</t>
  </si>
  <si>
    <t>Linear LED Mobile USB 400mm</t>
  </si>
  <si>
    <t>3.20 W</t>
  </si>
  <si>
    <t>Linear LED Mobile USB 600mm</t>
  </si>
  <si>
    <t xml:space="preserve">LINEAR LED SWIVEL MOBILE SENSOR 5W 3000K </t>
  </si>
  <si>
    <t>LINEAR LED FLIP SENSOR 5W 3000K</t>
  </si>
  <si>
    <t>4.50 W</t>
  </si>
  <si>
    <t>Cabinet LED Slim 300mm</t>
  </si>
  <si>
    <t>Cabinet LED Slim 300mm Two Light</t>
  </si>
  <si>
    <t>Cabinet LED Slim 500mm</t>
  </si>
  <si>
    <t>Cabinet LED Slim 500mm Two Light</t>
  </si>
  <si>
    <t>Cabinet LED Corner 350mm</t>
  </si>
  <si>
    <t>Cabinet LED Corner 350mm Two Light</t>
  </si>
  <si>
    <t>Cabinet LED Corner 550mm</t>
  </si>
  <si>
    <t xml:space="preserve">Cabinet LED Corner 550mm Two Light </t>
  </si>
  <si>
    <t>Cabinet LED Panel 300x200mm</t>
  </si>
  <si>
    <t xml:space="preserve">Cabinet LED Panel 300x200mm Two Light </t>
  </si>
  <si>
    <t>Cabinet LED Panel 300x100mm</t>
  </si>
  <si>
    <t xml:space="preserve">Cabinet LED Panel 300x100mm Two Light </t>
  </si>
  <si>
    <t>Linear LED Slim 300mm</t>
  </si>
  <si>
    <t>Linear LED Slim 500mm</t>
  </si>
  <si>
    <t>Linear LED Slim RGBW 300mm + RC</t>
  </si>
  <si>
    <t>Linear LED Slim RGBW 500mm + RC</t>
  </si>
  <si>
    <t>Linear LED Turn 357mm</t>
  </si>
  <si>
    <t>Linear LED Turn 557mm</t>
  </si>
  <si>
    <t>LinearLED Flat® Eco 6W 3000K</t>
  </si>
  <si>
    <t>LinearLED Flat® Eco 6W 4000K</t>
  </si>
  <si>
    <t>LinearLED Flat® Sensor 12W 3000K</t>
  </si>
  <si>
    <t>LinearLED Flat® Sensor 12W 4000K</t>
  </si>
  <si>
    <t>Office Line Double Rotatable 0.6M 24W 840</t>
  </si>
  <si>
    <t>Office Line Double Rotatable 1.1M 42W 840</t>
  </si>
  <si>
    <t>Office Line Curve 0.6M 24W 840</t>
  </si>
  <si>
    <t>Office Line Curve 1.1M 41W 840</t>
  </si>
  <si>
    <t>41.00 W</t>
  </si>
  <si>
    <t>Office Line Double Wrap 0.6M 20W 840 DIM RC</t>
  </si>
  <si>
    <t>Office Line Double Wrap 1.2M 40W 840 DIM RC</t>
  </si>
  <si>
    <t>LED OFFICE LINE 0.6M 25W 4000K</t>
  </si>
  <si>
    <t>LED OFFICE LINE 1.2M 48W 4000K</t>
  </si>
  <si>
    <t>LED Sensor Batten 320mm 4W 3000K</t>
  </si>
  <si>
    <t>LED Sensor Batten 600mm 8W 3000K</t>
  </si>
  <si>
    <t>LED Sensor Batten 1200mm 14W 3000K</t>
  </si>
  <si>
    <t>LED VALUE BATTEN 600 mm 10 W 4000 K</t>
  </si>
  <si>
    <t>LED VALUE BATTEN 1200 mm 20 W 4000 K</t>
  </si>
  <si>
    <t>LED VALUE BATTEN 1500 mm 24 W 4000 K</t>
  </si>
  <si>
    <t>LED SWITCH BATTEN 300 mm 4 W 3000 K</t>
  </si>
  <si>
    <t>LED SWITCH BATTEN 300 mm 4 W 4000 K</t>
  </si>
  <si>
    <t>LED SWITCH BATTEN 600 mm 8 W 3000 K</t>
  </si>
  <si>
    <t>LED SWITCH BATTEN 600 mm 8 W 4000 K</t>
  </si>
  <si>
    <t>LED SWITCH BATTEN 900 mm 10 W 3000 K</t>
  </si>
  <si>
    <t>LED SWITCH BATTEN 900 mm 10 W 4000 K</t>
  </si>
  <si>
    <t>LED SWITCH BATTEN 1200 mm 14 W 3000 K</t>
  </si>
  <si>
    <t>LED SWITCH BATTEN 1200 mm 14 W 4000 K</t>
  </si>
  <si>
    <t>LED POWER BATTEN 600 mm 12 W 3000 K</t>
  </si>
  <si>
    <t>LED POWER BATTEN 600 mm 12 W 4000 K</t>
  </si>
  <si>
    <t>LED POWER BATTEN 600 mm 24 W 3000 K</t>
  </si>
  <si>
    <t>LED POWER BATTEN 600 mm 24 W 4000 K</t>
  </si>
  <si>
    <t>LED POWER BATTEN 1200 mm 24 W 3000 K</t>
  </si>
  <si>
    <t>LED POWER BATTEN 1200 mm 24 W 4000 K</t>
  </si>
  <si>
    <t>LED POWER BATTEN 1200 mm 50 W 3000 K</t>
  </si>
  <si>
    <t>LED POWER BATTEN 1200 mm 50 W 4000 K</t>
  </si>
  <si>
    <t>TubeKIT™ 600mm 8.9W 3000K</t>
  </si>
  <si>
    <t>8.90 W</t>
  </si>
  <si>
    <t>TubeKIT™ 600mm 8.9W 4000K</t>
  </si>
  <si>
    <t>TubeKIT™ 1200mm 19W 3000K</t>
  </si>
  <si>
    <t>TubeKIT™ 1200mm 19W 4000K</t>
  </si>
  <si>
    <t>TubeKIT™ 1500mm 21.5W 3000K</t>
  </si>
  <si>
    <t>21.50 W</t>
  </si>
  <si>
    <t>TubeKIT™ 1500mm 21.5W 4000K</t>
  </si>
  <si>
    <t>Sun@Home Workspace Ceiling Ceiling</t>
  </si>
  <si>
    <t>2200…5000 K</t>
  </si>
  <si>
    <t>Sun@Home Workspace Ceiling Suspended Ceiling Suspended</t>
  </si>
  <si>
    <t>Sun@Home Panan Desk Disc Disc Inductive Charging Black</t>
  </si>
  <si>
    <t>Sun@Home Panan Desk Disc Disc Inductive Charging White</t>
  </si>
  <si>
    <t>Sun@Home Panan Desk Disc Clip Disc Clip Black</t>
  </si>
  <si>
    <t>Sun@Home Panan Desk Disc Clip Disc Clip White</t>
  </si>
  <si>
    <t>Sun@Home Office Light Floor</t>
  </si>
  <si>
    <t>Sun@Home Office Light Desk</t>
  </si>
  <si>
    <t>Sun@Home Office Light Monitor clip lamp</t>
  </si>
  <si>
    <t>PANAN FOLD DIM 4000K</t>
  </si>
  <si>
    <t>5.20 W</t>
  </si>
  <si>
    <t>PANAN CLIP SQUARE DIM 4000K</t>
  </si>
  <si>
    <t>PANAN® Disc Single White DIM 3000K</t>
  </si>
  <si>
    <t>PANAN® Alu CCT Black DIM</t>
  </si>
  <si>
    <t>Smart+ Table Frame Maxi Multicolor USB RGB + W</t>
  </si>
  <si>
    <t>SMART+ TABLE FRAME MULTICOLOR USB RGB + W</t>
  </si>
  <si>
    <t xml:space="preserve">Smart+ Rotary Updown Multicolor RGB + W </t>
  </si>
  <si>
    <t xml:space="preserve">Smart+ Eclipse Wall Multicolor RGB + W  </t>
  </si>
  <si>
    <t xml:space="preserve">Smart+ Eclipse Pathway Multicolor 50cm RGB + W </t>
  </si>
  <si>
    <t>Smart+ Eclipse Pathway Multicolor 80cm RGB + W</t>
  </si>
  <si>
    <t xml:space="preserve">Smart+ Trunk Wall Multicolor RGB + W </t>
  </si>
  <si>
    <t>Smart+ Trunk Pathway Multicolor 50cm RGB + W</t>
  </si>
  <si>
    <t>Smart+ Trunk Pathway Multicolor 80cm RGB + W</t>
  </si>
  <si>
    <t>Smart+ Swing Round Wall Tunable White TW</t>
  </si>
  <si>
    <t>6.70 W</t>
  </si>
  <si>
    <t>Smart+ Swing Round Pathway Tunable White 70cm TW</t>
  </si>
  <si>
    <t>Smart+ Beam Adjust Wall Multicolor RGB + TW</t>
  </si>
  <si>
    <t>3000...6500 K</t>
  </si>
  <si>
    <t>Smart+ Brick Multicolor UpDown RGB + W</t>
  </si>
  <si>
    <t>Smart+ Brick Multicolor Wide UpDown RGB + W</t>
  </si>
  <si>
    <t xml:space="preserve">Smart+ Curve Multicolor RGB + W  </t>
  </si>
  <si>
    <t>Smart+ Pipe Multicolor Wall RGB + W</t>
  </si>
  <si>
    <t>Smart+ Pipe Multicolor 50cm Post RGB + W</t>
  </si>
  <si>
    <t>Smart+ Pipe Multicolor 80cm Post RGB + W</t>
  </si>
  <si>
    <t>Smart+ Cascade Multicolor Wall</t>
  </si>
  <si>
    <t>Smart+ Cascade Multicolor 50cm Post</t>
  </si>
  <si>
    <t>Smart+ Cascade Multicolor 80cm Post</t>
  </si>
  <si>
    <t>Smart+ Up Down Flare Multicolor Wall UpDown RGB + W</t>
  </si>
  <si>
    <t>Smart+ Up Down Flare Multicolor 50cm Post UpDown RGB + W</t>
  </si>
  <si>
    <t>Smart+ Up Down Flare Multicolor 80cm Post UpDown RGB + W</t>
  </si>
  <si>
    <t>Smart+ Cube Multicolor UpDown RGB + W</t>
  </si>
  <si>
    <t>Smart+ Cube Multicolor Wall RGB + W</t>
  </si>
  <si>
    <t>Smart+ Cube Multicolor Post 50cm RGB + W</t>
  </si>
  <si>
    <t xml:space="preserve">Smart+ Cube Multicolor Post 80cm RGB + W </t>
  </si>
  <si>
    <t>Smart+ Flare Multicolor RGB + W</t>
  </si>
  <si>
    <t>Smart+ Flare Multicolor 60cm RGB + W</t>
  </si>
  <si>
    <t>Smart+ Modern Lantern Multicolor Wall Multicolor</t>
  </si>
  <si>
    <t>Endura Style Dallas Wall Dark Gray</t>
  </si>
  <si>
    <t>Endura Style Rondo Wall Stainless Steel</t>
  </si>
  <si>
    <t>Endura Style Rondo Wall Sensor Stainless Steel</t>
  </si>
  <si>
    <t>Endura Style Rondo Wall Dark Gray</t>
  </si>
  <si>
    <t>Endura Style Rondo Wall Sensor Dark Gray</t>
  </si>
  <si>
    <t>Endura Style Table CCT USB Beige</t>
  </si>
  <si>
    <t>Endura Style Table CCT USB Dark Gray</t>
  </si>
  <si>
    <t>Endura Style Table CCT USB Magenta</t>
  </si>
  <si>
    <t>Endura Style Sensor USB Adjustable Beam Dark Gray</t>
  </si>
  <si>
    <t>Endura Style Entrance Sensor Dark Gray</t>
  </si>
  <si>
    <t>Endura Style Entrance Dark Gray</t>
  </si>
  <si>
    <t>ENDURA STYLE DISC Wall 8W</t>
  </si>
  <si>
    <t>ENDURA STYLE DISC Wall Sensor 8W</t>
  </si>
  <si>
    <t>ENDURA STYLE BAT Wall</t>
  </si>
  <si>
    <t>ENDURA STYLE BAT 50cm Post</t>
  </si>
  <si>
    <t>ENDURA STYLE BAT 80cm Post</t>
  </si>
  <si>
    <t>ENDURA STYLE CRYSTAL Wall UpDown 9W</t>
  </si>
  <si>
    <t>ENDURA STYLE CRYSTAL Wall Sensor 4.9W</t>
  </si>
  <si>
    <t>4.90 W</t>
  </si>
  <si>
    <t>ENDURA STYLE CRYSTAL Wall 4.5W</t>
  </si>
  <si>
    <t xml:space="preserve">ENDURA STYLE CRYSTAL Torch Sensor 4.9W </t>
  </si>
  <si>
    <t>ENDURA STYLE CRYSTAL Torch 4.5W</t>
  </si>
  <si>
    <t>ENDURA STYLE CRYSTAL 80cm Post 4.5W</t>
  </si>
  <si>
    <t>ENDURA STYLE CRYSTAL 40cm Post 4.5W</t>
  </si>
  <si>
    <t>ENDURA STYLE PYRAMID Wall 9W</t>
  </si>
  <si>
    <t>ENDURA STYLE PYRAMID 50cm Post 9W</t>
  </si>
  <si>
    <t>ENDURA STYLE PYRAMID 80cm Post 9W</t>
  </si>
  <si>
    <t>ENDURA® STYLE LANTERN MODERN Modern 12W</t>
  </si>
  <si>
    <t>ENDURA® STYLE LANTERN MODERN Modern 50cm 12W</t>
  </si>
  <si>
    <t>ENDURA® STYLE LANTERN MODERN Modern 90cm 12W</t>
  </si>
  <si>
    <t>ENDURA STYLE BOW Wall</t>
  </si>
  <si>
    <t>ENDURA STYLE EDGE Wall UpDown 7W</t>
  </si>
  <si>
    <t>ENDURA STYLE PLATE Wall 12W</t>
  </si>
  <si>
    <t>ENDURA STYLE PLATE Wall Sensor 12,5W</t>
  </si>
  <si>
    <t>ENDURA® STYLE UPDOWN FLEX 13W Dark Gray</t>
  </si>
  <si>
    <t>ENDURA® STYLE UPDOWN DECO I 6W Dark Gray</t>
  </si>
  <si>
    <t>ENDURA® STYLE UPDOWN DECO II 11W Dark Gray</t>
  </si>
  <si>
    <t>10.50 W</t>
  </si>
  <si>
    <t>ENDURA® STYLE UPDOWN PUCK 13W Dark Gray</t>
  </si>
  <si>
    <t>ENDURA® STYLE UPDOWN PUCK 13W White</t>
  </si>
  <si>
    <t>ENDURA® STYLE UPDOWN 12W Aluminium</t>
  </si>
  <si>
    <t>ENDURA® STYLE UPDOWN 12W Dark Gray</t>
  </si>
  <si>
    <t>ENDURA® STYLE UPDOWN 12W White</t>
  </si>
  <si>
    <t>ENDURA® STYLE WALL WIDE 12W Dark Gray</t>
  </si>
  <si>
    <t>11.50 W</t>
  </si>
  <si>
    <t>ENDURA® STYLE WALL 12W Dark Gray</t>
  </si>
  <si>
    <t>ENDURA® STYLE MINI SPOT I 8W Dark Gray</t>
  </si>
  <si>
    <t>ENDURA® STYLE MINI SPOT I 8W White</t>
  </si>
  <si>
    <t>ENDURA® STYLE MINI SPOT II 13.5W Dark Gray</t>
  </si>
  <si>
    <t>13.50 W</t>
  </si>
  <si>
    <t>ENDURA® STYLE MINI SPOT II 13.5W White</t>
  </si>
  <si>
    <t>ENDURA® STYLE MIDI SPOT I 13.5W</t>
  </si>
  <si>
    <t xml:space="preserve">ENDURA® STYLE MIDI SPOT II 20.5W </t>
  </si>
  <si>
    <t>20.50 W</t>
  </si>
  <si>
    <t>ENDURA® STYLE SPOT ROUND 8W Dark Gray</t>
  </si>
  <si>
    <t xml:space="preserve">ENDURA® STYLE WIDE 12W Dark Gray </t>
  </si>
  <si>
    <t>ENDURA® STYLE WIDE 12W White</t>
  </si>
  <si>
    <t>ENDURA® STYLE RING 13.5W Dark Gray</t>
  </si>
  <si>
    <t>ENDURA® STYLE SQUARE 13.5W Dark Gray</t>
  </si>
  <si>
    <t>ENDURA® STYLE SQUARE 13.5W White</t>
  </si>
  <si>
    <t>ENDURA® STYLE SHIELD Round 11W Dark Gray</t>
  </si>
  <si>
    <t>ENDURA® STYLE SHIELD Square 11W Dark Gray</t>
  </si>
  <si>
    <t>ENDURA STYLE FLARE Flare Wall 7W</t>
  </si>
  <si>
    <t>ENDURA STYLE FLARE Flare 60cm Post 7W</t>
  </si>
  <si>
    <t>ENDURA® STYLE ELLIPSE 13W</t>
  </si>
  <si>
    <t>ENDURA® STYLE ELLIPSE 50cm 13W</t>
  </si>
  <si>
    <t>ENDURA® STYLE ELLIPSE 90cm 13W</t>
  </si>
  <si>
    <t>ENDURA® STYLE CYLINDER Wall 6W</t>
  </si>
  <si>
    <t>ENDURA® STYLE CYLINDER Wall Sensor 6W</t>
  </si>
  <si>
    <t>ENDURA® STYLE CYLINDER 50cm 6W</t>
  </si>
  <si>
    <t xml:space="preserve">ENDURA® STYLE CYLINDER 80cm 6W </t>
  </si>
  <si>
    <t>ENDURA® STYLE CYLINDER Ceiling 6W</t>
  </si>
  <si>
    <t>Endura Classic IP65 E27 Orbi Wall Dark Gray</t>
  </si>
  <si>
    <t>Endura Classic IP65 E27 Orbick Wall Dark Gray</t>
  </si>
  <si>
    <t>Endura Classic IP65 E27 Rado Wall Dark Gray</t>
  </si>
  <si>
    <t>Endura Classic IP65 E27 Radick Wall Dark Gray</t>
  </si>
  <si>
    <t>Endura Classic IP65 E27 Cuadra Wall Dark Gray</t>
  </si>
  <si>
    <t>Endura Classic Figo Square Wall Sensor E27 Dark Gray</t>
  </si>
  <si>
    <t>Endura Classic Figo Square 49cm Sensor E27 Dark Gray</t>
  </si>
  <si>
    <t>Endura Classic Figo Cylinder Wall Sensor E27 Dark Gray</t>
  </si>
  <si>
    <t>Endura Classic Figo Cylinder 49cm Sensor E27 Dark Gray</t>
  </si>
  <si>
    <t>Endura Classic Ebro Wall Sensor E27 Stainless Steel</t>
  </si>
  <si>
    <t>Endura Classic Ebro 49cm Sensor E27 Stainless Steel</t>
  </si>
  <si>
    <t>Endura Classic Ebro Wall Sensor E27 Dark Gray</t>
  </si>
  <si>
    <t>Endura Classic Ebro 49cm Sensor E27 Dark Gray</t>
  </si>
  <si>
    <t>Endura Classic Amber Wall E27 Dark Gray</t>
  </si>
  <si>
    <t>Endura Classic Amber 50cm E27 Dark Gray</t>
  </si>
  <si>
    <t>Endura Classic Ebro 49cm E27 Stainless Steel</t>
  </si>
  <si>
    <t>Endura Classic Ebro Wall E27 Stainless Steel</t>
  </si>
  <si>
    <t>Endura Classic Figo Cylinder Wall E27 Dark Gray</t>
  </si>
  <si>
    <t>Endura Classic Ebro Wall E27 Dark Gray</t>
  </si>
  <si>
    <t>Endura Classic Ebro 49cm E27 Dark Gray</t>
  </si>
  <si>
    <t>ENDURA® TUBULAR Wall E27</t>
  </si>
  <si>
    <t>ENDURA® CLASSIC LANTERN CYLINDER Cylinder E27 Black</t>
  </si>
  <si>
    <t>ENDURA® CLASSIC LANTERN CYLINDER Cylinder E27 White</t>
  </si>
  <si>
    <t>ENDURA® CLASSIC LANTERN CYLINDER Cylinder E27 Wood</t>
  </si>
  <si>
    <t>ENDURA® CLASSIC LANTERN Square S E27</t>
  </si>
  <si>
    <t>ENDURA® CLASSIC LANTERN Square M E27</t>
  </si>
  <si>
    <t>ENDURA® CLASSIC PIPE Wall E27 Amber</t>
  </si>
  <si>
    <t>ENDURA® CLASSIC PIPE 50cm Post E27 Amber</t>
  </si>
  <si>
    <t>ENDURA® CLASSIC PIPE 80cm Post E27 Amber</t>
  </si>
  <si>
    <t>ENDURA® CLASSIC CASCADE Wall E27 Amber</t>
  </si>
  <si>
    <t>ENDURA® CLASSIC CASCADE 50cm Post E27 Amber</t>
  </si>
  <si>
    <t>ENDURA® CLASSIC CASCADE 80cm Post E27 Amber</t>
  </si>
  <si>
    <t>ENDURA® CLASSIC CASCADE Wall E27 Clear</t>
  </si>
  <si>
    <t>ENDURA® CLASSIC CASCADE 50cm Post E27 Clear</t>
  </si>
  <si>
    <t>ENDURA® CLASSIC CASCADE 80cm Post E27 Clear</t>
  </si>
  <si>
    <t>ENDURA® FRAME Wall E27</t>
  </si>
  <si>
    <t>ENDURA® FRAME 60cm Post E27</t>
  </si>
  <si>
    <t>ENDURA® FRAME 80cm Post E27</t>
  </si>
  <si>
    <t>ENDURA CLASSIC CALICE Wall Sensor E27</t>
  </si>
  <si>
    <t>ENDURA CLASSIC CALICE Wall E27</t>
  </si>
  <si>
    <t>ENDURA CLASSIC CALICE 80cm Post E27</t>
  </si>
  <si>
    <t>ENDURA CLASSIC CALICE 50cm Post E27</t>
  </si>
  <si>
    <t>ENDURA® CLASSIC TRADITION ALU Up Sensor E27 Gold</t>
  </si>
  <si>
    <t>ENDURA® CLASSIC TRADITION ALU Up E27 Gold</t>
  </si>
  <si>
    <t>ENDURA® CLASSIC TRADITION ALU Down E27 Gold</t>
  </si>
  <si>
    <t>ENDURA® CLASSIC TRADITION ALU 1M E27 Gold</t>
  </si>
  <si>
    <t>ENDURA® CLASSIC TRADITION ALU 33cm E27 Gold</t>
  </si>
  <si>
    <t>ENDURA® CLASSIC POST Down E27</t>
  </si>
  <si>
    <t>ENDURA® CLASSIC POST Up E27</t>
  </si>
  <si>
    <t>ENDURA® CLASSIC POST Sensor Up E27</t>
  </si>
  <si>
    <t>ENDURA® CLASSIC POST 55cm E27</t>
  </si>
  <si>
    <t>ENDURA® CLASSIC POST 80cm E27</t>
  </si>
  <si>
    <t>Endura Classic IP65 GU10 Isidor Wall Dark Gray</t>
  </si>
  <si>
    <t>Endura Classic IP65 GU10 Isidor Wall Sensor Dark Gray</t>
  </si>
  <si>
    <t>Endura Classic IP65 GU10 Itys Wall Dark Gray</t>
  </si>
  <si>
    <t>Endura Classic IP65 GU10 Ive Wall Dark Gray</t>
  </si>
  <si>
    <t xml:space="preserve">Endura Classic Square Down White </t>
  </si>
  <si>
    <t>Endura Classic Square UpDown White</t>
  </si>
  <si>
    <t>Endura Classic Square Down Black</t>
  </si>
  <si>
    <t>Endura Classic Square UpDown Black</t>
  </si>
  <si>
    <t xml:space="preserve">Endura Classic Cube ADJ Wall Adjustable Wall Black </t>
  </si>
  <si>
    <t>Endura Classic Cube ADJ Wall Adjustable Wall Silver</t>
  </si>
  <si>
    <t>Endura Classic Cube ADJ Wall Adjustable Wall White</t>
  </si>
  <si>
    <t>Endura Classic Rotary Updown UpDown</t>
  </si>
  <si>
    <t>ENDURA® CANNON Wall Up GU10</t>
  </si>
  <si>
    <t>ENDURA® CANNON Wall UpDown GU10</t>
  </si>
  <si>
    <t>ENDURA® BEAM Gap Wall Down GU10</t>
  </si>
  <si>
    <t>ENDURA® BEAM Wall Down GU10</t>
  </si>
  <si>
    <t>ENDURA® BEAM Gap Wall UpDown GU10</t>
  </si>
  <si>
    <t>ENDURA® BEAM Wall UpDown GU10</t>
  </si>
  <si>
    <t xml:space="preserve">Endura Classic Spot Square Square Wall </t>
  </si>
  <si>
    <t>Endura Hybrid Components Solar Panel Black</t>
  </si>
  <si>
    <t>Endura Hybrid Components Connector Set Black</t>
  </si>
  <si>
    <t>Endura Hybrid Components Transformator Black</t>
  </si>
  <si>
    <t>Endura Hybrid Ground Naut Spike 2W Black</t>
  </si>
  <si>
    <t>Endura Hybrid Ground Spot Spike 1W Black</t>
  </si>
  <si>
    <t>Endura Hybrid Ground Rota Spike 1W Black</t>
  </si>
  <si>
    <t>Endura Hybrid Ground Ball 2W White</t>
  </si>
  <si>
    <t>Endura Hybrid Bollard Mari 48cm 4W Stainless Steel</t>
  </si>
  <si>
    <t>Endura Hybrid Bollard Orion 50cm 2W Stainless Steel</t>
  </si>
  <si>
    <t>Endura Hybrid Bollard Orion Double 50cm 4W Stainless Steel</t>
  </si>
  <si>
    <t>Endura Hybrid Bollard Hagen 48cm 4W Stainless Steel</t>
  </si>
  <si>
    <t>Endura Hybrid Bollard Dallas 50cm 4W Dark Gray</t>
  </si>
  <si>
    <t>Endura Hybrid Bollard Venus 50cm 4W Dark Gray</t>
  </si>
  <si>
    <t>Endura Hybrid Bollard Olona 50cm 2W Dark Gray</t>
  </si>
  <si>
    <t>Endura Hybrid Bollard Rondo 50cm 4W Dark Gray</t>
  </si>
  <si>
    <t>Smart+ Solar Alps Wall Multicolor RGB + W</t>
  </si>
  <si>
    <t>Smart+ Solar Alps Pathway Multicolor 70cm RGB + W</t>
  </si>
  <si>
    <t>Smart+ Solar Spot&amp;Bollard Multicolor RGB + W</t>
  </si>
  <si>
    <t>2x1 W</t>
  </si>
  <si>
    <t>Smart+ Solar Path Multicolor RGB + TW</t>
  </si>
  <si>
    <t>0.12 W</t>
  </si>
  <si>
    <t>Smart+ Solar Spot Multicolor RGB + TW</t>
  </si>
  <si>
    <t>Smart+ Solar Table Frame Multicolor RGB + W</t>
  </si>
  <si>
    <t>2,5 W</t>
  </si>
  <si>
    <t>Smart+ Solar Table Lantern Multicolor RGB + W</t>
  </si>
  <si>
    <t>3,0 W</t>
  </si>
  <si>
    <t>Endura Style Solar Utili Square Wall and Ground Dark Gray</t>
  </si>
  <si>
    <t>Endura Style Solar Utili Round Wall and Ground Dark Gray</t>
  </si>
  <si>
    <t>Endura Style Solar Wall Quadro Dark Gray</t>
  </si>
  <si>
    <t>Endura Style Solar Wall Oxford Dark Gray</t>
  </si>
  <si>
    <t>Endura Style solar GLOW Wall Sensor 3.6W 3000K</t>
  </si>
  <si>
    <t>Endura Style solar WALL Sensor Wall Sensor 6W 3000K</t>
  </si>
  <si>
    <t>Endura Style solar WALL Sensor Wall Sensor 6W 4000K</t>
  </si>
  <si>
    <t>Endura Style solar WALL Sensor Wall Sensor 4W 3000K</t>
  </si>
  <si>
    <t>Endura Style solar Lunar Wall Sensor 4.5W 3000K</t>
  </si>
  <si>
    <t>Endura Style solar Tossa Wall Sensor 6W 3000K</t>
  </si>
  <si>
    <t>ENDURA® STYLE SOLAR SINGLE CIRCLE Wall Sensor Single Circle 6W Black</t>
  </si>
  <si>
    <t>ENDURA GARDEN SPOT Wall + Spike RGB + W</t>
  </si>
  <si>
    <t>ENDURA STYLE SOLAR BOUQUET Wall Sensor 6W Stainless Steel</t>
  </si>
  <si>
    <t>ENDURA STYLE SOLAR BOUQUET 50cm Post Sensor 6W Stainless Steel</t>
  </si>
  <si>
    <t>ENDURA STYLE SOLAR BOUQUET Wall Sensor 6W Black</t>
  </si>
  <si>
    <t>ENDURA STYLE SOLAR BOUQUET 50cm Post Sensor 6W Black</t>
  </si>
  <si>
    <t>ENDURA® STYLE SOLAR DOUBLE CIRCLE Wall Sensor Double Circle 6W Stainless Steel</t>
  </si>
  <si>
    <t>ENDURA® STYLE SOLAR DOUBLE CIRCLE 40cm Post Sensor Double Circle 6W Stainless Steel</t>
  </si>
  <si>
    <t>ENDURA® STYLE SOLAR DOUBLE CIRCLE Wall Sensor Double Circle 6W Black</t>
  </si>
  <si>
    <t>ENDURA® STYLE SOLAR DOUBLE CIRCLE 40cm Post Sensor Double Circle 6W Black</t>
  </si>
  <si>
    <t>ENDURA Flood  Solar Butterfly Solar Sensor 1.5W</t>
  </si>
  <si>
    <t>ENDURA Flood  Solar Butterfly Solar Sensor 4W</t>
  </si>
  <si>
    <t>ENDURA Flood  Solar Butterfly Solar Sensor 8W</t>
  </si>
  <si>
    <t xml:space="preserve">ENDURA® FLOOD Solar Sensor 10 W 4000 K </t>
  </si>
  <si>
    <t xml:space="preserve">ENDURA STYLE SOLAR DOUBLE 2 W 3000 K </t>
  </si>
  <si>
    <t>2,9 W</t>
  </si>
  <si>
    <t>Smart+ Stringlight Multicolor RGB + W</t>
  </si>
  <si>
    <t>2200 K</t>
  </si>
  <si>
    <t xml:space="preserve">Smart+ Garden Pole Multicolor 5 Pole Mini RGB + W </t>
  </si>
  <si>
    <t>3.80 W</t>
  </si>
  <si>
    <t>Smart+ Garden Pole Multicolor Pole RGB + W</t>
  </si>
  <si>
    <t>5.70 W</t>
  </si>
  <si>
    <t>Smart+ Garden Pole Multicolor Pole Mini 3P Ext RGB + W</t>
  </si>
  <si>
    <t>Smart+ Garden Pole Multicolor Pole 3P Ext RGB + W</t>
  </si>
  <si>
    <t>3.10 W</t>
  </si>
  <si>
    <t>Smart+ Garden Spot Multicolor Spot RGB + W</t>
  </si>
  <si>
    <t>Smart+ Garden Spot Multicolor Spot 1P Ext RGB + W</t>
  </si>
  <si>
    <t>Smart+ Garden Spot Multicolor Spot 3P RGB + W</t>
  </si>
  <si>
    <t>Smart+ Garden Dot Multicolor Dot 9P RGB</t>
  </si>
  <si>
    <t>Smart+ Garden Dot Multicolor Dot 18P RGB</t>
  </si>
  <si>
    <t>Smart+ Garden Dot Multicolor Dot 3P Ext RGB</t>
  </si>
  <si>
    <t>Smart+ Garden Pole Multicolor 3P RGB + W</t>
  </si>
  <si>
    <t>Smart+ Garden Pole Multicolor Mini 3P RGB + W</t>
  </si>
  <si>
    <t>2.10 W</t>
  </si>
  <si>
    <t>Endura Garden SpotSpike Spike</t>
  </si>
  <si>
    <t>ENDURA GARDEN DOT 9 Dots 3000K</t>
  </si>
  <si>
    <t>ENDURA GARDEN DOT 18 Dots 3000K</t>
  </si>
  <si>
    <t>ENDURA GARDEN DOT 3 Dots Extension 3000K</t>
  </si>
  <si>
    <t>ENDURA® GARDEN FLOOD Spike 10W 3000K</t>
  </si>
  <si>
    <t>ENDURA® GARDEN FLOOD Spike 20W 3000K</t>
  </si>
  <si>
    <t>Vintage 1906® Pipe Flex</t>
  </si>
  <si>
    <t>Vintage 1906® PenduLum Gold</t>
  </si>
  <si>
    <t>Vintage 1906® PenduLum Black</t>
  </si>
  <si>
    <t>Vintage 1906 PenduLum Needle Dark Grey</t>
  </si>
  <si>
    <t>Vintage 1906 PenduLum Needle Beige</t>
  </si>
  <si>
    <t>Vintage 1906 PenduLum Cylinder Wood</t>
  </si>
  <si>
    <t>Vintage 1906 PenduLum Round Plaster White</t>
  </si>
  <si>
    <t>Vintage 1906 PenduLum Bobbin Black Matt</t>
  </si>
  <si>
    <t>Vintage 1906 PenduLum Bobbin Gun Metal</t>
  </si>
  <si>
    <t>Vintage 1906 PenduLum Round White</t>
  </si>
  <si>
    <t>Vintage 1906 PenduLum Round Black</t>
  </si>
  <si>
    <t>Vintage 1906 PenduLum Round Chrome</t>
  </si>
  <si>
    <t>Vintage 1906 PenduLum Round Gold</t>
  </si>
  <si>
    <t>Vintage 1906® PenduLum CANOPY Triple Canopy</t>
  </si>
  <si>
    <t>Vintage 1906® PenduLum CANOPY Triple Canopy Linear</t>
  </si>
  <si>
    <t>Vintage 1906 PenduLum Bell Black</t>
  </si>
  <si>
    <t>Vintage 1906 PenduLum Bell White</t>
  </si>
  <si>
    <t>SMART SURFACE DOWNLIGHT TW Surface 200mm TW</t>
  </si>
  <si>
    <t>SMART SURFACE DOWNLIGHT TW Surface 400mm TW</t>
  </si>
  <si>
    <t>SMART SURFACE DOWNLIGHT TW Surface 600mm TW</t>
  </si>
  <si>
    <t>SMART SURFACE DOWNLIGHT TW Surface 400x400mm TW</t>
  </si>
  <si>
    <t>SMART RECESS SLIM DOWNLIGHT TW Slim 85mm TW</t>
  </si>
  <si>
    <t>SMART RECESS SLIM DOWNLIGHT TW Slim 120mm TW</t>
  </si>
  <si>
    <t>SMART RECESS SLIM DOWNLIGHT TW Slim 225 TW</t>
  </si>
  <si>
    <t>SMART RECESS DOWNLIGHT TW AND RGB 86mm 36° RGB + TW</t>
  </si>
  <si>
    <t>SMART RECESS DOWNLIGHT TW AND RGB 86mm 110° RGB + TW</t>
  </si>
  <si>
    <t>SMART RECESS DOWNLIGHT TW AND RGB 170mm 110 ° RGB + TW</t>
  </si>
  <si>
    <t>LED SPOT SURFACE Round GU10 Black</t>
  </si>
  <si>
    <t>LED SPOT SURFACE Round GU10 White</t>
  </si>
  <si>
    <t>LED SPOT SURFACE Square GU10 Black</t>
  </si>
  <si>
    <t>LED SPOT SURFACE Square GU10 White</t>
  </si>
  <si>
    <t>LED SPOT AND DOWNLIGHT RECESS SLIM 85mm 4.5W 3000K</t>
  </si>
  <si>
    <t>LED SPOT AND DOWNLIGHT RECESS SLIM 120mm 8W 3000K</t>
  </si>
  <si>
    <t>LED SPOT AND DOWNLIGHT RECESS SLIM 225mm 22W 3000K</t>
  </si>
  <si>
    <t>LED SPOT AND DOWNLIGHT RECESS SLIM 85mm 4.5W 4000K</t>
  </si>
  <si>
    <t>LED SPOT AND DOWNLIGHT RECESS SLIM 120mm 8W 4000K</t>
  </si>
  <si>
    <t>LED SPOT AND DOWNLIGHT RECESS SLIM 225mm 22W 4000K</t>
  </si>
  <si>
    <t>LED SPOT AND DOWNLIGHT RECESS SLIM 85mm 4.5W 6500K</t>
  </si>
  <si>
    <t>LED SPOT AND DOWNLIGHT RECESS SLIM 120mm 8W 6500K</t>
  </si>
  <si>
    <t>LED SPOT AND DOWNLIGHT RECESS SLIM 225mm 22W 6500K</t>
  </si>
  <si>
    <t>LED SPOT AND DOWNLIGHT RECESS SLIM 3 x 85mm 3000K</t>
  </si>
  <si>
    <t>LED SPOT AND DOWNLIGHT RECESS SLIM 3 x 120mm 3000K</t>
  </si>
  <si>
    <t>LED SPOT SET RECESS GU10 3x2.6W GU10 White</t>
  </si>
  <si>
    <t>2.60 W</t>
  </si>
  <si>
    <t>LED SPOT SET RECESS GU10 3x2.6W GU10 Brushed Nickel</t>
  </si>
  <si>
    <t>LED SPOT SET RECESS GU10 5x2.6W GU10 White</t>
  </si>
  <si>
    <t>LED SPOT SET RECESS GU10 5x2.6W GU10 Brushed Nickel</t>
  </si>
  <si>
    <t>LED SPOT RECESS TWISTLOCK GU10 Incl. Osram LED 4.3W GU10 White</t>
  </si>
  <si>
    <t>LED SPOT RECESS TWISTLOCK GU10 Incl. Osram LED 4.3W GU10 Brushed Nickel</t>
  </si>
  <si>
    <t>LED SPOT SET RECESS SIMPLE DIM 3 x 4.9W 2700K Brushed Nickel</t>
  </si>
  <si>
    <t>LED SPOT SET RECESS SIMPLE DIM 3 x 4.9W 2700K White</t>
  </si>
  <si>
    <t>LED SPOT RECESS TWIST PRO 70mm 5W 3000K White White</t>
  </si>
  <si>
    <t>LED SPOT RECESS TWIST PRO 70mm 5W 3000K White Black</t>
  </si>
  <si>
    <t>LED SPOT RECESS TWIST PRO 70mm 5W 3000K White Silver</t>
  </si>
  <si>
    <t>LED SPOT RECESS TWIST PRO 70mm 5W 4000K White White</t>
  </si>
  <si>
    <t>LED SPOT RECESS TWIST PRO 70mm 5W 4000K White Black</t>
  </si>
  <si>
    <t>LED SPOT RECESS TWIST PRO 70mm 5W 4000K White Silver</t>
  </si>
  <si>
    <t>LED SPOT RECESS TWIST PRO 93mm 10W 3000K White White</t>
  </si>
  <si>
    <t>LED SPOT RECESS TWIST PRO 93mm 10W 3000K White Black</t>
  </si>
  <si>
    <t>LED SPOT RECESS TWIST PRO 93mm 10W 3000K White Silver</t>
  </si>
  <si>
    <t>LED SPOT RECESS TWIST PRO 93mm 10W 4000K White White</t>
  </si>
  <si>
    <t>LED SPOT RECESS TWIST PRO 93mm 10W 4000K White Black</t>
  </si>
  <si>
    <t>LED SPOT RECESS TWIST PRO 93mm 10W 4000K White Silver</t>
  </si>
  <si>
    <t>LED SPOT SET RECESS ESSENTIAL GU10 3x2.6W GU10 Brushed Nickel</t>
  </si>
  <si>
    <t>LED SPOT SET RECESS ESSENTIAL GU10 3x2.6W GU10 White</t>
  </si>
  <si>
    <t>LED SPOT SET RECESS ESSENTIAL GU10 5x2.6W GU10 Brushed Nickel</t>
  </si>
  <si>
    <t>LED SPOT SET RECESS ESSENTIAL GU10 5x2.6W GU10 White</t>
  </si>
  <si>
    <t xml:space="preserve">Smart+ Camera Cloud </t>
  </si>
  <si>
    <t>Smart+ Camera Globe Track &amp; Trace Track &amp; Trace</t>
  </si>
  <si>
    <t>Smart+ Camera Multispot Multi Spot</t>
  </si>
  <si>
    <t>Smart+ Camera Circle Cam Control Control</t>
  </si>
  <si>
    <t>Smart+ Camera Entrance Number Entrance Number</t>
  </si>
  <si>
    <t>SMART+ ROUND CAMERA Round</t>
  </si>
  <si>
    <t>SMART+ CAMERA CONTROL Control</t>
  </si>
  <si>
    <t>SMART+ FLOOD CAMERA CONTROL Control</t>
  </si>
  <si>
    <t>SENSOR WALL 180DEG IP55 WT</t>
  </si>
  <si>
    <t>SENSOR WALL 180DEG IP55 DG</t>
  </si>
  <si>
    <t>SENSOR WALL 360DEG IP55 WT</t>
  </si>
  <si>
    <t>SENSOR WALL 360DEG IP55 DG</t>
  </si>
  <si>
    <t>ENDURA® PRO FLOOD SENSOR 15W 4000K IP55 White</t>
  </si>
  <si>
    <t>ENDURA® PRO FLOOD SENSOR 15W 4000K IP55 Dark Gray</t>
  </si>
  <si>
    <t>ENDURA® PRO FLOOD SENSOR 27W 4000K IP55 White</t>
  </si>
  <si>
    <t>ENDURA® PRO FLOOD SENSOR 27W 4000K IP55 Dark Gray</t>
  </si>
  <si>
    <t>ENDURA® PRO SPOT SENSOR 8W 4000K IP55 White</t>
  </si>
  <si>
    <t>ENDURA® PRO SPOT SENSOR 8W 4000K IP55 Dark Gray</t>
  </si>
  <si>
    <t>ENDURA® PRO SPOT SENSOR 16W 4000K IP55 White</t>
  </si>
  <si>
    <t>ENDURA® PRO SPOT SENSOR 16W 4000K IP55 Dark Gray</t>
  </si>
  <si>
    <t>ENDURA® PRO UPDOWN SENSOR 10W 4000K IP55 White</t>
  </si>
  <si>
    <t>ENDURA® PRO UPDOWN SENSOR 10W 4000K IP55 Dark Gray</t>
  </si>
  <si>
    <t>LED SPOT G9 G9 1.9W 2700K</t>
  </si>
  <si>
    <t>LED SPOT G9 G9 2 x 1.9W 2700K</t>
  </si>
  <si>
    <t>LED SPOT G9 G9 3 x 1.9W 2700K</t>
  </si>
  <si>
    <t>LED SPOT G9 G9 4 x 1.9W 2700K</t>
  </si>
  <si>
    <t>7.60 W</t>
  </si>
  <si>
    <t>LED SPOT G9 G9 6 x 1.9W 2700K</t>
  </si>
  <si>
    <t>11.40 W</t>
  </si>
  <si>
    <t>LED SPOT BRUSHED SILVER GU10 2.6W 2700K</t>
  </si>
  <si>
    <t>LED SPOT BRUSHED SILVER GU10 2 x 2.6W 2700K</t>
  </si>
  <si>
    <t>LED SPOT BRUSHED SILVER GU10 3 x 2.6W 2700K</t>
  </si>
  <si>
    <t>7.80 W</t>
  </si>
  <si>
    <t>LED SPOT BRUSHED SILVER GU10 4 x 2.6W 2700K</t>
  </si>
  <si>
    <t>10.40 W</t>
  </si>
  <si>
    <t>LED SPOT BRUSHED SILVER GU10 6 x 2.6W 2700K</t>
  </si>
  <si>
    <t>15.60 W</t>
  </si>
  <si>
    <t>LED SPOT BLACK 1 X 3.4W 927 DIM</t>
  </si>
  <si>
    <t>LED SPOT BLACK 2 X 3.4W 927 DIM</t>
  </si>
  <si>
    <t>LED SPOT BLACK 3 X 3.4W 927 DIM</t>
  </si>
  <si>
    <t>10.20 W</t>
  </si>
  <si>
    <t>LED SPOT BLACK 4 X 3.4W 927 DIM</t>
  </si>
  <si>
    <t>13.60 W</t>
  </si>
  <si>
    <t>LED SPOT BLACK 6 X 3.4W 927 DIM</t>
  </si>
  <si>
    <t>20.40 W</t>
  </si>
  <si>
    <t>LED SPOT WHITE 1 X 3.4W 927 DIM</t>
  </si>
  <si>
    <t>LED SPOT WHITE 2 X 3.4W 927 DIM</t>
  </si>
  <si>
    <t>LED SPOT WHITE 3 X 3.4W 927 DIM</t>
  </si>
  <si>
    <t>LED SPOT WHITE 4 X 3.4W 927 DIM</t>
  </si>
  <si>
    <t>LED SPOT WHITE 6 X 3.4W 927 DIM</t>
  </si>
  <si>
    <t>LED SPOT PEAR WHITE 1 x 4.3W 2700K GU10</t>
  </si>
  <si>
    <t>LED SPOT PEAR WHITE 2 x 4.3W 2700K GU10</t>
  </si>
  <si>
    <t>8.60 W</t>
  </si>
  <si>
    <t>LED SPOT PEAR WHITE 3 x 4.3W 2700K GU10</t>
  </si>
  <si>
    <t>12.90 W</t>
  </si>
  <si>
    <t>LED SPOT PEAR WHITE 4 x 4.3W 2700K GU10</t>
  </si>
  <si>
    <t>17.20 W</t>
  </si>
  <si>
    <t>LED SPOT PEAR BLACK 1 x 4.3W 2700K GU10</t>
  </si>
  <si>
    <t>LED SPOT PEAR BLACK 2 x 4.3W 2700K GU10</t>
  </si>
  <si>
    <t>LED SPOT PEAR BLACK 3 x 4.3W 2700K GU10</t>
  </si>
  <si>
    <t>LED SPOT PEAR BLACK 4 x 4.3W 2700K GU10</t>
  </si>
  <si>
    <t>LED SPOT PEAR GREY 1 x 4.3W 2700K GU10</t>
  </si>
  <si>
    <t>LED SPOT PEAR GREY 2 x 4.3W 2700K GU10</t>
  </si>
  <si>
    <t>LED SPOT PEAR GREY 3 x 4.3W 2700K GU10</t>
  </si>
  <si>
    <t>LED SPOT PEAR GREY 4 x 4.3W 2700K GU10</t>
  </si>
  <si>
    <t>Sun@Home Moodlight Moodlight</t>
  </si>
  <si>
    <t>Sun@Home Circular Pendant White</t>
  </si>
  <si>
    <t>18.50 W</t>
  </si>
  <si>
    <t>Sun@Home Circular Pendant Silver</t>
  </si>
  <si>
    <t>Sun@Home Circular White</t>
  </si>
  <si>
    <t>Sun@Home Circular Silver</t>
  </si>
  <si>
    <t>Sun@Home Bathroom Round 110mm</t>
  </si>
  <si>
    <t>7.5 W</t>
  </si>
  <si>
    <t>Sun@Home Bathroom Round 300mm</t>
  </si>
  <si>
    <t>Sun@Home Bathroom Round 450mm</t>
  </si>
  <si>
    <t>SUN@HOME FRAMELESS PANELS 1200x300mm</t>
  </si>
  <si>
    <t>SUN@HOME FRAMELESS PANELS 600x600mm</t>
  </si>
  <si>
    <t>SUN@HOME FRAMELESS PANELS 300x300mm</t>
  </si>
  <si>
    <t>SUN@HOME PANELS 1200x300mm</t>
  </si>
  <si>
    <t>SUN@HOME PANELS 600x600mm</t>
  </si>
  <si>
    <t>SUN@HOME PANELS 300x300mm</t>
  </si>
  <si>
    <t>Sun@Home Downlights Slim 85mm</t>
  </si>
  <si>
    <t>Sun@Home Downlights Slim 120mm</t>
  </si>
  <si>
    <t>Sun@Home Downlights Slim 225mm</t>
  </si>
  <si>
    <t>Sun@Home ceiling luminaires Plate</t>
  </si>
  <si>
    <t>Sun@Home Wall luminaires Cross</t>
  </si>
  <si>
    <t>Sun@Home FLEX 3M Flex 3M</t>
  </si>
  <si>
    <t>Sun@Home Mood Moodlight</t>
  </si>
  <si>
    <t>Sun@Home Lamps A75 E27 TW</t>
  </si>
  <si>
    <t>Sun@Home Lamps A 40 E27 TW</t>
  </si>
  <si>
    <t>Sun@Home Lamps  B 25 E14 TW</t>
  </si>
  <si>
    <t>4.9 W</t>
  </si>
  <si>
    <t>Sun@Home Lamps PAR16 40 GU10 TW</t>
  </si>
  <si>
    <t>SMART+ TRACKLIGHT CIRCLE White TW</t>
  </si>
  <si>
    <t>SMART+ TRACKLIGHT CIRCLE Black TW</t>
  </si>
  <si>
    <t>SMART+ TRACKLIGHT OSAKA White TW</t>
  </si>
  <si>
    <t>SMART+ TRACKLIGHT OSAKA Black  TW</t>
  </si>
  <si>
    <t>TRACKLIGHT SPOT MINI CYLINDER GU10 White</t>
  </si>
  <si>
    <t xml:space="preserve">TRACKLIGHT SPOT MINI CYLINDER GU10 Black </t>
  </si>
  <si>
    <t>TRACKLIGHT SPOT CYLINDER GU10 White</t>
  </si>
  <si>
    <t xml:space="preserve">TRACKLIGHT SPOT CYLINDER GU10 Black </t>
  </si>
  <si>
    <t>TRACKLIGHT SPOT CYLINDER GOLD GU10 White</t>
  </si>
  <si>
    <t xml:space="preserve">TRACKLIGHT SPOT CYLINDER GOLD GU10 Black </t>
  </si>
  <si>
    <t>Tracklight Pendant GU10 White</t>
  </si>
  <si>
    <t xml:space="preserve">Tracklight Pendant GU10 Black </t>
  </si>
  <si>
    <t>Tracklight rail and base 1M White</t>
  </si>
  <si>
    <t>Tracklight rail and base 1M Black</t>
  </si>
  <si>
    <t>Tracklight accessories Supply Connector White</t>
  </si>
  <si>
    <t>Tracklight accessories Supply Connector Black</t>
  </si>
  <si>
    <t>Tracklight accessories Linear Connector White</t>
  </si>
  <si>
    <t>Tracklight accessories Linear Connector Black</t>
  </si>
  <si>
    <t>Tracklight accessories Corner Connector White</t>
  </si>
  <si>
    <t>Tracklight accessories Corner Connector Black</t>
  </si>
  <si>
    <t>Tracklight accessories Flexible Connector White</t>
  </si>
  <si>
    <t>Tracklight accessories Flexible Connector Black</t>
  </si>
  <si>
    <t>Tracklight accessories Cross Connector White</t>
  </si>
  <si>
    <t>Tracklight accessories Cross Connector Black</t>
  </si>
  <si>
    <t>Tracklight accessories Suspension Kit White</t>
  </si>
  <si>
    <t>Tracklight accessories Suspension Kit Black</t>
  </si>
  <si>
    <t>Tracklight rail and base Black</t>
  </si>
  <si>
    <t>Tracklight rail and base White</t>
  </si>
  <si>
    <t>SMART+ Plug EU</t>
  </si>
  <si>
    <t>SMART+ MULTI POWER SOCKET EU EU</t>
  </si>
  <si>
    <t>SMART+ Compact Outdoor Plug EU</t>
  </si>
  <si>
    <t>SMART+ Outdoor Plug EU</t>
  </si>
  <si>
    <t>SMART+ SOLAR PLUG PLUG EU</t>
  </si>
  <si>
    <t>SMART+ OUTDOOR TERMINAL EU</t>
  </si>
  <si>
    <t>SMART+ WiFi REMOTE CONTROL COLOR CHANGE</t>
  </si>
  <si>
    <t>SMART+ sensors with WiFi technology SENSOR</t>
  </si>
  <si>
    <t>SMART+ CONTACT SENSOR SENSOR</t>
  </si>
  <si>
    <t>SMART+ NIGHTLIGHT Plug EU</t>
  </si>
  <si>
    <t>SENSOR CEILING FLUSH IP20 360DEG IP20 WT</t>
  </si>
  <si>
    <t>SENSOR CEILING IP44 360DEG IP44 WT</t>
  </si>
  <si>
    <t>SENSOR WALL 110DEG IP44 WT</t>
  </si>
  <si>
    <t>SENSOR WALL 110DEG IP44 DG</t>
  </si>
  <si>
    <t>Indoor Garden KIT Pro 360  BK Kit Pro</t>
  </si>
  <si>
    <t>3600 K</t>
  </si>
  <si>
    <t>Indoor Garden KIT 450 WT Kit 450mm</t>
  </si>
  <si>
    <t>3550 K</t>
  </si>
  <si>
    <t>Indoor Garden Light Stand 300 WT Light Stand</t>
  </si>
  <si>
    <t>3650 K</t>
  </si>
  <si>
    <t>Indoor Garden Umbrella 200 USB WT Umberella USB</t>
  </si>
  <si>
    <t>3400 K</t>
  </si>
  <si>
    <t>9.5 W</t>
  </si>
  <si>
    <t>4.5 W</t>
  </si>
  <si>
    <t>4.8 W</t>
  </si>
  <si>
    <t>3.3 W</t>
  </si>
  <si>
    <t>4.7 W</t>
  </si>
  <si>
    <t>3.5 W</t>
  </si>
  <si>
    <t>Descontinuado/A descontinuar
Descrição</t>
  </si>
  <si>
    <t>PORTEFÓLIO PROFISSIONAL | PREÇOS TABELA E LÍQUIDOS | MARÇO 2024</t>
  </si>
  <si>
    <t>PORTEFÓLIO RESIDENCIAL | PREÇOS TABELA E LÍQUIDOS | MARÇO 2024</t>
  </si>
  <si>
    <t>14,00 W</t>
  </si>
  <si>
    <t>21,00 W</t>
  </si>
  <si>
    <t>13,00 W</t>
  </si>
  <si>
    <t>18,00 W</t>
  </si>
  <si>
    <t>20,00 W</t>
  </si>
  <si>
    <t>15,00 W</t>
  </si>
  <si>
    <t>IP65/IP65</t>
  </si>
  <si>
    <t>30,00 W</t>
  </si>
  <si>
    <t>45,00 W</t>
  </si>
  <si>
    <t>25,00 W</t>
  </si>
  <si>
    <t>35,00 W</t>
  </si>
  <si>
    <t>4,00 W</t>
  </si>
  <si>
    <t>8,00 W</t>
  </si>
  <si>
    <t>24,00 W</t>
  </si>
  <si>
    <t>17,00 W</t>
  </si>
  <si>
    <t>22,00 W</t>
  </si>
  <si>
    <t>6,00 W</t>
  </si>
  <si>
    <t>12,00 W</t>
  </si>
  <si>
    <t>5,50 W</t>
  </si>
  <si>
    <t>IP65/IP20</t>
  </si>
  <si>
    <t>IP23/IP20</t>
  </si>
  <si>
    <t>575 lm</t>
  </si>
  <si>
    <t>8,30 W</t>
  </si>
  <si>
    <t>55,00 W</t>
  </si>
  <si>
    <t>3500 lm / 2500 lm / 1500 lm</t>
  </si>
  <si>
    <t>42 W / 30 W / 19 W</t>
  </si>
  <si>
    <t>42,00 W</t>
  </si>
  <si>
    <t>10,00 W</t>
  </si>
  <si>
    <t>33,00 W</t>
  </si>
  <si>
    <t>5040 lm / 4340 lm / 3640 lm / 3080 lm</t>
  </si>
  <si>
    <t>36 W / 31 W / 26 W / 22 W</t>
  </si>
  <si>
    <t>36,00 W</t>
  </si>
  <si>
    <t>3640 lm / 3250 lm / 2900 lm</t>
  </si>
  <si>
    <t>28 W / 25 W / 22 W</t>
  </si>
  <si>
    <t>4320 lm / 3900 lm / 3640 lm</t>
  </si>
  <si>
    <t>33 W / 30 W / 28 W</t>
  </si>
  <si>
    <t>28,00 W</t>
  </si>
  <si>
    <t>4200 lm / 4000 lm / 3600 lm / 3400 lm</t>
  </si>
  <si>
    <t>36 W / 29,5 W</t>
  </si>
  <si>
    <t>4320 lm / 3640 lm / 3120 lm</t>
  </si>
  <si>
    <t>33 W / 28 W / 24 W</t>
  </si>
  <si>
    <t>3300 lm / 3850 lm</t>
  </si>
  <si>
    <t>35 W / 30 W</t>
  </si>
  <si>
    <t>3850 lm</t>
  </si>
  <si>
    <t>53,00 W</t>
  </si>
  <si>
    <t>40,00 W</t>
  </si>
  <si>
    <t>6050 lm</t>
  </si>
  <si>
    <t>52,00 W</t>
  </si>
  <si>
    <t>6800 lm</t>
  </si>
  <si>
    <t>8350 lm</t>
  </si>
  <si>
    <t>69,00 W</t>
  </si>
  <si>
    <t>9050 lm</t>
  </si>
  <si>
    <t>54,00 W</t>
  </si>
  <si>
    <t>6950 lm</t>
  </si>
  <si>
    <t>8150 lm</t>
  </si>
  <si>
    <t>8700 lm</t>
  </si>
  <si>
    <t>46,00 W</t>
  </si>
  <si>
    <t>60,00 W</t>
  </si>
  <si>
    <t>32,00 W</t>
  </si>
  <si>
    <t>50,00 W</t>
  </si>
  <si>
    <t>70,00 W</t>
  </si>
  <si>
    <t>23,00 W</t>
  </si>
  <si>
    <t>44,00 W</t>
  </si>
  <si>
    <t>31,00 W</t>
  </si>
  <si>
    <t>16,00 W</t>
  </si>
  <si>
    <t>3960 lm / 2600 lm</t>
  </si>
  <si>
    <t>33 W / 21 W</t>
  </si>
  <si>
    <t>6100 lm / 4200 lm</t>
  </si>
  <si>
    <t>50 W / 34 W</t>
  </si>
  <si>
    <t>7500 lm</t>
  </si>
  <si>
    <t>62,00 W</t>
  </si>
  <si>
    <t>IP67/IP69K</t>
  </si>
  <si>
    <t>26,00 W</t>
  </si>
  <si>
    <t>58,00 W</t>
  </si>
  <si>
    <t>11000 lm / 9600 lm / 8200 lm / 6600 lm</t>
  </si>
  <si>
    <t>81 W / 69 W / 57 W / 46 W</t>
  </si>
  <si>
    <t>9,00 W</t>
  </si>
  <si>
    <t>34,00 W</t>
  </si>
  <si>
    <t>2835 lm</t>
  </si>
  <si>
    <t>5670 lm</t>
  </si>
  <si>
    <t>7020 lm</t>
  </si>
  <si>
    <t>6760 lm</t>
  </si>
  <si>
    <t>8910 lm</t>
  </si>
  <si>
    <t>66,00 W</t>
  </si>
  <si>
    <t>8580 lm</t>
  </si>
  <si>
    <t>80,00 W</t>
  </si>
  <si>
    <t>93,00 W</t>
  </si>
  <si>
    <t>155,00 W</t>
  </si>
  <si>
    <t>190,00 W</t>
  </si>
  <si>
    <t>210,00 W</t>
  </si>
  <si>
    <t>87,00 W</t>
  </si>
  <si>
    <t>147,00 W</t>
  </si>
  <si>
    <t>83,00 W</t>
  </si>
  <si>
    <t>133,00 W</t>
  </si>
  <si>
    <t>166,00 W</t>
  </si>
  <si>
    <t>225,00 W</t>
  </si>
  <si>
    <t>11680 lm</t>
  </si>
  <si>
    <t>100,00 W</t>
  </si>
  <si>
    <t>150,00 W</t>
  </si>
  <si>
    <t>200,00 W</t>
  </si>
  <si>
    <t>290,00 W</t>
  </si>
  <si>
    <t>65,00 W</t>
  </si>
  <si>
    <t>125,00 W</t>
  </si>
  <si>
    <t>165,00 W</t>
  </si>
  <si>
    <t>90,00 W</t>
  </si>
  <si>
    <t>12150 lm</t>
  </si>
  <si>
    <t>135,00 W</t>
  </si>
  <si>
    <t>180,00 W</t>
  </si>
  <si>
    <t>72,00 W</t>
  </si>
  <si>
    <t>105,00 W</t>
  </si>
  <si>
    <t>145,00 W</t>
  </si>
  <si>
    <t>43,00 W</t>
  </si>
  <si>
    <t>600,00 W</t>
  </si>
  <si>
    <t>900,00 W</t>
  </si>
  <si>
    <t>1200,00 W</t>
  </si>
  <si>
    <t>300,00 W</t>
  </si>
  <si>
    <t>500,00 W</t>
  </si>
  <si>
    <t>110,00 W</t>
  </si>
  <si>
    <t>158,00 W</t>
  </si>
  <si>
    <t>23200 lm</t>
  </si>
  <si>
    <t>15600 lm</t>
  </si>
  <si>
    <t>120,00 W</t>
  </si>
  <si>
    <t>19500 lm</t>
  </si>
  <si>
    <t>20250 lm</t>
  </si>
  <si>
    <t>11250 lm</t>
  </si>
  <si>
    <t>18750 lm</t>
  </si>
  <si>
    <t>2,50 W</t>
  </si>
  <si>
    <t>1,84 W</t>
  </si>
  <si>
    <t>4600 lm</t>
  </si>
  <si>
    <t>IP20/IP20</t>
  </si>
  <si>
    <t>1,00 W</t>
  </si>
  <si>
    <t>37,00 W</t>
  </si>
  <si>
    <t>108,00 W</t>
  </si>
  <si>
    <t>38,00 W</t>
  </si>
  <si>
    <t>2265 lm</t>
  </si>
  <si>
    <t>2310 lm</t>
  </si>
  <si>
    <t>2455 lm</t>
  </si>
  <si>
    <t>4645 lm</t>
  </si>
  <si>
    <t>4730 lm</t>
  </si>
  <si>
    <t>5030 lm</t>
  </si>
  <si>
    <t>6480 lm</t>
  </si>
  <si>
    <t>8420 lm</t>
  </si>
  <si>
    <t>78,00 W</t>
  </si>
  <si>
    <t>9125 lm</t>
  </si>
  <si>
    <t>2185 lm</t>
  </si>
  <si>
    <t>2220 lm</t>
  </si>
  <si>
    <t>2360 lm</t>
  </si>
  <si>
    <t>4365 lm</t>
  </si>
  <si>
    <t>4440 lm</t>
  </si>
  <si>
    <t>6190 lm</t>
  </si>
  <si>
    <t>6290 lm</t>
  </si>
  <si>
    <t>7920 lm</t>
  </si>
  <si>
    <t>8050 lm</t>
  </si>
  <si>
    <t>8575 lm</t>
  </si>
  <si>
    <t>98,00 W</t>
  </si>
  <si>
    <t>2330 lm</t>
  </si>
  <si>
    <t>2375 lm</t>
  </si>
  <si>
    <t>2450 lm</t>
  </si>
  <si>
    <t>3960 lm</t>
  </si>
  <si>
    <t>4040 lm</t>
  </si>
  <si>
    <t>4240 lm</t>
  </si>
  <si>
    <t>5640 lm</t>
  </si>
  <si>
    <t>5880 lm</t>
  </si>
  <si>
    <t>6180 lm</t>
  </si>
  <si>
    <t>6790 lm</t>
  </si>
  <si>
    <t>6850 lm</t>
  </si>
  <si>
    <t>7280 lm</t>
  </si>
  <si>
    <t>2230 lm</t>
  </si>
  <si>
    <t>2300 lm</t>
  </si>
  <si>
    <t>3720 lm</t>
  </si>
  <si>
    <t>5820 lm</t>
  </si>
  <si>
    <t>6370 lm</t>
  </si>
  <si>
    <t>6580 lm</t>
  </si>
  <si>
    <t>6860 lm</t>
  </si>
  <si>
    <t>67,00 W</t>
  </si>
  <si>
    <t>27,50 W</t>
  </si>
  <si>
    <t>250,00 W</t>
  </si>
  <si>
    <t>26,30 W</t>
  </si>
  <si>
    <t>44,10 W</t>
  </si>
  <si>
    <t>60,20 W</t>
  </si>
  <si>
    <t>7,5 W</t>
  </si>
  <si>
    <t>IP54</t>
  </si>
  <si>
    <t>3690 lm</t>
  </si>
  <si>
    <t>22,2 W</t>
  </si>
  <si>
    <t>22,1 W</t>
  </si>
  <si>
    <t>810 lm</t>
  </si>
  <si>
    <t>5,1 W</t>
  </si>
  <si>
    <t>990 lm</t>
  </si>
  <si>
    <t>6,3 W</t>
  </si>
  <si>
    <t>9,7 W</t>
  </si>
  <si>
    <t>11,4 W</t>
  </si>
  <si>
    <t>1890 lm</t>
  </si>
  <si>
    <t>2100 lm</t>
  </si>
  <si>
    <t>2790 lm</t>
  </si>
  <si>
    <t>17,7 W</t>
  </si>
  <si>
    <t>15,6 W</t>
  </si>
  <si>
    <t>3330 lm</t>
  </si>
  <si>
    <t>23,1 W</t>
  </si>
  <si>
    <t>13,5 W</t>
  </si>
  <si>
    <t>29 W</t>
  </si>
  <si>
    <t>585 lm</t>
  </si>
  <si>
    <t>5,4 W</t>
  </si>
  <si>
    <t>650 lm</t>
  </si>
  <si>
    <t>6,6 W</t>
  </si>
  <si>
    <t>850 lm</t>
  </si>
  <si>
    <t>11,6 W</t>
  </si>
  <si>
    <t>1620 lm</t>
  </si>
  <si>
    <t>18,3 W</t>
  </si>
  <si>
    <t>6,8 W</t>
  </si>
  <si>
    <t>13,1 W</t>
  </si>
  <si>
    <t>19,3 W</t>
  </si>
  <si>
    <t>5,2 W</t>
  </si>
  <si>
    <t>7,9 W</t>
  </si>
  <si>
    <t>17,9 W</t>
  </si>
  <si>
    <t>2550 lm</t>
  </si>
  <si>
    <t>380 lm</t>
  </si>
  <si>
    <t>770 lm</t>
  </si>
  <si>
    <t>37 W</t>
  </si>
  <si>
    <t>38,70 W</t>
  </si>
  <si>
    <t>1320 lm</t>
  </si>
  <si>
    <t>540 lm</t>
  </si>
  <si>
    <t>660 lm</t>
  </si>
  <si>
    <t>700 lm</t>
  </si>
  <si>
    <t>5,5 W</t>
  </si>
  <si>
    <t>870 lm</t>
  </si>
  <si>
    <t>9,5 W</t>
  </si>
  <si>
    <t>360 lm</t>
  </si>
  <si>
    <t>3,5 W</t>
  </si>
  <si>
    <t>550 lm</t>
  </si>
  <si>
    <t>630 lm</t>
  </si>
  <si>
    <t>2070 lm</t>
  </si>
  <si>
    <t>2025 lm</t>
  </si>
  <si>
    <t>14,5 W</t>
  </si>
  <si>
    <t>21,5 W</t>
  </si>
  <si>
    <t>41 W</t>
  </si>
  <si>
    <t>7000 lm</t>
  </si>
  <si>
    <t>14000 lm</t>
  </si>
  <si>
    <t>806 lm</t>
  </si>
  <si>
    <t>7,2 W</t>
  </si>
  <si>
    <t>1055 lm</t>
  </si>
  <si>
    <t>1521 lm</t>
  </si>
  <si>
    <t>13,8 W</t>
  </si>
  <si>
    <t>470 lm</t>
  </si>
  <si>
    <t>4,2 W</t>
  </si>
  <si>
    <t>3,8 W</t>
  </si>
  <si>
    <t>2,2 W</t>
  </si>
  <si>
    <t>4,3 W</t>
  </si>
  <si>
    <t>481 lm</t>
  </si>
  <si>
    <t>2,6 W</t>
  </si>
  <si>
    <t>5,7 W</t>
  </si>
  <si>
    <t>8,2 W</t>
  </si>
  <si>
    <t>5,8 W</t>
  </si>
  <si>
    <t>3,4 W</t>
  </si>
  <si>
    <t>4,8 W</t>
  </si>
  <si>
    <t>2452 lm</t>
  </si>
  <si>
    <t>6,5 W</t>
  </si>
  <si>
    <t>3452 lm</t>
  </si>
  <si>
    <t>250 lm</t>
  </si>
  <si>
    <t>2,8 W</t>
  </si>
  <si>
    <t>136 lm</t>
  </si>
  <si>
    <t>1,5 W</t>
  </si>
  <si>
    <t>730 lm</t>
  </si>
  <si>
    <t>725 lm</t>
  </si>
  <si>
    <t>40 lm</t>
  </si>
  <si>
    <t>1,8 W</t>
  </si>
  <si>
    <t>80 lm</t>
  </si>
  <si>
    <t>100 lm</t>
  </si>
  <si>
    <t>120 lm</t>
  </si>
  <si>
    <t>150 lm</t>
  </si>
  <si>
    <t>7,8 W</t>
  </si>
  <si>
    <t>8,8 W</t>
  </si>
  <si>
    <t>4,5 W</t>
  </si>
  <si>
    <t>180 lm</t>
  </si>
  <si>
    <t>220 lm</t>
  </si>
  <si>
    <t>410 lm</t>
  </si>
  <si>
    <t>865 lm</t>
  </si>
  <si>
    <t>200 lm</t>
  </si>
  <si>
    <t>230 lm</t>
  </si>
  <si>
    <t>350 lm</t>
  </si>
  <si>
    <t>3,7 W</t>
  </si>
  <si>
    <t>4,7 W</t>
  </si>
  <si>
    <t>4,1 W</t>
  </si>
  <si>
    <t>8,3 W</t>
  </si>
  <si>
    <t>9,6 W</t>
  </si>
  <si>
    <t>6,9 W</t>
  </si>
  <si>
    <t>620 lm</t>
  </si>
  <si>
    <t>4,9 W</t>
  </si>
  <si>
    <t>8,5 W</t>
  </si>
  <si>
    <t>3,6 W</t>
  </si>
  <si>
    <t>345 lm</t>
  </si>
  <si>
    <t>5,3 W</t>
  </si>
  <si>
    <t>621 lm</t>
  </si>
  <si>
    <t>210 lm</t>
  </si>
  <si>
    <t>396 lm</t>
  </si>
  <si>
    <t>184 lm</t>
  </si>
  <si>
    <t>7,4 W</t>
  </si>
  <si>
    <t>11,7 W</t>
  </si>
  <si>
    <t>6,4 W</t>
  </si>
  <si>
    <t>633 lm</t>
  </si>
  <si>
    <t>1035 lm</t>
  </si>
  <si>
    <t>15,2 W</t>
  </si>
  <si>
    <t>5,9 W</t>
  </si>
  <si>
    <t>670 lm</t>
  </si>
  <si>
    <t>110 lm</t>
  </si>
  <si>
    <t>9,4 W</t>
  </si>
  <si>
    <t>245 lm</t>
  </si>
  <si>
    <t>7,3 W</t>
  </si>
  <si>
    <t>10,5 W</t>
  </si>
  <si>
    <t>940 lm</t>
  </si>
  <si>
    <t>2,3 W</t>
  </si>
  <si>
    <t>70 lm</t>
  </si>
  <si>
    <t>1,3 W</t>
  </si>
  <si>
    <t>0,9 W</t>
  </si>
  <si>
    <t>1,9 W</t>
  </si>
  <si>
    <t>290 lm</t>
  </si>
  <si>
    <t>18,2 W</t>
  </si>
  <si>
    <t>11,5 W</t>
  </si>
  <si>
    <t>275 lm</t>
  </si>
  <si>
    <t>3,1 W</t>
  </si>
  <si>
    <t>9,9 W</t>
  </si>
  <si>
    <t>370 lm</t>
  </si>
  <si>
    <t>1925 lm</t>
  </si>
  <si>
    <t>4750 lm</t>
  </si>
  <si>
    <t>6650 lm</t>
  </si>
  <si>
    <t>1570 lm</t>
  </si>
  <si>
    <t>4250 lm</t>
  </si>
  <si>
    <t>1150 lm</t>
  </si>
  <si>
    <t>825 lm</t>
  </si>
  <si>
    <t>1175 lm</t>
  </si>
  <si>
    <t>1000.00 W</t>
  </si>
  <si>
    <t>10100 lm</t>
  </si>
  <si>
    <t>56500 lm</t>
  </si>
  <si>
    <t>33200 lm</t>
  </si>
  <si>
    <t>86500 lm</t>
  </si>
  <si>
    <t>1385 lm</t>
  </si>
  <si>
    <t>2245 lm</t>
  </si>
  <si>
    <t>21580 lm</t>
  </si>
  <si>
    <t>31000 lm</t>
  </si>
  <si>
    <t>1500.00 W</t>
  </si>
  <si>
    <t>2000.00 W</t>
  </si>
  <si>
    <t>95 lm</t>
  </si>
  <si>
    <t>440 lm</t>
  </si>
  <si>
    <t>1560 lm</t>
  </si>
  <si>
    <t>130 lm</t>
  </si>
  <si>
    <t>580 lm</t>
  </si>
  <si>
    <t>910 lm</t>
  </si>
  <si>
    <t>1450 lm</t>
  </si>
  <si>
    <t>59,00 W</t>
  </si>
  <si>
    <t>88,00 W</t>
  </si>
  <si>
    <t>82,00 W</t>
  </si>
  <si>
    <t>121,00 W</t>
  </si>
  <si>
    <t>104,00 W</t>
  </si>
  <si>
    <t>56,00 W</t>
  </si>
  <si>
    <t>61,00 W</t>
  </si>
  <si>
    <t>169,00 W</t>
  </si>
  <si>
    <t>118,00 W</t>
  </si>
  <si>
    <t>39,00 W</t>
  </si>
  <si>
    <t>175,00 W</t>
  </si>
  <si>
    <t>86,00 W</t>
  </si>
  <si>
    <t>115,00 W</t>
  </si>
  <si>
    <t>85,00 W</t>
  </si>
  <si>
    <t>106,00 W</t>
  </si>
  <si>
    <t>73,00 W</t>
  </si>
  <si>
    <t>19,00 W</t>
  </si>
  <si>
    <t>122,00 W</t>
  </si>
  <si>
    <t>84,00 W</t>
  </si>
  <si>
    <t>49,00 W</t>
  </si>
  <si>
    <t>71,00 W</t>
  </si>
  <si>
    <t>160,00 W</t>
  </si>
  <si>
    <t>270,00 W</t>
  </si>
  <si>
    <t>79,00 W</t>
  </si>
  <si>
    <t>230,00 W</t>
  </si>
  <si>
    <t>74,00 W</t>
  </si>
  <si>
    <t>111,00 W</t>
  </si>
  <si>
    <t>157,00 W</t>
  </si>
  <si>
    <t>315,00 W</t>
  </si>
  <si>
    <t>IP66/IP67</t>
  </si>
  <si>
    <t>140,00 W</t>
  </si>
  <si>
    <t>2250,00 W</t>
  </si>
  <si>
    <t>68,00 W</t>
  </si>
  <si>
    <t>174,00 W</t>
  </si>
  <si>
    <t>272,00 W</t>
  </si>
  <si>
    <t>240,00 W</t>
  </si>
  <si>
    <t>144,00 W</t>
  </si>
  <si>
    <t>IP64</t>
  </si>
  <si>
    <t>75,00 W</t>
  </si>
  <si>
    <t>27,00 W</t>
  </si>
  <si>
    <t>7,00 W</t>
  </si>
  <si>
    <t>2,00 W</t>
  </si>
  <si>
    <t>3,00 W</t>
  </si>
  <si>
    <t>0,45 W</t>
  </si>
  <si>
    <t>5,00 W</t>
  </si>
  <si>
    <t>0,35 W</t>
  </si>
  <si>
    <t/>
  </si>
  <si>
    <t>4 anos</t>
  </si>
  <si>
    <t>Preço Tabela €/unid.*</t>
  </si>
  <si>
    <t>HQL LED FIL V 5400LM 38W 827 E27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</si>
</sst>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9ECC14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9ECC14"/>
      <name val="Calibri"/>
      <family val="2"/>
      <scheme val="minor"/>
    </font>
    <font>
      <b/>
      <sz val="10"/>
      <color rgb="FF00A9B2"/>
      <name val="Calibri"/>
      <family val="2"/>
      <scheme val="minor"/>
    </font>
    <font>
      <b/>
      <sz val="10"/>
      <color rgb="FF666666"/>
      <name val="Calibri"/>
      <family val="2"/>
      <scheme val="minor"/>
    </font>
    <font>
      <b/>
      <sz val="10"/>
      <name val="MS Sans"/>
      <family val="2"/>
    </font>
    <font>
      <sz val="10"/>
      <color rgb="FF00000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666666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color rgb="FF00A9B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ED7D3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sz val="10"/>
      <color indexed="8"/>
      <name val="Calibri"/>
      <family val="2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theme="0"/>
      <name val="Calibri"/>
      <family val="2"/>
    </font>
    <font>
      <sz val="14"/>
      <color theme="1"/>
      <name val="Calibri"/>
      <family val="2"/>
      <scheme val="minor"/>
    </font>
    <font>
      <b/>
      <sz val="13"/>
      <color theme="0"/>
      <name val="Arial"/>
      <family val="2"/>
    </font>
    <font>
      <sz val="13"/>
      <color theme="0"/>
      <name val="Arial"/>
      <family val="2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Arial"/>
      <family val="2"/>
    </font>
    <font>
      <sz val="13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  <charset val="238"/>
      <scheme val="minor"/>
    </font>
    <font>
      <sz val="10"/>
      <color theme="9"/>
      <name val="Calibri"/>
      <family val="2"/>
      <scheme val="minor"/>
    </font>
    <font>
      <sz val="10"/>
      <color rgb="FF9ACD32"/>
      <name val="Calibri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8"/>
      <color theme="0"/>
      <name val="Arial"/>
      <family val="2"/>
    </font>
    <font>
      <sz val="18"/>
      <name val="Calibri"/>
      <family val="2"/>
      <scheme val="minor"/>
    </font>
    <font>
      <sz val="18"/>
      <color theme="0"/>
      <name val="Arial"/>
      <family val="2"/>
    </font>
    <font>
      <sz val="18"/>
      <color theme="1"/>
      <name val="Calibri"/>
      <family val="2"/>
      <scheme val="minor"/>
    </font>
    <font>
      <b/>
      <sz val="12"/>
      <color theme="0"/>
      <name val="Calibri"/>
      <family val="2"/>
    </font>
    <font>
      <b/>
      <sz val="12"/>
      <color theme="0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charset val="238"/>
    </font>
    <font>
      <b/>
      <sz val="10"/>
      <color theme="0"/>
      <name val="Calibri"/>
      <family val="2"/>
      <charset val="238"/>
    </font>
    <font>
      <i/>
      <sz val="10"/>
      <color theme="0"/>
      <name val="Calibri"/>
      <family val="2"/>
      <charset val="238"/>
      <scheme val="minor"/>
    </font>
    <font>
      <i/>
      <sz val="10"/>
      <color theme="0"/>
      <name val="Calibri"/>
      <family val="2"/>
      <charset val="238"/>
    </font>
    <font>
      <b/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ECC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2"/>
      </bottom>
      <diagonal/>
    </border>
    <border>
      <left style="medium">
        <color indexed="64"/>
      </left>
      <right/>
      <top style="thin">
        <color theme="2" tint="-9.9978637043366805E-2"/>
      </top>
      <bottom/>
      <diagonal/>
    </border>
    <border>
      <left style="medium">
        <color indexed="64"/>
      </left>
      <right/>
      <top/>
      <bottom style="thin">
        <color theme="2" tint="-9.9978637043366805E-2"/>
      </bottom>
      <diagonal/>
    </border>
    <border>
      <left style="medium">
        <color indexed="64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medium">
        <color indexed="64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medium">
        <color indexed="64"/>
      </left>
      <right style="thin">
        <color theme="2" tint="-9.9978637043366805E-2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</borders>
  <cellStyleXfs count="8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/>
    <xf numFmtId="0" fontId="1" fillId="8" borderId="0" applyNumberFormat="0" applyBorder="0" applyAlignment="0" applyProtection="0"/>
  </cellStyleXfs>
  <cellXfs count="309">
    <xf numFmtId="0" fontId="0" fillId="0" borderId="0" xfId="0"/>
    <xf numFmtId="44" fontId="11" fillId="0" borderId="0" xfId="2" applyFont="1" applyFill="1" applyBorder="1" applyAlignment="1">
      <alignment horizontal="left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5" fillId="0" borderId="0" xfId="0" applyFont="1"/>
    <xf numFmtId="0" fontId="16" fillId="0" borderId="0" xfId="0" applyFont="1"/>
    <xf numFmtId="0" fontId="17" fillId="0" borderId="0" xfId="0" applyFont="1" applyAlignment="1">
      <alignment horizontal="left"/>
    </xf>
    <xf numFmtId="0" fontId="18" fillId="0" borderId="0" xfId="0" applyFont="1"/>
    <xf numFmtId="2" fontId="19" fillId="0" borderId="0" xfId="0" applyNumberFormat="1" applyFont="1" applyAlignment="1">
      <alignment horizontal="left"/>
    </xf>
    <xf numFmtId="2" fontId="6" fillId="0" borderId="0" xfId="0" applyNumberFormat="1" applyFont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49" fontId="28" fillId="2" borderId="0" xfId="0" applyNumberFormat="1" applyFont="1" applyFill="1" applyAlignment="1">
      <alignment vertical="center"/>
    </xf>
    <xf numFmtId="164" fontId="28" fillId="2" borderId="0" xfId="0" applyNumberFormat="1" applyFont="1" applyFill="1" applyAlignment="1">
      <alignment horizontal="center" vertical="center"/>
    </xf>
    <xf numFmtId="164" fontId="28" fillId="2" borderId="0" xfId="0" applyNumberFormat="1" applyFont="1" applyFill="1" applyAlignment="1">
      <alignment vertical="center"/>
    </xf>
    <xf numFmtId="0" fontId="29" fillId="0" borderId="0" xfId="0" applyFont="1"/>
    <xf numFmtId="0" fontId="20" fillId="2" borderId="0" xfId="0" applyFont="1" applyFill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4" fontId="33" fillId="0" borderId="0" xfId="2" applyFont="1" applyFill="1" applyBorder="1" applyAlignment="1">
      <alignment horizontal="left" vertical="center"/>
    </xf>
    <xf numFmtId="1" fontId="34" fillId="0" borderId="0" xfId="0" applyNumberFormat="1" applyFont="1" applyAlignment="1">
      <alignment horizontal="center" vertical="center" wrapText="1"/>
    </xf>
    <xf numFmtId="165" fontId="9" fillId="0" borderId="7" xfId="0" applyNumberFormat="1" applyFont="1" applyBorder="1" applyAlignment="1" applyProtection="1">
      <alignment vertical="center"/>
      <protection locked="0"/>
    </xf>
    <xf numFmtId="165" fontId="9" fillId="0" borderId="0" xfId="0" applyNumberFormat="1" applyFont="1" applyAlignment="1" applyProtection="1">
      <alignment vertical="center"/>
      <protection locked="0"/>
    </xf>
    <xf numFmtId="165" fontId="9" fillId="0" borderId="1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1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/>
    </xf>
    <xf numFmtId="1" fontId="30" fillId="2" borderId="0" xfId="5" applyNumberForma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32" fillId="0" borderId="0" xfId="0" applyFont="1"/>
    <xf numFmtId="1" fontId="39" fillId="2" borderId="4" xfId="0" applyNumberFormat="1" applyFont="1" applyFill="1" applyBorder="1" applyAlignment="1">
      <alignment horizontal="left" vertical="center"/>
    </xf>
    <xf numFmtId="1" fontId="39" fillId="2" borderId="4" xfId="0" applyNumberFormat="1" applyFont="1" applyFill="1" applyBorder="1" applyAlignment="1">
      <alignment horizontal="center" vertical="center"/>
    </xf>
    <xf numFmtId="1" fontId="40" fillId="2" borderId="4" xfId="0" applyNumberFormat="1" applyFont="1" applyFill="1" applyBorder="1" applyAlignment="1">
      <alignment horizontal="center" vertical="center"/>
    </xf>
    <xf numFmtId="0" fontId="41" fillId="0" borderId="0" xfId="0" applyFont="1"/>
    <xf numFmtId="0" fontId="44" fillId="0" borderId="0" xfId="0" applyFont="1"/>
    <xf numFmtId="0" fontId="42" fillId="2" borderId="5" xfId="0" applyFont="1" applyFill="1" applyBorder="1" applyAlignment="1">
      <alignment horizontal="left"/>
    </xf>
    <xf numFmtId="1" fontId="42" fillId="2" borderId="0" xfId="0" applyNumberFormat="1" applyFont="1" applyFill="1" applyAlignment="1">
      <alignment horizontal="left" vertical="center"/>
    </xf>
    <xf numFmtId="0" fontId="43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left"/>
    </xf>
    <xf numFmtId="0" fontId="43" fillId="2" borderId="0" xfId="0" applyFont="1" applyFill="1" applyAlignment="1">
      <alignment horizontal="left"/>
    </xf>
    <xf numFmtId="0" fontId="42" fillId="2" borderId="0" xfId="0" applyFont="1" applyFill="1" applyAlignment="1">
      <alignment horizontal="left" vertical="center"/>
    </xf>
    <xf numFmtId="0" fontId="42" fillId="2" borderId="7" xfId="0" applyFont="1" applyFill="1" applyBorder="1" applyAlignment="1">
      <alignment horizontal="left" vertical="center"/>
    </xf>
    <xf numFmtId="0" fontId="43" fillId="2" borderId="5" xfId="0" applyFont="1" applyFill="1" applyBorder="1" applyAlignment="1">
      <alignment horizontal="left"/>
    </xf>
    <xf numFmtId="1" fontId="7" fillId="0" borderId="5" xfId="7" applyNumberFormat="1" applyFont="1" applyFill="1" applyBorder="1" applyAlignment="1">
      <alignment horizontal="center" vertical="center"/>
    </xf>
    <xf numFmtId="1" fontId="7" fillId="0" borderId="0" xfId="7" applyNumberFormat="1" applyFont="1" applyFill="1" applyBorder="1" applyAlignment="1">
      <alignment horizontal="left" vertical="center"/>
    </xf>
    <xf numFmtId="0" fontId="4" fillId="0" borderId="0" xfId="7" applyFont="1" applyFill="1" applyBorder="1" applyAlignment="1">
      <alignment horizontal="center" vertical="center"/>
    </xf>
    <xf numFmtId="0" fontId="32" fillId="0" borderId="0" xfId="7" applyFont="1" applyFill="1" applyBorder="1" applyAlignment="1">
      <alignment horizontal="center" vertical="center"/>
    </xf>
    <xf numFmtId="0" fontId="30" fillId="0" borderId="0" xfId="5" applyBorder="1" applyAlignment="1">
      <alignment wrapText="1"/>
    </xf>
    <xf numFmtId="1" fontId="4" fillId="0" borderId="0" xfId="7" applyNumberFormat="1" applyFont="1" applyFill="1" applyBorder="1" applyAlignment="1">
      <alignment horizontal="center" vertical="center"/>
    </xf>
    <xf numFmtId="0" fontId="30" fillId="0" borderId="0" xfId="5" applyBorder="1"/>
    <xf numFmtId="1" fontId="45" fillId="2" borderId="0" xfId="7" applyNumberFormat="1" applyFont="1" applyFill="1" applyBorder="1" applyAlignment="1">
      <alignment horizontal="left" vertical="center"/>
    </xf>
    <xf numFmtId="0" fontId="30" fillId="2" borderId="0" xfId="5" applyFill="1" applyBorder="1"/>
    <xf numFmtId="1" fontId="44" fillId="2" borderId="0" xfId="7" applyNumberFormat="1" applyFont="1" applyFill="1" applyBorder="1" applyAlignment="1">
      <alignment horizontal="center" vertical="center"/>
    </xf>
    <xf numFmtId="0" fontId="30" fillId="0" borderId="0" xfId="5" applyFill="1" applyBorder="1" applyAlignment="1">
      <alignment horizontal="center" vertical="center"/>
    </xf>
    <xf numFmtId="0" fontId="30" fillId="2" borderId="0" xfId="5" applyFill="1" applyBorder="1" applyAlignment="1">
      <alignment horizontal="left"/>
    </xf>
    <xf numFmtId="0" fontId="43" fillId="2" borderId="5" xfId="7" applyFont="1" applyFill="1" applyBorder="1" applyAlignment="1">
      <alignment vertical="center"/>
    </xf>
    <xf numFmtId="0" fontId="43" fillId="2" borderId="0" xfId="7" applyFont="1" applyFill="1" applyBorder="1" applyAlignment="1">
      <alignment vertical="center"/>
    </xf>
    <xf numFmtId="1" fontId="4" fillId="0" borderId="5" xfId="7" applyNumberFormat="1" applyFont="1" applyFill="1" applyBorder="1" applyAlignment="1">
      <alignment horizontal="center" vertical="center"/>
    </xf>
    <xf numFmtId="0" fontId="42" fillId="2" borderId="5" xfId="7" applyFont="1" applyFill="1" applyBorder="1" applyAlignment="1">
      <alignment horizontal="left" vertical="center"/>
    </xf>
    <xf numFmtId="0" fontId="46" fillId="2" borderId="0" xfId="6" applyFont="1" applyFill="1" applyAlignment="1">
      <alignment horizontal="center" vertical="center"/>
    </xf>
    <xf numFmtId="0" fontId="42" fillId="2" borderId="0" xfId="7" applyFont="1" applyFill="1" applyBorder="1" applyAlignment="1">
      <alignment horizontal="left" vertical="center"/>
    </xf>
    <xf numFmtId="0" fontId="30" fillId="2" borderId="0" xfId="5" applyFill="1" applyBorder="1" applyAlignment="1">
      <alignment horizontal="left" vertical="center"/>
    </xf>
    <xf numFmtId="0" fontId="46" fillId="2" borderId="0" xfId="6" applyFont="1" applyFill="1" applyAlignment="1">
      <alignment horizontal="center" vertical="center" wrapText="1"/>
    </xf>
    <xf numFmtId="0" fontId="43" fillId="2" borderId="5" xfId="0" applyFont="1" applyFill="1" applyBorder="1" applyAlignment="1">
      <alignment vertical="center"/>
    </xf>
    <xf numFmtId="0" fontId="43" fillId="2" borderId="0" xfId="0" applyFont="1" applyFill="1" applyAlignment="1">
      <alignment vertical="center"/>
    </xf>
    <xf numFmtId="0" fontId="30" fillId="2" borderId="0" xfId="5" applyFill="1" applyBorder="1" applyAlignment="1">
      <alignment vertical="center"/>
    </xf>
    <xf numFmtId="1" fontId="4" fillId="0" borderId="5" xfId="0" applyNumberFormat="1" applyFont="1" applyBorder="1" applyAlignment="1">
      <alignment horizontal="center" vertical="center"/>
    </xf>
    <xf numFmtId="49" fontId="27" fillId="0" borderId="0" xfId="0" applyNumberFormat="1" applyFont="1" applyAlignment="1">
      <alignment horizontal="center" vertical="center" wrapText="1"/>
    </xf>
    <xf numFmtId="0" fontId="44" fillId="2" borderId="0" xfId="7" applyFont="1" applyFill="1" applyBorder="1" applyAlignment="1">
      <alignment horizontal="center" vertical="center"/>
    </xf>
    <xf numFmtId="0" fontId="43" fillId="2" borderId="5" xfId="7" applyFont="1" applyFill="1" applyBorder="1" applyAlignment="1">
      <alignment horizontal="left" vertical="center"/>
    </xf>
    <xf numFmtId="0" fontId="43" fillId="2" borderId="0" xfId="7" applyFont="1" applyFill="1" applyBorder="1" applyAlignment="1">
      <alignment horizontal="left" vertical="center"/>
    </xf>
    <xf numFmtId="0" fontId="47" fillId="2" borderId="0" xfId="7" applyFont="1" applyFill="1" applyBorder="1" applyAlignment="1">
      <alignment vertical="center"/>
    </xf>
    <xf numFmtId="0" fontId="42" fillId="2" borderId="5" xfId="7" applyFont="1" applyFill="1" applyBorder="1" applyAlignment="1">
      <alignment vertical="center"/>
    </xf>
    <xf numFmtId="0" fontId="42" fillId="2" borderId="0" xfId="7" applyFont="1" applyFill="1" applyBorder="1" applyAlignment="1">
      <alignment vertical="center"/>
    </xf>
    <xf numFmtId="0" fontId="42" fillId="2" borderId="5" xfId="0" applyFont="1" applyFill="1" applyBorder="1" applyAlignment="1">
      <alignment horizontal="left" vertical="center"/>
    </xf>
    <xf numFmtId="0" fontId="43" fillId="2" borderId="5" xfId="0" applyFont="1" applyFill="1" applyBorder="1" applyAlignment="1">
      <alignment horizontal="left" vertical="center"/>
    </xf>
    <xf numFmtId="0" fontId="43" fillId="2" borderId="0" xfId="0" applyFont="1" applyFill="1" applyAlignment="1">
      <alignment horizontal="left" vertical="center"/>
    </xf>
    <xf numFmtId="0" fontId="27" fillId="0" borderId="11" xfId="0" applyFont="1" applyBorder="1" applyAlignment="1">
      <alignment horizontal="center" vertical="center" wrapText="1"/>
    </xf>
    <xf numFmtId="1" fontId="42" fillId="2" borderId="5" xfId="6" applyNumberFormat="1" applyFont="1" applyFill="1" applyBorder="1" applyAlignment="1">
      <alignment vertical="center"/>
    </xf>
    <xf numFmtId="1" fontId="42" fillId="2" borderId="0" xfId="6" applyNumberFormat="1" applyFont="1" applyFill="1" applyAlignment="1">
      <alignment vertical="center"/>
    </xf>
    <xf numFmtId="1" fontId="30" fillId="2" borderId="0" xfId="5" applyNumberFormat="1" applyFill="1" applyBorder="1" applyAlignment="1">
      <alignment vertical="center"/>
    </xf>
    <xf numFmtId="0" fontId="42" fillId="2" borderId="0" xfId="0" applyFont="1" applyFill="1" applyAlignment="1">
      <alignment horizontal="center" vertical="center"/>
    </xf>
    <xf numFmtId="1" fontId="43" fillId="2" borderId="5" xfId="6" applyNumberFormat="1" applyFont="1" applyFill="1" applyBorder="1" applyAlignment="1">
      <alignment vertical="center"/>
    </xf>
    <xf numFmtId="1" fontId="43" fillId="2" borderId="0" xfId="6" applyNumberFormat="1" applyFont="1" applyFill="1" applyAlignment="1">
      <alignment vertical="center"/>
    </xf>
    <xf numFmtId="0" fontId="48" fillId="0" borderId="0" xfId="6" applyFont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2" fillId="2" borderId="5" xfId="0" applyFont="1" applyFill="1" applyBorder="1" applyAlignment="1">
      <alignment vertical="center"/>
    </xf>
    <xf numFmtId="0" fontId="42" fillId="2" borderId="0" xfId="0" applyFont="1" applyFill="1" applyAlignment="1">
      <alignment vertical="center"/>
    </xf>
    <xf numFmtId="0" fontId="42" fillId="2" borderId="5" xfId="0" applyFont="1" applyFill="1" applyBorder="1"/>
    <xf numFmtId="0" fontId="42" fillId="2" borderId="0" xfId="0" applyFont="1" applyFill="1"/>
    <xf numFmtId="1" fontId="4" fillId="0" borderId="12" xfId="7" applyNumberFormat="1" applyFont="1" applyFill="1" applyBorder="1" applyAlignment="1">
      <alignment horizontal="center" vertical="center"/>
    </xf>
    <xf numFmtId="0" fontId="42" fillId="2" borderId="0" xfId="1" applyFont="1" applyFill="1" applyAlignment="1">
      <alignment horizontal="left" vertical="center"/>
    </xf>
    <xf numFmtId="1" fontId="50" fillId="0" borderId="5" xfId="7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left" wrapText="1"/>
    </xf>
    <xf numFmtId="0" fontId="4" fillId="0" borderId="0" xfId="7" applyFont="1" applyFill="1" applyBorder="1" applyAlignment="1">
      <alignment horizontal="left" vertical="center"/>
    </xf>
    <xf numFmtId="1" fontId="50" fillId="0" borderId="5" xfId="7" applyNumberFormat="1" applyFont="1" applyFill="1" applyBorder="1" applyAlignment="1">
      <alignment horizontal="center" vertical="center" wrapText="1"/>
    </xf>
    <xf numFmtId="1" fontId="42" fillId="2" borderId="5" xfId="0" applyNumberFormat="1" applyFont="1" applyFill="1" applyBorder="1" applyAlignment="1">
      <alignment horizontal="center" vertical="center"/>
    </xf>
    <xf numFmtId="1" fontId="52" fillId="2" borderId="5" xfId="0" applyNumberFormat="1" applyFont="1" applyFill="1" applyBorder="1" applyAlignment="1">
      <alignment horizontal="center" vertical="center"/>
    </xf>
    <xf numFmtId="1" fontId="7" fillId="2" borderId="0" xfId="7" applyNumberFormat="1" applyFont="1" applyFill="1" applyBorder="1" applyAlignment="1">
      <alignment horizontal="left" vertical="center"/>
    </xf>
    <xf numFmtId="0" fontId="53" fillId="2" borderId="0" xfId="0" applyFont="1" applyFill="1" applyAlignment="1">
      <alignment horizontal="center" vertical="center"/>
    </xf>
    <xf numFmtId="0" fontId="53" fillId="2" borderId="0" xfId="0" applyFont="1" applyFill="1" applyAlignment="1">
      <alignment horizontal="left"/>
    </xf>
    <xf numFmtId="1" fontId="4" fillId="2" borderId="0" xfId="7" applyNumberFormat="1" applyFont="1" applyFill="1" applyBorder="1" applyAlignment="1">
      <alignment horizontal="center" vertical="center"/>
    </xf>
    <xf numFmtId="0" fontId="52" fillId="2" borderId="5" xfId="0" applyFont="1" applyFill="1" applyBorder="1" applyAlignment="1">
      <alignment horizontal="left" vertical="center"/>
    </xf>
    <xf numFmtId="0" fontId="52" fillId="2" borderId="0" xfId="0" applyFont="1" applyFill="1" applyAlignment="1">
      <alignment horizontal="left" vertical="center"/>
    </xf>
    <xf numFmtId="0" fontId="53" fillId="2" borderId="5" xfId="0" applyFont="1" applyFill="1" applyBorder="1" applyAlignment="1">
      <alignment horizontal="left"/>
    </xf>
    <xf numFmtId="0" fontId="52" fillId="2" borderId="5" xfId="0" applyFont="1" applyFill="1" applyBorder="1" applyAlignment="1">
      <alignment horizontal="left"/>
    </xf>
    <xf numFmtId="0" fontId="52" fillId="2" borderId="0" xfId="0" applyFont="1" applyFill="1" applyAlignment="1">
      <alignment horizontal="left"/>
    </xf>
    <xf numFmtId="0" fontId="54" fillId="0" borderId="0" xfId="6" applyFont="1" applyAlignment="1">
      <alignment horizontal="center" vertical="center" wrapText="1"/>
    </xf>
    <xf numFmtId="0" fontId="5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" fontId="4" fillId="0" borderId="13" xfId="0" applyNumberFormat="1" applyFont="1" applyBorder="1" applyAlignment="1">
      <alignment horizontal="center" vertical="center"/>
    </xf>
    <xf numFmtId="1" fontId="4" fillId="0" borderId="14" xfId="0" applyNumberFormat="1" applyFont="1" applyBorder="1" applyAlignment="1">
      <alignment horizontal="center" vertical="center"/>
    </xf>
    <xf numFmtId="1" fontId="4" fillId="0" borderId="15" xfId="0" applyNumberFormat="1" applyFont="1" applyBorder="1" applyAlignment="1">
      <alignment horizontal="center" vertical="center"/>
    </xf>
    <xf numFmtId="1" fontId="4" fillId="0" borderId="16" xfId="0" applyNumberFormat="1" applyFont="1" applyBorder="1" applyAlignment="1">
      <alignment horizontal="center" vertical="center"/>
    </xf>
    <xf numFmtId="0" fontId="52" fillId="2" borderId="5" xfId="0" applyFont="1" applyFill="1" applyBorder="1" applyAlignment="1">
      <alignment vertical="center"/>
    </xf>
    <xf numFmtId="0" fontId="52" fillId="2" borderId="0" xfId="0" applyFont="1" applyFill="1" applyAlignment="1">
      <alignment vertical="center"/>
    </xf>
    <xf numFmtId="0" fontId="53" fillId="2" borderId="5" xfId="0" applyFont="1" applyFill="1" applyBorder="1" applyAlignment="1">
      <alignment vertical="center"/>
    </xf>
    <xf numFmtId="0" fontId="53" fillId="2" borderId="0" xfId="0" applyFont="1" applyFill="1" applyAlignment="1">
      <alignment vertical="center"/>
    </xf>
    <xf numFmtId="0" fontId="53" fillId="2" borderId="0" xfId="0" applyFont="1" applyFill="1" applyAlignment="1">
      <alignment horizontal="left" vertical="center"/>
    </xf>
    <xf numFmtId="0" fontId="53" fillId="2" borderId="5" xfId="0" applyFont="1" applyFill="1" applyBorder="1" applyAlignment="1">
      <alignment horizontal="left" vertical="center"/>
    </xf>
    <xf numFmtId="0" fontId="32" fillId="0" borderId="0" xfId="7" applyFont="1" applyFill="1" applyBorder="1" applyAlignment="1">
      <alignment horizontal="center" vertical="center" wrapText="1"/>
    </xf>
    <xf numFmtId="0" fontId="30" fillId="0" borderId="0" xfId="5" applyFill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/>
    </xf>
    <xf numFmtId="0" fontId="52" fillId="2" borderId="0" xfId="0" applyFont="1" applyFill="1" applyAlignment="1">
      <alignment horizontal="center" vertical="center"/>
    </xf>
    <xf numFmtId="1" fontId="52" fillId="2" borderId="0" xfId="0" applyNumberFormat="1" applyFont="1" applyFill="1" applyAlignment="1">
      <alignment horizontal="center" vertical="center"/>
    </xf>
    <xf numFmtId="0" fontId="30" fillId="2" borderId="0" xfId="5" applyNumberFormat="1" applyFill="1" applyBorder="1" applyAlignment="1" applyProtection="1">
      <alignment horizontal="left"/>
    </xf>
    <xf numFmtId="0" fontId="53" fillId="2" borderId="0" xfId="1" applyFont="1" applyFill="1" applyAlignment="1">
      <alignment horizontal="left"/>
    </xf>
    <xf numFmtId="1" fontId="40" fillId="2" borderId="5" xfId="0" applyNumberFormat="1" applyFont="1" applyFill="1" applyBorder="1" applyAlignment="1">
      <alignment horizontal="left" vertical="center"/>
    </xf>
    <xf numFmtId="1" fontId="39" fillId="2" borderId="0" xfId="0" applyNumberFormat="1" applyFont="1" applyFill="1" applyAlignment="1">
      <alignment horizontal="center" vertical="center"/>
    </xf>
    <xf numFmtId="1" fontId="40" fillId="2" borderId="0" xfId="0" applyNumberFormat="1" applyFont="1" applyFill="1" applyAlignment="1">
      <alignment horizontal="left" vertical="center"/>
    </xf>
    <xf numFmtId="0" fontId="4" fillId="0" borderId="0" xfId="7" applyFont="1" applyFill="1" applyBorder="1" applyAlignment="1">
      <alignment vertical="center"/>
    </xf>
    <xf numFmtId="1" fontId="55" fillId="2" borderId="5" xfId="0" applyNumberFormat="1" applyFont="1" applyFill="1" applyBorder="1" applyAlignment="1">
      <alignment horizontal="left" vertical="center"/>
    </xf>
    <xf numFmtId="1" fontId="56" fillId="2" borderId="0" xfId="7" applyNumberFormat="1" applyFont="1" applyFill="1" applyBorder="1" applyAlignment="1">
      <alignment horizontal="left" vertical="center"/>
    </xf>
    <xf numFmtId="0" fontId="57" fillId="2" borderId="0" xfId="0" applyFont="1" applyFill="1" applyAlignment="1">
      <alignment horizontal="center" vertical="center"/>
    </xf>
    <xf numFmtId="0" fontId="57" fillId="2" borderId="0" xfId="0" applyFont="1" applyFill="1" applyAlignment="1">
      <alignment horizontal="left"/>
    </xf>
    <xf numFmtId="0" fontId="58" fillId="0" borderId="0" xfId="0" applyFont="1"/>
    <xf numFmtId="1" fontId="59" fillId="2" borderId="5" xfId="0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left"/>
    </xf>
    <xf numFmtId="1" fontId="59" fillId="2" borderId="0" xfId="0" applyNumberFormat="1" applyFont="1" applyFill="1" applyAlignment="1">
      <alignment horizontal="center" vertical="center"/>
    </xf>
    <xf numFmtId="0" fontId="60" fillId="2" borderId="0" xfId="1" applyFont="1" applyFill="1" applyAlignment="1">
      <alignment horizontal="left"/>
    </xf>
    <xf numFmtId="0" fontId="61" fillId="0" borderId="0" xfId="0" applyFont="1"/>
    <xf numFmtId="1" fontId="39" fillId="2" borderId="5" xfId="0" applyNumberFormat="1" applyFont="1" applyFill="1" applyBorder="1" applyAlignment="1">
      <alignment horizontal="center" vertical="center"/>
    </xf>
    <xf numFmtId="0" fontId="62" fillId="2" borderId="0" xfId="0" applyFont="1" applyFill="1" applyAlignment="1">
      <alignment horizontal="left"/>
    </xf>
    <xf numFmtId="0" fontId="63" fillId="2" borderId="0" xfId="0" applyFont="1" applyFill="1" applyAlignment="1">
      <alignment horizontal="left"/>
    </xf>
    <xf numFmtId="0" fontId="52" fillId="2" borderId="0" xfId="1" applyFont="1" applyFill="1" applyAlignment="1">
      <alignment horizontal="left"/>
    </xf>
    <xf numFmtId="0" fontId="40" fillId="2" borderId="0" xfId="0" applyFont="1" applyFill="1" applyAlignment="1">
      <alignment horizontal="left"/>
    </xf>
    <xf numFmtId="0" fontId="64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7" fillId="0" borderId="5" xfId="7" applyNumberFormat="1" applyFont="1" applyFill="1" applyBorder="1" applyAlignment="1" applyProtection="1">
      <alignment horizontal="center" vertical="center"/>
    </xf>
    <xf numFmtId="0" fontId="32" fillId="0" borderId="0" xfId="7" applyNumberFormat="1" applyFont="1" applyFill="1" applyBorder="1" applyAlignment="1" applyProtection="1">
      <alignment horizontal="center" vertical="center"/>
    </xf>
    <xf numFmtId="0" fontId="30" fillId="0" borderId="0" xfId="5" applyNumberFormat="1" applyFill="1" applyBorder="1" applyAlignment="1" applyProtection="1">
      <alignment horizontal="center" vertical="center"/>
    </xf>
    <xf numFmtId="1" fontId="7" fillId="0" borderId="0" xfId="7" applyNumberFormat="1" applyFont="1" applyFill="1" applyBorder="1" applyAlignment="1" applyProtection="1">
      <alignment horizontal="center" vertical="center"/>
    </xf>
    <xf numFmtId="2" fontId="4" fillId="0" borderId="0" xfId="7" applyNumberFormat="1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>
      <alignment horizontal="left"/>
    </xf>
    <xf numFmtId="2" fontId="4" fillId="2" borderId="0" xfId="7" applyNumberFormat="1" applyFont="1" applyFill="1" applyBorder="1" applyAlignment="1" applyProtection="1">
      <alignment horizontal="center" vertical="center"/>
    </xf>
    <xf numFmtId="0" fontId="30" fillId="2" borderId="0" xfId="5" applyFill="1" applyBorder="1" applyAlignment="1">
      <alignment horizontal="center" vertical="center"/>
    </xf>
    <xf numFmtId="0" fontId="52" fillId="2" borderId="5" xfId="1" applyFont="1" applyFill="1" applyBorder="1" applyAlignment="1">
      <alignment horizontal="left"/>
    </xf>
    <xf numFmtId="1" fontId="40" fillId="2" borderId="0" xfId="0" applyNumberFormat="1" applyFont="1" applyFill="1" applyAlignment="1">
      <alignment horizontal="center" vertical="center"/>
    </xf>
    <xf numFmtId="1" fontId="30" fillId="2" borderId="0" xfId="5" applyNumberFormat="1" applyFill="1" applyBorder="1" applyAlignment="1">
      <alignment horizontal="center" vertical="center"/>
    </xf>
    <xf numFmtId="1" fontId="7" fillId="2" borderId="5" xfId="7" applyNumberFormat="1" applyFont="1" applyFill="1" applyBorder="1" applyAlignment="1" applyProtection="1">
      <alignment horizontal="center" vertical="center"/>
    </xf>
    <xf numFmtId="1" fontId="7" fillId="2" borderId="0" xfId="7" applyNumberFormat="1" applyFont="1" applyFill="1" applyBorder="1" applyAlignment="1" applyProtection="1">
      <alignment horizontal="center" vertical="center"/>
    </xf>
    <xf numFmtId="0" fontId="40" fillId="2" borderId="5" xfId="0" applyFont="1" applyFill="1" applyBorder="1" applyAlignment="1">
      <alignment horizontal="left" vertical="center"/>
    </xf>
    <xf numFmtId="0" fontId="39" fillId="2" borderId="0" xfId="0" applyFont="1" applyFill="1" applyAlignment="1">
      <alignment horizontal="left"/>
    </xf>
    <xf numFmtId="0" fontId="40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40" fillId="2" borderId="0" xfId="0" applyFont="1" applyFill="1" applyAlignment="1">
      <alignment horizontal="left" vertical="center"/>
    </xf>
    <xf numFmtId="0" fontId="52" fillId="2" borderId="5" xfId="1" applyFont="1" applyFill="1" applyBorder="1" applyAlignment="1">
      <alignment horizontal="left" vertical="center"/>
    </xf>
    <xf numFmtId="0" fontId="52" fillId="2" borderId="0" xfId="1" applyFont="1" applyFill="1" applyAlignment="1">
      <alignment horizontal="left" vertical="center"/>
    </xf>
    <xf numFmtId="0" fontId="65" fillId="2" borderId="0" xfId="0" applyFont="1" applyFill="1" applyAlignment="1">
      <alignment horizontal="left"/>
    </xf>
    <xf numFmtId="1" fontId="7" fillId="0" borderId="8" xfId="7" applyNumberFormat="1" applyFont="1" applyFill="1" applyBorder="1" applyAlignment="1" applyProtection="1">
      <alignment horizontal="center" vertical="center"/>
    </xf>
    <xf numFmtId="0" fontId="30" fillId="0" borderId="1" xfId="5" applyNumberFormat="1" applyFill="1" applyBorder="1" applyAlignment="1" applyProtection="1">
      <alignment horizontal="center" vertical="center"/>
    </xf>
    <xf numFmtId="1" fontId="7" fillId="0" borderId="1" xfId="7" applyNumberFormat="1" applyFont="1" applyFill="1" applyBorder="1" applyAlignment="1" applyProtection="1">
      <alignment horizontal="center" vertical="center"/>
    </xf>
    <xf numFmtId="2" fontId="4" fillId="0" borderId="1" xfId="7" applyNumberFormat="1" applyFont="1" applyFill="1" applyBorder="1" applyAlignment="1" applyProtection="1">
      <alignment horizontal="center" vertical="center"/>
    </xf>
    <xf numFmtId="165" fontId="9" fillId="0" borderId="9" xfId="0" applyNumberFormat="1" applyFont="1" applyBorder="1" applyAlignment="1" applyProtection="1">
      <alignment vertical="center"/>
      <protection locked="0"/>
    </xf>
    <xf numFmtId="0" fontId="4" fillId="0" borderId="0" xfId="0" applyFont="1" applyAlignment="1">
      <alignment horizontal="left"/>
    </xf>
    <xf numFmtId="0" fontId="53" fillId="2" borderId="5" xfId="5" applyFont="1" applyFill="1" applyBorder="1" applyAlignment="1" applyProtection="1">
      <alignment horizontal="left"/>
    </xf>
    <xf numFmtId="0" fontId="53" fillId="2" borderId="0" xfId="5" applyFont="1" applyFill="1" applyBorder="1" applyAlignment="1" applyProtection="1">
      <alignment horizontal="left"/>
    </xf>
    <xf numFmtId="0" fontId="4" fillId="0" borderId="0" xfId="7" applyFont="1" applyFill="1" applyBorder="1" applyAlignment="1" applyProtection="1">
      <alignment horizontal="left" vertical="center"/>
    </xf>
    <xf numFmtId="0" fontId="4" fillId="0" borderId="0" xfId="7" applyFont="1" applyFill="1" applyBorder="1" applyAlignment="1" applyProtection="1">
      <alignment horizontal="center" vertical="center"/>
    </xf>
    <xf numFmtId="0" fontId="32" fillId="0" borderId="0" xfId="7" applyFont="1" applyFill="1" applyBorder="1" applyAlignment="1" applyProtection="1">
      <alignment horizontal="center" vertical="center"/>
    </xf>
    <xf numFmtId="0" fontId="4" fillId="2" borderId="0" xfId="7" applyFont="1" applyFill="1" applyBorder="1" applyAlignment="1" applyProtection="1">
      <alignment horizontal="left" vertical="center"/>
    </xf>
    <xf numFmtId="0" fontId="4" fillId="0" borderId="1" xfId="7" applyFont="1" applyFill="1" applyBorder="1" applyAlignment="1" applyProtection="1">
      <alignment horizontal="left" vertical="center"/>
    </xf>
    <xf numFmtId="0" fontId="4" fillId="0" borderId="1" xfId="7" applyFont="1" applyFill="1" applyBorder="1" applyAlignment="1" applyProtection="1">
      <alignment horizontal="center" vertical="center"/>
    </xf>
    <xf numFmtId="0" fontId="32" fillId="0" borderId="1" xfId="7" applyFont="1" applyFill="1" applyBorder="1" applyAlignment="1" applyProtection="1">
      <alignment horizontal="center" vertical="center"/>
    </xf>
    <xf numFmtId="0" fontId="26" fillId="5" borderId="2" xfId="0" applyFont="1" applyFill="1" applyBorder="1" applyAlignment="1">
      <alignment horizontal="center" vertical="center" wrapText="1"/>
    </xf>
    <xf numFmtId="0" fontId="66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" fontId="30" fillId="0" borderId="0" xfId="5" applyNumberFormat="1" applyBorder="1" applyAlignment="1">
      <alignment horizontal="center" vertical="center"/>
    </xf>
    <xf numFmtId="0" fontId="30" fillId="0" borderId="1" xfId="5" applyBorder="1"/>
    <xf numFmtId="0" fontId="2" fillId="2" borderId="1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" fontId="39" fillId="2" borderId="19" xfId="0" applyNumberFormat="1" applyFont="1" applyFill="1" applyBorder="1" applyAlignment="1">
      <alignment horizontal="center" vertical="center"/>
    </xf>
    <xf numFmtId="1" fontId="39" fillId="2" borderId="20" xfId="0" applyNumberFormat="1" applyFont="1" applyFill="1" applyBorder="1" applyAlignment="1">
      <alignment horizontal="center" vertical="center" wrapText="1"/>
    </xf>
    <xf numFmtId="1" fontId="39" fillId="2" borderId="19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/>
    </xf>
    <xf numFmtId="1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/>
    </xf>
    <xf numFmtId="1" fontId="14" fillId="0" borderId="0" xfId="0" applyNumberFormat="1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1" fontId="13" fillId="0" borderId="0" xfId="0" applyNumberFormat="1" applyFont="1" applyAlignment="1">
      <alignment horizontal="center" vertical="center" wrapText="1"/>
    </xf>
    <xf numFmtId="1" fontId="13" fillId="4" borderId="0" xfId="0" applyNumberFormat="1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" fontId="4" fillId="4" borderId="0" xfId="0" applyNumberFormat="1" applyFont="1" applyFill="1" applyAlignment="1">
      <alignment horizontal="center" vertical="center"/>
    </xf>
    <xf numFmtId="1" fontId="7" fillId="4" borderId="0" xfId="0" applyNumberFormat="1" applyFont="1" applyFill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24" fillId="5" borderId="0" xfId="0" applyNumberFormat="1" applyFont="1" applyFill="1" applyAlignment="1">
      <alignment horizontal="center" vertical="center"/>
    </xf>
    <xf numFmtId="0" fontId="24" fillId="5" borderId="0" xfId="0" applyFont="1" applyFill="1" applyAlignment="1">
      <alignment vertical="center"/>
    </xf>
    <xf numFmtId="1" fontId="21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1" fontId="22" fillId="0" borderId="0" xfId="0" applyNumberFormat="1" applyFont="1" applyAlignment="1">
      <alignment horizontal="center" vertical="center"/>
    </xf>
    <xf numFmtId="1" fontId="4" fillId="0" borderId="0" xfId="0" applyNumberFormat="1" applyFont="1"/>
    <xf numFmtId="1" fontId="3" fillId="2" borderId="0" xfId="0" applyNumberFormat="1" applyFont="1" applyFill="1" applyAlignment="1">
      <alignment horizontal="left" vertical="center"/>
    </xf>
    <xf numFmtId="1" fontId="4" fillId="2" borderId="0" xfId="0" applyNumberFormat="1" applyFont="1" applyFill="1" applyAlignment="1">
      <alignment horizontal="center" vertical="center"/>
    </xf>
    <xf numFmtId="1" fontId="4" fillId="2" borderId="0" xfId="0" applyNumberFormat="1" applyFont="1" applyFill="1" applyAlignment="1">
      <alignment vertical="center"/>
    </xf>
    <xf numFmtId="1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7" fillId="0" borderId="0" xfId="0" applyNumberFormat="1" applyFont="1" applyAlignment="1">
      <alignment horizontal="right" vertical="center"/>
    </xf>
    <xf numFmtId="1" fontId="4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" fontId="7" fillId="0" borderId="0" xfId="0" applyNumberFormat="1" applyFont="1" applyAlignment="1">
      <alignment vertical="center"/>
    </xf>
    <xf numFmtId="1" fontId="24" fillId="6" borderId="0" xfId="0" applyNumberFormat="1" applyFont="1" applyFill="1" applyAlignment="1">
      <alignment horizontal="center" vertical="center"/>
    </xf>
    <xf numFmtId="0" fontId="24" fillId="6" borderId="0" xfId="0" applyFont="1" applyFill="1" applyAlignment="1">
      <alignment horizontal="left" vertical="center"/>
    </xf>
    <xf numFmtId="0" fontId="35" fillId="2" borderId="0" xfId="1" applyFont="1" applyFill="1" applyAlignment="1">
      <alignment horizontal="left" vertical="center"/>
    </xf>
    <xf numFmtId="1" fontId="24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" fontId="24" fillId="5" borderId="0" xfId="0" applyNumberFormat="1" applyFont="1" applyFill="1" applyAlignment="1">
      <alignment horizontal="left" vertical="center"/>
    </xf>
    <xf numFmtId="1" fontId="24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 applyProtection="1">
      <alignment vertical="center"/>
      <protection locked="0"/>
    </xf>
    <xf numFmtId="165" fontId="2" fillId="2" borderId="0" xfId="0" applyNumberFormat="1" applyFont="1" applyFill="1" applyAlignment="1" applyProtection="1">
      <alignment vertical="center"/>
      <protection locked="0"/>
    </xf>
    <xf numFmtId="1" fontId="27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0" fontId="24" fillId="5" borderId="0" xfId="0" applyFont="1" applyFill="1" applyAlignment="1">
      <alignment horizontal="left" vertical="center"/>
    </xf>
    <xf numFmtId="0" fontId="24" fillId="0" borderId="0" xfId="0" applyFont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1" fontId="24" fillId="2" borderId="0" xfId="0" applyNumberFormat="1" applyFont="1" applyFill="1" applyAlignment="1">
      <alignment horizontal="left" vertical="center"/>
    </xf>
    <xf numFmtId="1" fontId="4" fillId="7" borderId="0" xfId="0" applyNumberFormat="1" applyFont="1" applyFill="1" applyAlignment="1">
      <alignment horizontal="center" vertical="center"/>
    </xf>
    <xf numFmtId="1" fontId="7" fillId="0" borderId="0" xfId="0" applyNumberFormat="1" applyFont="1"/>
    <xf numFmtId="1" fontId="4" fillId="3" borderId="0" xfId="0" applyNumberFormat="1" applyFont="1" applyFill="1" applyAlignment="1">
      <alignment horizontal="center" vertical="center"/>
    </xf>
    <xf numFmtId="1" fontId="7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left"/>
    </xf>
    <xf numFmtId="0" fontId="24" fillId="6" borderId="0" xfId="0" applyFont="1" applyFill="1" applyAlignment="1">
      <alignment vertical="center"/>
    </xf>
    <xf numFmtId="1" fontId="37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/>
    </xf>
    <xf numFmtId="0" fontId="38" fillId="0" borderId="0" xfId="0" applyFont="1" applyAlignment="1">
      <alignment vertical="center" wrapText="1"/>
    </xf>
    <xf numFmtId="165" fontId="4" fillId="0" borderId="0" xfId="7" applyNumberFormat="1" applyFont="1" applyFill="1" applyBorder="1" applyAlignment="1" applyProtection="1">
      <alignment horizontal="center" vertical="center"/>
    </xf>
    <xf numFmtId="0" fontId="4" fillId="2" borderId="0" xfId="7" applyFont="1" applyFill="1" applyBorder="1" applyAlignment="1">
      <alignment horizontal="center" vertical="center"/>
    </xf>
    <xf numFmtId="2" fontId="3" fillId="2" borderId="0" xfId="0" applyNumberFormat="1" applyFont="1" applyFill="1" applyAlignment="1">
      <alignment horizontal="left"/>
    </xf>
    <xf numFmtId="2" fontId="4" fillId="0" borderId="0" xfId="0" applyNumberFormat="1" applyFont="1" applyAlignment="1">
      <alignment vertical="center"/>
    </xf>
    <xf numFmtId="1" fontId="13" fillId="0" borderId="0" xfId="0" applyNumberFormat="1" applyFont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15" fillId="2" borderId="0" xfId="0" applyFont="1" applyFill="1" applyAlignment="1">
      <alignment vertical="center"/>
    </xf>
    <xf numFmtId="1" fontId="7" fillId="0" borderId="0" xfId="0" applyNumberFormat="1" applyFont="1" applyAlignment="1">
      <alignment horizontal="left" vertical="center"/>
    </xf>
    <xf numFmtId="0" fontId="25" fillId="2" borderId="0" xfId="1" applyFont="1" applyFill="1" applyAlignment="1">
      <alignment horizontal="left" vertical="center"/>
    </xf>
    <xf numFmtId="0" fontId="2" fillId="2" borderId="0" xfId="1" applyFont="1" applyFill="1" applyAlignment="1">
      <alignment horizontal="left" vertical="center"/>
    </xf>
    <xf numFmtId="0" fontId="36" fillId="0" borderId="0" xfId="0" applyFont="1" applyAlignment="1">
      <alignment vertical="center"/>
    </xf>
    <xf numFmtId="0" fontId="20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7" fillId="0" borderId="0" xfId="0" applyFont="1"/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/>
    </xf>
    <xf numFmtId="165" fontId="9" fillId="0" borderId="6" xfId="0" applyNumberFormat="1" applyFont="1" applyBorder="1" applyAlignment="1" applyProtection="1">
      <alignment vertical="center"/>
      <protection locked="0"/>
    </xf>
    <xf numFmtId="1" fontId="3" fillId="2" borderId="6" xfId="0" applyNumberFormat="1" applyFont="1" applyFill="1" applyBorder="1" applyAlignment="1">
      <alignment horizontal="center" vertical="center"/>
    </xf>
    <xf numFmtId="1" fontId="3" fillId="2" borderId="6" xfId="0" applyNumberFormat="1" applyFont="1" applyFill="1" applyBorder="1" applyAlignment="1">
      <alignment horizontal="left" vertical="center"/>
    </xf>
    <xf numFmtId="165" fontId="9" fillId="2" borderId="6" xfId="0" applyNumberFormat="1" applyFont="1" applyFill="1" applyBorder="1" applyAlignment="1" applyProtection="1">
      <alignment vertical="center"/>
      <protection locked="0"/>
    </xf>
    <xf numFmtId="0" fontId="2" fillId="2" borderId="6" xfId="0" applyFont="1" applyFill="1" applyBorder="1" applyAlignment="1">
      <alignment horizontal="center" vertical="center" wrapText="1"/>
    </xf>
    <xf numFmtId="2" fontId="10" fillId="0" borderId="6" xfId="0" applyNumberFormat="1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165" fontId="9" fillId="0" borderId="6" xfId="0" applyNumberFormat="1" applyFont="1" applyBorder="1" applyAlignment="1" applyProtection="1">
      <alignment horizontal="center" vertical="center"/>
      <protection locked="0"/>
    </xf>
    <xf numFmtId="165" fontId="2" fillId="2" borderId="6" xfId="0" applyNumberFormat="1" applyFont="1" applyFill="1" applyBorder="1" applyAlignment="1" applyProtection="1">
      <alignment vertical="center"/>
      <protection locked="0"/>
    </xf>
    <xf numFmtId="2" fontId="2" fillId="2" borderId="6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vertical="center"/>
    </xf>
    <xf numFmtId="2" fontId="2" fillId="2" borderId="6" xfId="0" applyNumberFormat="1" applyFont="1" applyFill="1" applyBorder="1" applyAlignment="1">
      <alignment horizontal="left" vertical="center"/>
    </xf>
    <xf numFmtId="2" fontId="2" fillId="2" borderId="6" xfId="0" applyNumberFormat="1" applyFont="1" applyFill="1" applyBorder="1" applyAlignment="1">
      <alignment vertical="center"/>
    </xf>
    <xf numFmtId="2" fontId="10" fillId="2" borderId="6" xfId="0" applyNumberFormat="1" applyFont="1" applyFill="1" applyBorder="1" applyAlignment="1">
      <alignment horizontal="center" vertical="center"/>
    </xf>
    <xf numFmtId="44" fontId="11" fillId="0" borderId="6" xfId="2" applyFont="1" applyFill="1" applyBorder="1" applyAlignment="1">
      <alignment horizontal="left" vertical="center"/>
    </xf>
    <xf numFmtId="44" fontId="33" fillId="0" borderId="6" xfId="2" applyFont="1" applyFill="1" applyBorder="1" applyAlignment="1">
      <alignment horizontal="left" vertical="center"/>
    </xf>
    <xf numFmtId="44" fontId="9" fillId="0" borderId="6" xfId="2" applyFont="1" applyFill="1" applyBorder="1" applyAlignment="1">
      <alignment horizontal="left" vertical="center"/>
    </xf>
    <xf numFmtId="44" fontId="9" fillId="0" borderId="6" xfId="4" applyFont="1" applyFill="1" applyBorder="1" applyAlignment="1">
      <alignment horizontal="left" vertical="center"/>
    </xf>
    <xf numFmtId="44" fontId="9" fillId="0" borderId="17" xfId="2" applyFont="1" applyFill="1" applyBorder="1" applyAlignment="1">
      <alignment horizontal="left" vertical="center"/>
    </xf>
    <xf numFmtId="0" fontId="15" fillId="0" borderId="0" xfId="0" applyFont="1" applyAlignment="1">
      <alignment horizontal="left"/>
    </xf>
    <xf numFmtId="1" fontId="7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" fontId="4" fillId="4" borderId="0" xfId="0" applyNumberFormat="1" applyFont="1" applyFill="1" applyAlignment="1">
      <alignment horizontal="center" vertical="center"/>
    </xf>
    <xf numFmtId="165" fontId="9" fillId="0" borderId="0" xfId="0" applyNumberFormat="1" applyFont="1" applyAlignment="1" applyProtection="1">
      <alignment horizontal="right" vertical="center"/>
      <protection locked="0"/>
    </xf>
    <xf numFmtId="0" fontId="4" fillId="4" borderId="0" xfId="0" applyFont="1" applyFill="1" applyAlignment="1">
      <alignment horizontal="center" vertical="center"/>
    </xf>
  </cellXfs>
  <cellStyles count="8">
    <cellStyle name="20% - Cor2" xfId="7" builtinId="34"/>
    <cellStyle name="Hiperligação" xfId="5" builtinId="8"/>
    <cellStyle name="Moeda" xfId="2" builtinId="4"/>
    <cellStyle name="Moeda 2" xfId="4" xr:uid="{978F4B53-23FF-458C-B9F2-7832F5934619}"/>
    <cellStyle name="Normal" xfId="0" builtinId="0"/>
    <cellStyle name="Normal 2" xfId="1" xr:uid="{24C4CAC8-BA02-41C6-A61F-0D3F752DFCAA}"/>
    <cellStyle name="Standard 2" xfId="6" xr:uid="{E7049B6E-F8EF-4C96-9197-B4978D68031E}"/>
    <cellStyle name="Standard_Tabelle1" xfId="3" xr:uid="{11E57CEC-D260-4718-AFD8-1DA0EFFC9C22}"/>
  </cellStyles>
  <dxfs count="46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CD5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  <dxf>
      <font>
        <color auto="1"/>
      </font>
      <fill>
        <patternFill>
          <bgColor rgb="FFFCD5B4"/>
        </patternFill>
      </fill>
    </dxf>
  </dxfs>
  <tableStyles count="0" defaultTableStyle="TableStyleMedium2" defaultPivotStyle="PivotStyleLight16"/>
  <colors>
    <mruColors>
      <color rgb="FFFF6600"/>
      <color rgb="FF666666"/>
      <color rgb="FF00A9B2"/>
      <color rgb="FF9ECC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323850</xdr:colOff>
      <xdr:row>0</xdr:row>
      <xdr:rowOff>0</xdr:rowOff>
    </xdr:from>
    <xdr:ext cx="2107585" cy="745067"/>
    <xdr:pic>
      <xdr:nvPicPr>
        <xdr:cNvPr id="2" name="Imagem 1">
          <a:extLst>
            <a:ext uri="{FF2B5EF4-FFF2-40B4-BE49-F238E27FC236}">
              <a16:creationId xmlns:a16="http://schemas.microsoft.com/office/drawing/2014/main" id="{42FC2791-C2BC-43CB-9540-E4E656F98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21275" y="0"/>
          <a:ext cx="2107585" cy="74506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400050</xdr:colOff>
      <xdr:row>0</xdr:row>
      <xdr:rowOff>0</xdr:rowOff>
    </xdr:from>
    <xdr:ext cx="2107585" cy="745067"/>
    <xdr:pic>
      <xdr:nvPicPr>
        <xdr:cNvPr id="2" name="Imagem 1">
          <a:extLst>
            <a:ext uri="{FF2B5EF4-FFF2-40B4-BE49-F238E27FC236}">
              <a16:creationId xmlns:a16="http://schemas.microsoft.com/office/drawing/2014/main" id="{9AA2C827-7E9E-4313-99BE-66AF8B617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7075" y="0"/>
          <a:ext cx="2107585" cy="74506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UN@HOME" TargetMode="External"/><Relationship Id="rId13" Type="http://schemas.openxmlformats.org/officeDocument/2006/relationships/hyperlink" Target="mailto:Sun@Home" TargetMode="External"/><Relationship Id="rId3" Type="http://schemas.openxmlformats.org/officeDocument/2006/relationships/hyperlink" Target="mailto:SUN@HOME" TargetMode="External"/><Relationship Id="rId7" Type="http://schemas.openxmlformats.org/officeDocument/2006/relationships/hyperlink" Target="mailto:SUN@HOME" TargetMode="External"/><Relationship Id="rId12" Type="http://schemas.openxmlformats.org/officeDocument/2006/relationships/hyperlink" Target="mailto:SUN@HOME%20Bathroom" TargetMode="External"/><Relationship Id="rId2" Type="http://schemas.openxmlformats.org/officeDocument/2006/relationships/hyperlink" Target="mailto:SUN@HOME" TargetMode="External"/><Relationship Id="rId1" Type="http://schemas.openxmlformats.org/officeDocument/2006/relationships/hyperlink" Target="mailto:SUN@HOME" TargetMode="External"/><Relationship Id="rId6" Type="http://schemas.openxmlformats.org/officeDocument/2006/relationships/hyperlink" Target="mailto:SUN@HOME" TargetMode="External"/><Relationship Id="rId11" Type="http://schemas.openxmlformats.org/officeDocument/2006/relationships/hyperlink" Target="mailto:SUN@HOME%20WIFI%20PLANON&#8482;%20FRAMELESS" TargetMode="External"/><Relationship Id="rId5" Type="http://schemas.openxmlformats.org/officeDocument/2006/relationships/hyperlink" Target="mailto:SUN@HOME" TargetMode="External"/><Relationship Id="rId10" Type="http://schemas.openxmlformats.org/officeDocument/2006/relationships/hyperlink" Target="mailto:SUN@HOME%20WIFI%20PLANON&#8482;%20FRAMELESS" TargetMode="External"/><Relationship Id="rId4" Type="http://schemas.openxmlformats.org/officeDocument/2006/relationships/hyperlink" Target="mailto:SUN@HOME" TargetMode="External"/><Relationship Id="rId9" Type="http://schemas.openxmlformats.org/officeDocument/2006/relationships/hyperlink" Target="mailto:SUN@HOME" TargetMode="External"/><Relationship Id="rId1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7758F-9AB5-4136-B4CE-60007C2AF487}">
  <dimension ref="A1:XAP3083"/>
  <sheetViews>
    <sheetView tabSelected="1" zoomScale="85" zoomScaleNormal="85" workbookViewId="0">
      <pane ySplit="2" topLeftCell="A3" activePane="bottomLeft" state="frozen"/>
      <selection pane="bottomLeft" activeCell="A5" sqref="A5"/>
    </sheetView>
  </sheetViews>
  <sheetFormatPr defaultRowHeight="15"/>
  <cols>
    <col min="1" max="1" width="15.5703125" customWidth="1"/>
    <col min="2" max="2" width="60.140625" customWidth="1"/>
    <col min="3" max="3" width="18.85546875" customWidth="1"/>
    <col min="4" max="4" width="17.5703125" customWidth="1"/>
    <col min="5" max="5" width="53.5703125" customWidth="1"/>
    <col min="6" max="6" width="17.85546875" style="34" customWidth="1"/>
    <col min="7" max="7" width="16.140625" style="34" customWidth="1"/>
    <col min="8" max="8" width="9.140625" customWidth="1"/>
    <col min="9" max="9" width="13.28515625" customWidth="1"/>
    <col min="10" max="14" width="9.140625" customWidth="1"/>
  </cols>
  <sheetData>
    <row r="1" spans="1:14" s="23" customFormat="1" ht="59.25" customHeight="1">
      <c r="A1" s="20" t="s">
        <v>6110</v>
      </c>
      <c r="B1" s="20"/>
      <c r="C1" s="21"/>
      <c r="D1" s="21"/>
      <c r="E1" s="22"/>
      <c r="F1" s="21"/>
      <c r="G1" s="21"/>
      <c r="H1" s="21"/>
      <c r="I1" s="21"/>
      <c r="J1" s="21"/>
      <c r="K1" s="21"/>
      <c r="L1" s="21"/>
      <c r="M1" s="22"/>
      <c r="N1" s="22"/>
    </row>
    <row r="2" spans="1:14" ht="111.75" customHeight="1">
      <c r="A2" s="204" t="s">
        <v>2</v>
      </c>
      <c r="B2" s="204" t="s">
        <v>0</v>
      </c>
      <c r="C2" s="204" t="s">
        <v>1</v>
      </c>
      <c r="D2" s="203" t="s">
        <v>1</v>
      </c>
      <c r="E2" s="203" t="s">
        <v>6109</v>
      </c>
      <c r="F2" s="205" t="s">
        <v>1111</v>
      </c>
      <c r="G2" s="205" t="s">
        <v>3139</v>
      </c>
      <c r="H2" s="205" t="s">
        <v>3</v>
      </c>
      <c r="I2" s="205" t="s">
        <v>4</v>
      </c>
      <c r="J2" s="205" t="s">
        <v>5</v>
      </c>
      <c r="K2" s="205" t="s">
        <v>6</v>
      </c>
      <c r="L2" s="205" t="s">
        <v>7</v>
      </c>
      <c r="M2" s="205" t="s">
        <v>6507</v>
      </c>
      <c r="N2" s="209" t="s">
        <v>8</v>
      </c>
    </row>
    <row r="3" spans="1:14" ht="20.25" customHeight="1">
      <c r="A3" s="6" t="s">
        <v>641</v>
      </c>
      <c r="B3" s="24" t="s">
        <v>3138</v>
      </c>
      <c r="C3" s="6"/>
      <c r="D3" s="19"/>
      <c r="E3" s="19"/>
      <c r="F3" s="208"/>
      <c r="G3" s="208"/>
      <c r="H3" s="6"/>
      <c r="I3" s="6"/>
      <c r="J3" s="6"/>
      <c r="K3" s="6"/>
      <c r="L3" s="6"/>
      <c r="M3" s="6"/>
      <c r="N3" s="6"/>
    </row>
    <row r="4" spans="1:14" ht="12.75" customHeight="1">
      <c r="A4" s="8" t="s">
        <v>641</v>
      </c>
      <c r="B4" s="230" t="s">
        <v>637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s="32" customFormat="1" ht="14.25" customHeight="1">
      <c r="A5" s="3" t="s">
        <v>641</v>
      </c>
      <c r="B5" s="270" t="s">
        <v>3560</v>
      </c>
      <c r="C5" s="214">
        <v>4058075459137</v>
      </c>
      <c r="D5" s="214"/>
      <c r="E5" s="215"/>
      <c r="F5" s="206"/>
      <c r="G5" s="66" t="str">
        <f>HYPERLINK("https://ledvance.com/pt/product-datasheet/8457/129570","Ficha de Produto")</f>
        <v>Ficha de Produto</v>
      </c>
      <c r="H5" s="34">
        <v>24</v>
      </c>
      <c r="I5" s="34" t="s">
        <v>762</v>
      </c>
      <c r="J5" s="34" t="s">
        <v>6112</v>
      </c>
      <c r="K5" s="34" t="s">
        <v>764</v>
      </c>
      <c r="L5" s="34" t="s">
        <v>765</v>
      </c>
      <c r="M5" s="30">
        <v>109</v>
      </c>
      <c r="N5" s="283" t="s">
        <v>721</v>
      </c>
    </row>
    <row r="6" spans="1:14" s="32" customFormat="1" ht="14.25" customHeight="1">
      <c r="A6" s="3" t="s">
        <v>641</v>
      </c>
      <c r="B6" s="270" t="s">
        <v>3557</v>
      </c>
      <c r="C6" s="214">
        <v>4058075459151</v>
      </c>
      <c r="D6" s="214"/>
      <c r="E6" s="215"/>
      <c r="F6" s="206"/>
      <c r="G6" s="66" t="str">
        <f>HYPERLINK("https://ledvance.com/pt/product-datasheet/8457/129573","Ficha de Produto")</f>
        <v>Ficha de Produto</v>
      </c>
      <c r="H6" s="34">
        <v>24</v>
      </c>
      <c r="I6" s="34" t="s">
        <v>766</v>
      </c>
      <c r="J6" s="34" t="s">
        <v>6112</v>
      </c>
      <c r="K6" s="34" t="s">
        <v>764</v>
      </c>
      <c r="L6" s="34" t="s">
        <v>765</v>
      </c>
      <c r="M6" s="30">
        <v>109</v>
      </c>
      <c r="N6" s="283" t="s">
        <v>721</v>
      </c>
    </row>
    <row r="7" spans="1:14" s="32" customFormat="1" ht="14.25" customHeight="1">
      <c r="A7" s="3" t="s">
        <v>641</v>
      </c>
      <c r="B7" s="270" t="s">
        <v>3558</v>
      </c>
      <c r="C7" s="214">
        <v>4058075459250</v>
      </c>
      <c r="D7" s="214"/>
      <c r="E7" s="215"/>
      <c r="F7" s="206"/>
      <c r="G7" s="66" t="str">
        <f>HYPERLINK("https://ledvance.com/pt/product-datasheet/8457/129576","Ficha de Produto")</f>
        <v>Ficha de Produto</v>
      </c>
      <c r="H7" s="34">
        <v>16</v>
      </c>
      <c r="I7" s="34" t="s">
        <v>767</v>
      </c>
      <c r="J7" s="34" t="s">
        <v>6113</v>
      </c>
      <c r="K7" s="34" t="s">
        <v>764</v>
      </c>
      <c r="L7" s="34" t="s">
        <v>765</v>
      </c>
      <c r="M7" s="30">
        <v>136</v>
      </c>
      <c r="N7" s="283" t="s">
        <v>721</v>
      </c>
    </row>
    <row r="8" spans="1:14" s="32" customFormat="1" ht="14.25" customHeight="1">
      <c r="A8" s="3" t="s">
        <v>641</v>
      </c>
      <c r="B8" s="270" t="s">
        <v>3559</v>
      </c>
      <c r="C8" s="214">
        <v>4058075459274</v>
      </c>
      <c r="D8" s="214"/>
      <c r="E8" s="215"/>
      <c r="F8" s="206"/>
      <c r="G8" s="66" t="str">
        <f>HYPERLINK("https://ledvance.com/pt/product-datasheet/8457/129579","Ficha de Produto")</f>
        <v>Ficha de Produto</v>
      </c>
      <c r="H8" s="34">
        <v>16</v>
      </c>
      <c r="I8" s="34" t="s">
        <v>769</v>
      </c>
      <c r="J8" s="34" t="s">
        <v>6113</v>
      </c>
      <c r="K8" s="34" t="s">
        <v>764</v>
      </c>
      <c r="L8" s="34" t="s">
        <v>765</v>
      </c>
      <c r="M8" s="30">
        <v>136</v>
      </c>
      <c r="N8" s="283" t="s">
        <v>721</v>
      </c>
    </row>
    <row r="9" spans="1:14" s="32" customFormat="1" ht="14.25" customHeight="1">
      <c r="A9" s="3" t="s">
        <v>641</v>
      </c>
      <c r="B9" s="270" t="s">
        <v>3561</v>
      </c>
      <c r="C9" s="214">
        <v>4058075459298</v>
      </c>
      <c r="D9" s="214"/>
      <c r="E9" s="215"/>
      <c r="F9" s="206"/>
      <c r="G9" s="66" t="str">
        <f>HYPERLINK("https://ledvance.com/pt/product-datasheet/141832/129582","Ficha de Produto")</f>
        <v>Ficha de Produto</v>
      </c>
      <c r="H9" s="34">
        <v>24</v>
      </c>
      <c r="I9" s="34" t="s">
        <v>762</v>
      </c>
      <c r="J9" s="34" t="s">
        <v>6112</v>
      </c>
      <c r="K9" s="34" t="s">
        <v>764</v>
      </c>
      <c r="L9" s="34" t="s">
        <v>765</v>
      </c>
      <c r="M9" s="30">
        <v>180</v>
      </c>
      <c r="N9" s="283" t="s">
        <v>721</v>
      </c>
    </row>
    <row r="10" spans="1:14" s="32" customFormat="1" ht="14.25" customHeight="1">
      <c r="A10" s="3" t="s">
        <v>641</v>
      </c>
      <c r="B10" s="270" t="s">
        <v>3562</v>
      </c>
      <c r="C10" s="214">
        <v>4058075459311</v>
      </c>
      <c r="D10" s="214"/>
      <c r="E10" s="215"/>
      <c r="F10" s="206"/>
      <c r="G10" s="66" t="str">
        <f>HYPERLINK("https://ledvance.com/pt/product-datasheet/141832/129585","Ficha de Produto")</f>
        <v>Ficha de Produto</v>
      </c>
      <c r="H10" s="34">
        <v>24</v>
      </c>
      <c r="I10" s="34" t="s">
        <v>766</v>
      </c>
      <c r="J10" s="34" t="s">
        <v>6112</v>
      </c>
      <c r="K10" s="34" t="s">
        <v>764</v>
      </c>
      <c r="L10" s="34" t="s">
        <v>765</v>
      </c>
      <c r="M10" s="30">
        <v>180</v>
      </c>
      <c r="N10" s="283" t="s">
        <v>721</v>
      </c>
    </row>
    <row r="11" spans="1:14" s="32" customFormat="1" ht="14.25" customHeight="1">
      <c r="A11" s="3" t="s">
        <v>641</v>
      </c>
      <c r="B11" s="270" t="s">
        <v>3564</v>
      </c>
      <c r="C11" s="214">
        <v>4058075459830</v>
      </c>
      <c r="D11" s="214"/>
      <c r="E11" s="215"/>
      <c r="F11" s="206"/>
      <c r="G11" s="66" t="str">
        <f>HYPERLINK("https://ledvance.com/pt/product-datasheet/141832/129588","Ficha de Produto")</f>
        <v>Ficha de Produto</v>
      </c>
      <c r="H11" s="34">
        <v>16</v>
      </c>
      <c r="I11" s="34" t="s">
        <v>767</v>
      </c>
      <c r="J11" s="34" t="s">
        <v>6113</v>
      </c>
      <c r="K11" s="34" t="s">
        <v>764</v>
      </c>
      <c r="L11" s="34" t="s">
        <v>765</v>
      </c>
      <c r="M11" s="30">
        <v>210</v>
      </c>
      <c r="N11" s="283" t="s">
        <v>721</v>
      </c>
    </row>
    <row r="12" spans="1:14" s="32" customFormat="1" ht="14.25" customHeight="1">
      <c r="A12" s="3" t="s">
        <v>641</v>
      </c>
      <c r="B12" s="270" t="s">
        <v>3565</v>
      </c>
      <c r="C12" s="214">
        <v>4058075459854</v>
      </c>
      <c r="D12" s="214"/>
      <c r="E12" s="215"/>
      <c r="F12" s="206"/>
      <c r="G12" s="66" t="str">
        <f>HYPERLINK("https://ledvance.com/pt/product-datasheet/141832/129591","Ficha de Produto")</f>
        <v>Ficha de Produto</v>
      </c>
      <c r="H12" s="34">
        <v>16</v>
      </c>
      <c r="I12" s="34" t="s">
        <v>769</v>
      </c>
      <c r="J12" s="34" t="s">
        <v>6113</v>
      </c>
      <c r="K12" s="34" t="s">
        <v>764</v>
      </c>
      <c r="L12" s="34" t="s">
        <v>765</v>
      </c>
      <c r="M12" s="30">
        <v>210</v>
      </c>
      <c r="N12" s="283" t="s">
        <v>721</v>
      </c>
    </row>
    <row r="13" spans="1:14" s="32" customFormat="1" ht="14.25" customHeight="1">
      <c r="A13" s="3" t="s">
        <v>641</v>
      </c>
      <c r="B13" s="36" t="s">
        <v>3563</v>
      </c>
      <c r="C13" s="214">
        <v>4058075459892</v>
      </c>
      <c r="D13" s="214"/>
      <c r="E13" s="215"/>
      <c r="F13" s="216"/>
      <c r="G13" s="66" t="str">
        <f>HYPERLINK("https://ledvance.com/pt/product-datasheet/8458/31812","Ficha de Produto")</f>
        <v>Ficha de Produto</v>
      </c>
      <c r="H13" s="34">
        <v>24</v>
      </c>
      <c r="I13" s="34" t="s">
        <v>766</v>
      </c>
      <c r="J13" s="34" t="s">
        <v>6112</v>
      </c>
      <c r="K13" s="34" t="s">
        <v>764</v>
      </c>
      <c r="L13" s="34" t="s">
        <v>765</v>
      </c>
      <c r="M13" s="30">
        <v>172.5</v>
      </c>
      <c r="N13" s="283" t="s">
        <v>721</v>
      </c>
    </row>
    <row r="14" spans="1:14" s="32" customFormat="1" ht="14.25" customHeight="1">
      <c r="A14" s="3" t="s">
        <v>641</v>
      </c>
      <c r="B14" s="36" t="s">
        <v>3566</v>
      </c>
      <c r="C14" s="214">
        <v>4058075459397</v>
      </c>
      <c r="D14" s="214"/>
      <c r="E14" s="215"/>
      <c r="F14" s="216"/>
      <c r="G14" s="66" t="str">
        <f>HYPERLINK("https://ledvance.com/pt/product-datasheet/8458/31815","Ficha de Produto")</f>
        <v>Ficha de Produto</v>
      </c>
      <c r="H14" s="34">
        <v>16</v>
      </c>
      <c r="I14" s="34" t="s">
        <v>769</v>
      </c>
      <c r="J14" s="34" t="s">
        <v>6113</v>
      </c>
      <c r="K14" s="34" t="s">
        <v>764</v>
      </c>
      <c r="L14" s="34" t="s">
        <v>765</v>
      </c>
      <c r="M14" s="30">
        <v>200</v>
      </c>
      <c r="N14" s="283" t="s">
        <v>721</v>
      </c>
    </row>
    <row r="15" spans="1:14" s="32" customFormat="1" ht="14.25" customHeight="1">
      <c r="A15" s="8" t="s">
        <v>641</v>
      </c>
      <c r="B15" s="227" t="s">
        <v>638</v>
      </c>
      <c r="C15" s="7"/>
      <c r="D15" s="7"/>
      <c r="E15" s="7"/>
      <c r="F15" s="7"/>
      <c r="G15" s="68" t="s">
        <v>6505</v>
      </c>
      <c r="H15" s="7"/>
      <c r="I15" s="7"/>
      <c r="J15" s="7"/>
      <c r="K15" s="7"/>
      <c r="L15" s="7"/>
      <c r="M15" s="7"/>
      <c r="N15" s="284"/>
    </row>
    <row r="16" spans="1:14" s="32" customFormat="1" ht="14.25" customHeight="1">
      <c r="A16" s="3" t="s">
        <v>641</v>
      </c>
      <c r="B16" s="270" t="s">
        <v>9</v>
      </c>
      <c r="C16" s="214">
        <v>4058075104068</v>
      </c>
      <c r="D16" s="214"/>
      <c r="E16" s="215"/>
      <c r="F16" s="206"/>
      <c r="G16" s="66" t="str">
        <f>HYPERLINK("https://ledvance.com/pt/product-datasheet/8459/120986","Ficha de Produto")</f>
        <v>Ficha de Produto</v>
      </c>
      <c r="H16" s="34">
        <v>8</v>
      </c>
      <c r="I16" s="34" t="s">
        <v>770</v>
      </c>
      <c r="J16" s="34" t="s">
        <v>6114</v>
      </c>
      <c r="K16" s="34" t="s">
        <v>764</v>
      </c>
      <c r="L16" s="34" t="s">
        <v>793</v>
      </c>
      <c r="M16" s="30">
        <v>55</v>
      </c>
      <c r="N16" s="283" t="s">
        <v>721</v>
      </c>
    </row>
    <row r="17" spans="1:14" s="32" customFormat="1" ht="14.25" customHeight="1">
      <c r="A17" s="3" t="s">
        <v>641</v>
      </c>
      <c r="B17" s="270" t="s">
        <v>10</v>
      </c>
      <c r="C17" s="214">
        <v>4058075104082</v>
      </c>
      <c r="D17" s="214"/>
      <c r="E17" s="215"/>
      <c r="F17" s="214"/>
      <c r="G17" s="66" t="str">
        <f>HYPERLINK("https://ledvance.com/pt/product-datasheet/8459/120992","Ficha de Produto")</f>
        <v>Ficha de Produto</v>
      </c>
      <c r="H17" s="34">
        <v>8</v>
      </c>
      <c r="I17" s="34" t="s">
        <v>772</v>
      </c>
      <c r="J17" s="34" t="s">
        <v>6115</v>
      </c>
      <c r="K17" s="34" t="s">
        <v>764</v>
      </c>
      <c r="L17" s="34" t="s">
        <v>765</v>
      </c>
      <c r="M17" s="30">
        <v>70</v>
      </c>
      <c r="N17" s="283" t="s">
        <v>721</v>
      </c>
    </row>
    <row r="18" spans="1:14" s="32" customFormat="1" ht="14.25" customHeight="1">
      <c r="A18" s="3" t="s">
        <v>641</v>
      </c>
      <c r="B18" s="270" t="s">
        <v>11</v>
      </c>
      <c r="C18" s="214">
        <v>4058075104105</v>
      </c>
      <c r="D18" s="214"/>
      <c r="E18" s="215"/>
      <c r="F18" s="214"/>
      <c r="G18" s="66" t="str">
        <f>HYPERLINK("https://ledvance.com/pt/product-datasheet/8459/120998","Ficha de Produto")</f>
        <v>Ficha de Produto</v>
      </c>
      <c r="H18" s="34">
        <v>8</v>
      </c>
      <c r="I18" s="34" t="s">
        <v>774</v>
      </c>
      <c r="J18" s="34" t="s">
        <v>6116</v>
      </c>
      <c r="K18" s="34" t="s">
        <v>764</v>
      </c>
      <c r="L18" s="34" t="s">
        <v>765</v>
      </c>
      <c r="M18" s="30">
        <v>112.5</v>
      </c>
      <c r="N18" s="283" t="s">
        <v>721</v>
      </c>
    </row>
    <row r="19" spans="1:14" s="32" customFormat="1" ht="14.25" customHeight="1">
      <c r="A19" s="8" t="s">
        <v>641</v>
      </c>
      <c r="B19" s="227" t="s">
        <v>1474</v>
      </c>
      <c r="C19" s="7"/>
      <c r="D19" s="7"/>
      <c r="E19" s="7"/>
      <c r="F19" s="7"/>
      <c r="G19" s="68" t="s">
        <v>6505</v>
      </c>
      <c r="H19" s="7"/>
      <c r="I19" s="7"/>
      <c r="J19" s="7"/>
      <c r="K19" s="7"/>
      <c r="L19" s="7"/>
      <c r="M19" s="7"/>
      <c r="N19" s="284"/>
    </row>
    <row r="20" spans="1:14" s="32" customFormat="1" ht="14.25" customHeight="1">
      <c r="A20" s="3" t="s">
        <v>641</v>
      </c>
      <c r="B20" s="270" t="s">
        <v>1450</v>
      </c>
      <c r="C20" s="214">
        <v>4058075768857</v>
      </c>
      <c r="D20" s="214"/>
      <c r="E20" s="215"/>
      <c r="F20" s="214"/>
      <c r="G20" s="66" t="str">
        <f>HYPERLINK("https://ledvance.com/pt/product-datasheet/239569/206911","Ficha de Produto")</f>
        <v>Ficha de Produto</v>
      </c>
      <c r="H20" s="34">
        <v>18</v>
      </c>
      <c r="I20" s="34" t="s">
        <v>1742</v>
      </c>
      <c r="J20" s="34" t="s">
        <v>6117</v>
      </c>
      <c r="K20" s="34" t="s">
        <v>6118</v>
      </c>
      <c r="L20" s="34" t="s">
        <v>765</v>
      </c>
      <c r="M20" s="30">
        <v>95</v>
      </c>
      <c r="N20" s="283" t="s">
        <v>721</v>
      </c>
    </row>
    <row r="21" spans="1:14" s="32" customFormat="1" ht="14.25" customHeight="1">
      <c r="A21" s="3" t="s">
        <v>641</v>
      </c>
      <c r="B21" s="270" t="s">
        <v>1451</v>
      </c>
      <c r="C21" s="214">
        <v>4058075768871</v>
      </c>
      <c r="D21" s="214"/>
      <c r="E21" s="215"/>
      <c r="F21" s="214"/>
      <c r="G21" s="66" t="str">
        <f>HYPERLINK("https://ledvance.com/pt/product-datasheet/239569/206914","Ficha de Produto")</f>
        <v>Ficha de Produto</v>
      </c>
      <c r="H21" s="34">
        <v>18</v>
      </c>
      <c r="I21" s="34" t="s">
        <v>958</v>
      </c>
      <c r="J21" s="34" t="s">
        <v>6117</v>
      </c>
      <c r="K21" s="34" t="s">
        <v>6118</v>
      </c>
      <c r="L21" s="34" t="s">
        <v>765</v>
      </c>
      <c r="M21" s="30">
        <v>95</v>
      </c>
      <c r="N21" s="283" t="s">
        <v>721</v>
      </c>
    </row>
    <row r="22" spans="1:14" s="32" customFormat="1" ht="14.25" customHeight="1">
      <c r="A22" s="3" t="s">
        <v>641</v>
      </c>
      <c r="B22" s="270" t="s">
        <v>1452</v>
      </c>
      <c r="C22" s="214">
        <v>4058075768895</v>
      </c>
      <c r="D22" s="214"/>
      <c r="E22" s="215"/>
      <c r="F22" s="214"/>
      <c r="G22" s="66" t="str">
        <f>HYPERLINK("https://ledvance.com/pt/product-datasheet/239569/206917","Ficha de Produto")</f>
        <v>Ficha de Produto</v>
      </c>
      <c r="H22" s="34">
        <v>18</v>
      </c>
      <c r="I22" s="34" t="s">
        <v>1742</v>
      </c>
      <c r="J22" s="34" t="s">
        <v>6117</v>
      </c>
      <c r="K22" s="34" t="s">
        <v>6118</v>
      </c>
      <c r="L22" s="34" t="s">
        <v>765</v>
      </c>
      <c r="M22" s="30">
        <v>95</v>
      </c>
      <c r="N22" s="283" t="s">
        <v>721</v>
      </c>
    </row>
    <row r="23" spans="1:14" s="32" customFormat="1" ht="14.25" customHeight="1">
      <c r="A23" s="3" t="s">
        <v>641</v>
      </c>
      <c r="B23" s="270" t="s">
        <v>1453</v>
      </c>
      <c r="C23" s="214">
        <v>4058075768918</v>
      </c>
      <c r="D23" s="214"/>
      <c r="E23" s="215"/>
      <c r="F23" s="214"/>
      <c r="G23" s="66" t="str">
        <f>HYPERLINK("https://ledvance.com/pt/product-datasheet/239569/206921","Ficha de Produto")</f>
        <v>Ficha de Produto</v>
      </c>
      <c r="H23" s="34">
        <v>18</v>
      </c>
      <c r="I23" s="34" t="s">
        <v>958</v>
      </c>
      <c r="J23" s="34" t="s">
        <v>6117</v>
      </c>
      <c r="K23" s="34" t="s">
        <v>6118</v>
      </c>
      <c r="L23" s="34" t="s">
        <v>765</v>
      </c>
      <c r="M23" s="30">
        <v>95</v>
      </c>
      <c r="N23" s="283" t="s">
        <v>721</v>
      </c>
    </row>
    <row r="24" spans="1:14" s="32" customFormat="1" ht="14.25" customHeight="1">
      <c r="A24" s="3" t="s">
        <v>641</v>
      </c>
      <c r="B24" s="270" t="s">
        <v>1454</v>
      </c>
      <c r="C24" s="214">
        <v>4058075768963</v>
      </c>
      <c r="D24" s="214"/>
      <c r="E24" s="215"/>
      <c r="F24" s="214"/>
      <c r="G24" s="66" t="str">
        <f>HYPERLINK("https://ledvance.com/pt/product-datasheet/239569/206924","Ficha de Produto")</f>
        <v>Ficha de Produto</v>
      </c>
      <c r="H24" s="34">
        <v>18</v>
      </c>
      <c r="I24" s="34" t="s">
        <v>1742</v>
      </c>
      <c r="J24" s="34" t="s">
        <v>6117</v>
      </c>
      <c r="K24" s="34" t="s">
        <v>6118</v>
      </c>
      <c r="L24" s="34" t="s">
        <v>765</v>
      </c>
      <c r="M24" s="30">
        <v>95</v>
      </c>
      <c r="N24" s="283" t="s">
        <v>721</v>
      </c>
    </row>
    <row r="25" spans="1:14" s="32" customFormat="1" ht="14.25" customHeight="1">
      <c r="A25" s="3" t="s">
        <v>641</v>
      </c>
      <c r="B25" s="270" t="s">
        <v>1455</v>
      </c>
      <c r="C25" s="214">
        <v>4058075768987</v>
      </c>
      <c r="D25" s="214"/>
      <c r="E25" s="215"/>
      <c r="F25" s="214"/>
      <c r="G25" s="66" t="str">
        <f>HYPERLINK("https://ledvance.com/pt/product-datasheet/239569/206927","Ficha de Produto")</f>
        <v>Ficha de Produto</v>
      </c>
      <c r="H25" s="34">
        <v>18</v>
      </c>
      <c r="I25" s="34" t="s">
        <v>958</v>
      </c>
      <c r="J25" s="34" t="s">
        <v>6117</v>
      </c>
      <c r="K25" s="34" t="s">
        <v>6118</v>
      </c>
      <c r="L25" s="34" t="s">
        <v>765</v>
      </c>
      <c r="M25" s="30">
        <v>95</v>
      </c>
      <c r="N25" s="283" t="s">
        <v>721</v>
      </c>
    </row>
    <row r="26" spans="1:14" s="32" customFormat="1" ht="14.25" customHeight="1">
      <c r="A26" s="3" t="s">
        <v>641</v>
      </c>
      <c r="B26" s="270" t="s">
        <v>1456</v>
      </c>
      <c r="C26" s="214">
        <v>4058075769007</v>
      </c>
      <c r="D26" s="214"/>
      <c r="E26" s="215"/>
      <c r="F26" s="214"/>
      <c r="G26" s="66" t="str">
        <f>HYPERLINK("https://ledvance.com/pt/product-datasheet/239569/206930","Ficha de Produto")</f>
        <v>Ficha de Produto</v>
      </c>
      <c r="H26" s="34">
        <v>18</v>
      </c>
      <c r="I26" s="34" t="s">
        <v>1742</v>
      </c>
      <c r="J26" s="34" t="s">
        <v>6117</v>
      </c>
      <c r="K26" s="34" t="s">
        <v>6118</v>
      </c>
      <c r="L26" s="34" t="s">
        <v>765</v>
      </c>
      <c r="M26" s="30">
        <v>95</v>
      </c>
      <c r="N26" s="283" t="s">
        <v>721</v>
      </c>
    </row>
    <row r="27" spans="1:14" s="32" customFormat="1" ht="14.25" customHeight="1">
      <c r="A27" s="3" t="s">
        <v>641</v>
      </c>
      <c r="B27" s="270" t="s">
        <v>1457</v>
      </c>
      <c r="C27" s="214">
        <v>4058075769021</v>
      </c>
      <c r="D27" s="214"/>
      <c r="E27" s="215"/>
      <c r="F27" s="214"/>
      <c r="G27" s="66" t="str">
        <f>HYPERLINK("https://ledvance.com/pt/product-datasheet/239569/206933","Ficha de Produto")</f>
        <v>Ficha de Produto</v>
      </c>
      <c r="H27" s="34">
        <v>18</v>
      </c>
      <c r="I27" s="34" t="s">
        <v>958</v>
      </c>
      <c r="J27" s="34" t="s">
        <v>6117</v>
      </c>
      <c r="K27" s="34" t="s">
        <v>6118</v>
      </c>
      <c r="L27" s="34" t="s">
        <v>765</v>
      </c>
      <c r="M27" s="30">
        <v>95</v>
      </c>
      <c r="N27" s="283" t="s">
        <v>721</v>
      </c>
    </row>
    <row r="28" spans="1:14" s="32" customFormat="1" ht="14.25" customHeight="1">
      <c r="A28" s="3" t="s">
        <v>641</v>
      </c>
      <c r="B28" s="270" t="s">
        <v>1458</v>
      </c>
      <c r="C28" s="214">
        <v>4058075769045</v>
      </c>
      <c r="D28" s="214"/>
      <c r="E28" s="215"/>
      <c r="F28" s="214"/>
      <c r="G28" s="66" t="str">
        <f>HYPERLINK("https://ledvance.com/pt/product-datasheet/239569/206936","Ficha de Produto")</f>
        <v>Ficha de Produto</v>
      </c>
      <c r="H28" s="34">
        <v>6</v>
      </c>
      <c r="I28" s="34" t="s">
        <v>785</v>
      </c>
      <c r="J28" s="34" t="s">
        <v>6119</v>
      </c>
      <c r="K28" s="34" t="s">
        <v>6118</v>
      </c>
      <c r="L28" s="34" t="s">
        <v>765</v>
      </c>
      <c r="M28" s="30">
        <v>172.5</v>
      </c>
      <c r="N28" s="283" t="s">
        <v>721</v>
      </c>
    </row>
    <row r="29" spans="1:14" s="32" customFormat="1" ht="14.25" customHeight="1">
      <c r="A29" s="3" t="s">
        <v>641</v>
      </c>
      <c r="B29" s="270" t="s">
        <v>1459</v>
      </c>
      <c r="C29" s="214">
        <v>4058075769076</v>
      </c>
      <c r="D29" s="214"/>
      <c r="E29" s="215"/>
      <c r="F29" s="214"/>
      <c r="G29" s="66" t="str">
        <f>HYPERLINK("https://ledvance.com/pt/product-datasheet/239569/206939","Ficha de Produto")</f>
        <v>Ficha de Produto</v>
      </c>
      <c r="H29" s="34">
        <v>6</v>
      </c>
      <c r="I29" s="34" t="s">
        <v>841</v>
      </c>
      <c r="J29" s="34" t="s">
        <v>6119</v>
      </c>
      <c r="K29" s="34" t="s">
        <v>6118</v>
      </c>
      <c r="L29" s="34" t="s">
        <v>765</v>
      </c>
      <c r="M29" s="30">
        <v>172.5</v>
      </c>
      <c r="N29" s="283" t="s">
        <v>721</v>
      </c>
    </row>
    <row r="30" spans="1:14" s="32" customFormat="1" ht="14.25" customHeight="1">
      <c r="A30" s="3" t="s">
        <v>641</v>
      </c>
      <c r="B30" s="270" t="s">
        <v>1460</v>
      </c>
      <c r="C30" s="214">
        <v>4058075769090</v>
      </c>
      <c r="D30" s="214"/>
      <c r="E30" s="215"/>
      <c r="F30" s="214"/>
      <c r="G30" s="66" t="str">
        <f>HYPERLINK("https://ledvance.com/pt/product-datasheet/239569/206943","Ficha de Produto")</f>
        <v>Ficha de Produto</v>
      </c>
      <c r="H30" s="34">
        <v>6</v>
      </c>
      <c r="I30" s="34" t="s">
        <v>785</v>
      </c>
      <c r="J30" s="34" t="s">
        <v>6119</v>
      </c>
      <c r="K30" s="34" t="s">
        <v>6118</v>
      </c>
      <c r="L30" s="34" t="s">
        <v>765</v>
      </c>
      <c r="M30" s="30">
        <v>172.5</v>
      </c>
      <c r="N30" s="283" t="s">
        <v>721</v>
      </c>
    </row>
    <row r="31" spans="1:14" s="32" customFormat="1" ht="14.25" customHeight="1">
      <c r="A31" s="3" t="s">
        <v>641</v>
      </c>
      <c r="B31" s="270" t="s">
        <v>1461</v>
      </c>
      <c r="C31" s="214">
        <v>4058075769113</v>
      </c>
      <c r="D31" s="214"/>
      <c r="E31" s="215"/>
      <c r="F31" s="214"/>
      <c r="G31" s="66" t="str">
        <f>HYPERLINK("https://ledvance.com/pt/product-datasheet/239569/206946","Ficha de Produto")</f>
        <v>Ficha de Produto</v>
      </c>
      <c r="H31" s="34">
        <v>6</v>
      </c>
      <c r="I31" s="34" t="s">
        <v>841</v>
      </c>
      <c r="J31" s="34" t="s">
        <v>6119</v>
      </c>
      <c r="K31" s="34" t="s">
        <v>6118</v>
      </c>
      <c r="L31" s="34" t="s">
        <v>765</v>
      </c>
      <c r="M31" s="30">
        <v>172.5</v>
      </c>
      <c r="N31" s="283" t="s">
        <v>721</v>
      </c>
    </row>
    <row r="32" spans="1:14" s="32" customFormat="1" ht="14.25" customHeight="1">
      <c r="A32" s="3" t="s">
        <v>641</v>
      </c>
      <c r="B32" s="270" t="s">
        <v>1462</v>
      </c>
      <c r="C32" s="214">
        <v>4058075769137</v>
      </c>
      <c r="D32" s="214"/>
      <c r="E32" s="215"/>
      <c r="F32" s="214"/>
      <c r="G32" s="66" t="str">
        <f>HYPERLINK("https://ledvance.com/pt/product-datasheet/239569/206949","Ficha de Produto")</f>
        <v>Ficha de Produto</v>
      </c>
      <c r="H32" s="34">
        <v>6</v>
      </c>
      <c r="I32" s="34" t="s">
        <v>785</v>
      </c>
      <c r="J32" s="34" t="s">
        <v>6119</v>
      </c>
      <c r="K32" s="34" t="s">
        <v>6118</v>
      </c>
      <c r="L32" s="34" t="s">
        <v>765</v>
      </c>
      <c r="M32" s="30">
        <v>172.5</v>
      </c>
      <c r="N32" s="283" t="s">
        <v>721</v>
      </c>
    </row>
    <row r="33" spans="1:14" s="32" customFormat="1" ht="14.25" customHeight="1">
      <c r="A33" s="3" t="s">
        <v>641</v>
      </c>
      <c r="B33" s="270" t="s">
        <v>1463</v>
      </c>
      <c r="C33" s="214">
        <v>4058075769151</v>
      </c>
      <c r="D33" s="214"/>
      <c r="E33" s="215"/>
      <c r="F33" s="214"/>
      <c r="G33" s="66" t="str">
        <f>HYPERLINK("https://ledvance.com/pt/product-datasheet/239569/206952","Ficha de Produto")</f>
        <v>Ficha de Produto</v>
      </c>
      <c r="H33" s="34">
        <v>6</v>
      </c>
      <c r="I33" s="34" t="s">
        <v>841</v>
      </c>
      <c r="J33" s="34" t="s">
        <v>6119</v>
      </c>
      <c r="K33" s="34" t="s">
        <v>6118</v>
      </c>
      <c r="L33" s="34" t="s">
        <v>765</v>
      </c>
      <c r="M33" s="30">
        <v>172.5</v>
      </c>
      <c r="N33" s="283" t="s">
        <v>721</v>
      </c>
    </row>
    <row r="34" spans="1:14" s="32" customFormat="1" ht="14.25" customHeight="1">
      <c r="A34" s="3" t="s">
        <v>641</v>
      </c>
      <c r="B34" s="270" t="s">
        <v>1464</v>
      </c>
      <c r="C34" s="214">
        <v>4058075769175</v>
      </c>
      <c r="D34" s="214"/>
      <c r="E34" s="215"/>
      <c r="F34" s="214"/>
      <c r="G34" s="66" t="str">
        <f>HYPERLINK("https://ledvance.com/pt/product-datasheet/239569/206955","Ficha de Produto")</f>
        <v>Ficha de Produto</v>
      </c>
      <c r="H34" s="34">
        <v>6</v>
      </c>
      <c r="I34" s="34" t="s">
        <v>785</v>
      </c>
      <c r="J34" s="34" t="s">
        <v>6119</v>
      </c>
      <c r="K34" s="34" t="s">
        <v>6118</v>
      </c>
      <c r="L34" s="34" t="s">
        <v>765</v>
      </c>
      <c r="M34" s="30">
        <v>172.5</v>
      </c>
      <c r="N34" s="283" t="s">
        <v>721</v>
      </c>
    </row>
    <row r="35" spans="1:14" s="32" customFormat="1" ht="14.25" customHeight="1">
      <c r="A35" s="3" t="s">
        <v>641</v>
      </c>
      <c r="B35" s="270" t="s">
        <v>1465</v>
      </c>
      <c r="C35" s="214">
        <v>4058075769199</v>
      </c>
      <c r="D35" s="214"/>
      <c r="E35" s="215"/>
      <c r="F35" s="214"/>
      <c r="G35" s="66" t="str">
        <f>HYPERLINK("https://ledvance.com/pt/product-datasheet/239569/206958","Ficha de Produto")</f>
        <v>Ficha de Produto</v>
      </c>
      <c r="H35" s="34">
        <v>6</v>
      </c>
      <c r="I35" s="34" t="s">
        <v>841</v>
      </c>
      <c r="J35" s="34" t="s">
        <v>6119</v>
      </c>
      <c r="K35" s="34" t="s">
        <v>6118</v>
      </c>
      <c r="L35" s="34" t="s">
        <v>765</v>
      </c>
      <c r="M35" s="30">
        <v>172.5</v>
      </c>
      <c r="N35" s="283" t="s">
        <v>721</v>
      </c>
    </row>
    <row r="36" spans="1:14" s="32" customFormat="1" ht="14.25" customHeight="1">
      <c r="A36" s="3" t="s">
        <v>641</v>
      </c>
      <c r="B36" s="270" t="s">
        <v>1466</v>
      </c>
      <c r="C36" s="214">
        <v>4058075769212</v>
      </c>
      <c r="D36" s="214"/>
      <c r="E36" s="215"/>
      <c r="F36" s="214"/>
      <c r="G36" s="66" t="str">
        <f>HYPERLINK("https://ledvance.com/pt/product-datasheet/239569/206961","Ficha de Produto")</f>
        <v>Ficha de Produto</v>
      </c>
      <c r="H36" s="34">
        <v>4</v>
      </c>
      <c r="I36" s="34" t="s">
        <v>1744</v>
      </c>
      <c r="J36" s="34" t="s">
        <v>6120</v>
      </c>
      <c r="K36" s="34" t="s">
        <v>6118</v>
      </c>
      <c r="L36" s="34" t="s">
        <v>765</v>
      </c>
      <c r="M36" s="30">
        <v>292.5</v>
      </c>
      <c r="N36" s="283" t="s">
        <v>721</v>
      </c>
    </row>
    <row r="37" spans="1:14" s="32" customFormat="1" ht="14.25" customHeight="1">
      <c r="A37" s="3" t="s">
        <v>641</v>
      </c>
      <c r="B37" s="270" t="s">
        <v>1467</v>
      </c>
      <c r="C37" s="214">
        <v>4058075769236</v>
      </c>
      <c r="D37" s="214"/>
      <c r="E37" s="215"/>
      <c r="F37" s="214"/>
      <c r="G37" s="66" t="str">
        <f>HYPERLINK("https://ledvance.com/pt/product-datasheet/239569/206964","Ficha de Produto")</f>
        <v>Ficha de Produto</v>
      </c>
      <c r="H37" s="34">
        <v>4</v>
      </c>
      <c r="I37" s="34" t="s">
        <v>947</v>
      </c>
      <c r="J37" s="34" t="s">
        <v>6120</v>
      </c>
      <c r="K37" s="34" t="s">
        <v>6118</v>
      </c>
      <c r="L37" s="34" t="s">
        <v>765</v>
      </c>
      <c r="M37" s="30">
        <v>292.5</v>
      </c>
      <c r="N37" s="283" t="s">
        <v>721</v>
      </c>
    </row>
    <row r="38" spans="1:14" s="32" customFormat="1" ht="14.25" customHeight="1">
      <c r="A38" s="3" t="s">
        <v>641</v>
      </c>
      <c r="B38" s="270" t="s">
        <v>1468</v>
      </c>
      <c r="C38" s="214">
        <v>4058075769250</v>
      </c>
      <c r="D38" s="214"/>
      <c r="E38" s="215"/>
      <c r="F38" s="214"/>
      <c r="G38" s="66" t="str">
        <f>HYPERLINK("https://ledvance.com/pt/product-datasheet/239569/206967","Ficha de Produto")</f>
        <v>Ficha de Produto</v>
      </c>
      <c r="H38" s="34">
        <v>4</v>
      </c>
      <c r="I38" s="34" t="s">
        <v>1744</v>
      </c>
      <c r="J38" s="34" t="s">
        <v>6120</v>
      </c>
      <c r="K38" s="34" t="s">
        <v>6118</v>
      </c>
      <c r="L38" s="34" t="s">
        <v>765</v>
      </c>
      <c r="M38" s="30">
        <v>292.5</v>
      </c>
      <c r="N38" s="283" t="s">
        <v>721</v>
      </c>
    </row>
    <row r="39" spans="1:14" s="32" customFormat="1" ht="14.25" customHeight="1">
      <c r="A39" s="3" t="s">
        <v>641</v>
      </c>
      <c r="B39" s="270" t="s">
        <v>1469</v>
      </c>
      <c r="C39" s="214">
        <v>4058075769274</v>
      </c>
      <c r="D39" s="214"/>
      <c r="E39" s="215"/>
      <c r="F39" s="214"/>
      <c r="G39" s="66" t="str">
        <f>HYPERLINK("https://ledvance.com/pt/product-datasheet/239569/206970","Ficha de Produto")</f>
        <v>Ficha de Produto</v>
      </c>
      <c r="H39" s="34">
        <v>4</v>
      </c>
      <c r="I39" s="34" t="s">
        <v>947</v>
      </c>
      <c r="J39" s="34" t="s">
        <v>6120</v>
      </c>
      <c r="K39" s="34" t="s">
        <v>6118</v>
      </c>
      <c r="L39" s="34" t="s">
        <v>765</v>
      </c>
      <c r="M39" s="30">
        <v>292.5</v>
      </c>
      <c r="N39" s="283" t="s">
        <v>721</v>
      </c>
    </row>
    <row r="40" spans="1:14" s="32" customFormat="1" ht="14.25" customHeight="1">
      <c r="A40" s="3" t="s">
        <v>641</v>
      </c>
      <c r="B40" s="270" t="s">
        <v>1470</v>
      </c>
      <c r="C40" s="214">
        <v>4058075769298</v>
      </c>
      <c r="D40" s="214"/>
      <c r="E40" s="215"/>
      <c r="F40" s="214"/>
      <c r="G40" s="66" t="str">
        <f>HYPERLINK("https://ledvance.com/pt/product-datasheet/239569/206973","Ficha de Produto")</f>
        <v>Ficha de Produto</v>
      </c>
      <c r="H40" s="34">
        <v>4</v>
      </c>
      <c r="I40" s="34" t="s">
        <v>1744</v>
      </c>
      <c r="J40" s="34" t="s">
        <v>6120</v>
      </c>
      <c r="K40" s="34" t="s">
        <v>6118</v>
      </c>
      <c r="L40" s="34" t="s">
        <v>765</v>
      </c>
      <c r="M40" s="30">
        <v>292.5</v>
      </c>
      <c r="N40" s="283" t="s">
        <v>721</v>
      </c>
    </row>
    <row r="41" spans="1:14" s="32" customFormat="1" ht="14.25" customHeight="1">
      <c r="A41" s="3" t="s">
        <v>641</v>
      </c>
      <c r="B41" s="270" t="s">
        <v>1471</v>
      </c>
      <c r="C41" s="214">
        <v>4058075769335</v>
      </c>
      <c r="D41" s="214"/>
      <c r="E41" s="215"/>
      <c r="F41" s="214"/>
      <c r="G41" s="66" t="str">
        <f>HYPERLINK("https://ledvance.com/pt/product-datasheet/239569/206977","Ficha de Produto")</f>
        <v>Ficha de Produto</v>
      </c>
      <c r="H41" s="34">
        <v>4</v>
      </c>
      <c r="I41" s="34" t="s">
        <v>947</v>
      </c>
      <c r="J41" s="34" t="s">
        <v>6120</v>
      </c>
      <c r="K41" s="34" t="s">
        <v>6118</v>
      </c>
      <c r="L41" s="34" t="s">
        <v>765</v>
      </c>
      <c r="M41" s="30">
        <v>292.5</v>
      </c>
      <c r="N41" s="283" t="s">
        <v>721</v>
      </c>
    </row>
    <row r="42" spans="1:14" s="32" customFormat="1" ht="14.25" customHeight="1">
      <c r="A42" s="3" t="s">
        <v>641</v>
      </c>
      <c r="B42" s="270" t="s">
        <v>1472</v>
      </c>
      <c r="C42" s="214">
        <v>4058075769359</v>
      </c>
      <c r="D42" s="214"/>
      <c r="E42" s="215"/>
      <c r="F42" s="214"/>
      <c r="G42" s="66" t="str">
        <f>HYPERLINK("https://ledvance.com/pt/product-datasheet/239569/206980","Ficha de Produto")</f>
        <v>Ficha de Produto</v>
      </c>
      <c r="H42" s="34">
        <v>4</v>
      </c>
      <c r="I42" s="34" t="s">
        <v>1744</v>
      </c>
      <c r="J42" s="34" t="s">
        <v>6120</v>
      </c>
      <c r="K42" s="34" t="s">
        <v>6118</v>
      </c>
      <c r="L42" s="34" t="s">
        <v>765</v>
      </c>
      <c r="M42" s="30">
        <v>292.5</v>
      </c>
      <c r="N42" s="283" t="s">
        <v>721</v>
      </c>
    </row>
    <row r="43" spans="1:14" s="32" customFormat="1" ht="14.25" customHeight="1">
      <c r="A43" s="3" t="s">
        <v>641</v>
      </c>
      <c r="B43" s="270" t="s">
        <v>1473</v>
      </c>
      <c r="C43" s="214">
        <v>4058075769397</v>
      </c>
      <c r="D43" s="214"/>
      <c r="E43" s="215"/>
      <c r="F43" s="214"/>
      <c r="G43" s="66" t="str">
        <f>HYPERLINK("https://ledvance.com/pt/product-datasheet/239569/206983","Ficha de Produto")</f>
        <v>Ficha de Produto</v>
      </c>
      <c r="H43" s="34">
        <v>4</v>
      </c>
      <c r="I43" s="34" t="s">
        <v>947</v>
      </c>
      <c r="J43" s="34" t="s">
        <v>6120</v>
      </c>
      <c r="K43" s="34" t="s">
        <v>6118</v>
      </c>
      <c r="L43" s="34" t="s">
        <v>765</v>
      </c>
      <c r="M43" s="30">
        <v>292.5</v>
      </c>
      <c r="N43" s="283" t="s">
        <v>721</v>
      </c>
    </row>
    <row r="44" spans="1:14" s="32" customFormat="1" ht="14.25" customHeight="1">
      <c r="A44" s="8" t="s">
        <v>641</v>
      </c>
      <c r="B44" s="227" t="s">
        <v>639</v>
      </c>
      <c r="C44" s="7"/>
      <c r="D44" s="7"/>
      <c r="E44" s="7"/>
      <c r="F44" s="7"/>
      <c r="G44" s="68"/>
      <c r="H44" s="7"/>
      <c r="I44" s="7"/>
      <c r="J44" s="7"/>
      <c r="K44" s="7"/>
      <c r="L44" s="7"/>
      <c r="M44" s="7"/>
      <c r="N44" s="284"/>
    </row>
    <row r="45" spans="1:14" s="32" customFormat="1" ht="14.25" customHeight="1">
      <c r="A45" s="3" t="s">
        <v>641</v>
      </c>
      <c r="B45" s="270" t="s">
        <v>12</v>
      </c>
      <c r="C45" s="214">
        <v>4058075091436</v>
      </c>
      <c r="D45" s="214"/>
      <c r="E45" s="215"/>
      <c r="F45" s="214"/>
      <c r="G45" s="66" t="str">
        <f>HYPERLINK("https://ledvance.com/pt/product-datasheet/8461/123628","Ficha de Produto")</f>
        <v>Ficha de Produto</v>
      </c>
      <c r="H45" s="34">
        <v>8</v>
      </c>
      <c r="I45" s="34" t="s">
        <v>776</v>
      </c>
      <c r="J45" s="34" t="s">
        <v>6112</v>
      </c>
      <c r="K45" s="34" t="s">
        <v>777</v>
      </c>
      <c r="L45" s="34" t="s">
        <v>765</v>
      </c>
      <c r="M45" s="30">
        <v>42.5</v>
      </c>
      <c r="N45" s="283" t="s">
        <v>721</v>
      </c>
    </row>
    <row r="46" spans="1:14" s="32" customFormat="1" ht="14.25" customHeight="1">
      <c r="A46" s="3" t="s">
        <v>641</v>
      </c>
      <c r="B46" s="270" t="s">
        <v>13</v>
      </c>
      <c r="C46" s="214">
        <v>4058075091450</v>
      </c>
      <c r="D46" s="214"/>
      <c r="E46" s="215"/>
      <c r="F46" s="214"/>
      <c r="G46" s="66" t="str">
        <f>HYPERLINK("https://ledvance.com/pt/product-datasheet/8461/123635","Ficha de Produto")</f>
        <v>Ficha de Produto</v>
      </c>
      <c r="H46" s="34">
        <v>8</v>
      </c>
      <c r="I46" s="34" t="s">
        <v>778</v>
      </c>
      <c r="J46" s="34" t="s">
        <v>6112</v>
      </c>
      <c r="K46" s="34" t="s">
        <v>777</v>
      </c>
      <c r="L46" s="34" t="s">
        <v>765</v>
      </c>
      <c r="M46" s="30">
        <v>42.5</v>
      </c>
      <c r="N46" s="283" t="s">
        <v>721</v>
      </c>
    </row>
    <row r="47" spans="1:14" s="32" customFormat="1" ht="14.25" customHeight="1">
      <c r="A47" s="3" t="s">
        <v>641</v>
      </c>
      <c r="B47" s="270" t="s">
        <v>14</v>
      </c>
      <c r="C47" s="214">
        <v>4058075091474</v>
      </c>
      <c r="D47" s="214"/>
      <c r="E47" s="215"/>
      <c r="F47" s="214"/>
      <c r="G47" s="66" t="str">
        <f>HYPERLINK("https://ledvance.com/pt/product-datasheet/8461/123642","Ficha de Produto")</f>
        <v>Ficha de Produto</v>
      </c>
      <c r="H47" s="34">
        <v>8</v>
      </c>
      <c r="I47" s="34" t="s">
        <v>779</v>
      </c>
      <c r="J47" s="34" t="s">
        <v>6112</v>
      </c>
      <c r="K47" s="34" t="s">
        <v>777</v>
      </c>
      <c r="L47" s="34" t="s">
        <v>765</v>
      </c>
      <c r="M47" s="30">
        <v>42.5</v>
      </c>
      <c r="N47" s="283" t="s">
        <v>721</v>
      </c>
    </row>
    <row r="48" spans="1:14" s="32" customFormat="1" ht="14.25" customHeight="1">
      <c r="A48" s="3" t="s">
        <v>641</v>
      </c>
      <c r="B48" s="270" t="s">
        <v>15</v>
      </c>
      <c r="C48" s="214">
        <v>4058075091498</v>
      </c>
      <c r="D48" s="214"/>
      <c r="E48" s="215"/>
      <c r="F48" s="214"/>
      <c r="G48" s="66" t="str">
        <f>HYPERLINK("https://ledvance.com/pt/product-datasheet/8461/123702","Ficha de Produto")</f>
        <v>Ficha de Produto</v>
      </c>
      <c r="H48" s="34">
        <v>8</v>
      </c>
      <c r="I48" s="34" t="s">
        <v>780</v>
      </c>
      <c r="J48" s="34" t="s">
        <v>6121</v>
      </c>
      <c r="K48" s="34" t="s">
        <v>777</v>
      </c>
      <c r="L48" s="34" t="s">
        <v>765</v>
      </c>
      <c r="M48" s="30">
        <v>58.5</v>
      </c>
      <c r="N48" s="283" t="s">
        <v>721</v>
      </c>
    </row>
    <row r="49" spans="1:14" s="32" customFormat="1" ht="14.25" customHeight="1">
      <c r="A49" s="3" t="s">
        <v>641</v>
      </c>
      <c r="B49" s="270" t="s">
        <v>16</v>
      </c>
      <c r="C49" s="214">
        <v>4058075091511</v>
      </c>
      <c r="D49" s="214"/>
      <c r="E49" s="215"/>
      <c r="F49" s="214"/>
      <c r="G49" s="66" t="str">
        <f>HYPERLINK("https://ledvance.com/pt/product-datasheet/8461/123649","Ficha de Produto")</f>
        <v>Ficha de Produto</v>
      </c>
      <c r="H49" s="34">
        <v>8</v>
      </c>
      <c r="I49" s="34" t="s">
        <v>782</v>
      </c>
      <c r="J49" s="34" t="s">
        <v>6121</v>
      </c>
      <c r="K49" s="34" t="s">
        <v>777</v>
      </c>
      <c r="L49" s="34" t="s">
        <v>765</v>
      </c>
      <c r="M49" s="30">
        <v>58.5</v>
      </c>
      <c r="N49" s="283" t="s">
        <v>721</v>
      </c>
    </row>
    <row r="50" spans="1:14" s="32" customFormat="1" ht="14.25" customHeight="1">
      <c r="A50" s="3" t="s">
        <v>641</v>
      </c>
      <c r="B50" s="270" t="s">
        <v>17</v>
      </c>
      <c r="C50" s="214">
        <v>4058075091535</v>
      </c>
      <c r="D50" s="214"/>
      <c r="E50" s="215"/>
      <c r="F50" s="214"/>
      <c r="G50" s="66" t="str">
        <f>HYPERLINK("https://ledvance.com/pt/product-datasheet/8461/123656","Ficha de Produto")</f>
        <v>Ficha de Produto</v>
      </c>
      <c r="H50" s="34">
        <v>8</v>
      </c>
      <c r="I50" s="34" t="s">
        <v>782</v>
      </c>
      <c r="J50" s="34" t="s">
        <v>6121</v>
      </c>
      <c r="K50" s="34" t="s">
        <v>777</v>
      </c>
      <c r="L50" s="34" t="s">
        <v>765</v>
      </c>
      <c r="M50" s="30">
        <v>58.5</v>
      </c>
      <c r="N50" s="283" t="s">
        <v>721</v>
      </c>
    </row>
    <row r="51" spans="1:14" s="32" customFormat="1" ht="14.25" customHeight="1">
      <c r="A51" s="3" t="s">
        <v>641</v>
      </c>
      <c r="B51" s="270" t="s">
        <v>18</v>
      </c>
      <c r="C51" s="214">
        <v>4058075091559</v>
      </c>
      <c r="D51" s="214"/>
      <c r="E51" s="215"/>
      <c r="F51" s="214"/>
      <c r="G51" s="66" t="str">
        <f>HYPERLINK("https://ledvance.com/pt/product-datasheet/8461/123663","Ficha de Produto")</f>
        <v>Ficha de Produto</v>
      </c>
      <c r="H51" s="34">
        <v>8</v>
      </c>
      <c r="I51" s="34" t="s">
        <v>783</v>
      </c>
      <c r="J51" s="34" t="s">
        <v>6122</v>
      </c>
      <c r="K51" s="34" t="s">
        <v>777</v>
      </c>
      <c r="L51" s="34" t="s">
        <v>765</v>
      </c>
      <c r="M51" s="30">
        <v>67.5</v>
      </c>
      <c r="N51" s="283" t="s">
        <v>721</v>
      </c>
    </row>
    <row r="52" spans="1:14" s="32" customFormat="1" ht="14.25" customHeight="1">
      <c r="A52" s="3" t="s">
        <v>641</v>
      </c>
      <c r="B52" s="270" t="s">
        <v>19</v>
      </c>
      <c r="C52" s="214">
        <v>4058075091573</v>
      </c>
      <c r="D52" s="214"/>
      <c r="E52" s="215"/>
      <c r="F52" s="214"/>
      <c r="G52" s="66" t="str">
        <f>HYPERLINK("https://ledvance.com/pt/product-datasheet/8461/123670","Ficha de Produto")</f>
        <v>Ficha de Produto</v>
      </c>
      <c r="H52" s="34">
        <v>8</v>
      </c>
      <c r="I52" s="34" t="s">
        <v>785</v>
      </c>
      <c r="J52" s="34" t="s">
        <v>6122</v>
      </c>
      <c r="K52" s="34" t="s">
        <v>777</v>
      </c>
      <c r="L52" s="34" t="s">
        <v>765</v>
      </c>
      <c r="M52" s="30">
        <v>67.5</v>
      </c>
      <c r="N52" s="283" t="s">
        <v>721</v>
      </c>
    </row>
    <row r="53" spans="1:14" s="32" customFormat="1" ht="14.25" customHeight="1">
      <c r="A53" s="3" t="s">
        <v>641</v>
      </c>
      <c r="B53" s="270" t="s">
        <v>20</v>
      </c>
      <c r="C53" s="214">
        <v>4058075091597</v>
      </c>
      <c r="D53" s="214"/>
      <c r="E53" s="215"/>
      <c r="F53" s="214"/>
      <c r="G53" s="66" t="str">
        <f>HYPERLINK("https://ledvance.com/pt/product-datasheet/8461/123677","Ficha de Produto")</f>
        <v>Ficha de Produto</v>
      </c>
      <c r="H53" s="34">
        <v>8</v>
      </c>
      <c r="I53" s="34" t="s">
        <v>785</v>
      </c>
      <c r="J53" s="34" t="s">
        <v>6122</v>
      </c>
      <c r="K53" s="34" t="s">
        <v>777</v>
      </c>
      <c r="L53" s="34" t="s">
        <v>765</v>
      </c>
      <c r="M53" s="30">
        <v>67.5</v>
      </c>
      <c r="N53" s="283" t="s">
        <v>721</v>
      </c>
    </row>
    <row r="54" spans="1:14" s="32" customFormat="1" ht="14.25" customHeight="1">
      <c r="A54" s="3" t="s">
        <v>641</v>
      </c>
      <c r="B54" s="270" t="s">
        <v>21</v>
      </c>
      <c r="C54" s="214">
        <v>4058075202610</v>
      </c>
      <c r="D54" s="214"/>
      <c r="E54" s="215"/>
      <c r="F54" s="214"/>
      <c r="G54" s="66" t="str">
        <f>HYPERLINK("https://ledvance.com/pt/product-datasheet/8462/111865","Ficha de Produto")</f>
        <v>Ficha de Produto</v>
      </c>
      <c r="H54" s="34">
        <v>8</v>
      </c>
      <c r="I54" s="34" t="s">
        <v>776</v>
      </c>
      <c r="J54" s="34" t="s">
        <v>6112</v>
      </c>
      <c r="K54" s="34" t="s">
        <v>777</v>
      </c>
      <c r="L54" s="34" t="s">
        <v>765</v>
      </c>
      <c r="M54" s="30">
        <v>125</v>
      </c>
      <c r="N54" s="283" t="s">
        <v>721</v>
      </c>
    </row>
    <row r="55" spans="1:14" s="32" customFormat="1" ht="14.25" customHeight="1">
      <c r="A55" s="3" t="s">
        <v>641</v>
      </c>
      <c r="B55" s="270" t="s">
        <v>22</v>
      </c>
      <c r="C55" s="214">
        <v>4058075202634</v>
      </c>
      <c r="D55" s="214"/>
      <c r="E55" s="215"/>
      <c r="F55" s="214"/>
      <c r="G55" s="66" t="str">
        <f>HYPERLINK("https://ledvance.com/pt/product-datasheet/8462/111868","Ficha de Produto")</f>
        <v>Ficha de Produto</v>
      </c>
      <c r="H55" s="34">
        <v>8</v>
      </c>
      <c r="I55" s="34" t="s">
        <v>778</v>
      </c>
      <c r="J55" s="34" t="s">
        <v>6112</v>
      </c>
      <c r="K55" s="34" t="s">
        <v>777</v>
      </c>
      <c r="L55" s="34" t="s">
        <v>765</v>
      </c>
      <c r="M55" s="30">
        <v>125</v>
      </c>
      <c r="N55" s="283" t="s">
        <v>721</v>
      </c>
    </row>
    <row r="56" spans="1:14" s="32" customFormat="1" ht="14.25" customHeight="1">
      <c r="A56" s="3" t="s">
        <v>641</v>
      </c>
      <c r="B56" s="270" t="s">
        <v>23</v>
      </c>
      <c r="C56" s="214">
        <v>4058075202658</v>
      </c>
      <c r="D56" s="214"/>
      <c r="E56" s="215"/>
      <c r="F56" s="214"/>
      <c r="G56" s="66" t="str">
        <f>HYPERLINK("https://ledvance.com/pt/product-datasheet/8462/111871","Ficha de Produto")</f>
        <v>Ficha de Produto</v>
      </c>
      <c r="H56" s="34">
        <v>8</v>
      </c>
      <c r="I56" s="34" t="s">
        <v>779</v>
      </c>
      <c r="J56" s="34" t="s">
        <v>6112</v>
      </c>
      <c r="K56" s="34" t="s">
        <v>777</v>
      </c>
      <c r="L56" s="34" t="s">
        <v>765</v>
      </c>
      <c r="M56" s="30">
        <v>125</v>
      </c>
      <c r="N56" s="283" t="s">
        <v>721</v>
      </c>
    </row>
    <row r="57" spans="1:14" s="32" customFormat="1" ht="14.25" customHeight="1">
      <c r="A57" s="3" t="s">
        <v>641</v>
      </c>
      <c r="B57" s="270" t="s">
        <v>24</v>
      </c>
      <c r="C57" s="214">
        <v>4058075091610</v>
      </c>
      <c r="D57" s="214"/>
      <c r="E57" s="215"/>
      <c r="F57" s="214"/>
      <c r="G57" s="66" t="str">
        <f>HYPERLINK("https://ledvance.com/pt/product-datasheet/8462/123684","Ficha de Produto")</f>
        <v>Ficha de Produto</v>
      </c>
      <c r="H57" s="34">
        <v>8</v>
      </c>
      <c r="I57" s="34" t="s">
        <v>780</v>
      </c>
      <c r="J57" s="34" t="s">
        <v>6121</v>
      </c>
      <c r="K57" s="34" t="s">
        <v>777</v>
      </c>
      <c r="L57" s="34" t="s">
        <v>765</v>
      </c>
      <c r="M57" s="30">
        <v>142.5</v>
      </c>
      <c r="N57" s="283" t="s">
        <v>721</v>
      </c>
    </row>
    <row r="58" spans="1:14" s="32" customFormat="1" ht="14.25" customHeight="1">
      <c r="A58" s="3" t="s">
        <v>641</v>
      </c>
      <c r="B58" s="270" t="s">
        <v>25</v>
      </c>
      <c r="C58" s="214">
        <v>4058075091634</v>
      </c>
      <c r="D58" s="214"/>
      <c r="E58" s="215"/>
      <c r="F58" s="214"/>
      <c r="G58" s="66" t="str">
        <f>HYPERLINK("https://ledvance.com/pt/product-datasheet/8462/123687","Ficha de Produto")</f>
        <v>Ficha de Produto</v>
      </c>
      <c r="H58" s="34">
        <v>8</v>
      </c>
      <c r="I58" s="34" t="s">
        <v>782</v>
      </c>
      <c r="J58" s="34" t="s">
        <v>6121</v>
      </c>
      <c r="K58" s="34" t="s">
        <v>777</v>
      </c>
      <c r="L58" s="34" t="s">
        <v>765</v>
      </c>
      <c r="M58" s="30">
        <v>142.5</v>
      </c>
      <c r="N58" s="283" t="s">
        <v>721</v>
      </c>
    </row>
    <row r="59" spans="1:14" s="32" customFormat="1" ht="14.25" customHeight="1">
      <c r="A59" s="3" t="s">
        <v>641</v>
      </c>
      <c r="B59" s="270" t="s">
        <v>26</v>
      </c>
      <c r="C59" s="214">
        <v>4058075091658</v>
      </c>
      <c r="D59" s="214"/>
      <c r="E59" s="215"/>
      <c r="F59" s="214"/>
      <c r="G59" s="66" t="str">
        <f>HYPERLINK("https://ledvance.com/pt/product-datasheet/8462/123690","Ficha de Produto")</f>
        <v>Ficha de Produto</v>
      </c>
      <c r="H59" s="34">
        <v>8</v>
      </c>
      <c r="I59" s="34" t="s">
        <v>782</v>
      </c>
      <c r="J59" s="34" t="s">
        <v>6121</v>
      </c>
      <c r="K59" s="34" t="s">
        <v>777</v>
      </c>
      <c r="L59" s="34" t="s">
        <v>765</v>
      </c>
      <c r="M59" s="30">
        <v>142.5</v>
      </c>
      <c r="N59" s="283" t="s">
        <v>721</v>
      </c>
    </row>
    <row r="60" spans="1:14" s="32" customFormat="1" ht="14.25" customHeight="1">
      <c r="A60" s="3" t="s">
        <v>641</v>
      </c>
      <c r="B60" s="270" t="s">
        <v>27</v>
      </c>
      <c r="C60" s="214">
        <v>4058075091672</v>
      </c>
      <c r="D60" s="214"/>
      <c r="E60" s="215"/>
      <c r="F60" s="214"/>
      <c r="G60" s="66" t="str">
        <f>HYPERLINK("https://ledvance.com/pt/product-datasheet/8462/123693","Ficha de Produto")</f>
        <v>Ficha de Produto</v>
      </c>
      <c r="H60" s="34">
        <v>8</v>
      </c>
      <c r="I60" s="34" t="s">
        <v>783</v>
      </c>
      <c r="J60" s="34" t="s">
        <v>6122</v>
      </c>
      <c r="K60" s="34" t="s">
        <v>777</v>
      </c>
      <c r="L60" s="34" t="s">
        <v>765</v>
      </c>
      <c r="M60" s="30">
        <v>155</v>
      </c>
      <c r="N60" s="283" t="s">
        <v>721</v>
      </c>
    </row>
    <row r="61" spans="1:14" s="32" customFormat="1" ht="14.25" customHeight="1">
      <c r="A61" s="3" t="s">
        <v>641</v>
      </c>
      <c r="B61" s="270" t="s">
        <v>28</v>
      </c>
      <c r="C61" s="214">
        <v>4058075091696</v>
      </c>
      <c r="D61" s="214"/>
      <c r="E61" s="215"/>
      <c r="F61" s="214"/>
      <c r="G61" s="66" t="str">
        <f>HYPERLINK("https://ledvance.com/pt/product-datasheet/8462/123696","Ficha de Produto")</f>
        <v>Ficha de Produto</v>
      </c>
      <c r="H61" s="34">
        <v>8</v>
      </c>
      <c r="I61" s="34" t="s">
        <v>785</v>
      </c>
      <c r="J61" s="34" t="s">
        <v>6122</v>
      </c>
      <c r="K61" s="34" t="s">
        <v>777</v>
      </c>
      <c r="L61" s="34" t="s">
        <v>765</v>
      </c>
      <c r="M61" s="30">
        <v>155</v>
      </c>
      <c r="N61" s="283" t="s">
        <v>721</v>
      </c>
    </row>
    <row r="62" spans="1:14" s="32" customFormat="1" ht="14.25" customHeight="1">
      <c r="A62" s="3" t="s">
        <v>641</v>
      </c>
      <c r="B62" s="270" t="s">
        <v>29</v>
      </c>
      <c r="C62" s="214">
        <v>4058075091719</v>
      </c>
      <c r="D62" s="214"/>
      <c r="E62" s="215"/>
      <c r="F62" s="214"/>
      <c r="G62" s="66" t="str">
        <f>HYPERLINK("https://ledvance.com/pt/product-datasheet/8462/123699","Ficha de Produto")</f>
        <v>Ficha de Produto</v>
      </c>
      <c r="H62" s="34">
        <v>8</v>
      </c>
      <c r="I62" s="34" t="s">
        <v>785</v>
      </c>
      <c r="J62" s="34" t="s">
        <v>6122</v>
      </c>
      <c r="K62" s="34" t="s">
        <v>777</v>
      </c>
      <c r="L62" s="34" t="s">
        <v>765</v>
      </c>
      <c r="M62" s="30">
        <v>155</v>
      </c>
      <c r="N62" s="283" t="s">
        <v>721</v>
      </c>
    </row>
    <row r="63" spans="1:14" s="32" customFormat="1" ht="14.25" customHeight="1">
      <c r="A63" s="8" t="s">
        <v>641</v>
      </c>
      <c r="B63" s="227" t="s">
        <v>3181</v>
      </c>
      <c r="C63" s="7"/>
      <c r="D63" s="7"/>
      <c r="E63" s="7"/>
      <c r="F63" s="7"/>
      <c r="G63" s="68"/>
      <c r="H63" s="7"/>
      <c r="I63" s="7"/>
      <c r="J63" s="7"/>
      <c r="K63" s="7"/>
      <c r="L63" s="7"/>
      <c r="M63" s="7"/>
      <c r="N63" s="284"/>
    </row>
    <row r="64" spans="1:14" s="32" customFormat="1" ht="14.25" customHeight="1">
      <c r="A64" s="3" t="s">
        <v>641</v>
      </c>
      <c r="B64" s="270" t="s">
        <v>1399</v>
      </c>
      <c r="C64" s="214">
        <v>4058075702868</v>
      </c>
      <c r="D64" s="214"/>
      <c r="E64" s="215"/>
      <c r="F64" s="214"/>
      <c r="G64" s="66" t="str">
        <f>HYPERLINK("https://ledvance.com/pt/product-datasheet/207596/181610","Ficha de Produto")</f>
        <v>Ficha de Produto</v>
      </c>
      <c r="H64" s="34">
        <v>10</v>
      </c>
      <c r="I64" s="34" t="s">
        <v>854</v>
      </c>
      <c r="J64" s="34" t="s">
        <v>6123</v>
      </c>
      <c r="K64" s="34" t="s">
        <v>824</v>
      </c>
      <c r="L64" s="34" t="s">
        <v>800</v>
      </c>
      <c r="M64" s="30">
        <v>7.5</v>
      </c>
      <c r="N64" s="283" t="s">
        <v>721</v>
      </c>
    </row>
    <row r="65" spans="1:14" s="32" customFormat="1" ht="14.25" customHeight="1">
      <c r="A65" s="3" t="s">
        <v>641</v>
      </c>
      <c r="B65" s="270" t="s">
        <v>1400</v>
      </c>
      <c r="C65" s="214">
        <v>4058075702882</v>
      </c>
      <c r="D65" s="214"/>
      <c r="E65" s="215"/>
      <c r="F65" s="214"/>
      <c r="G65" s="66" t="str">
        <f>HYPERLINK("https://ledvance.com/pt/product-datasheet/207596/181613","Ficha de Produto")</f>
        <v>Ficha de Produto</v>
      </c>
      <c r="H65" s="34">
        <v>10</v>
      </c>
      <c r="I65" s="34" t="s">
        <v>854</v>
      </c>
      <c r="J65" s="34" t="s">
        <v>6123</v>
      </c>
      <c r="K65" s="34" t="s">
        <v>824</v>
      </c>
      <c r="L65" s="34" t="s">
        <v>800</v>
      </c>
      <c r="M65" s="30">
        <v>7.5</v>
      </c>
      <c r="N65" s="283" t="s">
        <v>721</v>
      </c>
    </row>
    <row r="66" spans="1:14" s="32" customFormat="1" ht="14.25" customHeight="1">
      <c r="A66" s="3" t="s">
        <v>641</v>
      </c>
      <c r="B66" s="270" t="s">
        <v>1401</v>
      </c>
      <c r="C66" s="214">
        <v>4058075702929</v>
      </c>
      <c r="D66" s="214"/>
      <c r="E66" s="215"/>
      <c r="F66" s="214"/>
      <c r="G66" s="66" t="str">
        <f>HYPERLINK("https://ledvance.com/pt/product-datasheet/207596/181616","Ficha de Produto")</f>
        <v>Ficha de Produto</v>
      </c>
      <c r="H66" s="34">
        <v>10</v>
      </c>
      <c r="I66" s="34" t="s">
        <v>854</v>
      </c>
      <c r="J66" s="34" t="s">
        <v>6123</v>
      </c>
      <c r="K66" s="34" t="s">
        <v>824</v>
      </c>
      <c r="L66" s="34" t="s">
        <v>800</v>
      </c>
      <c r="M66" s="30">
        <v>7.5</v>
      </c>
      <c r="N66" s="283" t="s">
        <v>721</v>
      </c>
    </row>
    <row r="67" spans="1:14" s="32" customFormat="1" ht="14.25" customHeight="1">
      <c r="A67" s="3" t="s">
        <v>641</v>
      </c>
      <c r="B67" s="270" t="s">
        <v>1402</v>
      </c>
      <c r="C67" s="214">
        <v>4058075702943</v>
      </c>
      <c r="D67" s="214"/>
      <c r="E67" s="215"/>
      <c r="F67" s="214"/>
      <c r="G67" s="66" t="str">
        <f>HYPERLINK("https://ledvance.com/pt/product-datasheet/207596/181620","Ficha de Produto")</f>
        <v>Ficha de Produto</v>
      </c>
      <c r="H67" s="34">
        <v>10</v>
      </c>
      <c r="I67" s="34" t="s">
        <v>827</v>
      </c>
      <c r="J67" s="34" t="s">
        <v>6124</v>
      </c>
      <c r="K67" s="34" t="s">
        <v>824</v>
      </c>
      <c r="L67" s="34" t="s">
        <v>800</v>
      </c>
      <c r="M67" s="30">
        <v>11</v>
      </c>
      <c r="N67" s="283" t="s">
        <v>721</v>
      </c>
    </row>
    <row r="68" spans="1:14" s="32" customFormat="1" ht="14.25" customHeight="1">
      <c r="A68" s="3" t="s">
        <v>641</v>
      </c>
      <c r="B68" s="270" t="s">
        <v>1403</v>
      </c>
      <c r="C68" s="214">
        <v>4058075702967</v>
      </c>
      <c r="D68" s="214"/>
      <c r="E68" s="215"/>
      <c r="F68" s="214"/>
      <c r="G68" s="66" t="str">
        <f>HYPERLINK("https://ledvance.com/pt/product-datasheet/207596/181623","Ficha de Produto")</f>
        <v>Ficha de Produto</v>
      </c>
      <c r="H68" s="34">
        <v>10</v>
      </c>
      <c r="I68" s="34" t="s">
        <v>827</v>
      </c>
      <c r="J68" s="34" t="s">
        <v>6124</v>
      </c>
      <c r="K68" s="34" t="s">
        <v>824</v>
      </c>
      <c r="L68" s="34" t="s">
        <v>800</v>
      </c>
      <c r="M68" s="30">
        <v>11</v>
      </c>
      <c r="N68" s="283" t="s">
        <v>721</v>
      </c>
    </row>
    <row r="69" spans="1:14" s="32" customFormat="1" ht="14.25" customHeight="1">
      <c r="A69" s="3" t="s">
        <v>641</v>
      </c>
      <c r="B69" s="270" t="s">
        <v>1404</v>
      </c>
      <c r="C69" s="214">
        <v>4058075703025</v>
      </c>
      <c r="D69" s="214"/>
      <c r="E69" s="215"/>
      <c r="F69" s="214"/>
      <c r="G69" s="66" t="str">
        <f>HYPERLINK("https://ledvance.com/pt/product-datasheet/207596/181626","Ficha de Produto")</f>
        <v>Ficha de Produto</v>
      </c>
      <c r="H69" s="34">
        <v>10</v>
      </c>
      <c r="I69" s="34" t="s">
        <v>827</v>
      </c>
      <c r="J69" s="34" t="s">
        <v>6124</v>
      </c>
      <c r="K69" s="34" t="s">
        <v>824</v>
      </c>
      <c r="L69" s="34" t="s">
        <v>800</v>
      </c>
      <c r="M69" s="30">
        <v>11</v>
      </c>
      <c r="N69" s="283" t="s">
        <v>721</v>
      </c>
    </row>
    <row r="70" spans="1:14" s="32" customFormat="1" ht="14.25" customHeight="1">
      <c r="A70" s="3" t="s">
        <v>641</v>
      </c>
      <c r="B70" s="270" t="s">
        <v>1405</v>
      </c>
      <c r="C70" s="214">
        <v>4058075703049</v>
      </c>
      <c r="D70" s="214"/>
      <c r="E70" s="215"/>
      <c r="F70" s="214"/>
      <c r="G70" s="66" t="str">
        <f>HYPERLINK("https://ledvance.com/pt/product-datasheet/207596/181629","Ficha de Produto")</f>
        <v>Ficha de Produto</v>
      </c>
      <c r="H70" s="34">
        <v>10</v>
      </c>
      <c r="I70" s="34" t="s">
        <v>1045</v>
      </c>
      <c r="J70" s="34" t="s">
        <v>6114</v>
      </c>
      <c r="K70" s="34" t="s">
        <v>824</v>
      </c>
      <c r="L70" s="34" t="s">
        <v>800</v>
      </c>
      <c r="M70" s="30">
        <v>15</v>
      </c>
      <c r="N70" s="283" t="s">
        <v>721</v>
      </c>
    </row>
    <row r="71" spans="1:14" s="32" customFormat="1" ht="14.25" customHeight="1">
      <c r="A71" s="3" t="s">
        <v>641</v>
      </c>
      <c r="B71" s="270" t="s">
        <v>1406</v>
      </c>
      <c r="C71" s="214">
        <v>4058075703087</v>
      </c>
      <c r="D71" s="214"/>
      <c r="E71" s="215"/>
      <c r="F71" s="214"/>
      <c r="G71" s="66" t="str">
        <f>HYPERLINK("https://ledvance.com/pt/product-datasheet/207596/181632","Ficha de Produto")</f>
        <v>Ficha de Produto</v>
      </c>
      <c r="H71" s="34">
        <v>10</v>
      </c>
      <c r="I71" s="34" t="s">
        <v>1045</v>
      </c>
      <c r="J71" s="34" t="s">
        <v>6114</v>
      </c>
      <c r="K71" s="34" t="s">
        <v>824</v>
      </c>
      <c r="L71" s="34" t="s">
        <v>800</v>
      </c>
      <c r="M71" s="30">
        <v>15</v>
      </c>
      <c r="N71" s="283" t="s">
        <v>721</v>
      </c>
    </row>
    <row r="72" spans="1:14" s="32" customFormat="1" ht="14.25" customHeight="1">
      <c r="A72" s="3" t="s">
        <v>641</v>
      </c>
      <c r="B72" s="270" t="s">
        <v>1407</v>
      </c>
      <c r="C72" s="214">
        <v>4058075703100</v>
      </c>
      <c r="D72" s="214"/>
      <c r="E72" s="215"/>
      <c r="F72" s="214"/>
      <c r="G72" s="66" t="str">
        <f>HYPERLINK("https://ledvance.com/pt/product-datasheet/207596/181637","Ficha de Produto")</f>
        <v>Ficha de Produto</v>
      </c>
      <c r="H72" s="34">
        <v>10</v>
      </c>
      <c r="I72" s="34" t="s">
        <v>1045</v>
      </c>
      <c r="J72" s="34" t="s">
        <v>6114</v>
      </c>
      <c r="K72" s="34" t="s">
        <v>824</v>
      </c>
      <c r="L72" s="34" t="s">
        <v>800</v>
      </c>
      <c r="M72" s="30">
        <v>15</v>
      </c>
      <c r="N72" s="283" t="s">
        <v>721</v>
      </c>
    </row>
    <row r="73" spans="1:14" s="32" customFormat="1" ht="14.25" customHeight="1">
      <c r="A73" s="3" t="s">
        <v>641</v>
      </c>
      <c r="B73" s="270" t="s">
        <v>1408</v>
      </c>
      <c r="C73" s="214">
        <v>4058075703124</v>
      </c>
      <c r="D73" s="214"/>
      <c r="E73" s="215"/>
      <c r="F73" s="214"/>
      <c r="G73" s="66" t="str">
        <f>HYPERLINK("https://ledvance.com/pt/product-datasheet/207596/181642","Ficha de Produto")</f>
        <v>Ficha de Produto</v>
      </c>
      <c r="H73" s="34">
        <v>10</v>
      </c>
      <c r="I73" s="34" t="s">
        <v>820</v>
      </c>
      <c r="J73" s="34" t="s">
        <v>6115</v>
      </c>
      <c r="K73" s="34" t="s">
        <v>824</v>
      </c>
      <c r="L73" s="34" t="s">
        <v>800</v>
      </c>
      <c r="M73" s="30">
        <v>19.5</v>
      </c>
      <c r="N73" s="283" t="s">
        <v>721</v>
      </c>
    </row>
    <row r="74" spans="1:14" s="32" customFormat="1" ht="14.25" customHeight="1">
      <c r="A74" s="3" t="s">
        <v>641</v>
      </c>
      <c r="B74" s="270" t="s">
        <v>1409</v>
      </c>
      <c r="C74" s="214">
        <v>4058075703148</v>
      </c>
      <c r="D74" s="214"/>
      <c r="E74" s="215"/>
      <c r="F74" s="214"/>
      <c r="G74" s="66" t="str">
        <f>HYPERLINK("https://ledvance.com/pt/product-datasheet/207596/181646","Ficha de Produto")</f>
        <v>Ficha de Produto</v>
      </c>
      <c r="H74" s="34">
        <v>10</v>
      </c>
      <c r="I74" s="34" t="s">
        <v>820</v>
      </c>
      <c r="J74" s="34" t="s">
        <v>6115</v>
      </c>
      <c r="K74" s="34" t="s">
        <v>824</v>
      </c>
      <c r="L74" s="34" t="s">
        <v>800</v>
      </c>
      <c r="M74" s="30">
        <v>19.5</v>
      </c>
      <c r="N74" s="283" t="s">
        <v>721</v>
      </c>
    </row>
    <row r="75" spans="1:14" s="32" customFormat="1" ht="14.25" customHeight="1">
      <c r="A75" s="3" t="s">
        <v>641</v>
      </c>
      <c r="B75" s="270" t="s">
        <v>1410</v>
      </c>
      <c r="C75" s="214">
        <v>4058075703179</v>
      </c>
      <c r="D75" s="214"/>
      <c r="E75" s="215"/>
      <c r="F75" s="214"/>
      <c r="G75" s="66" t="str">
        <f>HYPERLINK("https://ledvance.com/pt/product-datasheet/207596/181650","Ficha de Produto")</f>
        <v>Ficha de Produto</v>
      </c>
      <c r="H75" s="34">
        <v>10</v>
      </c>
      <c r="I75" s="34" t="s">
        <v>820</v>
      </c>
      <c r="J75" s="34" t="s">
        <v>6115</v>
      </c>
      <c r="K75" s="34" t="s">
        <v>824</v>
      </c>
      <c r="L75" s="34" t="s">
        <v>800</v>
      </c>
      <c r="M75" s="30">
        <v>19.5</v>
      </c>
      <c r="N75" s="283" t="s">
        <v>721</v>
      </c>
    </row>
    <row r="76" spans="1:14" s="32" customFormat="1" ht="14.25" customHeight="1">
      <c r="A76" s="3" t="s">
        <v>641</v>
      </c>
      <c r="B76" s="270" t="s">
        <v>1411</v>
      </c>
      <c r="C76" s="214">
        <v>4058075703193</v>
      </c>
      <c r="D76" s="214"/>
      <c r="E76" s="215"/>
      <c r="F76" s="214"/>
      <c r="G76" s="66" t="str">
        <f>HYPERLINK("https://ledvance.com/pt/product-datasheet/207596/181654","Ficha de Produto")</f>
        <v>Ficha de Produto</v>
      </c>
      <c r="H76" s="34">
        <v>10</v>
      </c>
      <c r="I76" s="34" t="s">
        <v>767</v>
      </c>
      <c r="J76" s="34" t="s">
        <v>6125</v>
      </c>
      <c r="K76" s="34" t="s">
        <v>824</v>
      </c>
      <c r="L76" s="34" t="s">
        <v>800</v>
      </c>
      <c r="M76" s="30">
        <v>23.5</v>
      </c>
      <c r="N76" s="283" t="s">
        <v>721</v>
      </c>
    </row>
    <row r="77" spans="1:14" s="32" customFormat="1" ht="14.25" customHeight="1">
      <c r="A77" s="3" t="s">
        <v>641</v>
      </c>
      <c r="B77" s="270" t="s">
        <v>1412</v>
      </c>
      <c r="C77" s="214">
        <v>4058075703223</v>
      </c>
      <c r="D77" s="214"/>
      <c r="E77" s="215"/>
      <c r="F77" s="214"/>
      <c r="G77" s="66" t="str">
        <f>HYPERLINK("https://ledvance.com/pt/product-datasheet/207596/181657","Ficha de Produto")</f>
        <v>Ficha de Produto</v>
      </c>
      <c r="H77" s="34">
        <v>10</v>
      </c>
      <c r="I77" s="34" t="s">
        <v>767</v>
      </c>
      <c r="J77" s="34" t="s">
        <v>6125</v>
      </c>
      <c r="K77" s="34" t="s">
        <v>824</v>
      </c>
      <c r="L77" s="34" t="s">
        <v>800</v>
      </c>
      <c r="M77" s="30">
        <v>23.5</v>
      </c>
      <c r="N77" s="283" t="s">
        <v>721</v>
      </c>
    </row>
    <row r="78" spans="1:14" s="32" customFormat="1" ht="14.25" customHeight="1">
      <c r="A78" s="3" t="s">
        <v>641</v>
      </c>
      <c r="B78" s="270" t="s">
        <v>1413</v>
      </c>
      <c r="C78" s="214">
        <v>4058075703247</v>
      </c>
      <c r="D78" s="214"/>
      <c r="E78" s="215"/>
      <c r="F78" s="214"/>
      <c r="G78" s="66" t="str">
        <f>HYPERLINK("https://ledvance.com/pt/product-datasheet/207596/181660","Ficha de Produto")</f>
        <v>Ficha de Produto</v>
      </c>
      <c r="H78" s="34">
        <v>10</v>
      </c>
      <c r="I78" s="34" t="s">
        <v>767</v>
      </c>
      <c r="J78" s="34" t="s">
        <v>6125</v>
      </c>
      <c r="K78" s="34" t="s">
        <v>824</v>
      </c>
      <c r="L78" s="34" t="s">
        <v>800</v>
      </c>
      <c r="M78" s="30">
        <v>23.5</v>
      </c>
      <c r="N78" s="283" t="s">
        <v>721</v>
      </c>
    </row>
    <row r="79" spans="1:14" s="32" customFormat="1" ht="14.25" customHeight="1">
      <c r="A79" s="3" t="s">
        <v>641</v>
      </c>
      <c r="B79" s="270" t="s">
        <v>1414</v>
      </c>
      <c r="C79" s="214">
        <v>4058075703285</v>
      </c>
      <c r="D79" s="214"/>
      <c r="E79" s="215"/>
      <c r="F79" s="214"/>
      <c r="G79" s="66" t="str">
        <f>HYPERLINK("https://ledvance.com/pt/product-datasheet/207596/181663","Ficha de Produto")</f>
        <v>Ficha de Produto</v>
      </c>
      <c r="H79" s="34">
        <v>10</v>
      </c>
      <c r="I79" s="34" t="s">
        <v>832</v>
      </c>
      <c r="J79" s="34" t="s">
        <v>6119</v>
      </c>
      <c r="K79" s="34" t="s">
        <v>824</v>
      </c>
      <c r="L79" s="34" t="s">
        <v>800</v>
      </c>
      <c r="M79" s="30">
        <v>32</v>
      </c>
      <c r="N79" s="283" t="s">
        <v>721</v>
      </c>
    </row>
    <row r="80" spans="1:14" s="32" customFormat="1" ht="14.25" customHeight="1">
      <c r="A80" s="3" t="s">
        <v>641</v>
      </c>
      <c r="B80" s="270" t="s">
        <v>1415</v>
      </c>
      <c r="C80" s="214">
        <v>4058075703308</v>
      </c>
      <c r="D80" s="214"/>
      <c r="E80" s="215"/>
      <c r="F80" s="214"/>
      <c r="G80" s="66" t="str">
        <f>HYPERLINK("https://ledvance.com/pt/product-datasheet/207596/181666","Ficha de Produto")</f>
        <v>Ficha de Produto</v>
      </c>
      <c r="H80" s="34">
        <v>10</v>
      </c>
      <c r="I80" s="34" t="s">
        <v>832</v>
      </c>
      <c r="J80" s="34" t="s">
        <v>6119</v>
      </c>
      <c r="K80" s="34" t="s">
        <v>824</v>
      </c>
      <c r="L80" s="34" t="s">
        <v>800</v>
      </c>
      <c r="M80" s="30">
        <v>32</v>
      </c>
      <c r="N80" s="283" t="s">
        <v>721</v>
      </c>
    </row>
    <row r="81" spans="1:14" s="32" customFormat="1" ht="14.25" customHeight="1">
      <c r="A81" s="3" t="s">
        <v>641</v>
      </c>
      <c r="B81" s="270" t="s">
        <v>1416</v>
      </c>
      <c r="C81" s="214">
        <v>4058075703322</v>
      </c>
      <c r="D81" s="214"/>
      <c r="E81" s="215"/>
      <c r="F81" s="214"/>
      <c r="G81" s="66" t="str">
        <f>HYPERLINK("https://ledvance.com/pt/product-datasheet/207596/181669","Ficha de Produto")</f>
        <v>Ficha de Produto</v>
      </c>
      <c r="H81" s="34">
        <v>10</v>
      </c>
      <c r="I81" s="34" t="s">
        <v>832</v>
      </c>
      <c r="J81" s="34" t="s">
        <v>6119</v>
      </c>
      <c r="K81" s="34" t="s">
        <v>824</v>
      </c>
      <c r="L81" s="34" t="s">
        <v>800</v>
      </c>
      <c r="M81" s="30">
        <v>32</v>
      </c>
      <c r="N81" s="283" t="s">
        <v>721</v>
      </c>
    </row>
    <row r="82" spans="1:14" s="32" customFormat="1" ht="14.25" customHeight="1">
      <c r="A82" s="3" t="s">
        <v>641</v>
      </c>
      <c r="B82" s="270" t="s">
        <v>1417</v>
      </c>
      <c r="C82" s="214">
        <v>4058075709881</v>
      </c>
      <c r="D82" s="214"/>
      <c r="E82" s="215"/>
      <c r="F82" s="214"/>
      <c r="G82" s="66" t="str">
        <f>HYPERLINK("https://ledvance.com/pt/product-datasheet/207597/184086","Ficha de Produto")</f>
        <v>Ficha de Produto</v>
      </c>
      <c r="H82" s="34">
        <v>10</v>
      </c>
      <c r="I82" s="217" t="s">
        <v>1201</v>
      </c>
      <c r="J82" s="217" t="s">
        <v>1201</v>
      </c>
      <c r="K82" s="217" t="s">
        <v>1201</v>
      </c>
      <c r="L82" s="34" t="s">
        <v>800</v>
      </c>
      <c r="M82" s="30">
        <v>3</v>
      </c>
      <c r="N82" s="283" t="s">
        <v>721</v>
      </c>
    </row>
    <row r="83" spans="1:14" s="32" customFormat="1" ht="14.25" customHeight="1">
      <c r="A83" s="3" t="s">
        <v>1114</v>
      </c>
      <c r="B83" s="270" t="s">
        <v>1418</v>
      </c>
      <c r="C83" s="214">
        <v>4058075709904</v>
      </c>
      <c r="D83" s="214"/>
      <c r="E83" s="215"/>
      <c r="F83" s="214"/>
      <c r="G83" s="66" t="str">
        <f>HYPERLINK("https://ledvance.com/pt/product-datasheet/207597/184089","Ficha de Produto")</f>
        <v>Ficha de Produto</v>
      </c>
      <c r="H83" s="34">
        <v>10</v>
      </c>
      <c r="I83" s="217" t="s">
        <v>1201</v>
      </c>
      <c r="J83" s="217" t="s">
        <v>1201</v>
      </c>
      <c r="K83" s="217" t="s">
        <v>1201</v>
      </c>
      <c r="L83" s="34" t="s">
        <v>800</v>
      </c>
      <c r="M83" s="30">
        <v>3.9</v>
      </c>
      <c r="N83" s="283" t="s">
        <v>721</v>
      </c>
    </row>
    <row r="84" spans="1:14" s="32" customFormat="1" ht="14.25" customHeight="1">
      <c r="A84" s="3" t="s">
        <v>1114</v>
      </c>
      <c r="B84" s="270" t="s">
        <v>1419</v>
      </c>
      <c r="C84" s="214">
        <v>4058075709928</v>
      </c>
      <c r="D84" s="214"/>
      <c r="E84" s="215"/>
      <c r="F84" s="214"/>
      <c r="G84" s="66" t="str">
        <f>HYPERLINK("https://ledvance.com/pt/product-datasheet/207597/184092","Ficha de Produto")</f>
        <v>Ficha de Produto</v>
      </c>
      <c r="H84" s="34">
        <v>10</v>
      </c>
      <c r="I84" s="217" t="s">
        <v>1201</v>
      </c>
      <c r="J84" s="217" t="s">
        <v>1201</v>
      </c>
      <c r="K84" s="217" t="s">
        <v>1201</v>
      </c>
      <c r="L84" s="34" t="s">
        <v>800</v>
      </c>
      <c r="M84" s="30">
        <v>6</v>
      </c>
      <c r="N84" s="283" t="s">
        <v>721</v>
      </c>
    </row>
    <row r="85" spans="1:14" s="32" customFormat="1" ht="14.25" customHeight="1">
      <c r="A85" s="3" t="s">
        <v>1114</v>
      </c>
      <c r="B85" s="270" t="s">
        <v>1420</v>
      </c>
      <c r="C85" s="214">
        <v>4058075709942</v>
      </c>
      <c r="D85" s="214"/>
      <c r="E85" s="215"/>
      <c r="F85" s="214"/>
      <c r="G85" s="66" t="str">
        <f>HYPERLINK("https://ledvance.com/pt/product-datasheet/207597/184095","Ficha de Produto")</f>
        <v>Ficha de Produto</v>
      </c>
      <c r="H85" s="34">
        <v>10</v>
      </c>
      <c r="I85" s="217" t="s">
        <v>1201</v>
      </c>
      <c r="J85" s="217" t="s">
        <v>1201</v>
      </c>
      <c r="K85" s="217" t="s">
        <v>1201</v>
      </c>
      <c r="L85" s="34" t="s">
        <v>800</v>
      </c>
      <c r="M85" s="30">
        <v>8.5</v>
      </c>
      <c r="N85" s="283" t="s">
        <v>721</v>
      </c>
    </row>
    <row r="86" spans="1:14" s="32" customFormat="1" ht="14.25" customHeight="1">
      <c r="A86" s="3" t="s">
        <v>1114</v>
      </c>
      <c r="B86" s="270" t="s">
        <v>1421</v>
      </c>
      <c r="C86" s="214">
        <v>4058075709966</v>
      </c>
      <c r="D86" s="214"/>
      <c r="E86" s="215"/>
      <c r="F86" s="214"/>
      <c r="G86" s="66" t="str">
        <f>HYPERLINK("https://ledvance.com/pt/product-datasheet/207597/184098","Ficha de Produto")</f>
        <v>Ficha de Produto</v>
      </c>
      <c r="H86" s="34">
        <v>10</v>
      </c>
      <c r="I86" s="217" t="s">
        <v>1201</v>
      </c>
      <c r="J86" s="217" t="s">
        <v>1201</v>
      </c>
      <c r="K86" s="217" t="s">
        <v>1201</v>
      </c>
      <c r="L86" s="34" t="s">
        <v>800</v>
      </c>
      <c r="M86" s="30">
        <v>10</v>
      </c>
      <c r="N86" s="283" t="s">
        <v>721</v>
      </c>
    </row>
    <row r="87" spans="1:14" s="32" customFormat="1" ht="14.25" customHeight="1">
      <c r="A87" s="8" t="s">
        <v>641</v>
      </c>
      <c r="B87" s="227" t="s">
        <v>640</v>
      </c>
      <c r="C87" s="7"/>
      <c r="D87" s="7"/>
      <c r="E87" s="7"/>
      <c r="F87" s="7"/>
      <c r="G87" s="68"/>
      <c r="H87" s="7"/>
      <c r="I87" s="7"/>
      <c r="J87" s="7"/>
      <c r="K87" s="7"/>
      <c r="L87" s="7"/>
      <c r="M87" s="7"/>
      <c r="N87" s="284"/>
    </row>
    <row r="88" spans="1:14" s="32" customFormat="1" ht="14.25" customHeight="1">
      <c r="A88" s="3" t="s">
        <v>641</v>
      </c>
      <c r="B88" s="270" t="s">
        <v>30</v>
      </c>
      <c r="C88" s="214">
        <v>4058075063921</v>
      </c>
      <c r="D88" s="214"/>
      <c r="E88" s="215"/>
      <c r="F88" s="214"/>
      <c r="G88" s="66" t="str">
        <f>HYPERLINK("https://ledvance.com/pt/product-datasheet/8464/92738","Ficha de Produto")</f>
        <v>Ficha de Produto</v>
      </c>
      <c r="H88" s="34">
        <v>10</v>
      </c>
      <c r="I88" s="34" t="s">
        <v>786</v>
      </c>
      <c r="J88" s="34" t="s">
        <v>6126</v>
      </c>
      <c r="K88" s="34" t="s">
        <v>788</v>
      </c>
      <c r="L88" s="34" t="s">
        <v>765</v>
      </c>
      <c r="M88" s="30">
        <v>30</v>
      </c>
      <c r="N88" s="283" t="s">
        <v>721</v>
      </c>
    </row>
    <row r="89" spans="1:14" s="32" customFormat="1" ht="14.25" customHeight="1">
      <c r="A89" s="3" t="s">
        <v>641</v>
      </c>
      <c r="B89" s="270" t="s">
        <v>31</v>
      </c>
      <c r="C89" s="214">
        <v>4058075063945</v>
      </c>
      <c r="D89" s="214"/>
      <c r="E89" s="215"/>
      <c r="F89" s="214"/>
      <c r="G89" s="66" t="str">
        <f>HYPERLINK("https://ledvance.com/pt/product-datasheet/8464/92741","Ficha de Produto")</f>
        <v>Ficha de Produto</v>
      </c>
      <c r="H89" s="34">
        <v>10</v>
      </c>
      <c r="I89" s="34" t="s">
        <v>789</v>
      </c>
      <c r="J89" s="34" t="s">
        <v>6126</v>
      </c>
      <c r="K89" s="34" t="s">
        <v>788</v>
      </c>
      <c r="L89" s="34" t="s">
        <v>765</v>
      </c>
      <c r="M89" s="30">
        <v>30</v>
      </c>
      <c r="N89" s="283" t="s">
        <v>721</v>
      </c>
    </row>
    <row r="90" spans="1:14" s="32" customFormat="1" ht="14.25" customHeight="1">
      <c r="A90" s="3" t="s">
        <v>641</v>
      </c>
      <c r="B90" s="270" t="s">
        <v>32</v>
      </c>
      <c r="C90" s="214">
        <v>4058075064003</v>
      </c>
      <c r="D90" s="214"/>
      <c r="E90" s="215"/>
      <c r="F90" s="214"/>
      <c r="G90" s="66" t="str">
        <f>HYPERLINK("https://ledvance.com/pt/product-datasheet/8464/93808","Ficha de Produto")</f>
        <v>Ficha de Produto</v>
      </c>
      <c r="H90" s="34">
        <v>10</v>
      </c>
      <c r="I90" s="34" t="s">
        <v>790</v>
      </c>
      <c r="J90" s="34" t="s">
        <v>6127</v>
      </c>
      <c r="K90" s="34" t="s">
        <v>788</v>
      </c>
      <c r="L90" s="34" t="s">
        <v>765</v>
      </c>
      <c r="M90" s="30">
        <v>36.5</v>
      </c>
      <c r="N90" s="283" t="s">
        <v>721</v>
      </c>
    </row>
    <row r="91" spans="1:14" s="32" customFormat="1" ht="14.25" customHeight="1">
      <c r="A91" s="3" t="s">
        <v>641</v>
      </c>
      <c r="B91" s="270" t="s">
        <v>33</v>
      </c>
      <c r="C91" s="214">
        <v>4058075064027</v>
      </c>
      <c r="D91" s="214"/>
      <c r="E91" s="215"/>
      <c r="F91" s="214"/>
      <c r="G91" s="66" t="str">
        <f>HYPERLINK("https://ledvance.com/pt/product-datasheet/8464/93811","Ficha de Produto")</f>
        <v>Ficha de Produto</v>
      </c>
      <c r="H91" s="34">
        <v>10</v>
      </c>
      <c r="I91" s="34" t="s">
        <v>792</v>
      </c>
      <c r="J91" s="34" t="s">
        <v>6127</v>
      </c>
      <c r="K91" s="34" t="s">
        <v>788</v>
      </c>
      <c r="L91" s="34" t="s">
        <v>765</v>
      </c>
      <c r="M91" s="30">
        <v>36.5</v>
      </c>
      <c r="N91" s="283" t="s">
        <v>721</v>
      </c>
    </row>
    <row r="92" spans="1:14" s="32" customFormat="1" ht="14.25" customHeight="1">
      <c r="A92" s="8" t="s">
        <v>641</v>
      </c>
      <c r="B92" s="227" t="s">
        <v>642</v>
      </c>
      <c r="C92" s="7"/>
      <c r="D92" s="7"/>
      <c r="E92" s="7"/>
      <c r="F92" s="7"/>
      <c r="G92" s="68"/>
      <c r="H92" s="7"/>
      <c r="I92" s="7"/>
      <c r="J92" s="7"/>
      <c r="K92" s="7"/>
      <c r="L92" s="7"/>
      <c r="M92" s="7"/>
      <c r="N92" s="284"/>
    </row>
    <row r="93" spans="1:14" s="32" customFormat="1" ht="14.25" customHeight="1">
      <c r="A93" s="3" t="s">
        <v>641</v>
      </c>
      <c r="B93" s="270" t="s">
        <v>34</v>
      </c>
      <c r="C93" s="214">
        <v>4058075079212</v>
      </c>
      <c r="D93" s="214"/>
      <c r="E93" s="215"/>
      <c r="F93" s="214"/>
      <c r="G93" s="66" t="str">
        <f>HYPERLINK("https://ledvance.com/pt/product-datasheet/8467/44891","Ficha de Produto")</f>
        <v>Ficha de Produto</v>
      </c>
      <c r="H93" s="34">
        <v>6</v>
      </c>
      <c r="I93" s="34" t="s">
        <v>794</v>
      </c>
      <c r="J93" s="34" t="s">
        <v>6128</v>
      </c>
      <c r="K93" s="34" t="s">
        <v>788</v>
      </c>
      <c r="L93" s="34" t="s">
        <v>793</v>
      </c>
      <c r="M93" s="30">
        <v>15</v>
      </c>
      <c r="N93" s="283" t="s">
        <v>721</v>
      </c>
    </row>
    <row r="94" spans="1:14" s="32" customFormat="1" ht="14.25" customHeight="1">
      <c r="A94" s="3" t="s">
        <v>641</v>
      </c>
      <c r="B94" s="270" t="s">
        <v>35</v>
      </c>
      <c r="C94" s="214">
        <v>4058075079236</v>
      </c>
      <c r="D94" s="214"/>
      <c r="E94" s="215"/>
      <c r="F94" s="214"/>
      <c r="G94" s="66" t="str">
        <f>HYPERLINK("https://ledvance.com/pt/product-datasheet/8467/44894","Ficha de Produto")</f>
        <v>Ficha de Produto</v>
      </c>
      <c r="H94" s="34">
        <v>6</v>
      </c>
      <c r="I94" s="34" t="s">
        <v>796</v>
      </c>
      <c r="J94" s="34" t="s">
        <v>6128</v>
      </c>
      <c r="K94" s="34" t="s">
        <v>788</v>
      </c>
      <c r="L94" s="34" t="s">
        <v>793</v>
      </c>
      <c r="M94" s="30">
        <v>15</v>
      </c>
      <c r="N94" s="283" t="s">
        <v>721</v>
      </c>
    </row>
    <row r="95" spans="1:14" s="32" customFormat="1" ht="14.25" customHeight="1">
      <c r="A95" s="3" t="s">
        <v>641</v>
      </c>
      <c r="B95" s="270" t="s">
        <v>36</v>
      </c>
      <c r="C95" s="214">
        <v>4058075079250</v>
      </c>
      <c r="D95" s="214"/>
      <c r="E95" s="215"/>
      <c r="F95" s="214"/>
      <c r="G95" s="66" t="str">
        <f>HYPERLINK("https://ledvance.com/pt/product-datasheet/8467/44897","Ficha de Produto")</f>
        <v>Ficha de Produto</v>
      </c>
      <c r="H95" s="34">
        <v>6</v>
      </c>
      <c r="I95" s="34" t="s">
        <v>796</v>
      </c>
      <c r="J95" s="34" t="s">
        <v>6128</v>
      </c>
      <c r="K95" s="34" t="s">
        <v>788</v>
      </c>
      <c r="L95" s="34" t="s">
        <v>793</v>
      </c>
      <c r="M95" s="30">
        <v>15</v>
      </c>
      <c r="N95" s="283" t="s">
        <v>721</v>
      </c>
    </row>
    <row r="96" spans="1:14" s="32" customFormat="1" ht="14.25" customHeight="1">
      <c r="A96" s="3" t="s">
        <v>641</v>
      </c>
      <c r="B96" s="270" t="s">
        <v>37</v>
      </c>
      <c r="C96" s="214">
        <v>4058075079274</v>
      </c>
      <c r="D96" s="214"/>
      <c r="E96" s="215"/>
      <c r="F96" s="214"/>
      <c r="G96" s="66" t="str">
        <f>HYPERLINK("https://ledvance.com/pt/product-datasheet/8467/44900","Ficha de Produto")</f>
        <v>Ficha de Produto</v>
      </c>
      <c r="H96" s="34">
        <v>6</v>
      </c>
      <c r="I96" s="34" t="s">
        <v>797</v>
      </c>
      <c r="J96" s="34" t="s">
        <v>6129</v>
      </c>
      <c r="K96" s="34" t="s">
        <v>788</v>
      </c>
      <c r="L96" s="34" t="s">
        <v>793</v>
      </c>
      <c r="M96" s="30">
        <v>20</v>
      </c>
      <c r="N96" s="283" t="s">
        <v>721</v>
      </c>
    </row>
    <row r="97" spans="1:14" s="32" customFormat="1" ht="14.25" customHeight="1">
      <c r="A97" s="3" t="s">
        <v>641</v>
      </c>
      <c r="B97" s="270" t="s">
        <v>38</v>
      </c>
      <c r="C97" s="214">
        <v>4058075079298</v>
      </c>
      <c r="D97" s="214"/>
      <c r="E97" s="215"/>
      <c r="F97" s="214"/>
      <c r="G97" s="66" t="str">
        <f>HYPERLINK("https://ledvance.com/pt/product-datasheet/8467/44903","Ficha de Produto")</f>
        <v>Ficha de Produto</v>
      </c>
      <c r="H97" s="34">
        <v>6</v>
      </c>
      <c r="I97" s="34" t="s">
        <v>797</v>
      </c>
      <c r="J97" s="34" t="s">
        <v>6129</v>
      </c>
      <c r="K97" s="34" t="s">
        <v>788</v>
      </c>
      <c r="L97" s="34" t="s">
        <v>793</v>
      </c>
      <c r="M97" s="30">
        <v>20</v>
      </c>
      <c r="N97" s="283" t="s">
        <v>721</v>
      </c>
    </row>
    <row r="98" spans="1:14" s="32" customFormat="1" ht="14.25" customHeight="1">
      <c r="A98" s="3" t="s">
        <v>641</v>
      </c>
      <c r="B98" s="270" t="s">
        <v>39</v>
      </c>
      <c r="C98" s="214">
        <v>4058075079311</v>
      </c>
      <c r="D98" s="214"/>
      <c r="E98" s="215"/>
      <c r="F98" s="214"/>
      <c r="G98" s="66" t="str">
        <f>HYPERLINK("https://ledvance.com/pt/product-datasheet/8467/44906","Ficha de Produto")</f>
        <v>Ficha de Produto</v>
      </c>
      <c r="H98" s="34">
        <v>6</v>
      </c>
      <c r="I98" s="34" t="s">
        <v>797</v>
      </c>
      <c r="J98" s="34" t="s">
        <v>6129</v>
      </c>
      <c r="K98" s="34" t="s">
        <v>788</v>
      </c>
      <c r="L98" s="34" t="s">
        <v>793</v>
      </c>
      <c r="M98" s="30">
        <v>20</v>
      </c>
      <c r="N98" s="283" t="s">
        <v>721</v>
      </c>
    </row>
    <row r="99" spans="1:14" s="32" customFormat="1" ht="14.25" customHeight="1">
      <c r="A99" s="3" t="s">
        <v>641</v>
      </c>
      <c r="B99" s="270" t="s">
        <v>40</v>
      </c>
      <c r="C99" s="214">
        <v>4058075079335</v>
      </c>
      <c r="D99" s="214"/>
      <c r="E99" s="215"/>
      <c r="F99" s="214"/>
      <c r="G99" s="66" t="str">
        <f>HYPERLINK("https://ledvance.com/pt/product-datasheet/8467/44931","Ficha de Produto")</f>
        <v>Ficha de Produto</v>
      </c>
      <c r="H99" s="34">
        <v>6</v>
      </c>
      <c r="I99" s="34" t="s">
        <v>799</v>
      </c>
      <c r="J99" s="34" t="s">
        <v>6115</v>
      </c>
      <c r="K99" s="34" t="s">
        <v>788</v>
      </c>
      <c r="L99" s="34" t="s">
        <v>793</v>
      </c>
      <c r="M99" s="30">
        <v>27.5</v>
      </c>
      <c r="N99" s="283" t="s">
        <v>721</v>
      </c>
    </row>
    <row r="100" spans="1:14" s="32" customFormat="1" ht="14.25" customHeight="1">
      <c r="A100" s="3" t="s">
        <v>641</v>
      </c>
      <c r="B100" s="270" t="s">
        <v>41</v>
      </c>
      <c r="C100" s="214">
        <v>4058075079359</v>
      </c>
      <c r="D100" s="214"/>
      <c r="E100" s="215"/>
      <c r="F100" s="214"/>
      <c r="G100" s="66" t="str">
        <f>HYPERLINK("https://ledvance.com/pt/product-datasheet/8467/44934","Ficha de Produto")</f>
        <v>Ficha de Produto</v>
      </c>
      <c r="H100" s="34">
        <v>6</v>
      </c>
      <c r="I100" s="34" t="s">
        <v>799</v>
      </c>
      <c r="J100" s="34" t="s">
        <v>6115</v>
      </c>
      <c r="K100" s="34" t="s">
        <v>788</v>
      </c>
      <c r="L100" s="34" t="s">
        <v>793</v>
      </c>
      <c r="M100" s="30">
        <v>27.5</v>
      </c>
      <c r="N100" s="283" t="s">
        <v>721</v>
      </c>
    </row>
    <row r="101" spans="1:14" s="32" customFormat="1" ht="14.25" customHeight="1">
      <c r="A101" s="3" t="s">
        <v>641</v>
      </c>
      <c r="B101" s="270" t="s">
        <v>42</v>
      </c>
      <c r="C101" s="214">
        <v>4058075079373</v>
      </c>
      <c r="D101" s="214"/>
      <c r="E101" s="215"/>
      <c r="F101" s="214"/>
      <c r="G101" s="66" t="str">
        <f>HYPERLINK("https://ledvance.com/pt/product-datasheet/8467/44937","Ficha de Produto")</f>
        <v>Ficha de Produto</v>
      </c>
      <c r="H101" s="34">
        <v>6</v>
      </c>
      <c r="I101" s="34" t="s">
        <v>799</v>
      </c>
      <c r="J101" s="34" t="s">
        <v>6115</v>
      </c>
      <c r="K101" s="34" t="s">
        <v>788</v>
      </c>
      <c r="L101" s="34" t="s">
        <v>793</v>
      </c>
      <c r="M101" s="30">
        <v>27.5</v>
      </c>
      <c r="N101" s="283" t="s">
        <v>721</v>
      </c>
    </row>
    <row r="102" spans="1:14" s="32" customFormat="1" ht="14.25" customHeight="1">
      <c r="A102" s="3" t="s">
        <v>1114</v>
      </c>
      <c r="B102" s="270" t="s">
        <v>43</v>
      </c>
      <c r="C102" s="214">
        <v>4058075079397</v>
      </c>
      <c r="D102" s="214"/>
      <c r="E102" s="215"/>
      <c r="F102" s="214"/>
      <c r="G102" s="66" t="str">
        <f>HYPERLINK("https://ledvance.com/pt/product-datasheet/8469/125903","Ficha de Produto")</f>
        <v>Ficha de Produto</v>
      </c>
      <c r="H102" s="34">
        <v>6</v>
      </c>
      <c r="I102" s="217" t="s">
        <v>1201</v>
      </c>
      <c r="J102" s="217" t="s">
        <v>1201</v>
      </c>
      <c r="K102" s="217" t="s">
        <v>1201</v>
      </c>
      <c r="L102" s="34" t="s">
        <v>800</v>
      </c>
      <c r="M102" s="30">
        <v>3.7</v>
      </c>
      <c r="N102" s="283" t="s">
        <v>721</v>
      </c>
    </row>
    <row r="103" spans="1:14" s="32" customFormat="1" ht="14.25" customHeight="1">
      <c r="A103" s="3" t="s">
        <v>1114</v>
      </c>
      <c r="B103" s="270" t="s">
        <v>44</v>
      </c>
      <c r="C103" s="214">
        <v>4058075079410</v>
      </c>
      <c r="D103" s="214"/>
      <c r="E103" s="215"/>
      <c r="F103" s="214"/>
      <c r="G103" s="66" t="str">
        <f>HYPERLINK("https://ledvance.com/pt/product-datasheet/8469/125910","Ficha de Produto")</f>
        <v>Ficha de Produto</v>
      </c>
      <c r="H103" s="34">
        <v>6</v>
      </c>
      <c r="I103" s="217" t="s">
        <v>1201</v>
      </c>
      <c r="J103" s="217" t="s">
        <v>1201</v>
      </c>
      <c r="K103" s="217" t="s">
        <v>1201</v>
      </c>
      <c r="L103" s="34" t="s">
        <v>800</v>
      </c>
      <c r="M103" s="30">
        <v>5.0999999999999996</v>
      </c>
      <c r="N103" s="283" t="s">
        <v>721</v>
      </c>
    </row>
    <row r="104" spans="1:14" s="32" customFormat="1" ht="14.25" customHeight="1">
      <c r="A104" s="3" t="s">
        <v>1114</v>
      </c>
      <c r="B104" s="270" t="s">
        <v>45</v>
      </c>
      <c r="C104" s="214">
        <v>4058075079434</v>
      </c>
      <c r="D104" s="214"/>
      <c r="E104" s="215"/>
      <c r="F104" s="214"/>
      <c r="G104" s="66" t="str">
        <f>HYPERLINK("https://ledvance.com/pt/product-datasheet/8469/125917","Ficha de Produto")</f>
        <v>Ficha de Produto</v>
      </c>
      <c r="H104" s="34">
        <v>6</v>
      </c>
      <c r="I104" s="217" t="s">
        <v>1201</v>
      </c>
      <c r="J104" s="217" t="s">
        <v>1201</v>
      </c>
      <c r="K104" s="217" t="s">
        <v>1201</v>
      </c>
      <c r="L104" s="34" t="s">
        <v>800</v>
      </c>
      <c r="M104" s="30">
        <v>8</v>
      </c>
      <c r="N104" s="283" t="s">
        <v>721</v>
      </c>
    </row>
    <row r="105" spans="1:14" s="32" customFormat="1" ht="14.25" customHeight="1">
      <c r="A105" s="8" t="s">
        <v>641</v>
      </c>
      <c r="B105" s="227" t="s">
        <v>643</v>
      </c>
      <c r="C105" s="7"/>
      <c r="D105" s="7"/>
      <c r="E105" s="7"/>
      <c r="F105" s="7"/>
      <c r="G105" s="68"/>
      <c r="H105" s="7"/>
      <c r="I105" s="7"/>
      <c r="J105" s="7"/>
      <c r="K105" s="7"/>
      <c r="L105" s="7"/>
      <c r="M105" s="7"/>
      <c r="N105" s="284"/>
    </row>
    <row r="106" spans="1:14" s="32" customFormat="1" ht="14.25" customHeight="1">
      <c r="A106" s="3" t="s">
        <v>641</v>
      </c>
      <c r="B106" s="270" t="s">
        <v>46</v>
      </c>
      <c r="C106" s="214">
        <v>4058075078970</v>
      </c>
      <c r="D106" s="214"/>
      <c r="E106" s="215"/>
      <c r="F106" s="214"/>
      <c r="G106" s="66" t="str">
        <f>HYPERLINK("https://ledvance.com/pt/product-datasheet/8466/44866","Ficha de Produto")</f>
        <v>Ficha de Produto</v>
      </c>
      <c r="H106" s="34">
        <v>6</v>
      </c>
      <c r="I106" s="34" t="s">
        <v>794</v>
      </c>
      <c r="J106" s="34" t="s">
        <v>6128</v>
      </c>
      <c r="K106" s="34" t="s">
        <v>788</v>
      </c>
      <c r="L106" s="34" t="s">
        <v>793</v>
      </c>
      <c r="M106" s="30">
        <v>15</v>
      </c>
      <c r="N106" s="283" t="s">
        <v>721</v>
      </c>
    </row>
    <row r="107" spans="1:14" s="32" customFormat="1" ht="14.25" customHeight="1">
      <c r="A107" s="3" t="s">
        <v>641</v>
      </c>
      <c r="B107" s="270" t="s">
        <v>47</v>
      </c>
      <c r="C107" s="214">
        <v>4058075078994</v>
      </c>
      <c r="D107" s="214"/>
      <c r="E107" s="215"/>
      <c r="F107" s="214"/>
      <c r="G107" s="66" t="str">
        <f>HYPERLINK("https://ledvance.com/pt/product-datasheet/8466/44869","Ficha de Produto")</f>
        <v>Ficha de Produto</v>
      </c>
      <c r="H107" s="34">
        <v>6</v>
      </c>
      <c r="I107" s="34" t="s">
        <v>796</v>
      </c>
      <c r="J107" s="34" t="s">
        <v>6128</v>
      </c>
      <c r="K107" s="34" t="s">
        <v>788</v>
      </c>
      <c r="L107" s="34" t="s">
        <v>793</v>
      </c>
      <c r="M107" s="30">
        <v>15</v>
      </c>
      <c r="N107" s="283" t="s">
        <v>721</v>
      </c>
    </row>
    <row r="108" spans="1:14" s="32" customFormat="1" ht="14.25" customHeight="1">
      <c r="A108" s="3" t="s">
        <v>641</v>
      </c>
      <c r="B108" s="270" t="s">
        <v>48</v>
      </c>
      <c r="C108" s="214">
        <v>4058075079014</v>
      </c>
      <c r="D108" s="214"/>
      <c r="E108" s="215"/>
      <c r="F108" s="214"/>
      <c r="G108" s="66" t="str">
        <f>HYPERLINK("https://ledvance.com/pt/product-datasheet/8466/44872","Ficha de Produto")</f>
        <v>Ficha de Produto</v>
      </c>
      <c r="H108" s="34">
        <v>6</v>
      </c>
      <c r="I108" s="34" t="s">
        <v>796</v>
      </c>
      <c r="J108" s="34" t="s">
        <v>6128</v>
      </c>
      <c r="K108" s="34" t="s">
        <v>788</v>
      </c>
      <c r="L108" s="34" t="s">
        <v>793</v>
      </c>
      <c r="M108" s="30">
        <v>15</v>
      </c>
      <c r="N108" s="283" t="s">
        <v>721</v>
      </c>
    </row>
    <row r="109" spans="1:14" s="32" customFormat="1" ht="14.25" customHeight="1">
      <c r="A109" s="3" t="s">
        <v>641</v>
      </c>
      <c r="B109" s="270" t="s">
        <v>49</v>
      </c>
      <c r="C109" s="214">
        <v>4058075079038</v>
      </c>
      <c r="D109" s="214"/>
      <c r="E109" s="215"/>
      <c r="F109" s="214"/>
      <c r="G109" s="66" t="str">
        <f>HYPERLINK("https://ledvance.com/pt/product-datasheet/8466/44875","Ficha de Produto")</f>
        <v>Ficha de Produto</v>
      </c>
      <c r="H109" s="34">
        <v>6</v>
      </c>
      <c r="I109" s="34" t="s">
        <v>797</v>
      </c>
      <c r="J109" s="34" t="s">
        <v>6129</v>
      </c>
      <c r="K109" s="34" t="s">
        <v>788</v>
      </c>
      <c r="L109" s="34" t="s">
        <v>793</v>
      </c>
      <c r="M109" s="30">
        <v>20</v>
      </c>
      <c r="N109" s="283" t="s">
        <v>721</v>
      </c>
    </row>
    <row r="110" spans="1:14" s="32" customFormat="1" ht="14.25" customHeight="1">
      <c r="A110" s="3" t="s">
        <v>641</v>
      </c>
      <c r="B110" s="270" t="s">
        <v>50</v>
      </c>
      <c r="C110" s="214">
        <v>4058075079052</v>
      </c>
      <c r="D110" s="214"/>
      <c r="E110" s="215"/>
      <c r="F110" s="214"/>
      <c r="G110" s="66" t="str">
        <f>HYPERLINK("https://ledvance.com/pt/product-datasheet/8466/44878","Ficha de Produto")</f>
        <v>Ficha de Produto</v>
      </c>
      <c r="H110" s="34">
        <v>6</v>
      </c>
      <c r="I110" s="34" t="s">
        <v>797</v>
      </c>
      <c r="J110" s="34" t="s">
        <v>6129</v>
      </c>
      <c r="K110" s="34" t="s">
        <v>788</v>
      </c>
      <c r="L110" s="34" t="s">
        <v>793</v>
      </c>
      <c r="M110" s="30">
        <v>20</v>
      </c>
      <c r="N110" s="283" t="s">
        <v>721</v>
      </c>
    </row>
    <row r="111" spans="1:14" s="32" customFormat="1" ht="14.25" customHeight="1">
      <c r="A111" s="3" t="s">
        <v>641</v>
      </c>
      <c r="B111" s="270" t="s">
        <v>51</v>
      </c>
      <c r="C111" s="214">
        <v>4058075079076</v>
      </c>
      <c r="D111" s="214"/>
      <c r="E111" s="215"/>
      <c r="F111" s="214"/>
      <c r="G111" s="66" t="str">
        <f>HYPERLINK("https://ledvance.com/pt/product-datasheet/8466/44881","Ficha de Produto")</f>
        <v>Ficha de Produto</v>
      </c>
      <c r="H111" s="34">
        <v>6</v>
      </c>
      <c r="I111" s="34" t="s">
        <v>797</v>
      </c>
      <c r="J111" s="34" t="s">
        <v>6129</v>
      </c>
      <c r="K111" s="34" t="s">
        <v>788</v>
      </c>
      <c r="L111" s="34" t="s">
        <v>793</v>
      </c>
      <c r="M111" s="30">
        <v>20</v>
      </c>
      <c r="N111" s="283" t="s">
        <v>721</v>
      </c>
    </row>
    <row r="112" spans="1:14" s="32" customFormat="1" ht="14.25" customHeight="1">
      <c r="A112" s="3" t="s">
        <v>641</v>
      </c>
      <c r="B112" s="270" t="s">
        <v>52</v>
      </c>
      <c r="C112" s="214">
        <v>4058075079090</v>
      </c>
      <c r="D112" s="214"/>
      <c r="E112" s="215"/>
      <c r="F112" s="214"/>
      <c r="G112" s="66" t="str">
        <f>HYPERLINK("https://ledvance.com/pt/product-datasheet/8466/34308","Ficha de Produto")</f>
        <v>Ficha de Produto</v>
      </c>
      <c r="H112" s="34">
        <v>6</v>
      </c>
      <c r="I112" s="34" t="s">
        <v>799</v>
      </c>
      <c r="J112" s="34" t="s">
        <v>6115</v>
      </c>
      <c r="K112" s="34" t="s">
        <v>788</v>
      </c>
      <c r="L112" s="34" t="s">
        <v>793</v>
      </c>
      <c r="M112" s="30">
        <v>27.5</v>
      </c>
      <c r="N112" s="283" t="s">
        <v>721</v>
      </c>
    </row>
    <row r="113" spans="1:14" s="32" customFormat="1" ht="14.25" customHeight="1">
      <c r="A113" s="3" t="s">
        <v>641</v>
      </c>
      <c r="B113" s="270" t="s">
        <v>53</v>
      </c>
      <c r="C113" s="214">
        <v>4058075079113</v>
      </c>
      <c r="D113" s="214"/>
      <c r="E113" s="215"/>
      <c r="F113" s="214"/>
      <c r="G113" s="66" t="str">
        <f>HYPERLINK("https://ledvance.com/pt/product-datasheet/8466/44885","Ficha de Produto")</f>
        <v>Ficha de Produto</v>
      </c>
      <c r="H113" s="34">
        <v>6</v>
      </c>
      <c r="I113" s="34" t="s">
        <v>799</v>
      </c>
      <c r="J113" s="34" t="s">
        <v>6115</v>
      </c>
      <c r="K113" s="34" t="s">
        <v>788</v>
      </c>
      <c r="L113" s="34" t="s">
        <v>793</v>
      </c>
      <c r="M113" s="30">
        <v>27.5</v>
      </c>
      <c r="N113" s="283" t="s">
        <v>721</v>
      </c>
    </row>
    <row r="114" spans="1:14" s="32" customFormat="1" ht="14.25" customHeight="1">
      <c r="A114" s="3" t="s">
        <v>641</v>
      </c>
      <c r="B114" s="270" t="s">
        <v>54</v>
      </c>
      <c r="C114" s="214">
        <v>4058075079137</v>
      </c>
      <c r="D114" s="214"/>
      <c r="E114" s="215"/>
      <c r="F114" s="214"/>
      <c r="G114" s="66" t="str">
        <f>HYPERLINK("https://ledvance.com/pt/product-datasheet/8466/44888","Ficha de Produto")</f>
        <v>Ficha de Produto</v>
      </c>
      <c r="H114" s="34">
        <v>6</v>
      </c>
      <c r="I114" s="34" t="s">
        <v>799</v>
      </c>
      <c r="J114" s="34" t="s">
        <v>6115</v>
      </c>
      <c r="K114" s="34" t="s">
        <v>788</v>
      </c>
      <c r="L114" s="34" t="s">
        <v>793</v>
      </c>
      <c r="M114" s="30">
        <v>27.5</v>
      </c>
      <c r="N114" s="283" t="s">
        <v>721</v>
      </c>
    </row>
    <row r="115" spans="1:14" s="32" customFormat="1" ht="14.25" customHeight="1">
      <c r="A115" s="3" t="s">
        <v>1114</v>
      </c>
      <c r="B115" s="36" t="s">
        <v>55</v>
      </c>
      <c r="C115" s="214">
        <v>4058075079151</v>
      </c>
      <c r="D115" s="214"/>
      <c r="E115" s="215"/>
      <c r="F115" s="214"/>
      <c r="G115" s="66" t="str">
        <f>HYPERLINK("https://ledvance.com/pt/product-datasheet/8468/125895","Ficha de Produto")</f>
        <v>Ficha de Produto</v>
      </c>
      <c r="H115" s="34">
        <v>6</v>
      </c>
      <c r="I115" s="217" t="s">
        <v>1201</v>
      </c>
      <c r="J115" s="217" t="s">
        <v>1201</v>
      </c>
      <c r="K115" s="217" t="s">
        <v>1201</v>
      </c>
      <c r="L115" s="34" t="s">
        <v>800</v>
      </c>
      <c r="M115" s="30">
        <v>3.7</v>
      </c>
      <c r="N115" s="283" t="s">
        <v>721</v>
      </c>
    </row>
    <row r="116" spans="1:14" s="32" customFormat="1" ht="14.25" customHeight="1">
      <c r="A116" s="3" t="s">
        <v>1114</v>
      </c>
      <c r="B116" s="36" t="s">
        <v>56</v>
      </c>
      <c r="C116" s="214">
        <v>4058075079175</v>
      </c>
      <c r="D116" s="214"/>
      <c r="E116" s="215"/>
      <c r="F116" s="214"/>
      <c r="G116" s="66" t="str">
        <f>HYPERLINK("https://ledvance.com/pt/product-datasheet/8468/54377","Ficha de Produto")</f>
        <v>Ficha de Produto</v>
      </c>
      <c r="H116" s="34">
        <v>6</v>
      </c>
      <c r="I116" s="217" t="s">
        <v>1201</v>
      </c>
      <c r="J116" s="217" t="s">
        <v>1201</v>
      </c>
      <c r="K116" s="217" t="s">
        <v>1201</v>
      </c>
      <c r="L116" s="34" t="s">
        <v>800</v>
      </c>
      <c r="M116" s="30">
        <v>5.0999999999999996</v>
      </c>
      <c r="N116" s="283" t="s">
        <v>721</v>
      </c>
    </row>
    <row r="117" spans="1:14" s="32" customFormat="1" ht="14.25" customHeight="1">
      <c r="A117" s="3" t="s">
        <v>1114</v>
      </c>
      <c r="B117" s="36" t="s">
        <v>57</v>
      </c>
      <c r="C117" s="214">
        <v>4058075079199</v>
      </c>
      <c r="D117" s="214"/>
      <c r="E117" s="215"/>
      <c r="F117" s="214"/>
      <c r="G117" s="66" t="str">
        <f>HYPERLINK("https://ledvance.com/pt/product-datasheet/8468/125899","Ficha de Produto")</f>
        <v>Ficha de Produto</v>
      </c>
      <c r="H117" s="34">
        <v>6</v>
      </c>
      <c r="I117" s="217" t="s">
        <v>1201</v>
      </c>
      <c r="J117" s="217" t="s">
        <v>1201</v>
      </c>
      <c r="K117" s="217" t="s">
        <v>1201</v>
      </c>
      <c r="L117" s="34" t="s">
        <v>800</v>
      </c>
      <c r="M117" s="30">
        <v>8</v>
      </c>
      <c r="N117" s="283" t="s">
        <v>721</v>
      </c>
    </row>
    <row r="118" spans="1:14" s="32" customFormat="1" ht="14.25" customHeight="1">
      <c r="A118" s="8" t="s">
        <v>641</v>
      </c>
      <c r="B118" s="227" t="s">
        <v>3180</v>
      </c>
      <c r="C118" s="7"/>
      <c r="D118" s="7"/>
      <c r="E118" s="7"/>
      <c r="F118" s="7"/>
      <c r="G118" s="68" t="s">
        <v>6505</v>
      </c>
      <c r="H118" s="7"/>
      <c r="I118" s="7"/>
      <c r="J118" s="7"/>
      <c r="K118" s="7"/>
      <c r="L118" s="7"/>
      <c r="M118" s="7"/>
      <c r="N118" s="284"/>
    </row>
    <row r="119" spans="1:14" s="32" customFormat="1" ht="14.25" customHeight="1">
      <c r="A119" s="3" t="s">
        <v>641</v>
      </c>
      <c r="B119" s="271" t="s">
        <v>1952</v>
      </c>
      <c r="C119" s="218">
        <v>4099854092701</v>
      </c>
      <c r="D119" s="218"/>
      <c r="E119" s="218"/>
      <c r="F119" s="219" t="s">
        <v>2019</v>
      </c>
      <c r="G119" s="66" t="str">
        <f>HYPERLINK("https://ledvance.com/pt/product-datasheet/270477/247481","Ficha de Produto")</f>
        <v>Ficha de Produto</v>
      </c>
      <c r="H119" s="217" t="s">
        <v>1201</v>
      </c>
      <c r="I119" s="34" t="s">
        <v>1052</v>
      </c>
      <c r="J119" s="34" t="s">
        <v>6130</v>
      </c>
      <c r="K119" s="34" t="s">
        <v>6131</v>
      </c>
      <c r="L119" s="34" t="s">
        <v>765</v>
      </c>
      <c r="M119" s="30">
        <v>21.5</v>
      </c>
      <c r="N119" s="283" t="s">
        <v>721</v>
      </c>
    </row>
    <row r="120" spans="1:14" s="32" customFormat="1" ht="14.25" customHeight="1">
      <c r="A120" s="3" t="s">
        <v>641</v>
      </c>
      <c r="B120" s="271" t="s">
        <v>1953</v>
      </c>
      <c r="C120" s="218">
        <v>4099854092725</v>
      </c>
      <c r="D120" s="218"/>
      <c r="E120" s="218"/>
      <c r="F120" s="219" t="s">
        <v>2019</v>
      </c>
      <c r="G120" s="66" t="str">
        <f>HYPERLINK("https://ledvance.com/pt/product-datasheet/270478/247484","Ficha de Produto")</f>
        <v>Ficha de Produto</v>
      </c>
      <c r="H120" s="217" t="s">
        <v>1201</v>
      </c>
      <c r="I120" s="34" t="s">
        <v>1052</v>
      </c>
      <c r="J120" s="34" t="s">
        <v>6130</v>
      </c>
      <c r="K120" s="34" t="s">
        <v>6131</v>
      </c>
      <c r="L120" s="34" t="s">
        <v>765</v>
      </c>
      <c r="M120" s="30">
        <v>24</v>
      </c>
      <c r="N120" s="283" t="s">
        <v>721</v>
      </c>
    </row>
    <row r="121" spans="1:14" s="32" customFormat="1" ht="14.25" customHeight="1">
      <c r="A121" s="3" t="s">
        <v>641</v>
      </c>
      <c r="B121" s="271" t="s">
        <v>1954</v>
      </c>
      <c r="C121" s="218">
        <v>4099854097911</v>
      </c>
      <c r="D121" s="218"/>
      <c r="E121" s="218"/>
      <c r="F121" s="219" t="s">
        <v>2019</v>
      </c>
      <c r="G121" s="66" t="str">
        <f>HYPERLINK("https://ledvance.com/pt/product-datasheet/270480/249270","Ficha de Produto")</f>
        <v>Ficha de Produto</v>
      </c>
      <c r="H121" s="217" t="s">
        <v>1201</v>
      </c>
      <c r="I121" s="217" t="s">
        <v>1201</v>
      </c>
      <c r="J121" s="217" t="s">
        <v>1201</v>
      </c>
      <c r="K121" s="217" t="s">
        <v>1201</v>
      </c>
      <c r="L121" s="34" t="s">
        <v>765</v>
      </c>
      <c r="M121" s="30">
        <v>8.5</v>
      </c>
      <c r="N121" s="283" t="s">
        <v>721</v>
      </c>
    </row>
    <row r="122" spans="1:14" s="32" customFormat="1" ht="14.25" customHeight="1">
      <c r="A122" s="3" t="s">
        <v>641</v>
      </c>
      <c r="B122" s="271" t="s">
        <v>1955</v>
      </c>
      <c r="C122" s="218">
        <v>4099854097935</v>
      </c>
      <c r="D122" s="218"/>
      <c r="E122" s="218"/>
      <c r="F122" s="219" t="s">
        <v>2019</v>
      </c>
      <c r="G122" s="66" t="str">
        <f>HYPERLINK("https://ledvance.com/pt/product-datasheet/270480/249273","Ficha de Produto")</f>
        <v>Ficha de Produto</v>
      </c>
      <c r="H122" s="217" t="s">
        <v>1201</v>
      </c>
      <c r="I122" s="217" t="s">
        <v>1201</v>
      </c>
      <c r="J122" s="217" t="s">
        <v>1201</v>
      </c>
      <c r="K122" s="217" t="s">
        <v>1201</v>
      </c>
      <c r="L122" s="34" t="s">
        <v>765</v>
      </c>
      <c r="M122" s="30">
        <v>8.5</v>
      </c>
      <c r="N122" s="283" t="s">
        <v>721</v>
      </c>
    </row>
    <row r="123" spans="1:14" s="32" customFormat="1" ht="14.25" customHeight="1">
      <c r="A123" s="3" t="s">
        <v>641</v>
      </c>
      <c r="B123" s="271" t="s">
        <v>1956</v>
      </c>
      <c r="C123" s="218">
        <v>4099854097997</v>
      </c>
      <c r="D123" s="218"/>
      <c r="E123" s="218"/>
      <c r="F123" s="219" t="s">
        <v>2019</v>
      </c>
      <c r="G123" s="66" t="str">
        <f>HYPERLINK("https://ledvance.com/pt/product-datasheet/270480/249282","Ficha de Produto")</f>
        <v>Ficha de Produto</v>
      </c>
      <c r="H123" s="217" t="s">
        <v>1201</v>
      </c>
      <c r="I123" s="217" t="s">
        <v>1201</v>
      </c>
      <c r="J123" s="217" t="s">
        <v>1201</v>
      </c>
      <c r="K123" s="217" t="s">
        <v>1201</v>
      </c>
      <c r="L123" s="34" t="s">
        <v>765</v>
      </c>
      <c r="M123" s="30">
        <v>8.5</v>
      </c>
      <c r="N123" s="283" t="s">
        <v>721</v>
      </c>
    </row>
    <row r="124" spans="1:14" s="32" customFormat="1" ht="14.25" customHeight="1">
      <c r="A124" s="3" t="s">
        <v>641</v>
      </c>
      <c r="B124" s="271" t="s">
        <v>1957</v>
      </c>
      <c r="C124" s="218">
        <v>4099854097959</v>
      </c>
      <c r="D124" s="218"/>
      <c r="E124" s="218"/>
      <c r="F124" s="219" t="s">
        <v>2019</v>
      </c>
      <c r="G124" s="66" t="str">
        <f>HYPERLINK("https://ledvance.com/pt/product-datasheet/270480/249276","Ficha de Produto")</f>
        <v>Ficha de Produto</v>
      </c>
      <c r="H124" s="217" t="s">
        <v>1201</v>
      </c>
      <c r="I124" s="217" t="s">
        <v>1201</v>
      </c>
      <c r="J124" s="217" t="s">
        <v>1201</v>
      </c>
      <c r="K124" s="217" t="s">
        <v>1201</v>
      </c>
      <c r="L124" s="34" t="s">
        <v>765</v>
      </c>
      <c r="M124" s="30">
        <v>8.5</v>
      </c>
      <c r="N124" s="283" t="s">
        <v>721</v>
      </c>
    </row>
    <row r="125" spans="1:14" s="32" customFormat="1" ht="14.25" customHeight="1">
      <c r="A125" s="3" t="s">
        <v>641</v>
      </c>
      <c r="B125" s="271" t="s">
        <v>1958</v>
      </c>
      <c r="C125" s="218">
        <v>4099854097973</v>
      </c>
      <c r="D125" s="218"/>
      <c r="E125" s="218"/>
      <c r="F125" s="219" t="s">
        <v>2019</v>
      </c>
      <c r="G125" s="66" t="str">
        <f>HYPERLINK("https://ledvance.com/pt/product-datasheet/270480/249279","Ficha de Produto")</f>
        <v>Ficha de Produto</v>
      </c>
      <c r="H125" s="217" t="s">
        <v>1201</v>
      </c>
      <c r="I125" s="217" t="s">
        <v>1201</v>
      </c>
      <c r="J125" s="217" t="s">
        <v>1201</v>
      </c>
      <c r="K125" s="217" t="s">
        <v>1201</v>
      </c>
      <c r="L125" s="34" t="s">
        <v>765</v>
      </c>
      <c r="M125" s="30">
        <v>8.5</v>
      </c>
      <c r="N125" s="283" t="s">
        <v>721</v>
      </c>
    </row>
    <row r="126" spans="1:14" s="32" customFormat="1" ht="14.25" customHeight="1">
      <c r="A126" s="3" t="s">
        <v>641</v>
      </c>
      <c r="B126" s="271" t="s">
        <v>1959</v>
      </c>
      <c r="C126" s="218">
        <v>4099854098406</v>
      </c>
      <c r="D126" s="218"/>
      <c r="E126" s="218"/>
      <c r="F126" s="219" t="s">
        <v>2019</v>
      </c>
      <c r="G126" s="66" t="str">
        <f>HYPERLINK("https://ledvance.com/pt/product-datasheet/270479/249285","Ficha de Produto")</f>
        <v>Ficha de Produto</v>
      </c>
      <c r="H126" s="217" t="s">
        <v>1201</v>
      </c>
      <c r="I126" s="217" t="s">
        <v>1201</v>
      </c>
      <c r="J126" s="217" t="s">
        <v>1201</v>
      </c>
      <c r="K126" s="217" t="s">
        <v>1201</v>
      </c>
      <c r="L126" s="34" t="s">
        <v>765</v>
      </c>
      <c r="M126" s="30">
        <v>7.3</v>
      </c>
      <c r="N126" s="283" t="s">
        <v>721</v>
      </c>
    </row>
    <row r="127" spans="1:14" s="32" customFormat="1" ht="14.25" customHeight="1">
      <c r="A127" s="3" t="s">
        <v>641</v>
      </c>
      <c r="B127" s="271" t="s">
        <v>1960</v>
      </c>
      <c r="C127" s="218">
        <v>4099854098437</v>
      </c>
      <c r="D127" s="218"/>
      <c r="E127" s="218"/>
      <c r="F127" s="219" t="s">
        <v>2019</v>
      </c>
      <c r="G127" s="66" t="str">
        <f>HYPERLINK("https://ledvance.com/pt/product-datasheet/270479/249289","Ficha de Produto")</f>
        <v>Ficha de Produto</v>
      </c>
      <c r="H127" s="217" t="s">
        <v>1201</v>
      </c>
      <c r="I127" s="217" t="s">
        <v>1201</v>
      </c>
      <c r="J127" s="217" t="s">
        <v>1201</v>
      </c>
      <c r="K127" s="217" t="s">
        <v>1201</v>
      </c>
      <c r="L127" s="34" t="s">
        <v>765</v>
      </c>
      <c r="M127" s="30">
        <v>7.3</v>
      </c>
      <c r="N127" s="283" t="s">
        <v>721</v>
      </c>
    </row>
    <row r="128" spans="1:14" s="32" customFormat="1" ht="14.25" customHeight="1">
      <c r="A128" s="3" t="s">
        <v>641</v>
      </c>
      <c r="B128" s="271" t="s">
        <v>1961</v>
      </c>
      <c r="C128" s="218">
        <v>4099854099335</v>
      </c>
      <c r="D128" s="218"/>
      <c r="E128" s="218"/>
      <c r="F128" s="219" t="s">
        <v>2019</v>
      </c>
      <c r="G128" s="66" t="str">
        <f>HYPERLINK("https://ledvance.com/pt/product-datasheet/270479/249301","Ficha de Produto")</f>
        <v>Ficha de Produto</v>
      </c>
      <c r="H128" s="217" t="s">
        <v>1201</v>
      </c>
      <c r="I128" s="217" t="s">
        <v>1201</v>
      </c>
      <c r="J128" s="217" t="s">
        <v>1201</v>
      </c>
      <c r="K128" s="217" t="s">
        <v>1201</v>
      </c>
      <c r="L128" s="34" t="s">
        <v>765</v>
      </c>
      <c r="M128" s="30">
        <v>7.3</v>
      </c>
      <c r="N128" s="283" t="s">
        <v>721</v>
      </c>
    </row>
    <row r="129" spans="1:14" s="32" customFormat="1" ht="14.25" customHeight="1">
      <c r="A129" s="3" t="s">
        <v>641</v>
      </c>
      <c r="B129" s="271" t="s">
        <v>1962</v>
      </c>
      <c r="C129" s="218">
        <v>4099854099274</v>
      </c>
      <c r="D129" s="218"/>
      <c r="E129" s="218"/>
      <c r="F129" s="219" t="s">
        <v>2019</v>
      </c>
      <c r="G129" s="66" t="str">
        <f>HYPERLINK("https://ledvance.com/pt/product-datasheet/270479/249293","Ficha de Produto")</f>
        <v>Ficha de Produto</v>
      </c>
      <c r="H129" s="217" t="s">
        <v>1201</v>
      </c>
      <c r="I129" s="217" t="s">
        <v>1201</v>
      </c>
      <c r="J129" s="217" t="s">
        <v>1201</v>
      </c>
      <c r="K129" s="217" t="s">
        <v>1201</v>
      </c>
      <c r="L129" s="34" t="s">
        <v>765</v>
      </c>
      <c r="M129" s="30">
        <v>7.3</v>
      </c>
      <c r="N129" s="283" t="s">
        <v>721</v>
      </c>
    </row>
    <row r="130" spans="1:14" s="32" customFormat="1" ht="14.25" customHeight="1">
      <c r="A130" s="3" t="s">
        <v>641</v>
      </c>
      <c r="B130" s="271" t="s">
        <v>1963</v>
      </c>
      <c r="C130" s="218">
        <v>4099854099304</v>
      </c>
      <c r="D130" s="218"/>
      <c r="E130" s="218"/>
      <c r="F130" s="219" t="s">
        <v>2019</v>
      </c>
      <c r="G130" s="66" t="str">
        <f>HYPERLINK("https://ledvance.com/pt/product-datasheet/270479/249297","Ficha de Produto")</f>
        <v>Ficha de Produto</v>
      </c>
      <c r="H130" s="217" t="s">
        <v>1201</v>
      </c>
      <c r="I130" s="217" t="s">
        <v>1201</v>
      </c>
      <c r="J130" s="217" t="s">
        <v>1201</v>
      </c>
      <c r="K130" s="217" t="s">
        <v>1201</v>
      </c>
      <c r="L130" s="34" t="s">
        <v>765</v>
      </c>
      <c r="M130" s="30">
        <v>7.3</v>
      </c>
      <c r="N130" s="283" t="s">
        <v>721</v>
      </c>
    </row>
    <row r="131" spans="1:14" s="32" customFormat="1" ht="14.25" customHeight="1">
      <c r="A131" s="8" t="s">
        <v>641</v>
      </c>
      <c r="B131" s="227" t="s">
        <v>644</v>
      </c>
      <c r="C131" s="7"/>
      <c r="D131" s="7"/>
      <c r="E131" s="7"/>
      <c r="F131" s="7"/>
      <c r="G131" s="68"/>
      <c r="H131" s="7"/>
      <c r="I131" s="7"/>
      <c r="J131" s="7"/>
      <c r="K131" s="7"/>
      <c r="L131" s="7"/>
      <c r="M131" s="7"/>
      <c r="N131" s="284"/>
    </row>
    <row r="132" spans="1:14" s="32" customFormat="1" ht="14.25" customHeight="1">
      <c r="A132" s="3" t="s">
        <v>641</v>
      </c>
      <c r="B132" s="36" t="s">
        <v>58</v>
      </c>
      <c r="C132" s="214">
        <v>4058075104020</v>
      </c>
      <c r="D132" s="214"/>
      <c r="E132" s="215"/>
      <c r="F132" s="214"/>
      <c r="G132" s="66" t="str">
        <f>HYPERLINK("https://ledvance.com/pt/product-datasheet/8505/120980","Ficha de Produto")</f>
        <v>Ficha de Produto</v>
      </c>
      <c r="H132" s="34">
        <v>4</v>
      </c>
      <c r="I132" s="34" t="s">
        <v>801</v>
      </c>
      <c r="J132" s="34" t="s">
        <v>6122</v>
      </c>
      <c r="K132" s="34" t="s">
        <v>788</v>
      </c>
      <c r="L132" s="34" t="s">
        <v>765</v>
      </c>
      <c r="M132" s="30">
        <v>180</v>
      </c>
      <c r="N132" s="283" t="s">
        <v>721</v>
      </c>
    </row>
    <row r="133" spans="1:14" s="32" customFormat="1" ht="14.25" customHeight="1">
      <c r="A133" s="3" t="s">
        <v>641</v>
      </c>
      <c r="B133" s="36" t="s">
        <v>59</v>
      </c>
      <c r="C133" s="214">
        <v>4058075104044</v>
      </c>
      <c r="D133" s="214"/>
      <c r="E133" s="215"/>
      <c r="F133" s="214"/>
      <c r="G133" s="66" t="str">
        <f>HYPERLINK("https://ledvance.com/pt/product-datasheet/8505/120983","Ficha de Produto")</f>
        <v>Ficha de Produto</v>
      </c>
      <c r="H133" s="34">
        <v>4</v>
      </c>
      <c r="I133" s="34" t="s">
        <v>802</v>
      </c>
      <c r="J133" s="34" t="s">
        <v>6122</v>
      </c>
      <c r="K133" s="34" t="s">
        <v>788</v>
      </c>
      <c r="L133" s="34" t="s">
        <v>765</v>
      </c>
      <c r="M133" s="30">
        <v>180</v>
      </c>
      <c r="N133" s="283" t="s">
        <v>721</v>
      </c>
    </row>
    <row r="134" spans="1:14" s="32" customFormat="1" ht="14.25" customHeight="1">
      <c r="A134" s="8" t="s">
        <v>641</v>
      </c>
      <c r="B134" s="227" t="s">
        <v>645</v>
      </c>
      <c r="C134" s="7"/>
      <c r="D134" s="7"/>
      <c r="E134" s="7"/>
      <c r="F134" s="7"/>
      <c r="G134" s="68"/>
      <c r="H134" s="7"/>
      <c r="I134" s="7"/>
      <c r="J134" s="7"/>
      <c r="K134" s="7"/>
      <c r="L134" s="7"/>
      <c r="M134" s="7"/>
      <c r="N134" s="284"/>
    </row>
    <row r="135" spans="1:14" s="32" customFormat="1" ht="14.25" customHeight="1">
      <c r="A135" s="3" t="s">
        <v>641</v>
      </c>
      <c r="B135" s="36" t="s">
        <v>60</v>
      </c>
      <c r="C135" s="214">
        <v>4058075113923</v>
      </c>
      <c r="D135" s="214"/>
      <c r="E135" s="215"/>
      <c r="F135" s="214"/>
      <c r="G135" s="66" t="str">
        <f>HYPERLINK("https://ledvance.com/pt/product-datasheet/8507/117509","Ficha de Produto")</f>
        <v>Ficha de Produto</v>
      </c>
      <c r="H135" s="34">
        <v>4</v>
      </c>
      <c r="I135" s="34" t="s">
        <v>803</v>
      </c>
      <c r="J135" s="34" t="s">
        <v>6119</v>
      </c>
      <c r="K135" s="34" t="s">
        <v>788</v>
      </c>
      <c r="L135" s="34" t="s">
        <v>765</v>
      </c>
      <c r="M135" s="30">
        <v>217.5</v>
      </c>
      <c r="N135" s="283" t="s">
        <v>721</v>
      </c>
    </row>
    <row r="136" spans="1:14" s="32" customFormat="1" ht="14.25" customHeight="1">
      <c r="A136" s="3" t="s">
        <v>641</v>
      </c>
      <c r="B136" s="36" t="s">
        <v>61</v>
      </c>
      <c r="C136" s="214">
        <v>4058075113947</v>
      </c>
      <c r="D136" s="214"/>
      <c r="E136" s="215"/>
      <c r="F136" s="214"/>
      <c r="G136" s="66" t="str">
        <f>HYPERLINK("https://ledvance.com/pt/product-datasheet/8507/117513","Ficha de Produto")</f>
        <v>Ficha de Produto</v>
      </c>
      <c r="H136" s="34">
        <v>4</v>
      </c>
      <c r="I136" s="34" t="s">
        <v>803</v>
      </c>
      <c r="J136" s="34" t="s">
        <v>6119</v>
      </c>
      <c r="K136" s="34" t="s">
        <v>788</v>
      </c>
      <c r="L136" s="34" t="s">
        <v>765</v>
      </c>
      <c r="M136" s="30">
        <v>217.5</v>
      </c>
      <c r="N136" s="283" t="s">
        <v>721</v>
      </c>
    </row>
    <row r="137" spans="1:14" s="32" customFormat="1" ht="14.25" customHeight="1">
      <c r="A137" s="3" t="s">
        <v>641</v>
      </c>
      <c r="B137" s="36" t="s">
        <v>62</v>
      </c>
      <c r="C137" s="214">
        <v>4058075113961</v>
      </c>
      <c r="D137" s="214"/>
      <c r="E137" s="215"/>
      <c r="F137" s="214"/>
      <c r="G137" s="66" t="str">
        <f>HYPERLINK("https://ledvance.com/pt/product-datasheet/8508/117517","Ficha de Produto")</f>
        <v>Ficha de Produto</v>
      </c>
      <c r="H137" s="34">
        <v>4</v>
      </c>
      <c r="I137" s="34" t="s">
        <v>805</v>
      </c>
      <c r="J137" s="34" t="s">
        <v>806</v>
      </c>
      <c r="K137" s="34" t="s">
        <v>788</v>
      </c>
      <c r="L137" s="34" t="s">
        <v>765</v>
      </c>
      <c r="M137" s="30">
        <v>340</v>
      </c>
      <c r="N137" s="283" t="s">
        <v>721</v>
      </c>
    </row>
    <row r="138" spans="1:14" s="32" customFormat="1" ht="14.25" customHeight="1">
      <c r="A138" s="3" t="s">
        <v>641</v>
      </c>
      <c r="B138" s="36" t="s">
        <v>63</v>
      </c>
      <c r="C138" s="214">
        <v>4058075113985</v>
      </c>
      <c r="D138" s="214"/>
      <c r="E138" s="215"/>
      <c r="F138" s="214"/>
      <c r="G138" s="66" t="str">
        <f>HYPERLINK("https://ledvance.com/pt/product-datasheet/8508/117521","Ficha de Produto")</f>
        <v>Ficha de Produto</v>
      </c>
      <c r="H138" s="34">
        <v>4</v>
      </c>
      <c r="I138" s="34" t="s">
        <v>805</v>
      </c>
      <c r="J138" s="34" t="s">
        <v>806</v>
      </c>
      <c r="K138" s="34" t="s">
        <v>788</v>
      </c>
      <c r="L138" s="34" t="s">
        <v>765</v>
      </c>
      <c r="M138" s="30">
        <v>340</v>
      </c>
      <c r="N138" s="283" t="s">
        <v>721</v>
      </c>
    </row>
    <row r="139" spans="1:14" s="32" customFormat="1" ht="14.25" customHeight="1">
      <c r="A139" s="8" t="s">
        <v>641</v>
      </c>
      <c r="B139" s="227" t="s">
        <v>3182</v>
      </c>
      <c r="C139" s="7"/>
      <c r="D139" s="7"/>
      <c r="E139" s="7"/>
      <c r="F139" s="7"/>
      <c r="G139" s="68"/>
      <c r="H139" s="7"/>
      <c r="I139" s="7"/>
      <c r="J139" s="7"/>
      <c r="K139" s="7"/>
      <c r="L139" s="7"/>
      <c r="M139" s="7"/>
      <c r="N139" s="284"/>
    </row>
    <row r="140" spans="1:14" s="32" customFormat="1" ht="14.25" customHeight="1">
      <c r="A140" s="3" t="s">
        <v>641</v>
      </c>
      <c r="B140" s="36" t="s">
        <v>1315</v>
      </c>
      <c r="C140" s="214">
        <v>4058075799622</v>
      </c>
      <c r="D140" s="214"/>
      <c r="E140" s="215"/>
      <c r="F140" s="214"/>
      <c r="G140" s="66" t="str">
        <f>HYPERLINK("https://ledvance.com/pt/product-datasheet/225868/218387","Ficha de Produto")</f>
        <v>Ficha de Produto</v>
      </c>
      <c r="H140" s="34">
        <v>20</v>
      </c>
      <c r="I140" s="34" t="s">
        <v>1745</v>
      </c>
      <c r="J140" s="34" t="s">
        <v>6124</v>
      </c>
      <c r="K140" s="34" t="s">
        <v>788</v>
      </c>
      <c r="L140" s="34" t="s">
        <v>765</v>
      </c>
      <c r="M140" s="30">
        <v>52.5</v>
      </c>
      <c r="N140" s="283" t="s">
        <v>721</v>
      </c>
    </row>
    <row r="141" spans="1:14" s="32" customFormat="1" ht="14.25" customHeight="1">
      <c r="A141" s="3" t="s">
        <v>641</v>
      </c>
      <c r="B141" s="36" t="s">
        <v>1316</v>
      </c>
      <c r="C141" s="214">
        <v>4058075799646</v>
      </c>
      <c r="D141" s="214"/>
      <c r="E141" s="215"/>
      <c r="F141" s="214"/>
      <c r="G141" s="66" t="str">
        <f>HYPERLINK("https://ledvance.com/pt/product-datasheet/225868/218390","Ficha de Produto")</f>
        <v>Ficha de Produto</v>
      </c>
      <c r="H141" s="34">
        <v>20</v>
      </c>
      <c r="I141" s="34" t="s">
        <v>1747</v>
      </c>
      <c r="J141" s="34" t="s">
        <v>6124</v>
      </c>
      <c r="K141" s="34" t="s">
        <v>788</v>
      </c>
      <c r="L141" s="34" t="s">
        <v>765</v>
      </c>
      <c r="M141" s="30">
        <v>52.5</v>
      </c>
      <c r="N141" s="283" t="s">
        <v>721</v>
      </c>
    </row>
    <row r="142" spans="1:14" s="32" customFormat="1" ht="14.25" customHeight="1">
      <c r="A142" s="3" t="s">
        <v>641</v>
      </c>
      <c r="B142" s="36" t="s">
        <v>1317</v>
      </c>
      <c r="C142" s="214">
        <v>4058075799660</v>
      </c>
      <c r="D142" s="214"/>
      <c r="E142" s="215"/>
      <c r="F142" s="214"/>
      <c r="G142" s="66" t="str">
        <f>HYPERLINK("https://ledvance.com/pt/product-datasheet/225868/218393","Ficha de Produto")</f>
        <v>Ficha de Produto</v>
      </c>
      <c r="H142" s="34">
        <v>20</v>
      </c>
      <c r="I142" s="34" t="s">
        <v>808</v>
      </c>
      <c r="J142" s="34" t="s">
        <v>6124</v>
      </c>
      <c r="K142" s="34" t="s">
        <v>788</v>
      </c>
      <c r="L142" s="34" t="s">
        <v>765</v>
      </c>
      <c r="M142" s="30">
        <v>52.5</v>
      </c>
      <c r="N142" s="283" t="s">
        <v>721</v>
      </c>
    </row>
    <row r="143" spans="1:14" s="32" customFormat="1" ht="14.25" customHeight="1">
      <c r="A143" s="3" t="s">
        <v>641</v>
      </c>
      <c r="B143" s="36" t="s">
        <v>1318</v>
      </c>
      <c r="C143" s="214">
        <v>4099854000140</v>
      </c>
      <c r="D143" s="214"/>
      <c r="E143" s="215"/>
      <c r="F143" s="214"/>
      <c r="G143" s="66" t="str">
        <f>HYPERLINK("https://ledvance.com/pt/product-datasheet/225868/218672","Ficha de Produto")</f>
        <v>Ficha de Produto</v>
      </c>
      <c r="H143" s="34">
        <v>20</v>
      </c>
      <c r="I143" s="34" t="s">
        <v>1745</v>
      </c>
      <c r="J143" s="34" t="s">
        <v>6124</v>
      </c>
      <c r="K143" s="34" t="s">
        <v>788</v>
      </c>
      <c r="L143" s="34" t="s">
        <v>765</v>
      </c>
      <c r="M143" s="30">
        <v>52.5</v>
      </c>
      <c r="N143" s="283" t="s">
        <v>721</v>
      </c>
    </row>
    <row r="144" spans="1:14" s="32" customFormat="1" ht="14.25" customHeight="1">
      <c r="A144" s="3" t="s">
        <v>641</v>
      </c>
      <c r="B144" s="36" t="s">
        <v>1319</v>
      </c>
      <c r="C144" s="214">
        <v>4058075799684</v>
      </c>
      <c r="D144" s="214"/>
      <c r="E144" s="215"/>
      <c r="F144" s="214"/>
      <c r="G144" s="66" t="str">
        <f>HYPERLINK("https://ledvance.com/pt/product-datasheet/225868/218396","Ficha de Produto")</f>
        <v>Ficha de Produto</v>
      </c>
      <c r="H144" s="34">
        <v>20</v>
      </c>
      <c r="I144" s="34" t="s">
        <v>1747</v>
      </c>
      <c r="J144" s="34" t="s">
        <v>6124</v>
      </c>
      <c r="K144" s="34" t="s">
        <v>788</v>
      </c>
      <c r="L144" s="34" t="s">
        <v>765</v>
      </c>
      <c r="M144" s="30">
        <v>52.5</v>
      </c>
      <c r="N144" s="283" t="s">
        <v>721</v>
      </c>
    </row>
    <row r="145" spans="1:14" s="32" customFormat="1" ht="14.25" customHeight="1">
      <c r="A145" s="3" t="s">
        <v>641</v>
      </c>
      <c r="B145" s="36" t="s">
        <v>1320</v>
      </c>
      <c r="C145" s="214">
        <v>4058075799707</v>
      </c>
      <c r="D145" s="214"/>
      <c r="E145" s="215"/>
      <c r="F145" s="214"/>
      <c r="G145" s="66" t="str">
        <f>HYPERLINK("https://ledvance.com/pt/product-datasheet/225868/218399","Ficha de Produto")</f>
        <v>Ficha de Produto</v>
      </c>
      <c r="H145" s="34">
        <v>20</v>
      </c>
      <c r="I145" s="34" t="s">
        <v>1747</v>
      </c>
      <c r="J145" s="34" t="s">
        <v>6124</v>
      </c>
      <c r="K145" s="34" t="s">
        <v>788</v>
      </c>
      <c r="L145" s="34" t="s">
        <v>765</v>
      </c>
      <c r="M145" s="30">
        <v>52.5</v>
      </c>
      <c r="N145" s="283" t="s">
        <v>721</v>
      </c>
    </row>
    <row r="146" spans="1:14" s="32" customFormat="1" ht="14.25" customHeight="1">
      <c r="A146" s="7" t="s">
        <v>641</v>
      </c>
      <c r="B146" s="227" t="s">
        <v>1321</v>
      </c>
      <c r="C146" s="7"/>
      <c r="D146" s="7"/>
      <c r="E146" s="7"/>
      <c r="F146" s="7"/>
      <c r="G146" s="68"/>
      <c r="H146" s="7"/>
      <c r="I146" s="7"/>
      <c r="J146" s="7"/>
      <c r="K146" s="7"/>
      <c r="L146" s="7"/>
      <c r="M146" s="7"/>
      <c r="N146" s="284"/>
    </row>
    <row r="147" spans="1:14" s="32" customFormat="1" ht="14.25" customHeight="1">
      <c r="A147" s="3" t="s">
        <v>641</v>
      </c>
      <c r="B147" s="36" t="s">
        <v>1322</v>
      </c>
      <c r="C147" s="214">
        <v>4058075799721</v>
      </c>
      <c r="D147" s="214"/>
      <c r="E147" s="215"/>
      <c r="F147" s="214"/>
      <c r="G147" s="66" t="str">
        <f>HYPERLINK("https://ledvance.com/pt/product-datasheet/225869/218402","Ficha de Produto")</f>
        <v>Ficha de Produto</v>
      </c>
      <c r="H147" s="34">
        <v>20</v>
      </c>
      <c r="I147" s="34" t="s">
        <v>1745</v>
      </c>
      <c r="J147" s="34" t="s">
        <v>6124</v>
      </c>
      <c r="K147" s="34" t="s">
        <v>6131</v>
      </c>
      <c r="L147" s="34" t="s">
        <v>765</v>
      </c>
      <c r="M147" s="30">
        <v>57.5</v>
      </c>
      <c r="N147" s="283" t="s">
        <v>721</v>
      </c>
    </row>
    <row r="148" spans="1:14" s="32" customFormat="1" ht="14.25" customHeight="1">
      <c r="A148" s="3" t="s">
        <v>641</v>
      </c>
      <c r="B148" s="36" t="s">
        <v>1323</v>
      </c>
      <c r="C148" s="214">
        <v>4058075799745</v>
      </c>
      <c r="D148" s="214"/>
      <c r="E148" s="215"/>
      <c r="F148" s="214"/>
      <c r="G148" s="66" t="str">
        <f>HYPERLINK("https://ledvance.com/pt/product-datasheet/225869/218405","Ficha de Produto")</f>
        <v>Ficha de Produto</v>
      </c>
      <c r="H148" s="34">
        <v>20</v>
      </c>
      <c r="I148" s="34" t="s">
        <v>1747</v>
      </c>
      <c r="J148" s="34" t="s">
        <v>6124</v>
      </c>
      <c r="K148" s="34" t="s">
        <v>6131</v>
      </c>
      <c r="L148" s="34" t="s">
        <v>765</v>
      </c>
      <c r="M148" s="30">
        <v>57.5</v>
      </c>
      <c r="N148" s="283" t="s">
        <v>721</v>
      </c>
    </row>
    <row r="149" spans="1:14" s="32" customFormat="1" ht="14.25" customHeight="1">
      <c r="A149" s="3" t="s">
        <v>641</v>
      </c>
      <c r="B149" s="36" t="s">
        <v>1324</v>
      </c>
      <c r="C149" s="214">
        <v>4058075799769</v>
      </c>
      <c r="D149" s="214"/>
      <c r="E149" s="215"/>
      <c r="F149" s="214"/>
      <c r="G149" s="66" t="str">
        <f>HYPERLINK("https://ledvance.com/pt/product-datasheet/225869/218408","Ficha de Produto")</f>
        <v>Ficha de Produto</v>
      </c>
      <c r="H149" s="34">
        <v>20</v>
      </c>
      <c r="I149" s="34" t="s">
        <v>808</v>
      </c>
      <c r="J149" s="34" t="s">
        <v>6124</v>
      </c>
      <c r="K149" s="34" t="s">
        <v>6131</v>
      </c>
      <c r="L149" s="34" t="s">
        <v>765</v>
      </c>
      <c r="M149" s="30">
        <v>57.5</v>
      </c>
      <c r="N149" s="283" t="s">
        <v>721</v>
      </c>
    </row>
    <row r="150" spans="1:14" s="32" customFormat="1" ht="14.25" customHeight="1">
      <c r="A150" s="3" t="s">
        <v>641</v>
      </c>
      <c r="B150" s="36" t="s">
        <v>1325</v>
      </c>
      <c r="C150" s="214">
        <v>4099854000027</v>
      </c>
      <c r="D150" s="214"/>
      <c r="E150" s="215"/>
      <c r="F150" s="214"/>
      <c r="G150" s="66" t="str">
        <f>HYPERLINK("https://ledvance.com/pt/product-datasheet/225869/218675","Ficha de Produto")</f>
        <v>Ficha de Produto</v>
      </c>
      <c r="H150" s="34">
        <v>20</v>
      </c>
      <c r="I150" s="34" t="s">
        <v>1745</v>
      </c>
      <c r="J150" s="34" t="s">
        <v>6124</v>
      </c>
      <c r="K150" s="34" t="s">
        <v>6131</v>
      </c>
      <c r="L150" s="34" t="s">
        <v>765</v>
      </c>
      <c r="M150" s="30">
        <v>57.5</v>
      </c>
      <c r="N150" s="283" t="s">
        <v>721</v>
      </c>
    </row>
    <row r="151" spans="1:14" s="32" customFormat="1" ht="14.25" customHeight="1">
      <c r="A151" s="3" t="s">
        <v>641</v>
      </c>
      <c r="B151" s="36" t="s">
        <v>1326</v>
      </c>
      <c r="C151" s="214">
        <v>4058075799783</v>
      </c>
      <c r="D151" s="214"/>
      <c r="E151" s="215"/>
      <c r="F151" s="214"/>
      <c r="G151" s="66" t="str">
        <f>HYPERLINK("https://ledvance.com/pt/product-datasheet/225869/218413","Ficha de Produto")</f>
        <v>Ficha de Produto</v>
      </c>
      <c r="H151" s="34">
        <v>20</v>
      </c>
      <c r="I151" s="34" t="s">
        <v>1747</v>
      </c>
      <c r="J151" s="34" t="s">
        <v>6124</v>
      </c>
      <c r="K151" s="34" t="s">
        <v>6131</v>
      </c>
      <c r="L151" s="34" t="s">
        <v>765</v>
      </c>
      <c r="M151" s="30">
        <v>57.5</v>
      </c>
      <c r="N151" s="283" t="s">
        <v>721</v>
      </c>
    </row>
    <row r="152" spans="1:14" s="32" customFormat="1" ht="14.25" customHeight="1">
      <c r="A152" s="7" t="s">
        <v>641</v>
      </c>
      <c r="B152" s="227" t="s">
        <v>3183</v>
      </c>
      <c r="C152" s="7"/>
      <c r="D152" s="7"/>
      <c r="E152" s="7"/>
      <c r="F152" s="7"/>
      <c r="G152" s="68"/>
      <c r="H152" s="7"/>
      <c r="I152" s="7"/>
      <c r="J152" s="7"/>
      <c r="K152" s="7"/>
      <c r="L152" s="7"/>
      <c r="M152" s="7"/>
      <c r="N152" s="284"/>
    </row>
    <row r="153" spans="1:14" s="32" customFormat="1" ht="14.25" customHeight="1">
      <c r="A153" s="3" t="s">
        <v>641</v>
      </c>
      <c r="B153" s="36" t="s">
        <v>1309</v>
      </c>
      <c r="C153" s="214">
        <v>4058075799523</v>
      </c>
      <c r="D153" s="214"/>
      <c r="E153" s="215"/>
      <c r="F153" s="214"/>
      <c r="G153" s="66" t="str">
        <f>HYPERLINK("https://ledvance.com/pt/product-datasheet/225867/218372","Ficha de Produto")</f>
        <v>Ficha de Produto</v>
      </c>
      <c r="H153" s="34">
        <v>20</v>
      </c>
      <c r="I153" s="34" t="s">
        <v>1745</v>
      </c>
      <c r="J153" s="34" t="s">
        <v>6124</v>
      </c>
      <c r="K153" s="34" t="s">
        <v>777</v>
      </c>
      <c r="L153" s="34" t="s">
        <v>765</v>
      </c>
      <c r="M153" s="30">
        <v>50</v>
      </c>
      <c r="N153" s="283" t="s">
        <v>721</v>
      </c>
    </row>
    <row r="154" spans="1:14" s="32" customFormat="1" ht="14.25" customHeight="1">
      <c r="A154" s="3" t="s">
        <v>641</v>
      </c>
      <c r="B154" s="36" t="s">
        <v>1310</v>
      </c>
      <c r="C154" s="214">
        <v>4058075799547</v>
      </c>
      <c r="D154" s="214"/>
      <c r="E154" s="215"/>
      <c r="F154" s="214"/>
      <c r="G154" s="66" t="str">
        <f>HYPERLINK("https://ledvance.com/pt/product-datasheet/225867/218375","Ficha de Produto")</f>
        <v>Ficha de Produto</v>
      </c>
      <c r="H154" s="34">
        <v>20</v>
      </c>
      <c r="I154" s="34" t="s">
        <v>1747</v>
      </c>
      <c r="J154" s="34" t="s">
        <v>6124</v>
      </c>
      <c r="K154" s="34" t="s">
        <v>777</v>
      </c>
      <c r="L154" s="34" t="s">
        <v>765</v>
      </c>
      <c r="M154" s="30">
        <v>50</v>
      </c>
      <c r="N154" s="283" t="s">
        <v>721</v>
      </c>
    </row>
    <row r="155" spans="1:14" s="32" customFormat="1" ht="14.25" customHeight="1">
      <c r="A155" s="3" t="s">
        <v>641</v>
      </c>
      <c r="B155" s="36" t="s">
        <v>1311</v>
      </c>
      <c r="C155" s="214">
        <v>4058075799561</v>
      </c>
      <c r="D155" s="214"/>
      <c r="E155" s="215"/>
      <c r="F155" s="214"/>
      <c r="G155" s="66" t="str">
        <f>HYPERLINK("https://ledvance.com/pt/product-datasheet/225867/218378","Ficha de Produto")</f>
        <v>Ficha de Produto</v>
      </c>
      <c r="H155" s="34">
        <v>20</v>
      </c>
      <c r="I155" s="34" t="s">
        <v>808</v>
      </c>
      <c r="J155" s="34" t="s">
        <v>6124</v>
      </c>
      <c r="K155" s="34" t="s">
        <v>777</v>
      </c>
      <c r="L155" s="34" t="s">
        <v>765</v>
      </c>
      <c r="M155" s="30">
        <v>50</v>
      </c>
      <c r="N155" s="283" t="s">
        <v>721</v>
      </c>
    </row>
    <row r="156" spans="1:14" s="32" customFormat="1" ht="14.25" customHeight="1">
      <c r="A156" s="3" t="s">
        <v>641</v>
      </c>
      <c r="B156" s="36" t="s">
        <v>1312</v>
      </c>
      <c r="C156" s="214">
        <v>4099854000126</v>
      </c>
      <c r="D156" s="214"/>
      <c r="E156" s="215"/>
      <c r="F156" s="214"/>
      <c r="G156" s="66" t="str">
        <f>HYPERLINK("https://ledvance.com/pt/product-datasheet/225867/218669","Ficha de Produto")</f>
        <v>Ficha de Produto</v>
      </c>
      <c r="H156" s="34">
        <v>20</v>
      </c>
      <c r="I156" s="34" t="s">
        <v>1745</v>
      </c>
      <c r="J156" s="34" t="s">
        <v>6124</v>
      </c>
      <c r="K156" s="34" t="s">
        <v>777</v>
      </c>
      <c r="L156" s="34" t="s">
        <v>765</v>
      </c>
      <c r="M156" s="30">
        <v>50</v>
      </c>
      <c r="N156" s="283" t="s">
        <v>721</v>
      </c>
    </row>
    <row r="157" spans="1:14" s="32" customFormat="1" ht="14.25" customHeight="1">
      <c r="A157" s="3" t="s">
        <v>641</v>
      </c>
      <c r="B157" s="36" t="s">
        <v>1313</v>
      </c>
      <c r="C157" s="214">
        <v>4058075799585</v>
      </c>
      <c r="D157" s="214"/>
      <c r="E157" s="215"/>
      <c r="F157" s="214"/>
      <c r="G157" s="66" t="str">
        <f>HYPERLINK("https://ledvance.com/pt/product-datasheet/225867/218381","Ficha de Produto")</f>
        <v>Ficha de Produto</v>
      </c>
      <c r="H157" s="34">
        <v>20</v>
      </c>
      <c r="I157" s="34" t="s">
        <v>1747</v>
      </c>
      <c r="J157" s="34" t="s">
        <v>6124</v>
      </c>
      <c r="K157" s="34" t="s">
        <v>777</v>
      </c>
      <c r="L157" s="34" t="s">
        <v>765</v>
      </c>
      <c r="M157" s="30">
        <v>50</v>
      </c>
      <c r="N157" s="283" t="s">
        <v>721</v>
      </c>
    </row>
    <row r="158" spans="1:14" s="32" customFormat="1" ht="14.25" customHeight="1">
      <c r="A158" s="3" t="s">
        <v>641</v>
      </c>
      <c r="B158" s="36" t="s">
        <v>1314</v>
      </c>
      <c r="C158" s="214">
        <v>4058075799608</v>
      </c>
      <c r="D158" s="214"/>
      <c r="E158" s="215"/>
      <c r="F158" s="214"/>
      <c r="G158" s="66" t="str">
        <f>HYPERLINK("https://ledvance.com/pt/product-datasheet/225867/218384","Ficha de Produto")</f>
        <v>Ficha de Produto</v>
      </c>
      <c r="H158" s="34">
        <v>20</v>
      </c>
      <c r="I158" s="34" t="s">
        <v>1747</v>
      </c>
      <c r="J158" s="34" t="s">
        <v>6124</v>
      </c>
      <c r="K158" s="34" t="s">
        <v>777</v>
      </c>
      <c r="L158" s="34" t="s">
        <v>765</v>
      </c>
      <c r="M158" s="30">
        <v>50</v>
      </c>
      <c r="N158" s="283" t="s">
        <v>721</v>
      </c>
    </row>
    <row r="159" spans="1:14" s="32" customFormat="1" ht="14.25" customHeight="1">
      <c r="A159" s="8" t="s">
        <v>641</v>
      </c>
      <c r="B159" s="227" t="s">
        <v>1327</v>
      </c>
      <c r="C159" s="7"/>
      <c r="D159" s="7"/>
      <c r="E159" s="7"/>
      <c r="F159" s="7"/>
      <c r="G159" s="68"/>
      <c r="H159" s="7"/>
      <c r="I159" s="7"/>
      <c r="J159" s="7"/>
      <c r="K159" s="7"/>
      <c r="L159" s="7"/>
      <c r="M159" s="7"/>
      <c r="N159" s="284"/>
    </row>
    <row r="160" spans="1:14" s="32" customFormat="1" ht="14.25" customHeight="1">
      <c r="A160" s="3" t="s">
        <v>641</v>
      </c>
      <c r="B160" s="36" t="s">
        <v>1328</v>
      </c>
      <c r="C160" s="214">
        <v>4058075799806</v>
      </c>
      <c r="D160" s="214"/>
      <c r="E160" s="215"/>
      <c r="F160" s="214"/>
      <c r="G160" s="66" t="str">
        <f>HYPERLINK("https://ledvance.com/pt/product-datasheet/225870/218419","Ficha de Produto")</f>
        <v>Ficha de Produto</v>
      </c>
      <c r="H160" s="34">
        <v>20</v>
      </c>
      <c r="I160" s="34" t="s">
        <v>1745</v>
      </c>
      <c r="J160" s="34" t="s">
        <v>6124</v>
      </c>
      <c r="K160" s="34" t="s">
        <v>824</v>
      </c>
      <c r="L160" s="34" t="s">
        <v>765</v>
      </c>
      <c r="M160" s="30">
        <v>52</v>
      </c>
      <c r="N160" s="283" t="s">
        <v>721</v>
      </c>
    </row>
    <row r="161" spans="1:14" s="32" customFormat="1" ht="14.25" customHeight="1">
      <c r="A161" s="3" t="s">
        <v>641</v>
      </c>
      <c r="B161" s="36" t="s">
        <v>1329</v>
      </c>
      <c r="C161" s="214">
        <v>4058075799820</v>
      </c>
      <c r="D161" s="214"/>
      <c r="E161" s="215"/>
      <c r="F161" s="214"/>
      <c r="G161" s="66" t="str">
        <f>HYPERLINK("https://ledvance.com/pt/product-datasheet/225870/218425","Ficha de Produto")</f>
        <v>Ficha de Produto</v>
      </c>
      <c r="H161" s="34">
        <v>20</v>
      </c>
      <c r="I161" s="34" t="s">
        <v>1747</v>
      </c>
      <c r="J161" s="34" t="s">
        <v>6124</v>
      </c>
      <c r="K161" s="34" t="s">
        <v>824</v>
      </c>
      <c r="L161" s="34" t="s">
        <v>765</v>
      </c>
      <c r="M161" s="30">
        <v>52</v>
      </c>
      <c r="N161" s="283" t="s">
        <v>721</v>
      </c>
    </row>
    <row r="162" spans="1:14" s="32" customFormat="1" ht="14.25" customHeight="1">
      <c r="A162" s="3" t="s">
        <v>641</v>
      </c>
      <c r="B162" s="36" t="s">
        <v>1330</v>
      </c>
      <c r="C162" s="214">
        <v>4058075799844</v>
      </c>
      <c r="D162" s="214"/>
      <c r="E162" s="215"/>
      <c r="F162" s="214"/>
      <c r="G162" s="66" t="str">
        <f>HYPERLINK("https://ledvance.com/pt/product-datasheet/225870/218431","Ficha de Produto")</f>
        <v>Ficha de Produto</v>
      </c>
      <c r="H162" s="34">
        <v>20</v>
      </c>
      <c r="I162" s="34" t="s">
        <v>808</v>
      </c>
      <c r="J162" s="34" t="s">
        <v>6124</v>
      </c>
      <c r="K162" s="34" t="s">
        <v>824</v>
      </c>
      <c r="L162" s="34" t="s">
        <v>765</v>
      </c>
      <c r="M162" s="30">
        <v>52</v>
      </c>
      <c r="N162" s="283" t="s">
        <v>721</v>
      </c>
    </row>
    <row r="163" spans="1:14" s="32" customFormat="1" ht="14.25" customHeight="1">
      <c r="A163" s="3" t="s">
        <v>641</v>
      </c>
      <c r="B163" s="36" t="s">
        <v>1331</v>
      </c>
      <c r="C163" s="214">
        <v>4099854000164</v>
      </c>
      <c r="D163" s="214"/>
      <c r="E163" s="215"/>
      <c r="F163" s="214"/>
      <c r="G163" s="66" t="str">
        <f>HYPERLINK("https://ledvance.com/pt/product-datasheet/225870/218678","Ficha de Produto")</f>
        <v>Ficha de Produto</v>
      </c>
      <c r="H163" s="34">
        <v>20</v>
      </c>
      <c r="I163" s="34" t="s">
        <v>1745</v>
      </c>
      <c r="J163" s="34" t="s">
        <v>6124</v>
      </c>
      <c r="K163" s="34" t="s">
        <v>824</v>
      </c>
      <c r="L163" s="34" t="s">
        <v>765</v>
      </c>
      <c r="M163" s="30">
        <v>52</v>
      </c>
      <c r="N163" s="283" t="s">
        <v>721</v>
      </c>
    </row>
    <row r="164" spans="1:14" s="32" customFormat="1" ht="14.25" customHeight="1">
      <c r="A164" s="3" t="s">
        <v>641</v>
      </c>
      <c r="B164" s="36" t="s">
        <v>1332</v>
      </c>
      <c r="C164" s="214">
        <v>4058075799868</v>
      </c>
      <c r="D164" s="214"/>
      <c r="E164" s="215"/>
      <c r="F164" s="214"/>
      <c r="G164" s="66" t="str">
        <f>HYPERLINK("https://ledvance.com/pt/product-datasheet/225870/218437","Ficha de Produto")</f>
        <v>Ficha de Produto</v>
      </c>
      <c r="H164" s="34">
        <v>20</v>
      </c>
      <c r="I164" s="34" t="s">
        <v>1747</v>
      </c>
      <c r="J164" s="34" t="s">
        <v>6124</v>
      </c>
      <c r="K164" s="34" t="s">
        <v>824</v>
      </c>
      <c r="L164" s="34" t="s">
        <v>765</v>
      </c>
      <c r="M164" s="30">
        <v>52</v>
      </c>
      <c r="N164" s="283" t="s">
        <v>721</v>
      </c>
    </row>
    <row r="165" spans="1:14" s="32" customFormat="1" ht="14.25" customHeight="1">
      <c r="A165" s="3" t="s">
        <v>641</v>
      </c>
      <c r="B165" s="36" t="s">
        <v>1333</v>
      </c>
      <c r="C165" s="214">
        <v>4058075799882</v>
      </c>
      <c r="D165" s="214"/>
      <c r="E165" s="215"/>
      <c r="F165" s="214"/>
      <c r="G165" s="66" t="str">
        <f>HYPERLINK("https://ledvance.com/pt/product-datasheet/225870/218443","Ficha de Produto")</f>
        <v>Ficha de Produto</v>
      </c>
      <c r="H165" s="34">
        <v>20</v>
      </c>
      <c r="I165" s="34" t="s">
        <v>1747</v>
      </c>
      <c r="J165" s="34" t="s">
        <v>6124</v>
      </c>
      <c r="K165" s="34" t="s">
        <v>824</v>
      </c>
      <c r="L165" s="34" t="s">
        <v>765</v>
      </c>
      <c r="M165" s="30">
        <v>52</v>
      </c>
      <c r="N165" s="283" t="s">
        <v>721</v>
      </c>
    </row>
    <row r="166" spans="1:14" s="32" customFormat="1" ht="14.25" customHeight="1">
      <c r="A166" s="8" t="s">
        <v>641</v>
      </c>
      <c r="B166" s="227" t="s">
        <v>1334</v>
      </c>
      <c r="C166" s="7"/>
      <c r="D166" s="7"/>
      <c r="E166" s="7"/>
      <c r="F166" s="7"/>
      <c r="G166" s="68" t="s">
        <v>6505</v>
      </c>
      <c r="H166" s="7"/>
      <c r="I166" s="220"/>
      <c r="J166" s="7"/>
      <c r="K166" s="7"/>
      <c r="L166" s="7"/>
      <c r="M166" s="7"/>
      <c r="N166" s="284"/>
    </row>
    <row r="167" spans="1:14" s="32" customFormat="1" ht="14.25" customHeight="1">
      <c r="A167" s="3" t="s">
        <v>641</v>
      </c>
      <c r="B167" s="36" t="s">
        <v>1335</v>
      </c>
      <c r="C167" s="214">
        <v>4058075799905</v>
      </c>
      <c r="D167" s="214"/>
      <c r="E167" s="215"/>
      <c r="F167" s="214"/>
      <c r="G167" s="66" t="str">
        <f>HYPERLINK("https://ledvance.com/pt/product-datasheet/225871/218446","Ficha de Produto")</f>
        <v>Ficha de Produto</v>
      </c>
      <c r="H167" s="34">
        <v>20</v>
      </c>
      <c r="I167" s="34" t="s">
        <v>1748</v>
      </c>
      <c r="J167" s="34" t="s">
        <v>6128</v>
      </c>
      <c r="K167" s="34" t="s">
        <v>6131</v>
      </c>
      <c r="L167" s="34" t="s">
        <v>765</v>
      </c>
      <c r="M167" s="30">
        <v>46.5</v>
      </c>
      <c r="N167" s="283" t="s">
        <v>721</v>
      </c>
    </row>
    <row r="168" spans="1:14" s="32" customFormat="1" ht="14.25" customHeight="1">
      <c r="A168" s="3" t="s">
        <v>641</v>
      </c>
      <c r="B168" s="36" t="s">
        <v>1336</v>
      </c>
      <c r="C168" s="214">
        <v>4058075799929</v>
      </c>
      <c r="D168" s="214"/>
      <c r="E168" s="215"/>
      <c r="F168" s="214"/>
      <c r="G168" s="66" t="str">
        <f>HYPERLINK("https://ledvance.com/pt/product-datasheet/225871/218449","Ficha de Produto")</f>
        <v>Ficha de Produto</v>
      </c>
      <c r="H168" s="34">
        <v>20</v>
      </c>
      <c r="I168" s="34" t="s">
        <v>1750</v>
      </c>
      <c r="J168" s="34" t="s">
        <v>6128</v>
      </c>
      <c r="K168" s="34" t="s">
        <v>6131</v>
      </c>
      <c r="L168" s="34" t="s">
        <v>765</v>
      </c>
      <c r="M168" s="30">
        <v>46.5</v>
      </c>
      <c r="N168" s="283" t="s">
        <v>721</v>
      </c>
    </row>
    <row r="169" spans="1:14" s="32" customFormat="1" ht="14.25" customHeight="1">
      <c r="A169" s="3" t="s">
        <v>641</v>
      </c>
      <c r="B169" s="36" t="s">
        <v>1337</v>
      </c>
      <c r="C169" s="214">
        <v>4058075799943</v>
      </c>
      <c r="D169" s="214"/>
      <c r="E169" s="215"/>
      <c r="F169" s="214"/>
      <c r="G169" s="66" t="str">
        <f>HYPERLINK("https://ledvance.com/pt/product-datasheet/225871/218454","Ficha de Produto")</f>
        <v>Ficha de Produto</v>
      </c>
      <c r="H169" s="34">
        <v>20</v>
      </c>
      <c r="I169" s="34" t="s">
        <v>1751</v>
      </c>
      <c r="J169" s="34" t="s">
        <v>6128</v>
      </c>
      <c r="K169" s="34" t="s">
        <v>6131</v>
      </c>
      <c r="L169" s="34" t="s">
        <v>765</v>
      </c>
      <c r="M169" s="30">
        <v>46.5</v>
      </c>
      <c r="N169" s="283" t="s">
        <v>721</v>
      </c>
    </row>
    <row r="170" spans="1:14" s="32" customFormat="1" ht="14.25" customHeight="1">
      <c r="A170" s="3" t="s">
        <v>641</v>
      </c>
      <c r="B170" s="36" t="s">
        <v>1338</v>
      </c>
      <c r="C170" s="214">
        <v>4099854000188</v>
      </c>
      <c r="D170" s="214"/>
      <c r="E170" s="215"/>
      <c r="F170" s="214"/>
      <c r="G170" s="66" t="str">
        <f>HYPERLINK("https://ledvance.com/pt/product-datasheet/225871/218681","Ficha de Produto")</f>
        <v>Ficha de Produto</v>
      </c>
      <c r="H170" s="34">
        <v>20</v>
      </c>
      <c r="I170" s="34" t="s">
        <v>1748</v>
      </c>
      <c r="J170" s="34" t="s">
        <v>6128</v>
      </c>
      <c r="K170" s="34" t="s">
        <v>6131</v>
      </c>
      <c r="L170" s="34" t="s">
        <v>765</v>
      </c>
      <c r="M170" s="30">
        <v>46.5</v>
      </c>
      <c r="N170" s="283" t="s">
        <v>721</v>
      </c>
    </row>
    <row r="171" spans="1:14" s="32" customFormat="1" ht="14.25" customHeight="1">
      <c r="A171" s="3" t="s">
        <v>641</v>
      </c>
      <c r="B171" s="36" t="s">
        <v>1339</v>
      </c>
      <c r="C171" s="214">
        <v>4058075799967</v>
      </c>
      <c r="D171" s="214"/>
      <c r="E171" s="215"/>
      <c r="F171" s="214"/>
      <c r="G171" s="66" t="str">
        <f>HYPERLINK("https://ledvance.com/pt/product-datasheet/225871/218460","Ficha de Produto")</f>
        <v>Ficha de Produto</v>
      </c>
      <c r="H171" s="34">
        <v>20</v>
      </c>
      <c r="I171" s="34" t="s">
        <v>1750</v>
      </c>
      <c r="J171" s="34" t="s">
        <v>6128</v>
      </c>
      <c r="K171" s="34" t="s">
        <v>6131</v>
      </c>
      <c r="L171" s="34" t="s">
        <v>765</v>
      </c>
      <c r="M171" s="30">
        <v>46.5</v>
      </c>
      <c r="N171" s="283" t="s">
        <v>721</v>
      </c>
    </row>
    <row r="172" spans="1:14" s="32" customFormat="1" ht="14.25" customHeight="1">
      <c r="A172" s="3" t="s">
        <v>641</v>
      </c>
      <c r="B172" s="36" t="s">
        <v>1340</v>
      </c>
      <c r="C172" s="214">
        <v>4058075799981</v>
      </c>
      <c r="D172" s="214"/>
      <c r="E172" s="215"/>
      <c r="F172" s="214"/>
      <c r="G172" s="66" t="str">
        <f>HYPERLINK("https://ledvance.com/pt/product-datasheet/225871/218466","Ficha de Produto")</f>
        <v>Ficha de Produto</v>
      </c>
      <c r="H172" s="34">
        <v>20</v>
      </c>
      <c r="I172" s="34" t="s">
        <v>1750</v>
      </c>
      <c r="J172" s="34" t="s">
        <v>6128</v>
      </c>
      <c r="K172" s="34" t="s">
        <v>6131</v>
      </c>
      <c r="L172" s="34" t="s">
        <v>765</v>
      </c>
      <c r="M172" s="30">
        <v>46.5</v>
      </c>
      <c r="N172" s="283" t="s">
        <v>721</v>
      </c>
    </row>
    <row r="173" spans="1:14" s="32" customFormat="1" ht="14.25" customHeight="1">
      <c r="A173" s="3" t="s">
        <v>641</v>
      </c>
      <c r="B173" s="36" t="s">
        <v>1341</v>
      </c>
      <c r="C173" s="214">
        <v>4099854000003</v>
      </c>
      <c r="D173" s="214"/>
      <c r="E173" s="215"/>
      <c r="F173" s="214"/>
      <c r="G173" s="66" t="str">
        <f>HYPERLINK("https://ledvance.com/pt/product-datasheet/225872/218410","Ficha de Produto")</f>
        <v>Ficha de Produto</v>
      </c>
      <c r="H173" s="34">
        <v>20</v>
      </c>
      <c r="I173" s="34" t="s">
        <v>1033</v>
      </c>
      <c r="J173" s="34" t="s">
        <v>6123</v>
      </c>
      <c r="K173" s="34" t="s">
        <v>6132</v>
      </c>
      <c r="L173" s="34" t="s">
        <v>765</v>
      </c>
      <c r="M173" s="30">
        <v>50</v>
      </c>
      <c r="N173" s="283" t="s">
        <v>721</v>
      </c>
    </row>
    <row r="174" spans="1:14" s="32" customFormat="1" ht="14.25" customHeight="1">
      <c r="A174" s="3" t="s">
        <v>641</v>
      </c>
      <c r="B174" s="36" t="s">
        <v>1342</v>
      </c>
      <c r="C174" s="214">
        <v>4099854000041</v>
      </c>
      <c r="D174" s="214"/>
      <c r="E174" s="215"/>
      <c r="F174" s="214"/>
      <c r="G174" s="66" t="str">
        <f>HYPERLINK("https://ledvance.com/pt/product-datasheet/225872/218418","Ficha de Produto")</f>
        <v>Ficha de Produto</v>
      </c>
      <c r="H174" s="34">
        <v>20</v>
      </c>
      <c r="I174" s="34" t="s">
        <v>1040</v>
      </c>
      <c r="J174" s="34" t="s">
        <v>6123</v>
      </c>
      <c r="K174" s="34" t="s">
        <v>6132</v>
      </c>
      <c r="L174" s="34" t="s">
        <v>765</v>
      </c>
      <c r="M174" s="30">
        <v>50</v>
      </c>
      <c r="N174" s="283" t="s">
        <v>721</v>
      </c>
    </row>
    <row r="175" spans="1:14" s="32" customFormat="1" ht="14.25" customHeight="1">
      <c r="A175" s="3" t="s">
        <v>641</v>
      </c>
      <c r="B175" s="36" t="s">
        <v>1343</v>
      </c>
      <c r="C175" s="214">
        <v>4099854000065</v>
      </c>
      <c r="D175" s="214"/>
      <c r="E175" s="215"/>
      <c r="F175" s="214"/>
      <c r="G175" s="66" t="str">
        <f>HYPERLINK("https://ledvance.com/pt/product-datasheet/225872/218424","Ficha de Produto")</f>
        <v>Ficha de Produto</v>
      </c>
      <c r="H175" s="34">
        <v>20</v>
      </c>
      <c r="I175" s="34" t="s">
        <v>1753</v>
      </c>
      <c r="J175" s="34" t="s">
        <v>6123</v>
      </c>
      <c r="K175" s="34" t="s">
        <v>6132</v>
      </c>
      <c r="L175" s="34" t="s">
        <v>765</v>
      </c>
      <c r="M175" s="30">
        <v>50</v>
      </c>
      <c r="N175" s="283" t="s">
        <v>721</v>
      </c>
    </row>
    <row r="176" spans="1:14" s="32" customFormat="1" ht="14.25" customHeight="1">
      <c r="A176" s="3" t="s">
        <v>641</v>
      </c>
      <c r="B176" s="36" t="s">
        <v>1344</v>
      </c>
      <c r="C176" s="214">
        <v>4099854000201</v>
      </c>
      <c r="D176" s="214"/>
      <c r="E176" s="215"/>
      <c r="F176" s="214"/>
      <c r="G176" s="66" t="str">
        <f>HYPERLINK("https://ledvance.com/pt/product-datasheet/225872/218684","Ficha de Produto")</f>
        <v>Ficha de Produto</v>
      </c>
      <c r="H176" s="34">
        <v>20</v>
      </c>
      <c r="I176" s="34" t="s">
        <v>1033</v>
      </c>
      <c r="J176" s="34" t="s">
        <v>6123</v>
      </c>
      <c r="K176" s="34" t="s">
        <v>6132</v>
      </c>
      <c r="L176" s="34" t="s">
        <v>765</v>
      </c>
      <c r="M176" s="30">
        <v>50</v>
      </c>
      <c r="N176" s="283" t="s">
        <v>721</v>
      </c>
    </row>
    <row r="177" spans="1:14" s="32" customFormat="1" ht="14.25" customHeight="1">
      <c r="A177" s="3" t="s">
        <v>641</v>
      </c>
      <c r="B177" s="36" t="s">
        <v>1345</v>
      </c>
      <c r="C177" s="214">
        <v>4099854000089</v>
      </c>
      <c r="D177" s="214"/>
      <c r="E177" s="215"/>
      <c r="F177" s="214"/>
      <c r="G177" s="66" t="str">
        <f>HYPERLINK("https://ledvance.com/pt/product-datasheet/225872/218430","Ficha de Produto")</f>
        <v>Ficha de Produto</v>
      </c>
      <c r="H177" s="34">
        <v>20</v>
      </c>
      <c r="I177" s="34" t="s">
        <v>1040</v>
      </c>
      <c r="J177" s="34" t="s">
        <v>6123</v>
      </c>
      <c r="K177" s="34" t="s">
        <v>6132</v>
      </c>
      <c r="L177" s="34" t="s">
        <v>765</v>
      </c>
      <c r="M177" s="30">
        <v>50</v>
      </c>
      <c r="N177" s="283" t="s">
        <v>721</v>
      </c>
    </row>
    <row r="178" spans="1:14" s="32" customFormat="1" ht="14.25" customHeight="1">
      <c r="A178" s="3" t="s">
        <v>641</v>
      </c>
      <c r="B178" s="36" t="s">
        <v>1346</v>
      </c>
      <c r="C178" s="214">
        <v>4099854000102</v>
      </c>
      <c r="D178" s="214"/>
      <c r="E178" s="215"/>
      <c r="F178" s="214"/>
      <c r="G178" s="66" t="str">
        <f>HYPERLINK("https://ledvance.com/pt/product-datasheet/225872/218436","Ficha de Produto")</f>
        <v>Ficha de Produto</v>
      </c>
      <c r="H178" s="34">
        <v>20</v>
      </c>
      <c r="I178" s="34" t="s">
        <v>1040</v>
      </c>
      <c r="J178" s="34" t="s">
        <v>6123</v>
      </c>
      <c r="K178" s="34" t="s">
        <v>6132</v>
      </c>
      <c r="L178" s="34" t="s">
        <v>765</v>
      </c>
      <c r="M178" s="30">
        <v>50</v>
      </c>
      <c r="N178" s="283" t="s">
        <v>721</v>
      </c>
    </row>
    <row r="179" spans="1:14" s="32" customFormat="1" ht="14.25" customHeight="1">
      <c r="A179" s="8" t="s">
        <v>1114</v>
      </c>
      <c r="B179" s="227" t="s">
        <v>1353</v>
      </c>
      <c r="C179" s="7"/>
      <c r="D179" s="7"/>
      <c r="E179" s="7"/>
      <c r="F179" s="7"/>
      <c r="G179" s="68" t="s">
        <v>6505</v>
      </c>
      <c r="H179" s="7"/>
      <c r="I179" s="220"/>
      <c r="J179" s="7"/>
      <c r="K179" s="7"/>
      <c r="L179" s="7"/>
      <c r="M179" s="7"/>
      <c r="N179" s="284"/>
    </row>
    <row r="180" spans="1:14" s="32" customFormat="1" ht="14.25" customHeight="1">
      <c r="A180" s="3" t="s">
        <v>641</v>
      </c>
      <c r="B180" s="36" t="s">
        <v>1964</v>
      </c>
      <c r="C180" s="214">
        <v>4099854136511</v>
      </c>
      <c r="D180" s="218"/>
      <c r="E180" s="218"/>
      <c r="F180" s="219" t="s">
        <v>2019</v>
      </c>
      <c r="G180" s="66" t="str">
        <f>HYPERLINK("https://ledvance.com/pt/product-datasheet/225875/263311","Ficha de Produto")</f>
        <v>Ficha de Produto</v>
      </c>
      <c r="H180" s="217" t="s">
        <v>1201</v>
      </c>
      <c r="I180" s="217" t="s">
        <v>1201</v>
      </c>
      <c r="J180" s="217" t="s">
        <v>1201</v>
      </c>
      <c r="K180" s="217" t="s">
        <v>1201</v>
      </c>
      <c r="L180" s="34" t="s">
        <v>800</v>
      </c>
      <c r="M180" s="30">
        <v>5.5</v>
      </c>
      <c r="N180" s="283" t="s">
        <v>721</v>
      </c>
    </row>
    <row r="181" spans="1:14" s="32" customFormat="1" ht="14.25" customHeight="1">
      <c r="A181" s="3" t="s">
        <v>641</v>
      </c>
      <c r="B181" s="36" t="s">
        <v>1965</v>
      </c>
      <c r="C181" s="214">
        <v>4099854136542</v>
      </c>
      <c r="D181" s="218"/>
      <c r="E181" s="218"/>
      <c r="F181" s="219" t="s">
        <v>2019</v>
      </c>
      <c r="G181" s="66" t="str">
        <f>HYPERLINK("https://ledvance.com/pt/product-datasheet/225875/263315","Ficha de Produto")</f>
        <v>Ficha de Produto</v>
      </c>
      <c r="H181" s="217" t="s">
        <v>1201</v>
      </c>
      <c r="I181" s="217" t="s">
        <v>1201</v>
      </c>
      <c r="J181" s="217" t="s">
        <v>1201</v>
      </c>
      <c r="K181" s="217" t="s">
        <v>1201</v>
      </c>
      <c r="L181" s="34" t="s">
        <v>800</v>
      </c>
      <c r="M181" s="30">
        <v>5.5</v>
      </c>
      <c r="N181" s="283" t="s">
        <v>721</v>
      </c>
    </row>
    <row r="182" spans="1:14" s="32" customFormat="1" ht="14.25" customHeight="1">
      <c r="A182" s="3" t="s">
        <v>1114</v>
      </c>
      <c r="B182" s="36" t="s">
        <v>1347</v>
      </c>
      <c r="C182" s="214">
        <v>4099854013355</v>
      </c>
      <c r="D182" s="214"/>
      <c r="E182" s="215"/>
      <c r="F182" s="214"/>
      <c r="G182" s="66" t="str">
        <f>HYPERLINK("https://ledvance.com/pt/product-datasheet/225875/221716","Ficha de Produto")</f>
        <v>Ficha de Produto</v>
      </c>
      <c r="H182" s="34">
        <v>20</v>
      </c>
      <c r="I182" s="217" t="s">
        <v>1201</v>
      </c>
      <c r="J182" s="217" t="s">
        <v>1201</v>
      </c>
      <c r="K182" s="217" t="s">
        <v>1201</v>
      </c>
      <c r="L182" s="34" t="s">
        <v>800</v>
      </c>
      <c r="M182" s="30">
        <v>6.5</v>
      </c>
      <c r="N182" s="283" t="s">
        <v>721</v>
      </c>
    </row>
    <row r="183" spans="1:14" s="32" customFormat="1" ht="14.25" customHeight="1">
      <c r="A183" s="3" t="s">
        <v>1114</v>
      </c>
      <c r="B183" s="36" t="s">
        <v>1348</v>
      </c>
      <c r="C183" s="214">
        <v>4099854013386</v>
      </c>
      <c r="D183" s="214"/>
      <c r="E183" s="215"/>
      <c r="F183" s="214"/>
      <c r="G183" s="66" t="str">
        <f>HYPERLINK("https://ledvance.com/pt/product-datasheet/225875/221708","Ficha de Produto")</f>
        <v>Ficha de Produto</v>
      </c>
      <c r="H183" s="34">
        <v>20</v>
      </c>
      <c r="I183" s="217" t="s">
        <v>1201</v>
      </c>
      <c r="J183" s="217" t="s">
        <v>1201</v>
      </c>
      <c r="K183" s="217" t="s">
        <v>1201</v>
      </c>
      <c r="L183" s="34" t="s">
        <v>800</v>
      </c>
      <c r="M183" s="30">
        <v>6.5</v>
      </c>
      <c r="N183" s="283" t="s">
        <v>721</v>
      </c>
    </row>
    <row r="184" spans="1:14" s="32" customFormat="1" ht="14.25" customHeight="1">
      <c r="A184" s="3" t="s">
        <v>1114</v>
      </c>
      <c r="B184" s="36" t="s">
        <v>1349</v>
      </c>
      <c r="C184" s="214">
        <v>4099854013416</v>
      </c>
      <c r="D184" s="214"/>
      <c r="E184" s="215"/>
      <c r="F184" s="214"/>
      <c r="G184" s="66" t="str">
        <f>HYPERLINK("https://ledvance.com/pt/product-datasheet/225875/221720","Ficha de Produto")</f>
        <v>Ficha de Produto</v>
      </c>
      <c r="H184" s="34">
        <v>20</v>
      </c>
      <c r="I184" s="217" t="s">
        <v>1201</v>
      </c>
      <c r="J184" s="217" t="s">
        <v>1201</v>
      </c>
      <c r="K184" s="217" t="s">
        <v>1201</v>
      </c>
      <c r="L184" s="34" t="s">
        <v>800</v>
      </c>
      <c r="M184" s="30">
        <v>12.5</v>
      </c>
      <c r="N184" s="283" t="s">
        <v>721</v>
      </c>
    </row>
    <row r="185" spans="1:14" s="32" customFormat="1" ht="14.25" customHeight="1">
      <c r="A185" s="3" t="s">
        <v>1114</v>
      </c>
      <c r="B185" s="36" t="s">
        <v>1350</v>
      </c>
      <c r="C185" s="214">
        <v>4099854013447</v>
      </c>
      <c r="D185" s="214"/>
      <c r="E185" s="215"/>
      <c r="F185" s="214"/>
      <c r="G185" s="66" t="str">
        <f>HYPERLINK("https://ledvance.com/pt/product-datasheet/225875/221712","Ficha de Produto")</f>
        <v>Ficha de Produto</v>
      </c>
      <c r="H185" s="34">
        <v>20</v>
      </c>
      <c r="I185" s="217" t="s">
        <v>1201</v>
      </c>
      <c r="J185" s="217" t="s">
        <v>1201</v>
      </c>
      <c r="K185" s="217" t="s">
        <v>1201</v>
      </c>
      <c r="L185" s="34" t="s">
        <v>800</v>
      </c>
      <c r="M185" s="30">
        <v>12.5</v>
      </c>
      <c r="N185" s="283" t="s">
        <v>721</v>
      </c>
    </row>
    <row r="186" spans="1:14" s="32" customFormat="1" ht="14.25" customHeight="1">
      <c r="A186" s="3" t="s">
        <v>1114</v>
      </c>
      <c r="B186" s="36" t="s">
        <v>1351</v>
      </c>
      <c r="C186" s="214">
        <v>4099854013478</v>
      </c>
      <c r="D186" s="214"/>
      <c r="E186" s="215"/>
      <c r="F186" s="214"/>
      <c r="G186" s="66" t="str">
        <f>HYPERLINK("https://ledvance.com/pt/product-datasheet/225876/221724","Ficha de Produto")</f>
        <v>Ficha de Produto</v>
      </c>
      <c r="H186" s="34">
        <v>20</v>
      </c>
      <c r="I186" s="217" t="s">
        <v>1201</v>
      </c>
      <c r="J186" s="217" t="s">
        <v>1201</v>
      </c>
      <c r="K186" s="217" t="s">
        <v>1201</v>
      </c>
      <c r="L186" s="34" t="s">
        <v>800</v>
      </c>
      <c r="M186" s="30">
        <v>2.6</v>
      </c>
      <c r="N186" s="283" t="s">
        <v>721</v>
      </c>
    </row>
    <row r="187" spans="1:14" s="32" customFormat="1" ht="14.25" customHeight="1">
      <c r="A187" s="3" t="s">
        <v>1114</v>
      </c>
      <c r="B187" s="36" t="s">
        <v>1352</v>
      </c>
      <c r="C187" s="214">
        <v>4099854013508</v>
      </c>
      <c r="D187" s="214"/>
      <c r="E187" s="215"/>
      <c r="F187" s="214"/>
      <c r="G187" s="66" t="str">
        <f>HYPERLINK("https://ledvance.com/pt/product-datasheet/225877/221728","Ficha de Produto")</f>
        <v>Ficha de Produto</v>
      </c>
      <c r="H187" s="34">
        <v>20</v>
      </c>
      <c r="I187" s="217" t="s">
        <v>1201</v>
      </c>
      <c r="J187" s="217" t="s">
        <v>1201</v>
      </c>
      <c r="K187" s="217" t="s">
        <v>1201</v>
      </c>
      <c r="L187" s="34" t="s">
        <v>800</v>
      </c>
      <c r="M187" s="30">
        <v>5.0999999999999996</v>
      </c>
      <c r="N187" s="283" t="s">
        <v>721</v>
      </c>
    </row>
    <row r="188" spans="1:14" s="32" customFormat="1" ht="14.25" customHeight="1">
      <c r="A188" s="3" t="s">
        <v>702</v>
      </c>
      <c r="B188" s="36" t="s">
        <v>1968</v>
      </c>
      <c r="C188" s="218">
        <v>4099854089558</v>
      </c>
      <c r="D188" s="218"/>
      <c r="E188" s="218"/>
      <c r="F188" s="221" t="s">
        <v>2019</v>
      </c>
      <c r="G188" s="66" t="str">
        <f>HYPERLINK("https://ledvance.com/pt/product-datasheet/225878/246489","Ficha de Produto")</f>
        <v>Ficha de Produto</v>
      </c>
      <c r="H188" s="217" t="s">
        <v>1201</v>
      </c>
      <c r="I188" s="217" t="s">
        <v>1201</v>
      </c>
      <c r="J188" s="34" t="s">
        <v>6124</v>
      </c>
      <c r="K188" s="34" t="s">
        <v>788</v>
      </c>
      <c r="L188" s="34" t="s">
        <v>800</v>
      </c>
      <c r="M188" s="30">
        <v>92.5</v>
      </c>
      <c r="N188" s="283" t="s">
        <v>721</v>
      </c>
    </row>
    <row r="189" spans="1:14" s="32" customFormat="1" ht="14.25" customHeight="1">
      <c r="A189" s="8" t="s">
        <v>641</v>
      </c>
      <c r="B189" s="227" t="s">
        <v>646</v>
      </c>
      <c r="C189" s="7"/>
      <c r="D189" s="7"/>
      <c r="E189" s="7"/>
      <c r="F189" s="7"/>
      <c r="G189" s="68"/>
      <c r="H189" s="7"/>
      <c r="I189" s="7"/>
      <c r="J189" s="7"/>
      <c r="K189" s="7"/>
      <c r="L189" s="7"/>
      <c r="M189" s="7"/>
      <c r="N189" s="284"/>
    </row>
    <row r="190" spans="1:14" s="32" customFormat="1" ht="14.25" customHeight="1">
      <c r="A190" s="3" t="s">
        <v>641</v>
      </c>
      <c r="B190" s="36" t="s">
        <v>1112</v>
      </c>
      <c r="C190" s="214">
        <v>4058075607415</v>
      </c>
      <c r="D190" s="214"/>
      <c r="E190" s="215"/>
      <c r="F190" s="214"/>
      <c r="G190" s="66" t="str">
        <f>HYPERLINK("https://ledvance.com/pt/product-datasheet/192188/142640","Ficha de Produto")</f>
        <v>Ficha de Produto</v>
      </c>
      <c r="H190" s="34">
        <v>6</v>
      </c>
      <c r="I190" s="34" t="s">
        <v>6133</v>
      </c>
      <c r="J190" s="34" t="s">
        <v>6134</v>
      </c>
      <c r="K190" s="34" t="s">
        <v>788</v>
      </c>
      <c r="L190" s="34" t="s">
        <v>765</v>
      </c>
      <c r="M190" s="30">
        <v>20</v>
      </c>
      <c r="N190" s="283" t="s">
        <v>721</v>
      </c>
    </row>
    <row r="191" spans="1:14" s="32" customFormat="1" ht="14.25" customHeight="1">
      <c r="A191" s="3" t="s">
        <v>641</v>
      </c>
      <c r="B191" s="36" t="s">
        <v>1113</v>
      </c>
      <c r="C191" s="214">
        <v>4058075607439</v>
      </c>
      <c r="D191" s="214"/>
      <c r="E191" s="215"/>
      <c r="F191" s="214"/>
      <c r="G191" s="66" t="str">
        <f>HYPERLINK("https://ledvance.com/pt/product-datasheet/192188/142643","Ficha de Produto")</f>
        <v>Ficha de Produto</v>
      </c>
      <c r="H191" s="34">
        <v>6</v>
      </c>
      <c r="I191" s="34" t="s">
        <v>6133</v>
      </c>
      <c r="J191" s="34" t="s">
        <v>6134</v>
      </c>
      <c r="K191" s="34" t="s">
        <v>788</v>
      </c>
      <c r="L191" s="34" t="s">
        <v>765</v>
      </c>
      <c r="M191" s="30">
        <v>20</v>
      </c>
      <c r="N191" s="283" t="s">
        <v>721</v>
      </c>
    </row>
    <row r="192" spans="1:14" s="32" customFormat="1" ht="14.25" customHeight="1">
      <c r="A192" s="8" t="s">
        <v>641</v>
      </c>
      <c r="B192" s="227" t="s">
        <v>647</v>
      </c>
      <c r="C192" s="7"/>
      <c r="D192" s="7"/>
      <c r="E192" s="7"/>
      <c r="F192" s="7"/>
      <c r="G192" s="68"/>
      <c r="H192" s="7"/>
      <c r="I192" s="7"/>
      <c r="J192" s="7"/>
      <c r="K192" s="7"/>
      <c r="L192" s="7"/>
      <c r="M192" s="7"/>
      <c r="N192" s="284"/>
    </row>
    <row r="193" spans="1:14" s="32" customFormat="1" ht="14.25" customHeight="1">
      <c r="A193" s="3" t="s">
        <v>641</v>
      </c>
      <c r="B193" s="36" t="s">
        <v>64</v>
      </c>
      <c r="C193" s="214">
        <v>4058075113442</v>
      </c>
      <c r="D193" s="214"/>
      <c r="E193" s="215"/>
      <c r="F193" s="214"/>
      <c r="G193" s="66" t="str">
        <f>HYPERLINK("https://ledvance.com/pt/product-datasheet/8546/138809","Ficha de Produto")</f>
        <v>Ficha de Produto</v>
      </c>
      <c r="H193" s="34">
        <v>4</v>
      </c>
      <c r="I193" s="34" t="s">
        <v>811</v>
      </c>
      <c r="J193" s="34" t="s">
        <v>6121</v>
      </c>
      <c r="K193" s="34" t="s">
        <v>788</v>
      </c>
      <c r="L193" s="34" t="s">
        <v>765</v>
      </c>
      <c r="M193" s="30">
        <v>137.5</v>
      </c>
      <c r="N193" s="283" t="s">
        <v>721</v>
      </c>
    </row>
    <row r="194" spans="1:14" s="32" customFormat="1" ht="14.25" customHeight="1">
      <c r="A194" s="3" t="s">
        <v>641</v>
      </c>
      <c r="B194" s="36" t="s">
        <v>65</v>
      </c>
      <c r="C194" s="214">
        <v>4058075113466</v>
      </c>
      <c r="D194" s="214"/>
      <c r="E194" s="215"/>
      <c r="F194" s="214"/>
      <c r="G194" s="66" t="str">
        <f>HYPERLINK("https://ledvance.com/pt/product-datasheet/8546/138813","Ficha de Produto")</f>
        <v>Ficha de Produto</v>
      </c>
      <c r="H194" s="34">
        <v>4</v>
      </c>
      <c r="I194" s="34" t="s">
        <v>812</v>
      </c>
      <c r="J194" s="34" t="s">
        <v>6121</v>
      </c>
      <c r="K194" s="34" t="s">
        <v>788</v>
      </c>
      <c r="L194" s="34" t="s">
        <v>765</v>
      </c>
      <c r="M194" s="30">
        <v>137.5</v>
      </c>
      <c r="N194" s="283" t="s">
        <v>721</v>
      </c>
    </row>
    <row r="195" spans="1:14" s="32" customFormat="1" ht="14.25" customHeight="1">
      <c r="A195" s="3" t="s">
        <v>641</v>
      </c>
      <c r="B195" s="36" t="s">
        <v>66</v>
      </c>
      <c r="C195" s="214">
        <v>4058075113480</v>
      </c>
      <c r="D195" s="214"/>
      <c r="E195" s="215"/>
      <c r="F195" s="214"/>
      <c r="G195" s="66" t="str">
        <f>HYPERLINK("https://ledvance.com/pt/product-datasheet/8547/138817","Ficha de Produto")</f>
        <v>Ficha de Produto</v>
      </c>
      <c r="H195" s="34">
        <v>4</v>
      </c>
      <c r="I195" s="34" t="s">
        <v>813</v>
      </c>
      <c r="J195" s="34" t="s">
        <v>6122</v>
      </c>
      <c r="K195" s="34" t="s">
        <v>788</v>
      </c>
      <c r="L195" s="34" t="s">
        <v>765</v>
      </c>
      <c r="M195" s="30">
        <v>170</v>
      </c>
      <c r="N195" s="283" t="s">
        <v>721</v>
      </c>
    </row>
    <row r="196" spans="1:14" s="32" customFormat="1" ht="14.25" customHeight="1">
      <c r="A196" s="3" t="s">
        <v>641</v>
      </c>
      <c r="B196" s="36" t="s">
        <v>67</v>
      </c>
      <c r="C196" s="214">
        <v>4058075113503</v>
      </c>
      <c r="D196" s="214"/>
      <c r="E196" s="215"/>
      <c r="F196" s="214"/>
      <c r="G196" s="66" t="str">
        <f>HYPERLINK("https://ledvance.com/pt/product-datasheet/8547/138821","Ficha de Produto")</f>
        <v>Ficha de Produto</v>
      </c>
      <c r="H196" s="34">
        <v>4</v>
      </c>
      <c r="I196" s="34" t="s">
        <v>814</v>
      </c>
      <c r="J196" s="34" t="s">
        <v>6122</v>
      </c>
      <c r="K196" s="34" t="s">
        <v>788</v>
      </c>
      <c r="L196" s="34" t="s">
        <v>765</v>
      </c>
      <c r="M196" s="30">
        <v>170</v>
      </c>
      <c r="N196" s="283" t="s">
        <v>721</v>
      </c>
    </row>
    <row r="197" spans="1:14" s="32" customFormat="1" ht="14.25" customHeight="1">
      <c r="A197" s="3" t="s">
        <v>641</v>
      </c>
      <c r="B197" s="36" t="s">
        <v>68</v>
      </c>
      <c r="C197" s="214">
        <v>4058075113527</v>
      </c>
      <c r="D197" s="214"/>
      <c r="E197" s="215"/>
      <c r="F197" s="214"/>
      <c r="G197" s="66" t="str">
        <f>HYPERLINK("https://ledvance.com/pt/product-datasheet/8548/138825","Ficha de Produto")</f>
        <v>Ficha de Produto</v>
      </c>
      <c r="H197" s="34">
        <v>4</v>
      </c>
      <c r="I197" s="34" t="s">
        <v>815</v>
      </c>
      <c r="J197" s="34" t="s">
        <v>6135</v>
      </c>
      <c r="K197" s="34" t="s">
        <v>788</v>
      </c>
      <c r="L197" s="34" t="s">
        <v>765</v>
      </c>
      <c r="M197" s="30">
        <v>215</v>
      </c>
      <c r="N197" s="283" t="s">
        <v>721</v>
      </c>
    </row>
    <row r="198" spans="1:14" s="32" customFormat="1" ht="14.25" customHeight="1">
      <c r="A198" s="3" t="s">
        <v>641</v>
      </c>
      <c r="B198" s="36" t="s">
        <v>69</v>
      </c>
      <c r="C198" s="214">
        <v>4058075113541</v>
      </c>
      <c r="D198" s="214"/>
      <c r="E198" s="215"/>
      <c r="F198" s="214"/>
      <c r="G198" s="66" t="str">
        <f>HYPERLINK("https://ledvance.com/pt/product-datasheet/8548/138829","Ficha de Produto")</f>
        <v>Ficha de Produto</v>
      </c>
      <c r="H198" s="34">
        <v>4</v>
      </c>
      <c r="I198" s="34" t="s">
        <v>817</v>
      </c>
      <c r="J198" s="34" t="s">
        <v>6135</v>
      </c>
      <c r="K198" s="34" t="s">
        <v>788</v>
      </c>
      <c r="L198" s="34" t="s">
        <v>765</v>
      </c>
      <c r="M198" s="30">
        <v>215</v>
      </c>
      <c r="N198" s="283" t="s">
        <v>721</v>
      </c>
    </row>
    <row r="199" spans="1:14" s="32" customFormat="1" ht="14.25" customHeight="1">
      <c r="A199" s="3" t="s">
        <v>641</v>
      </c>
      <c r="B199" s="36" t="s">
        <v>70</v>
      </c>
      <c r="C199" s="214">
        <v>4058075113565</v>
      </c>
      <c r="D199" s="214"/>
      <c r="E199" s="215"/>
      <c r="F199" s="214"/>
      <c r="G199" s="66" t="str">
        <f>HYPERLINK("https://ledvance.com/pt/product-datasheet/8546/138833","Ficha de Produto")</f>
        <v>Ficha de Produto</v>
      </c>
      <c r="H199" s="34">
        <v>4</v>
      </c>
      <c r="I199" s="34" t="s">
        <v>811</v>
      </c>
      <c r="J199" s="34" t="s">
        <v>6121</v>
      </c>
      <c r="K199" s="34" t="s">
        <v>788</v>
      </c>
      <c r="L199" s="34" t="s">
        <v>765</v>
      </c>
      <c r="M199" s="30">
        <v>137.5</v>
      </c>
      <c r="N199" s="283" t="s">
        <v>721</v>
      </c>
    </row>
    <row r="200" spans="1:14" s="32" customFormat="1" ht="14.25" customHeight="1">
      <c r="A200" s="3" t="s">
        <v>641</v>
      </c>
      <c r="B200" s="36" t="s">
        <v>71</v>
      </c>
      <c r="C200" s="214">
        <v>4058075113589</v>
      </c>
      <c r="D200" s="214"/>
      <c r="E200" s="215"/>
      <c r="F200" s="214"/>
      <c r="G200" s="66" t="str">
        <f>HYPERLINK("https://ledvance.com/pt/product-datasheet/8546/138837","Ficha de Produto")</f>
        <v>Ficha de Produto</v>
      </c>
      <c r="H200" s="34">
        <v>4</v>
      </c>
      <c r="I200" s="34" t="s">
        <v>812</v>
      </c>
      <c r="J200" s="34" t="s">
        <v>6121</v>
      </c>
      <c r="K200" s="34" t="s">
        <v>788</v>
      </c>
      <c r="L200" s="34" t="s">
        <v>765</v>
      </c>
      <c r="M200" s="30">
        <v>137.5</v>
      </c>
      <c r="N200" s="283" t="s">
        <v>721</v>
      </c>
    </row>
    <row r="201" spans="1:14" s="32" customFormat="1" ht="14.25" customHeight="1">
      <c r="A201" s="3" t="s">
        <v>641</v>
      </c>
      <c r="B201" s="36" t="s">
        <v>72</v>
      </c>
      <c r="C201" s="214">
        <v>4058075113602</v>
      </c>
      <c r="D201" s="214"/>
      <c r="E201" s="215"/>
      <c r="F201" s="214"/>
      <c r="G201" s="66" t="str">
        <f>HYPERLINK("https://ledvance.com/pt/product-datasheet/8547/138841","Ficha de Produto")</f>
        <v>Ficha de Produto</v>
      </c>
      <c r="H201" s="34">
        <v>4</v>
      </c>
      <c r="I201" s="34" t="s">
        <v>813</v>
      </c>
      <c r="J201" s="34" t="s">
        <v>6122</v>
      </c>
      <c r="K201" s="34" t="s">
        <v>788</v>
      </c>
      <c r="L201" s="34" t="s">
        <v>765</v>
      </c>
      <c r="M201" s="30">
        <v>170</v>
      </c>
      <c r="N201" s="283" t="s">
        <v>721</v>
      </c>
    </row>
    <row r="202" spans="1:14" s="32" customFormat="1" ht="14.25" customHeight="1">
      <c r="A202" s="3" t="s">
        <v>641</v>
      </c>
      <c r="B202" s="36" t="s">
        <v>73</v>
      </c>
      <c r="C202" s="214">
        <v>4058075113626</v>
      </c>
      <c r="D202" s="214"/>
      <c r="E202" s="215"/>
      <c r="F202" s="214"/>
      <c r="G202" s="66" t="str">
        <f>HYPERLINK("https://ledvance.com/pt/product-datasheet/8547/138845","Ficha de Produto")</f>
        <v>Ficha de Produto</v>
      </c>
      <c r="H202" s="34">
        <v>4</v>
      </c>
      <c r="I202" s="34" t="s">
        <v>814</v>
      </c>
      <c r="J202" s="34" t="s">
        <v>6122</v>
      </c>
      <c r="K202" s="34" t="s">
        <v>788</v>
      </c>
      <c r="L202" s="34" t="s">
        <v>765</v>
      </c>
      <c r="M202" s="30">
        <v>170</v>
      </c>
      <c r="N202" s="283" t="s">
        <v>721</v>
      </c>
    </row>
    <row r="203" spans="1:14" s="32" customFormat="1" ht="14.25" customHeight="1">
      <c r="A203" s="3" t="s">
        <v>641</v>
      </c>
      <c r="B203" s="36" t="s">
        <v>74</v>
      </c>
      <c r="C203" s="214">
        <v>4058075113640</v>
      </c>
      <c r="D203" s="214"/>
      <c r="E203" s="215"/>
      <c r="F203" s="214"/>
      <c r="G203" s="66" t="str">
        <f>HYPERLINK("https://ledvance.com/pt/product-datasheet/8548/138849","Ficha de Produto")</f>
        <v>Ficha de Produto</v>
      </c>
      <c r="H203" s="34">
        <v>4</v>
      </c>
      <c r="I203" s="34" t="s">
        <v>815</v>
      </c>
      <c r="J203" s="34" t="s">
        <v>6135</v>
      </c>
      <c r="K203" s="34" t="s">
        <v>788</v>
      </c>
      <c r="L203" s="34" t="s">
        <v>765</v>
      </c>
      <c r="M203" s="30">
        <v>215</v>
      </c>
      <c r="N203" s="283" t="s">
        <v>721</v>
      </c>
    </row>
    <row r="204" spans="1:14" s="32" customFormat="1" ht="14.25" customHeight="1">
      <c r="A204" s="3" t="s">
        <v>641</v>
      </c>
      <c r="B204" s="36" t="s">
        <v>75</v>
      </c>
      <c r="C204" s="214">
        <v>4058075113664</v>
      </c>
      <c r="D204" s="214"/>
      <c r="E204" s="215"/>
      <c r="F204" s="214"/>
      <c r="G204" s="66" t="str">
        <f>HYPERLINK("https://ledvance.com/pt/product-datasheet/8548/138853","Ficha de Produto")</f>
        <v>Ficha de Produto</v>
      </c>
      <c r="H204" s="34">
        <v>4</v>
      </c>
      <c r="I204" s="34" t="s">
        <v>817</v>
      </c>
      <c r="J204" s="34" t="s">
        <v>6135</v>
      </c>
      <c r="K204" s="34" t="s">
        <v>788</v>
      </c>
      <c r="L204" s="34" t="s">
        <v>765</v>
      </c>
      <c r="M204" s="30">
        <v>215</v>
      </c>
      <c r="N204" s="283" t="s">
        <v>721</v>
      </c>
    </row>
    <row r="205" spans="1:14" s="32" customFormat="1" ht="14.25" customHeight="1">
      <c r="A205" s="3" t="s">
        <v>641</v>
      </c>
      <c r="B205" s="36" t="s">
        <v>76</v>
      </c>
      <c r="C205" s="214">
        <v>4058075113688</v>
      </c>
      <c r="D205" s="214"/>
      <c r="E205" s="215"/>
      <c r="F205" s="214"/>
      <c r="G205" s="66" t="str">
        <f>HYPERLINK("https://ledvance.com/pt/product-datasheet/8546/138857","Ficha de Produto")</f>
        <v>Ficha de Produto</v>
      </c>
      <c r="H205" s="34">
        <v>4</v>
      </c>
      <c r="I205" s="34" t="s">
        <v>811</v>
      </c>
      <c r="J205" s="34" t="s">
        <v>6121</v>
      </c>
      <c r="K205" s="34" t="s">
        <v>788</v>
      </c>
      <c r="L205" s="34" t="s">
        <v>765</v>
      </c>
      <c r="M205" s="30">
        <v>137.5</v>
      </c>
      <c r="N205" s="283" t="s">
        <v>721</v>
      </c>
    </row>
    <row r="206" spans="1:14" s="32" customFormat="1" ht="14.25" customHeight="1">
      <c r="A206" s="3" t="s">
        <v>641</v>
      </c>
      <c r="B206" s="36" t="s">
        <v>77</v>
      </c>
      <c r="C206" s="214">
        <v>4058075113701</v>
      </c>
      <c r="D206" s="214"/>
      <c r="E206" s="215"/>
      <c r="F206" s="214"/>
      <c r="G206" s="66" t="str">
        <f>HYPERLINK("https://ledvance.com/pt/product-datasheet/8546/138861","Ficha de Produto")</f>
        <v>Ficha de Produto</v>
      </c>
      <c r="H206" s="34">
        <v>4</v>
      </c>
      <c r="I206" s="34" t="s">
        <v>812</v>
      </c>
      <c r="J206" s="34" t="s">
        <v>6121</v>
      </c>
      <c r="K206" s="34" t="s">
        <v>788</v>
      </c>
      <c r="L206" s="34" t="s">
        <v>765</v>
      </c>
      <c r="M206" s="30">
        <v>137.5</v>
      </c>
      <c r="N206" s="283" t="s">
        <v>721</v>
      </c>
    </row>
    <row r="207" spans="1:14" s="32" customFormat="1" ht="14.25" customHeight="1">
      <c r="A207" s="3" t="s">
        <v>641</v>
      </c>
      <c r="B207" s="36" t="s">
        <v>78</v>
      </c>
      <c r="C207" s="214">
        <v>4058075113725</v>
      </c>
      <c r="D207" s="214"/>
      <c r="E207" s="215"/>
      <c r="F207" s="214"/>
      <c r="G207" s="66" t="str">
        <f>HYPERLINK("https://ledvance.com/pt/product-datasheet/8547/138865","Ficha de Produto")</f>
        <v>Ficha de Produto</v>
      </c>
      <c r="H207" s="34">
        <v>4</v>
      </c>
      <c r="I207" s="34" t="s">
        <v>813</v>
      </c>
      <c r="J207" s="34" t="s">
        <v>6122</v>
      </c>
      <c r="K207" s="34" t="s">
        <v>788</v>
      </c>
      <c r="L207" s="34" t="s">
        <v>765</v>
      </c>
      <c r="M207" s="30">
        <v>170</v>
      </c>
      <c r="N207" s="283" t="s">
        <v>721</v>
      </c>
    </row>
    <row r="208" spans="1:14" s="32" customFormat="1" ht="14.25" customHeight="1">
      <c r="A208" s="3" t="s">
        <v>641</v>
      </c>
      <c r="B208" s="36" t="s">
        <v>79</v>
      </c>
      <c r="C208" s="214">
        <v>4058075113749</v>
      </c>
      <c r="D208" s="214"/>
      <c r="E208" s="215"/>
      <c r="F208" s="214"/>
      <c r="G208" s="66" t="str">
        <f>HYPERLINK("https://ledvance.com/pt/product-datasheet/8547/138869","Ficha de Produto")</f>
        <v>Ficha de Produto</v>
      </c>
      <c r="H208" s="34">
        <v>4</v>
      </c>
      <c r="I208" s="34" t="s">
        <v>814</v>
      </c>
      <c r="J208" s="34" t="s">
        <v>6122</v>
      </c>
      <c r="K208" s="34" t="s">
        <v>788</v>
      </c>
      <c r="L208" s="34" t="s">
        <v>765</v>
      </c>
      <c r="M208" s="30">
        <v>170</v>
      </c>
      <c r="N208" s="283" t="s">
        <v>721</v>
      </c>
    </row>
    <row r="209" spans="1:14" s="32" customFormat="1" ht="14.25" customHeight="1">
      <c r="A209" s="3" t="s">
        <v>641</v>
      </c>
      <c r="B209" s="36" t="s">
        <v>80</v>
      </c>
      <c r="C209" s="214">
        <v>4058075113763</v>
      </c>
      <c r="D209" s="214"/>
      <c r="E209" s="215"/>
      <c r="F209" s="214"/>
      <c r="G209" s="66" t="str">
        <f>HYPERLINK("https://ledvance.com/pt/product-datasheet/8548/138873","Ficha de Produto")</f>
        <v>Ficha de Produto</v>
      </c>
      <c r="H209" s="34">
        <v>4</v>
      </c>
      <c r="I209" s="34" t="s">
        <v>815</v>
      </c>
      <c r="J209" s="34" t="s">
        <v>6135</v>
      </c>
      <c r="K209" s="34" t="s">
        <v>788</v>
      </c>
      <c r="L209" s="34" t="s">
        <v>765</v>
      </c>
      <c r="M209" s="30">
        <v>215</v>
      </c>
      <c r="N209" s="283" t="s">
        <v>721</v>
      </c>
    </row>
    <row r="210" spans="1:14" s="32" customFormat="1" ht="14.25" customHeight="1">
      <c r="A210" s="3" t="s">
        <v>641</v>
      </c>
      <c r="B210" s="36" t="s">
        <v>81</v>
      </c>
      <c r="C210" s="214">
        <v>4058075113787</v>
      </c>
      <c r="D210" s="214"/>
      <c r="E210" s="215"/>
      <c r="F210" s="214"/>
      <c r="G210" s="66" t="str">
        <f>HYPERLINK("https://ledvance.com/pt/product-datasheet/8548/138877","Ficha de Produto")</f>
        <v>Ficha de Produto</v>
      </c>
      <c r="H210" s="34">
        <v>4</v>
      </c>
      <c r="I210" s="34" t="s">
        <v>817</v>
      </c>
      <c r="J210" s="34" t="s">
        <v>6135</v>
      </c>
      <c r="K210" s="34" t="s">
        <v>788</v>
      </c>
      <c r="L210" s="34" t="s">
        <v>765</v>
      </c>
      <c r="M210" s="30">
        <v>215</v>
      </c>
      <c r="N210" s="283" t="s">
        <v>721</v>
      </c>
    </row>
    <row r="211" spans="1:14" s="32" customFormat="1" ht="14.25" customHeight="1">
      <c r="A211" s="8" t="s">
        <v>641</v>
      </c>
      <c r="B211" s="227" t="s">
        <v>648</v>
      </c>
      <c r="C211" s="7"/>
      <c r="D211" s="7"/>
      <c r="E211" s="7"/>
      <c r="F211" s="7"/>
      <c r="G211" s="68" t="s">
        <v>6505</v>
      </c>
      <c r="H211" s="7"/>
      <c r="I211" s="7"/>
      <c r="J211" s="7"/>
      <c r="K211" s="7"/>
      <c r="L211" s="7"/>
      <c r="M211" s="7"/>
      <c r="N211" s="284"/>
    </row>
    <row r="212" spans="1:14" s="32" customFormat="1" ht="14.25" customHeight="1">
      <c r="A212" s="3" t="s">
        <v>1114</v>
      </c>
      <c r="B212" s="36" t="s">
        <v>82</v>
      </c>
      <c r="C212" s="214">
        <v>4058075113800</v>
      </c>
      <c r="D212" s="214"/>
      <c r="E212" s="215"/>
      <c r="F212" s="214"/>
      <c r="G212" s="66" t="str">
        <f>HYPERLINK("https://ledvance.com/pt/product-datasheet/8549/138881","Ficha de Produto")</f>
        <v>Ficha de Produto</v>
      </c>
      <c r="H212" s="34">
        <v>4</v>
      </c>
      <c r="I212" s="217" t="s">
        <v>1201</v>
      </c>
      <c r="J212" s="217" t="s">
        <v>1201</v>
      </c>
      <c r="K212" s="217" t="s">
        <v>1201</v>
      </c>
      <c r="L212" s="34" t="s">
        <v>800</v>
      </c>
      <c r="M212" s="30">
        <v>15.3</v>
      </c>
      <c r="N212" s="283" t="s">
        <v>721</v>
      </c>
    </row>
    <row r="213" spans="1:14" s="32" customFormat="1" ht="14.25" customHeight="1">
      <c r="A213" s="3" t="s">
        <v>1114</v>
      </c>
      <c r="B213" s="36" t="s">
        <v>83</v>
      </c>
      <c r="C213" s="214">
        <v>4058075113824</v>
      </c>
      <c r="D213" s="214"/>
      <c r="E213" s="215"/>
      <c r="F213" s="214"/>
      <c r="G213" s="66" t="str">
        <f>HYPERLINK("https://ledvance.com/pt/product-datasheet/8549/138885","Ficha de Produto")</f>
        <v>Ficha de Produto</v>
      </c>
      <c r="H213" s="34">
        <v>4</v>
      </c>
      <c r="I213" s="217" t="s">
        <v>1201</v>
      </c>
      <c r="J213" s="217" t="s">
        <v>1201</v>
      </c>
      <c r="K213" s="217" t="s">
        <v>1201</v>
      </c>
      <c r="L213" s="34" t="s">
        <v>800</v>
      </c>
      <c r="M213" s="30">
        <v>15.3</v>
      </c>
      <c r="N213" s="283" t="s">
        <v>721</v>
      </c>
    </row>
    <row r="214" spans="1:14" s="32" customFormat="1" ht="14.25" customHeight="1">
      <c r="A214" s="3" t="s">
        <v>1114</v>
      </c>
      <c r="B214" s="36" t="s">
        <v>84</v>
      </c>
      <c r="C214" s="214">
        <v>4058075113848</v>
      </c>
      <c r="D214" s="214"/>
      <c r="E214" s="215"/>
      <c r="F214" s="214"/>
      <c r="G214" s="66" t="str">
        <f>HYPERLINK("https://ledvance.com/pt/product-datasheet/8549/138889","Ficha de Produto")</f>
        <v>Ficha de Produto</v>
      </c>
      <c r="H214" s="34">
        <v>4</v>
      </c>
      <c r="I214" s="217" t="s">
        <v>1201</v>
      </c>
      <c r="J214" s="217" t="s">
        <v>1201</v>
      </c>
      <c r="K214" s="217" t="s">
        <v>1201</v>
      </c>
      <c r="L214" s="34" t="s">
        <v>800</v>
      </c>
      <c r="M214" s="30">
        <v>17</v>
      </c>
      <c r="N214" s="283" t="s">
        <v>721</v>
      </c>
    </row>
    <row r="215" spans="1:14" s="32" customFormat="1" ht="14.25" customHeight="1">
      <c r="A215" s="3" t="s">
        <v>1114</v>
      </c>
      <c r="B215" s="36" t="s">
        <v>85</v>
      </c>
      <c r="C215" s="214">
        <v>4058075113862</v>
      </c>
      <c r="D215" s="214"/>
      <c r="E215" s="215"/>
      <c r="F215" s="214"/>
      <c r="G215" s="66" t="str">
        <f>HYPERLINK("https://ledvance.com/pt/product-datasheet/8549/138893","Ficha de Produto")</f>
        <v>Ficha de Produto</v>
      </c>
      <c r="H215" s="34">
        <v>4</v>
      </c>
      <c r="I215" s="217" t="s">
        <v>1201</v>
      </c>
      <c r="J215" s="217" t="s">
        <v>1201</v>
      </c>
      <c r="K215" s="217" t="s">
        <v>1201</v>
      </c>
      <c r="L215" s="34" t="s">
        <v>800</v>
      </c>
      <c r="M215" s="30">
        <v>17</v>
      </c>
      <c r="N215" s="283" t="s">
        <v>721</v>
      </c>
    </row>
    <row r="216" spans="1:14" s="32" customFormat="1" ht="14.25" customHeight="1">
      <c r="A216" s="3" t="s">
        <v>1114</v>
      </c>
      <c r="B216" s="36" t="s">
        <v>86</v>
      </c>
      <c r="C216" s="214">
        <v>4058075113886</v>
      </c>
      <c r="D216" s="214"/>
      <c r="E216" s="215"/>
      <c r="F216" s="214"/>
      <c r="G216" s="66" t="str">
        <f>HYPERLINK("https://ledvance.com/pt/product-datasheet/8549/138897","Ficha de Produto")</f>
        <v>Ficha de Produto</v>
      </c>
      <c r="H216" s="34">
        <v>4</v>
      </c>
      <c r="I216" s="217" t="s">
        <v>1201</v>
      </c>
      <c r="J216" s="217" t="s">
        <v>1201</v>
      </c>
      <c r="K216" s="217" t="s">
        <v>1201</v>
      </c>
      <c r="L216" s="34" t="s">
        <v>800</v>
      </c>
      <c r="M216" s="30">
        <v>18.600000000000001</v>
      </c>
      <c r="N216" s="283" t="s">
        <v>721</v>
      </c>
    </row>
    <row r="217" spans="1:14" s="32" customFormat="1" ht="14.25" customHeight="1">
      <c r="A217" s="3" t="s">
        <v>1114</v>
      </c>
      <c r="B217" s="36" t="s">
        <v>87</v>
      </c>
      <c r="C217" s="214">
        <v>4058075113909</v>
      </c>
      <c r="D217" s="214"/>
      <c r="E217" s="215"/>
      <c r="F217" s="214"/>
      <c r="G217" s="66" t="str">
        <f>HYPERLINK("https://ledvance.com/pt/product-datasheet/8549/138901","Ficha de Produto")</f>
        <v>Ficha de Produto</v>
      </c>
      <c r="H217" s="34">
        <v>4</v>
      </c>
      <c r="I217" s="217" t="s">
        <v>1201</v>
      </c>
      <c r="J217" s="217" t="s">
        <v>1201</v>
      </c>
      <c r="K217" s="217" t="s">
        <v>1201</v>
      </c>
      <c r="L217" s="34" t="s">
        <v>800</v>
      </c>
      <c r="M217" s="30">
        <v>18.600000000000001</v>
      </c>
      <c r="N217" s="283" t="s">
        <v>721</v>
      </c>
    </row>
    <row r="218" spans="1:14" s="32" customFormat="1" ht="14.25" customHeight="1">
      <c r="A218" s="8" t="s">
        <v>641</v>
      </c>
      <c r="B218" s="227" t="s">
        <v>649</v>
      </c>
      <c r="C218" s="7"/>
      <c r="D218" s="7"/>
      <c r="E218" s="7"/>
      <c r="F218" s="7"/>
      <c r="G218" s="68"/>
      <c r="H218" s="7"/>
      <c r="I218" s="7"/>
      <c r="J218" s="7"/>
      <c r="K218" s="7"/>
      <c r="L218" s="7"/>
      <c r="M218" s="7"/>
      <c r="N218" s="284"/>
    </row>
    <row r="219" spans="1:14" s="32" customFormat="1" ht="14.25" customHeight="1">
      <c r="A219" s="3" t="s">
        <v>641</v>
      </c>
      <c r="B219" s="36" t="s">
        <v>88</v>
      </c>
      <c r="C219" s="214">
        <v>4058075335769</v>
      </c>
      <c r="D219" s="214"/>
      <c r="E219" s="215"/>
      <c r="F219" s="214"/>
      <c r="G219" s="66" t="str">
        <f>HYPERLINK("https://ledvance.com/pt/product-datasheet/8544/138059","Ficha de Produto")</f>
        <v>Ficha de Produto</v>
      </c>
      <c r="H219" s="34">
        <v>4</v>
      </c>
      <c r="I219" s="34" t="s">
        <v>762</v>
      </c>
      <c r="J219" s="34" t="s">
        <v>6121</v>
      </c>
      <c r="K219" s="34" t="s">
        <v>788</v>
      </c>
      <c r="L219" s="34" t="s">
        <v>765</v>
      </c>
      <c r="M219" s="30">
        <v>242.5</v>
      </c>
      <c r="N219" s="283" t="s">
        <v>721</v>
      </c>
    </row>
    <row r="220" spans="1:14" s="32" customFormat="1" ht="14.25" customHeight="1">
      <c r="A220" s="3" t="s">
        <v>641</v>
      </c>
      <c r="B220" s="36" t="s">
        <v>89</v>
      </c>
      <c r="C220" s="214">
        <v>4058075335783</v>
      </c>
      <c r="D220" s="214"/>
      <c r="E220" s="215"/>
      <c r="F220" s="214"/>
      <c r="G220" s="66" t="str">
        <f>HYPERLINK("https://ledvance.com/pt/product-datasheet/8544/138064","Ficha de Produto")</f>
        <v>Ficha de Produto</v>
      </c>
      <c r="H220" s="34">
        <v>4</v>
      </c>
      <c r="I220" s="34" t="s">
        <v>762</v>
      </c>
      <c r="J220" s="34" t="s">
        <v>6121</v>
      </c>
      <c r="K220" s="34" t="s">
        <v>788</v>
      </c>
      <c r="L220" s="34" t="s">
        <v>765</v>
      </c>
      <c r="M220" s="30">
        <v>242.5</v>
      </c>
      <c r="N220" s="283" t="s">
        <v>721</v>
      </c>
    </row>
    <row r="221" spans="1:14" s="32" customFormat="1" ht="14.25" customHeight="1">
      <c r="A221" s="3" t="s">
        <v>641</v>
      </c>
      <c r="B221" s="36" t="s">
        <v>90</v>
      </c>
      <c r="C221" s="214">
        <v>4058075335806</v>
      </c>
      <c r="D221" s="214"/>
      <c r="E221" s="215"/>
      <c r="F221" s="214"/>
      <c r="G221" s="66" t="str">
        <f>HYPERLINK("https://ledvance.com/pt/product-datasheet/8544/138069","Ficha de Produto")</f>
        <v>Ficha de Produto</v>
      </c>
      <c r="H221" s="34">
        <v>4</v>
      </c>
      <c r="I221" s="34" t="s">
        <v>762</v>
      </c>
      <c r="J221" s="34" t="s">
        <v>6121</v>
      </c>
      <c r="K221" s="34" t="s">
        <v>788</v>
      </c>
      <c r="L221" s="34" t="s">
        <v>765</v>
      </c>
      <c r="M221" s="30">
        <v>242.5</v>
      </c>
      <c r="N221" s="283" t="s">
        <v>721</v>
      </c>
    </row>
    <row r="222" spans="1:14" s="32" customFormat="1" ht="14.25" customHeight="1">
      <c r="A222" s="3" t="s">
        <v>641</v>
      </c>
      <c r="B222" s="36" t="s">
        <v>91</v>
      </c>
      <c r="C222" s="214">
        <v>4058075335820</v>
      </c>
      <c r="D222" s="214"/>
      <c r="E222" s="215"/>
      <c r="F222" s="214"/>
      <c r="G222" s="66" t="str">
        <f>HYPERLINK("https://ledvance.com/pt/product-datasheet/8544/138074","Ficha de Produto")</f>
        <v>Ficha de Produto</v>
      </c>
      <c r="H222" s="34">
        <v>4</v>
      </c>
      <c r="I222" s="34" t="s">
        <v>762</v>
      </c>
      <c r="J222" s="34" t="s">
        <v>6121</v>
      </c>
      <c r="K222" s="34" t="s">
        <v>788</v>
      </c>
      <c r="L222" s="34" t="s">
        <v>765</v>
      </c>
      <c r="M222" s="30">
        <v>242.5</v>
      </c>
      <c r="N222" s="283" t="s">
        <v>721</v>
      </c>
    </row>
    <row r="223" spans="1:14" s="32" customFormat="1" ht="14.25" customHeight="1">
      <c r="A223" s="8" t="s">
        <v>641</v>
      </c>
      <c r="B223" s="227" t="s">
        <v>650</v>
      </c>
      <c r="C223" s="7"/>
      <c r="D223" s="7"/>
      <c r="E223" s="7"/>
      <c r="F223" s="7"/>
      <c r="G223" s="68"/>
      <c r="H223" s="7"/>
      <c r="I223" s="7"/>
      <c r="J223" s="7"/>
      <c r="K223" s="7"/>
      <c r="L223" s="7"/>
      <c r="M223" s="7"/>
      <c r="N223" s="284"/>
    </row>
    <row r="224" spans="1:14" s="32" customFormat="1" ht="14.25" customHeight="1">
      <c r="A224" s="3" t="s">
        <v>641</v>
      </c>
      <c r="B224" s="36" t="s">
        <v>3184</v>
      </c>
      <c r="C224" s="214">
        <v>4058075062207</v>
      </c>
      <c r="D224" s="214"/>
      <c r="E224" s="215"/>
      <c r="F224" s="214"/>
      <c r="G224" s="66" t="str">
        <f>HYPERLINK("https://ledvance.com/pt/product-datasheet/8569/127359","Ficha de Produto")</f>
        <v>Ficha de Produto</v>
      </c>
      <c r="H224" s="34">
        <v>8</v>
      </c>
      <c r="I224" s="34" t="s">
        <v>820</v>
      </c>
      <c r="J224" s="34" t="s">
        <v>6125</v>
      </c>
      <c r="K224" s="34" t="s">
        <v>822</v>
      </c>
      <c r="L224" s="34" t="s">
        <v>765</v>
      </c>
      <c r="M224" s="30">
        <v>85</v>
      </c>
      <c r="N224" s="283" t="s">
        <v>721</v>
      </c>
    </row>
    <row r="225" spans="1:14" s="32" customFormat="1" ht="14.25" customHeight="1">
      <c r="A225" s="3" t="s">
        <v>641</v>
      </c>
      <c r="B225" s="36" t="s">
        <v>3185</v>
      </c>
      <c r="C225" s="214">
        <v>4058075062221</v>
      </c>
      <c r="D225" s="214"/>
      <c r="E225" s="215"/>
      <c r="F225" s="214"/>
      <c r="G225" s="66" t="str">
        <f>HYPERLINK("https://ledvance.com/pt/product-datasheet/8569/127364","Ficha de Produto")</f>
        <v>Ficha de Produto</v>
      </c>
      <c r="H225" s="34">
        <v>8</v>
      </c>
      <c r="I225" s="34" t="s">
        <v>792</v>
      </c>
      <c r="J225" s="34" t="s">
        <v>6125</v>
      </c>
      <c r="K225" s="34" t="s">
        <v>822</v>
      </c>
      <c r="L225" s="34" t="s">
        <v>765</v>
      </c>
      <c r="M225" s="30">
        <v>85</v>
      </c>
      <c r="N225" s="283" t="s">
        <v>721</v>
      </c>
    </row>
    <row r="226" spans="1:14" s="32" customFormat="1" ht="14.25" customHeight="1">
      <c r="A226" s="8" t="s">
        <v>641</v>
      </c>
      <c r="B226" s="227" t="s">
        <v>3205</v>
      </c>
      <c r="C226" s="7"/>
      <c r="D226" s="7"/>
      <c r="E226" s="7"/>
      <c r="F226" s="7"/>
      <c r="G226" s="68"/>
      <c r="H226" s="7"/>
      <c r="I226" s="7"/>
      <c r="J226" s="7"/>
      <c r="K226" s="7"/>
      <c r="L226" s="7"/>
      <c r="M226" s="7"/>
      <c r="N226" s="284"/>
    </row>
    <row r="227" spans="1:14" s="32" customFormat="1" ht="14.25" customHeight="1">
      <c r="A227" s="3" t="s">
        <v>641</v>
      </c>
      <c r="B227" s="36" t="s">
        <v>3186</v>
      </c>
      <c r="C227" s="214">
        <v>4058075617865</v>
      </c>
      <c r="D227" s="214"/>
      <c r="E227" s="215"/>
      <c r="F227" s="214"/>
      <c r="G227" s="66" t="str">
        <f>HYPERLINK("https://ledvance.com/pt/product-datasheet/8574/153834","Ficha de Produto")</f>
        <v>Ficha de Produto</v>
      </c>
      <c r="H227" s="34">
        <v>5</v>
      </c>
      <c r="I227" s="34" t="s">
        <v>823</v>
      </c>
      <c r="J227" s="34" t="s">
        <v>6114</v>
      </c>
      <c r="K227" s="34" t="s">
        <v>824</v>
      </c>
      <c r="L227" s="34" t="s">
        <v>793</v>
      </c>
      <c r="M227" s="30">
        <v>37.5</v>
      </c>
      <c r="N227" s="283" t="s">
        <v>721</v>
      </c>
    </row>
    <row r="228" spans="1:14" s="32" customFormat="1" ht="14.25" customHeight="1">
      <c r="A228" s="3" t="s">
        <v>641</v>
      </c>
      <c r="B228" s="36" t="s">
        <v>3187</v>
      </c>
      <c r="C228" s="214">
        <v>4058075617889</v>
      </c>
      <c r="D228" s="214"/>
      <c r="E228" s="215"/>
      <c r="F228" s="214"/>
      <c r="G228" s="66" t="str">
        <f>HYPERLINK("https://ledvance.com/pt/product-datasheet/8574/153837","Ficha de Produto")</f>
        <v>Ficha de Produto</v>
      </c>
      <c r="H228" s="34">
        <v>5</v>
      </c>
      <c r="I228" s="34" t="s">
        <v>825</v>
      </c>
      <c r="J228" s="34" t="s">
        <v>6114</v>
      </c>
      <c r="K228" s="34" t="s">
        <v>824</v>
      </c>
      <c r="L228" s="34" t="s">
        <v>793</v>
      </c>
      <c r="M228" s="30">
        <v>37.5</v>
      </c>
      <c r="N228" s="283" t="s">
        <v>721</v>
      </c>
    </row>
    <row r="229" spans="1:14" s="32" customFormat="1" ht="14.25" customHeight="1">
      <c r="A229" s="3" t="s">
        <v>641</v>
      </c>
      <c r="B229" s="36" t="s">
        <v>3188</v>
      </c>
      <c r="C229" s="214">
        <v>4058075617940</v>
      </c>
      <c r="D229" s="214"/>
      <c r="E229" s="215"/>
      <c r="F229" s="214"/>
      <c r="G229" s="66" t="str">
        <f>HYPERLINK("https://ledvance.com/pt/product-datasheet/8575/153840","Ficha de Produto")</f>
        <v>Ficha de Produto</v>
      </c>
      <c r="H229" s="34">
        <v>5</v>
      </c>
      <c r="I229" s="34" t="s">
        <v>826</v>
      </c>
      <c r="J229" s="34" t="s">
        <v>6115</v>
      </c>
      <c r="K229" s="34" t="s">
        <v>824</v>
      </c>
      <c r="L229" s="34" t="s">
        <v>793</v>
      </c>
      <c r="M229" s="30">
        <v>46</v>
      </c>
      <c r="N229" s="283" t="s">
        <v>721</v>
      </c>
    </row>
    <row r="230" spans="1:14" s="32" customFormat="1" ht="14.25" customHeight="1">
      <c r="A230" s="3" t="s">
        <v>641</v>
      </c>
      <c r="B230" s="36" t="s">
        <v>3189</v>
      </c>
      <c r="C230" s="214">
        <v>4058075617964</v>
      </c>
      <c r="D230" s="214"/>
      <c r="E230" s="215"/>
      <c r="F230" s="214"/>
      <c r="G230" s="66" t="str">
        <f>HYPERLINK("https://ledvance.com/pt/product-datasheet/8575/153843","Ficha de Produto")</f>
        <v>Ficha de Produto</v>
      </c>
      <c r="H230" s="34">
        <v>5</v>
      </c>
      <c r="I230" s="34" t="s">
        <v>826</v>
      </c>
      <c r="J230" s="34" t="s">
        <v>6115</v>
      </c>
      <c r="K230" s="34" t="s">
        <v>824</v>
      </c>
      <c r="L230" s="34" t="s">
        <v>793</v>
      </c>
      <c r="M230" s="30">
        <v>46</v>
      </c>
      <c r="N230" s="283" t="s">
        <v>721</v>
      </c>
    </row>
    <row r="231" spans="1:14" s="32" customFormat="1" ht="14.25" customHeight="1">
      <c r="A231" s="9" t="s">
        <v>641</v>
      </c>
      <c r="B231" s="271" t="s">
        <v>1786</v>
      </c>
      <c r="C231" s="218">
        <v>4099854042072</v>
      </c>
      <c r="D231" s="218"/>
      <c r="E231" s="218"/>
      <c r="F231" s="222" t="s">
        <v>2019</v>
      </c>
      <c r="G231" s="66" t="str">
        <f>HYPERLINK("https://ledvance.com/pt/product-datasheet/271779/234163","Ficha de Produto")</f>
        <v>Ficha de Produto</v>
      </c>
      <c r="H231" s="217" t="s">
        <v>1201</v>
      </c>
      <c r="I231" s="34" t="s">
        <v>826</v>
      </c>
      <c r="J231" s="34" t="s">
        <v>6115</v>
      </c>
      <c r="K231" s="34" t="s">
        <v>824</v>
      </c>
      <c r="L231" s="34" t="s">
        <v>765</v>
      </c>
      <c r="M231" s="30">
        <v>51</v>
      </c>
      <c r="N231" s="283" t="s">
        <v>721</v>
      </c>
    </row>
    <row r="232" spans="1:14" s="32" customFormat="1" ht="14.25" customHeight="1">
      <c r="A232" s="3" t="s">
        <v>641</v>
      </c>
      <c r="B232" s="36" t="s">
        <v>3190</v>
      </c>
      <c r="C232" s="214">
        <v>4058075618022</v>
      </c>
      <c r="D232" s="214"/>
      <c r="E232" s="215"/>
      <c r="F232" s="214"/>
      <c r="G232" s="66" t="str">
        <f>HYPERLINK("https://ledvance.com/pt/product-datasheet/8576/153846","Ficha de Produto")</f>
        <v>Ficha de Produto</v>
      </c>
      <c r="H232" s="34">
        <v>5</v>
      </c>
      <c r="I232" s="34" t="s">
        <v>792</v>
      </c>
      <c r="J232" s="34" t="s">
        <v>6125</v>
      </c>
      <c r="K232" s="34" t="s">
        <v>824</v>
      </c>
      <c r="L232" s="34" t="s">
        <v>793</v>
      </c>
      <c r="M232" s="30">
        <v>53</v>
      </c>
      <c r="N232" s="283" t="s">
        <v>721</v>
      </c>
    </row>
    <row r="233" spans="1:14" s="32" customFormat="1" ht="14.25" customHeight="1">
      <c r="A233" s="3" t="s">
        <v>641</v>
      </c>
      <c r="B233" s="36" t="s">
        <v>3191</v>
      </c>
      <c r="C233" s="214">
        <v>4058075618046</v>
      </c>
      <c r="D233" s="214"/>
      <c r="E233" s="215"/>
      <c r="F233" s="214"/>
      <c r="G233" s="66" t="str">
        <f>HYPERLINK("https://ledvance.com/pt/product-datasheet/8576/153849","Ficha de Produto")</f>
        <v>Ficha de Produto</v>
      </c>
      <c r="H233" s="34">
        <v>5</v>
      </c>
      <c r="I233" s="34" t="s">
        <v>792</v>
      </c>
      <c r="J233" s="34" t="s">
        <v>6125</v>
      </c>
      <c r="K233" s="34" t="s">
        <v>824</v>
      </c>
      <c r="L233" s="34" t="s">
        <v>793</v>
      </c>
      <c r="M233" s="30">
        <v>53</v>
      </c>
      <c r="N233" s="283" t="s">
        <v>721</v>
      </c>
    </row>
    <row r="234" spans="1:14" s="32" customFormat="1" ht="14.25" customHeight="1">
      <c r="A234" s="9" t="s">
        <v>641</v>
      </c>
      <c r="B234" s="36" t="s">
        <v>3201</v>
      </c>
      <c r="C234" s="218">
        <v>4099854042119</v>
      </c>
      <c r="D234" s="218"/>
      <c r="E234" s="218"/>
      <c r="F234" s="222" t="s">
        <v>2019</v>
      </c>
      <c r="G234" s="66" t="str">
        <f>HYPERLINK("https://ledvance.com/pt/product-datasheet/246673/234169","Ficha de Produto")</f>
        <v>Ficha de Produto</v>
      </c>
      <c r="H234" s="223"/>
      <c r="I234" s="34" t="s">
        <v>6136</v>
      </c>
      <c r="J234" s="34" t="s">
        <v>6137</v>
      </c>
      <c r="K234" s="34" t="s">
        <v>824</v>
      </c>
      <c r="L234" s="34" t="s">
        <v>765</v>
      </c>
      <c r="M234" s="30">
        <v>82</v>
      </c>
      <c r="N234" s="283" t="s">
        <v>721</v>
      </c>
    </row>
    <row r="235" spans="1:14" s="32" customFormat="1" ht="14.25" customHeight="1">
      <c r="A235" s="9" t="s">
        <v>641</v>
      </c>
      <c r="B235" s="36" t="s">
        <v>3203</v>
      </c>
      <c r="C235" s="218">
        <v>4099854042133</v>
      </c>
      <c r="D235" s="218"/>
      <c r="E235" s="218"/>
      <c r="F235" s="222" t="s">
        <v>2019</v>
      </c>
      <c r="G235" s="66" t="str">
        <f>HYPERLINK("https://ledvance.com/pt/product-datasheet/246673/234172","Ficha de Produto")</f>
        <v>Ficha de Produto</v>
      </c>
      <c r="H235" s="223"/>
      <c r="I235" s="34" t="s">
        <v>6136</v>
      </c>
      <c r="J235" s="34" t="s">
        <v>6137</v>
      </c>
      <c r="K235" s="34" t="s">
        <v>824</v>
      </c>
      <c r="L235" s="34" t="s">
        <v>765</v>
      </c>
      <c r="M235" s="30">
        <v>82</v>
      </c>
      <c r="N235" s="283" t="s">
        <v>721</v>
      </c>
    </row>
    <row r="236" spans="1:14" s="32" customFormat="1" ht="14.25" customHeight="1">
      <c r="A236" s="9" t="s">
        <v>641</v>
      </c>
      <c r="B236" s="271" t="s">
        <v>1784</v>
      </c>
      <c r="C236" s="218">
        <v>4099854077890</v>
      </c>
      <c r="D236" s="218"/>
      <c r="E236" s="218"/>
      <c r="F236" s="222" t="s">
        <v>2019</v>
      </c>
      <c r="G236" s="66" t="str">
        <f>HYPERLINK("https://ledvance.com/pt/product-datasheet/271777/242242","Ficha de Produto")</f>
        <v>Ficha de Produto</v>
      </c>
      <c r="H236" s="217" t="s">
        <v>1201</v>
      </c>
      <c r="I236" s="34" t="s">
        <v>848</v>
      </c>
      <c r="J236" s="34" t="s">
        <v>6138</v>
      </c>
      <c r="K236" s="34" t="s">
        <v>824</v>
      </c>
      <c r="L236" s="34" t="s">
        <v>765</v>
      </c>
      <c r="M236" s="30">
        <v>152.5</v>
      </c>
      <c r="N236" s="283" t="s">
        <v>721</v>
      </c>
    </row>
    <row r="237" spans="1:14" s="32" customFormat="1" ht="14.25" customHeight="1">
      <c r="A237" s="9" t="s">
        <v>641</v>
      </c>
      <c r="B237" s="271" t="s">
        <v>1785</v>
      </c>
      <c r="C237" s="218">
        <v>4099854077913</v>
      </c>
      <c r="D237" s="218"/>
      <c r="E237" s="218"/>
      <c r="F237" s="222" t="s">
        <v>2019</v>
      </c>
      <c r="G237" s="66" t="str">
        <f>HYPERLINK("https://ledvance.com/pt/product-datasheet/271777/242246","Ficha de Produto")</f>
        <v>Ficha de Produto</v>
      </c>
      <c r="H237" s="217" t="s">
        <v>1201</v>
      </c>
      <c r="I237" s="34" t="s">
        <v>848</v>
      </c>
      <c r="J237" s="34" t="s">
        <v>6138</v>
      </c>
      <c r="K237" s="34" t="s">
        <v>824</v>
      </c>
      <c r="L237" s="34" t="s">
        <v>765</v>
      </c>
      <c r="M237" s="30">
        <v>152.5</v>
      </c>
      <c r="N237" s="283" t="s">
        <v>721</v>
      </c>
    </row>
    <row r="238" spans="1:14" s="32" customFormat="1" ht="14.25" customHeight="1">
      <c r="A238" s="8" t="s">
        <v>641</v>
      </c>
      <c r="B238" s="227" t="s">
        <v>3204</v>
      </c>
      <c r="C238" s="7"/>
      <c r="D238" s="7"/>
      <c r="E238" s="7"/>
      <c r="F238" s="7"/>
      <c r="G238" s="68"/>
      <c r="H238" s="7"/>
      <c r="I238" s="7"/>
      <c r="J238" s="7"/>
      <c r="K238" s="7"/>
      <c r="L238" s="7"/>
      <c r="M238" s="7"/>
      <c r="N238" s="284"/>
    </row>
    <row r="239" spans="1:14" s="32" customFormat="1" ht="14.25" customHeight="1">
      <c r="A239" s="3" t="s">
        <v>641</v>
      </c>
      <c r="B239" s="36" t="s">
        <v>3192</v>
      </c>
      <c r="C239" s="214">
        <v>4058075617902</v>
      </c>
      <c r="D239" s="214"/>
      <c r="E239" s="215"/>
      <c r="F239" s="214"/>
      <c r="G239" s="66" t="str">
        <f>HYPERLINK("https://ledvance.com/pt/product-datasheet/8571/153852","Ficha de Produto")</f>
        <v>Ficha de Produto</v>
      </c>
      <c r="H239" s="34">
        <v>5</v>
      </c>
      <c r="I239" s="34" t="s">
        <v>823</v>
      </c>
      <c r="J239" s="34" t="s">
        <v>6114</v>
      </c>
      <c r="K239" s="34" t="s">
        <v>824</v>
      </c>
      <c r="L239" s="34" t="s">
        <v>793</v>
      </c>
      <c r="M239" s="30">
        <v>65.2</v>
      </c>
      <c r="N239" s="283" t="s">
        <v>721</v>
      </c>
    </row>
    <row r="240" spans="1:14" s="32" customFormat="1" ht="14.25" customHeight="1">
      <c r="A240" s="3" t="s">
        <v>641</v>
      </c>
      <c r="B240" s="36" t="s">
        <v>3193</v>
      </c>
      <c r="C240" s="214">
        <v>4058075617926</v>
      </c>
      <c r="D240" s="214"/>
      <c r="E240" s="215"/>
      <c r="F240" s="214"/>
      <c r="G240" s="66" t="str">
        <f>HYPERLINK("https://ledvance.com/pt/product-datasheet/8571/153855","Ficha de Produto")</f>
        <v>Ficha de Produto</v>
      </c>
      <c r="H240" s="34">
        <v>5</v>
      </c>
      <c r="I240" s="34" t="s">
        <v>825</v>
      </c>
      <c r="J240" s="34" t="s">
        <v>6114</v>
      </c>
      <c r="K240" s="34" t="s">
        <v>824</v>
      </c>
      <c r="L240" s="34" t="s">
        <v>793</v>
      </c>
      <c r="M240" s="30">
        <v>65.2</v>
      </c>
      <c r="N240" s="283" t="s">
        <v>721</v>
      </c>
    </row>
    <row r="241" spans="1:14" s="32" customFormat="1" ht="14.25" customHeight="1">
      <c r="A241" s="3" t="s">
        <v>641</v>
      </c>
      <c r="B241" s="36" t="s">
        <v>3194</v>
      </c>
      <c r="C241" s="214">
        <v>4058075617988</v>
      </c>
      <c r="D241" s="214"/>
      <c r="E241" s="215"/>
      <c r="F241" s="214"/>
      <c r="G241" s="66" t="str">
        <f>HYPERLINK("https://ledvance.com/pt/product-datasheet/8572/153858","Ficha de Produto")</f>
        <v>Ficha de Produto</v>
      </c>
      <c r="H241" s="34">
        <v>5</v>
      </c>
      <c r="I241" s="34" t="s">
        <v>826</v>
      </c>
      <c r="J241" s="34" t="s">
        <v>6115</v>
      </c>
      <c r="K241" s="34" t="s">
        <v>824</v>
      </c>
      <c r="L241" s="34" t="s">
        <v>793</v>
      </c>
      <c r="M241" s="30">
        <v>72.8</v>
      </c>
      <c r="N241" s="283" t="s">
        <v>721</v>
      </c>
    </row>
    <row r="242" spans="1:14" s="32" customFormat="1" ht="14.25" customHeight="1">
      <c r="A242" s="3" t="s">
        <v>641</v>
      </c>
      <c r="B242" s="36" t="s">
        <v>3195</v>
      </c>
      <c r="C242" s="214">
        <v>4058075618008</v>
      </c>
      <c r="D242" s="214"/>
      <c r="E242" s="215"/>
      <c r="F242" s="214"/>
      <c r="G242" s="66" t="str">
        <f>HYPERLINK("https://ledvance.com/pt/product-datasheet/8572/153861","Ficha de Produto")</f>
        <v>Ficha de Produto</v>
      </c>
      <c r="H242" s="34">
        <v>5</v>
      </c>
      <c r="I242" s="34" t="s">
        <v>826</v>
      </c>
      <c r="J242" s="34" t="s">
        <v>6115</v>
      </c>
      <c r="K242" s="34" t="s">
        <v>824</v>
      </c>
      <c r="L242" s="34" t="s">
        <v>793</v>
      </c>
      <c r="M242" s="30">
        <v>72.8</v>
      </c>
      <c r="N242" s="283" t="s">
        <v>721</v>
      </c>
    </row>
    <row r="243" spans="1:14" s="32" customFormat="1" ht="14.25" customHeight="1">
      <c r="A243" s="9" t="s">
        <v>641</v>
      </c>
      <c r="B243" s="271" t="s">
        <v>1787</v>
      </c>
      <c r="C243" s="218">
        <v>4099854042096</v>
      </c>
      <c r="D243" s="218"/>
      <c r="E243" s="218"/>
      <c r="F243" s="222" t="s">
        <v>2019</v>
      </c>
      <c r="G243" s="66" t="str">
        <f>HYPERLINK("https://ledvance.com/pt/product-datasheet/271780/234166","Ficha de Produto")</f>
        <v>Ficha de Produto</v>
      </c>
      <c r="H243" s="217" t="s">
        <v>1201</v>
      </c>
      <c r="I243" s="34" t="s">
        <v>826</v>
      </c>
      <c r="J243" s="34" t="s">
        <v>6115</v>
      </c>
      <c r="K243" s="34" t="s">
        <v>824</v>
      </c>
      <c r="L243" s="34" t="s">
        <v>765</v>
      </c>
      <c r="M243" s="30">
        <v>73</v>
      </c>
      <c r="N243" s="283" t="s">
        <v>721</v>
      </c>
    </row>
    <row r="244" spans="1:14" s="32" customFormat="1" ht="14.25" customHeight="1">
      <c r="A244" s="3" t="s">
        <v>641</v>
      </c>
      <c r="B244" s="36" t="s">
        <v>3196</v>
      </c>
      <c r="C244" s="214">
        <v>4058075618084</v>
      </c>
      <c r="D244" s="214"/>
      <c r="E244" s="215"/>
      <c r="F244" s="214"/>
      <c r="G244" s="66" t="str">
        <f>HYPERLINK("https://ledvance.com/pt/product-datasheet/8573/153864","Ficha de Produto")</f>
        <v>Ficha de Produto</v>
      </c>
      <c r="H244" s="34">
        <v>5</v>
      </c>
      <c r="I244" s="34" t="s">
        <v>792</v>
      </c>
      <c r="J244" s="34" t="s">
        <v>6125</v>
      </c>
      <c r="K244" s="34" t="s">
        <v>824</v>
      </c>
      <c r="L244" s="34" t="s">
        <v>793</v>
      </c>
      <c r="M244" s="30">
        <v>75.400000000000006</v>
      </c>
      <c r="N244" s="283" t="s">
        <v>721</v>
      </c>
    </row>
    <row r="245" spans="1:14" s="32" customFormat="1" ht="14.25" customHeight="1">
      <c r="A245" s="3" t="s">
        <v>641</v>
      </c>
      <c r="B245" s="36" t="s">
        <v>3197</v>
      </c>
      <c r="C245" s="214">
        <v>4058075618121</v>
      </c>
      <c r="D245" s="214"/>
      <c r="E245" s="215"/>
      <c r="F245" s="214"/>
      <c r="G245" s="66" t="str">
        <f>HYPERLINK("https://ledvance.com/pt/product-datasheet/8573/153867","Ficha de Produto")</f>
        <v>Ficha de Produto</v>
      </c>
      <c r="H245" s="34">
        <v>5</v>
      </c>
      <c r="I245" s="34" t="s">
        <v>792</v>
      </c>
      <c r="J245" s="34" t="s">
        <v>6125</v>
      </c>
      <c r="K245" s="34" t="s">
        <v>824</v>
      </c>
      <c r="L245" s="34" t="s">
        <v>793</v>
      </c>
      <c r="M245" s="30">
        <v>75.400000000000006</v>
      </c>
      <c r="N245" s="283" t="s">
        <v>721</v>
      </c>
    </row>
    <row r="246" spans="1:14" s="32" customFormat="1" ht="14.25" customHeight="1">
      <c r="A246" s="9" t="s">
        <v>641</v>
      </c>
      <c r="B246" s="36" t="s">
        <v>4159</v>
      </c>
      <c r="C246" s="218">
        <v>4099854042157</v>
      </c>
      <c r="D246" s="218"/>
      <c r="E246" s="218"/>
      <c r="F246" s="222" t="s">
        <v>2019</v>
      </c>
      <c r="G246" s="66" t="str">
        <f>HYPERLINK("https://ledvance.com/pt/product-datasheet/246674/234175","Ficha de Produto")</f>
        <v>Ficha de Produto</v>
      </c>
      <c r="H246" s="223"/>
      <c r="I246" s="34" t="s">
        <v>6136</v>
      </c>
      <c r="J246" s="34" t="s">
        <v>6137</v>
      </c>
      <c r="K246" s="34" t="s">
        <v>824</v>
      </c>
      <c r="L246" s="34" t="s">
        <v>765</v>
      </c>
      <c r="M246" s="30">
        <v>101</v>
      </c>
      <c r="N246" s="283" t="s">
        <v>721</v>
      </c>
    </row>
    <row r="247" spans="1:14" s="32" customFormat="1" ht="14.25" customHeight="1">
      <c r="A247" s="9" t="s">
        <v>641</v>
      </c>
      <c r="B247" s="36" t="s">
        <v>4160</v>
      </c>
      <c r="C247" s="218">
        <v>4099854042171</v>
      </c>
      <c r="D247" s="218"/>
      <c r="E247" s="218"/>
      <c r="F247" s="222" t="s">
        <v>2019</v>
      </c>
      <c r="G247" s="66" t="str">
        <f>HYPERLINK("https://ledvance.com/pt/product-datasheet/246674/234178","Ficha de Produto")</f>
        <v>Ficha de Produto</v>
      </c>
      <c r="H247" s="223"/>
      <c r="I247" s="34" t="s">
        <v>6136</v>
      </c>
      <c r="J247" s="34" t="s">
        <v>6137</v>
      </c>
      <c r="K247" s="34" t="s">
        <v>824</v>
      </c>
      <c r="L247" s="34" t="s">
        <v>765</v>
      </c>
      <c r="M247" s="30">
        <v>101</v>
      </c>
      <c r="N247" s="283" t="s">
        <v>721</v>
      </c>
    </row>
    <row r="248" spans="1:14" s="32" customFormat="1" ht="14.25" customHeight="1">
      <c r="A248" s="8" t="s">
        <v>1114</v>
      </c>
      <c r="B248" s="227" t="s">
        <v>3202</v>
      </c>
      <c r="C248" s="7"/>
      <c r="D248" s="7"/>
      <c r="E248" s="7"/>
      <c r="F248" s="7"/>
      <c r="G248" s="68"/>
      <c r="H248" s="7"/>
      <c r="I248" s="7"/>
      <c r="J248" s="7"/>
      <c r="K248" s="7"/>
      <c r="L248" s="7"/>
      <c r="M248" s="7"/>
      <c r="N248" s="284"/>
    </row>
    <row r="249" spans="1:14" s="32" customFormat="1" ht="14.25" customHeight="1">
      <c r="A249" s="3" t="s">
        <v>1114</v>
      </c>
      <c r="B249" s="36" t="s">
        <v>3198</v>
      </c>
      <c r="C249" s="214">
        <v>4058075156722</v>
      </c>
      <c r="D249" s="214"/>
      <c r="E249" s="215"/>
      <c r="F249" s="214"/>
      <c r="G249" s="66" t="str">
        <f>HYPERLINK("https://ledvance.com/pt/product-datasheet/8577/138564","Ficha de Produto")</f>
        <v>Ficha de Produto</v>
      </c>
      <c r="H249" s="34">
        <v>5</v>
      </c>
      <c r="I249" s="217" t="s">
        <v>1201</v>
      </c>
      <c r="J249" s="217" t="s">
        <v>1201</v>
      </c>
      <c r="K249" s="217" t="s">
        <v>1201</v>
      </c>
      <c r="L249" s="34" t="s">
        <v>800</v>
      </c>
      <c r="M249" s="30">
        <v>15</v>
      </c>
      <c r="N249" s="283" t="s">
        <v>721</v>
      </c>
    </row>
    <row r="250" spans="1:14" s="32" customFormat="1" ht="14.25" customHeight="1">
      <c r="A250" s="3" t="s">
        <v>1114</v>
      </c>
      <c r="B250" s="36" t="s">
        <v>3199</v>
      </c>
      <c r="C250" s="214">
        <v>4058075156807</v>
      </c>
      <c r="D250" s="214"/>
      <c r="E250" s="215"/>
      <c r="F250" s="214"/>
      <c r="G250" s="66" t="str">
        <f>HYPERLINK("https://ledvance.com/pt/product-datasheet/8577/138567","Ficha de Produto")</f>
        <v>Ficha de Produto</v>
      </c>
      <c r="H250" s="34">
        <v>5</v>
      </c>
      <c r="I250" s="217" t="s">
        <v>1201</v>
      </c>
      <c r="J250" s="217" t="s">
        <v>1201</v>
      </c>
      <c r="K250" s="217" t="s">
        <v>1201</v>
      </c>
      <c r="L250" s="34" t="s">
        <v>800</v>
      </c>
      <c r="M250" s="30">
        <v>18.5</v>
      </c>
      <c r="N250" s="283" t="s">
        <v>721</v>
      </c>
    </row>
    <row r="251" spans="1:14" s="32" customFormat="1" ht="14.25" customHeight="1">
      <c r="A251" s="9" t="s">
        <v>1114</v>
      </c>
      <c r="B251" s="271" t="s">
        <v>1788</v>
      </c>
      <c r="C251" s="218">
        <v>4099854064357</v>
      </c>
      <c r="D251" s="218"/>
      <c r="E251" s="218"/>
      <c r="F251" s="222" t="s">
        <v>2019</v>
      </c>
      <c r="G251" s="66" t="str">
        <f>HYPERLINK("https://ledvance.com/pt/product-datasheet/8577/237921","Ficha de Produto")</f>
        <v>Ficha de Produto</v>
      </c>
      <c r="H251" s="217" t="s">
        <v>1201</v>
      </c>
      <c r="I251" s="217" t="s">
        <v>1201</v>
      </c>
      <c r="J251" s="217" t="s">
        <v>1201</v>
      </c>
      <c r="K251" s="217" t="s">
        <v>1201</v>
      </c>
      <c r="L251" s="34" t="s">
        <v>800</v>
      </c>
      <c r="M251" s="30">
        <v>18</v>
      </c>
      <c r="N251" s="283" t="s">
        <v>721</v>
      </c>
    </row>
    <row r="252" spans="1:14" s="32" customFormat="1" ht="14.25" customHeight="1">
      <c r="A252" s="3" t="s">
        <v>1114</v>
      </c>
      <c r="B252" s="36" t="s">
        <v>3200</v>
      </c>
      <c r="C252" s="214">
        <v>4058075156821</v>
      </c>
      <c r="D252" s="214"/>
      <c r="E252" s="215"/>
      <c r="F252" s="214"/>
      <c r="G252" s="66" t="str">
        <f>HYPERLINK("https://ledvance.com/pt/product-datasheet/8577/138570","Ficha de Produto")</f>
        <v>Ficha de Produto</v>
      </c>
      <c r="H252" s="34">
        <v>5</v>
      </c>
      <c r="I252" s="217" t="s">
        <v>1201</v>
      </c>
      <c r="J252" s="217" t="s">
        <v>1201</v>
      </c>
      <c r="K252" s="217" t="s">
        <v>1201</v>
      </c>
      <c r="L252" s="34" t="s">
        <v>800</v>
      </c>
      <c r="M252" s="30">
        <v>23.5</v>
      </c>
      <c r="N252" s="283" t="s">
        <v>721</v>
      </c>
    </row>
    <row r="253" spans="1:14" s="32" customFormat="1" ht="14.25" customHeight="1">
      <c r="A253" s="9" t="s">
        <v>1114</v>
      </c>
      <c r="B253" s="36" t="s">
        <v>1783</v>
      </c>
      <c r="C253" s="218">
        <v>4099854064395</v>
      </c>
      <c r="D253" s="218"/>
      <c r="E253" s="218"/>
      <c r="F253" s="222" t="s">
        <v>2019</v>
      </c>
      <c r="G253" s="66" t="str">
        <f>HYPERLINK("https://ledvance.com/pt/product-datasheet/8577/237925","Ficha de Produto")</f>
        <v>Ficha de Produto</v>
      </c>
      <c r="H253" s="217" t="s">
        <v>1201</v>
      </c>
      <c r="I253" s="217" t="s">
        <v>1201</v>
      </c>
      <c r="J253" s="217" t="s">
        <v>1201</v>
      </c>
      <c r="K253" s="217" t="s">
        <v>1201</v>
      </c>
      <c r="L253" s="34" t="s">
        <v>800</v>
      </c>
      <c r="M253" s="30">
        <v>26.5</v>
      </c>
      <c r="N253" s="283" t="s">
        <v>721</v>
      </c>
    </row>
    <row r="254" spans="1:14" s="32" customFormat="1" ht="14.25" customHeight="1">
      <c r="A254" s="9" t="s">
        <v>1114</v>
      </c>
      <c r="B254" s="36" t="s">
        <v>1789</v>
      </c>
      <c r="C254" s="218">
        <v>4058075834187</v>
      </c>
      <c r="D254" s="218"/>
      <c r="E254" s="218"/>
      <c r="F254" s="222" t="s">
        <v>2019</v>
      </c>
      <c r="G254" s="66" t="str">
        <f>HYPERLINK("https://ledvance.com/pt/product-datasheet/271580/269105","Ficha de Produto")</f>
        <v>Ficha de Produto</v>
      </c>
      <c r="H254" s="217" t="s">
        <v>1201</v>
      </c>
      <c r="I254" s="217" t="s">
        <v>1201</v>
      </c>
      <c r="J254" s="217" t="s">
        <v>1201</v>
      </c>
      <c r="K254" s="217" t="s">
        <v>1201</v>
      </c>
      <c r="L254" s="34" t="s">
        <v>800</v>
      </c>
      <c r="M254" s="30">
        <v>102.5</v>
      </c>
      <c r="N254" s="283" t="s">
        <v>721</v>
      </c>
    </row>
    <row r="255" spans="1:14" s="32" customFormat="1" ht="14.25" customHeight="1">
      <c r="A255" s="9" t="s">
        <v>1114</v>
      </c>
      <c r="B255" s="36" t="s">
        <v>1790</v>
      </c>
      <c r="C255" s="218">
        <v>4058075834200</v>
      </c>
      <c r="D255" s="218"/>
      <c r="E255" s="218"/>
      <c r="F255" s="222" t="s">
        <v>2019</v>
      </c>
      <c r="G255" s="66" t="str">
        <f>HYPERLINK("https://ledvance.com/pt/product-datasheet/271580/269108","Ficha de Produto")</f>
        <v>Ficha de Produto</v>
      </c>
      <c r="H255" s="217" t="s">
        <v>1201</v>
      </c>
      <c r="I255" s="217" t="s">
        <v>1201</v>
      </c>
      <c r="J255" s="217" t="s">
        <v>1201</v>
      </c>
      <c r="K255" s="217" t="s">
        <v>1201</v>
      </c>
      <c r="L255" s="34" t="s">
        <v>800</v>
      </c>
      <c r="M255" s="30">
        <v>120</v>
      </c>
      <c r="N255" s="283" t="s">
        <v>721</v>
      </c>
    </row>
    <row r="256" spans="1:14" s="32" customFormat="1" ht="14.25" customHeight="1">
      <c r="A256" s="8" t="s">
        <v>641</v>
      </c>
      <c r="B256" s="272" t="s">
        <v>1969</v>
      </c>
      <c r="C256" s="7"/>
      <c r="D256" s="7"/>
      <c r="E256" s="7"/>
      <c r="F256" s="7"/>
      <c r="G256" s="68"/>
      <c r="H256" s="7"/>
      <c r="I256" s="7"/>
      <c r="J256" s="7"/>
      <c r="K256" s="7"/>
      <c r="L256" s="7"/>
      <c r="M256" s="7"/>
      <c r="N256" s="284"/>
    </row>
    <row r="257" spans="1:14" s="32" customFormat="1" ht="14.25" customHeight="1">
      <c r="A257" s="9" t="s">
        <v>641</v>
      </c>
      <c r="B257" s="36" t="s">
        <v>1776</v>
      </c>
      <c r="C257" s="218">
        <v>4099854041952</v>
      </c>
      <c r="D257" s="218"/>
      <c r="E257" s="218"/>
      <c r="F257" s="222" t="s">
        <v>2019</v>
      </c>
      <c r="G257" s="66" t="str">
        <f>HYPERLINK("https://ledvance.com/pt/product-datasheet/271785/234145","Ficha de Produto")</f>
        <v>Ficha de Produto</v>
      </c>
      <c r="H257" s="217" t="s">
        <v>1201</v>
      </c>
      <c r="I257" s="34" t="s">
        <v>861</v>
      </c>
      <c r="J257" s="34" t="s">
        <v>6125</v>
      </c>
      <c r="K257" s="34" t="s">
        <v>824</v>
      </c>
      <c r="L257" s="34" t="s">
        <v>793</v>
      </c>
      <c r="M257" s="30">
        <v>60</v>
      </c>
      <c r="N257" s="283" t="s">
        <v>721</v>
      </c>
    </row>
    <row r="258" spans="1:14" s="32" customFormat="1" ht="14.25" customHeight="1">
      <c r="A258" s="9" t="s">
        <v>641</v>
      </c>
      <c r="B258" s="36" t="s">
        <v>1777</v>
      </c>
      <c r="C258" s="218">
        <v>4099854041976</v>
      </c>
      <c r="D258" s="218"/>
      <c r="E258" s="218"/>
      <c r="F258" s="222" t="s">
        <v>2019</v>
      </c>
      <c r="G258" s="66" t="str">
        <f>HYPERLINK("https://ledvance.com/pt/product-datasheet/271785/234148","Ficha de Produto")</f>
        <v>Ficha de Produto</v>
      </c>
      <c r="H258" s="217" t="s">
        <v>1201</v>
      </c>
      <c r="I258" s="34" t="s">
        <v>861</v>
      </c>
      <c r="J258" s="34" t="s">
        <v>6125</v>
      </c>
      <c r="K258" s="34" t="s">
        <v>824</v>
      </c>
      <c r="L258" s="34" t="s">
        <v>793</v>
      </c>
      <c r="M258" s="30">
        <v>60</v>
      </c>
      <c r="N258" s="283" t="s">
        <v>721</v>
      </c>
    </row>
    <row r="259" spans="1:14" s="32" customFormat="1" ht="14.25" customHeight="1">
      <c r="A259" s="9" t="s">
        <v>641</v>
      </c>
      <c r="B259" s="36" t="s">
        <v>1778</v>
      </c>
      <c r="C259" s="218">
        <v>4099854041990</v>
      </c>
      <c r="D259" s="218"/>
      <c r="E259" s="218"/>
      <c r="F259" s="222" t="s">
        <v>2019</v>
      </c>
      <c r="G259" s="66" t="str">
        <f>HYPERLINK("https://ledvance.com/pt/product-datasheet/271786/234151","Ficha de Produto")</f>
        <v>Ficha de Produto</v>
      </c>
      <c r="H259" s="217" t="s">
        <v>1201</v>
      </c>
      <c r="I259" s="34" t="s">
        <v>861</v>
      </c>
      <c r="J259" s="34" t="s">
        <v>6125</v>
      </c>
      <c r="K259" s="34" t="s">
        <v>824</v>
      </c>
      <c r="L259" s="34" t="s">
        <v>793</v>
      </c>
      <c r="M259" s="30">
        <v>81.899999999999991</v>
      </c>
      <c r="N259" s="283" t="s">
        <v>721</v>
      </c>
    </row>
    <row r="260" spans="1:14" s="32" customFormat="1" ht="14.25" customHeight="1">
      <c r="A260" s="9" t="s">
        <v>641</v>
      </c>
      <c r="B260" s="36" t="s">
        <v>1779</v>
      </c>
      <c r="C260" s="218">
        <v>4099854042010</v>
      </c>
      <c r="D260" s="218"/>
      <c r="E260" s="218"/>
      <c r="F260" s="222" t="s">
        <v>2019</v>
      </c>
      <c r="G260" s="66" t="str">
        <f>HYPERLINK("https://ledvance.com/pt/product-datasheet/271786/234154","Ficha de Produto")</f>
        <v>Ficha de Produto</v>
      </c>
      <c r="H260" s="217" t="s">
        <v>1201</v>
      </c>
      <c r="I260" s="34" t="s">
        <v>861</v>
      </c>
      <c r="J260" s="34" t="s">
        <v>6125</v>
      </c>
      <c r="K260" s="34" t="s">
        <v>824</v>
      </c>
      <c r="L260" s="34" t="s">
        <v>793</v>
      </c>
      <c r="M260" s="30">
        <v>81.899999999999991</v>
      </c>
      <c r="N260" s="283" t="s">
        <v>721</v>
      </c>
    </row>
    <row r="261" spans="1:14" s="32" customFormat="1" ht="14.25" customHeight="1">
      <c r="A261" s="9" t="s">
        <v>641</v>
      </c>
      <c r="B261" s="36" t="s">
        <v>1780</v>
      </c>
      <c r="C261" s="218">
        <v>4099854042034</v>
      </c>
      <c r="D261" s="218"/>
      <c r="E261" s="218"/>
      <c r="F261" s="222" t="s">
        <v>2019</v>
      </c>
      <c r="G261" s="66" t="str">
        <f>HYPERLINK("https://ledvance.com/pt/product-datasheet/271787/234157","Ficha de Produto")</f>
        <v>Ficha de Produto</v>
      </c>
      <c r="H261" s="217" t="s">
        <v>1201</v>
      </c>
      <c r="I261" s="34" t="s">
        <v>861</v>
      </c>
      <c r="J261" s="34" t="s">
        <v>6125</v>
      </c>
      <c r="K261" s="34" t="s">
        <v>824</v>
      </c>
      <c r="L261" s="34" t="s">
        <v>765</v>
      </c>
      <c r="M261" s="30">
        <v>65.899999999999991</v>
      </c>
      <c r="N261" s="283" t="s">
        <v>721</v>
      </c>
    </row>
    <row r="262" spans="1:14" s="32" customFormat="1" ht="14.25" customHeight="1">
      <c r="A262" s="9" t="s">
        <v>641</v>
      </c>
      <c r="B262" s="36" t="s">
        <v>1781</v>
      </c>
      <c r="C262" s="218">
        <v>4099854042058</v>
      </c>
      <c r="D262" s="218"/>
      <c r="E262" s="218"/>
      <c r="F262" s="222" t="s">
        <v>2019</v>
      </c>
      <c r="G262" s="66" t="str">
        <f>HYPERLINK("https://ledvance.com/pt/product-datasheet/271788/234160","Ficha de Produto")</f>
        <v>Ficha de Produto</v>
      </c>
      <c r="H262" s="217" t="s">
        <v>1201</v>
      </c>
      <c r="I262" s="34" t="s">
        <v>861</v>
      </c>
      <c r="J262" s="34" t="s">
        <v>6125</v>
      </c>
      <c r="K262" s="34" t="s">
        <v>824</v>
      </c>
      <c r="L262" s="34" t="s">
        <v>765</v>
      </c>
      <c r="M262" s="30">
        <v>88.5</v>
      </c>
      <c r="N262" s="283" t="s">
        <v>721</v>
      </c>
    </row>
    <row r="263" spans="1:14" s="32" customFormat="1" ht="14.25" customHeight="1">
      <c r="A263" s="9" t="s">
        <v>641</v>
      </c>
      <c r="B263" s="36" t="s">
        <v>1782</v>
      </c>
      <c r="C263" s="218">
        <v>4099854064432</v>
      </c>
      <c r="D263" s="218"/>
      <c r="E263" s="218"/>
      <c r="F263" s="222" t="s">
        <v>2019</v>
      </c>
      <c r="G263" s="66" t="str">
        <f>HYPERLINK("https://ledvance.com/pt/product-datasheet/271789/237931","Ficha de Produto")</f>
        <v>Ficha de Produto</v>
      </c>
      <c r="H263" s="217" t="s">
        <v>1201</v>
      </c>
      <c r="I263" s="217" t="s">
        <v>1201</v>
      </c>
      <c r="J263" s="217" t="s">
        <v>1201</v>
      </c>
      <c r="K263" s="217" t="s">
        <v>1201</v>
      </c>
      <c r="L263" s="34" t="s">
        <v>800</v>
      </c>
      <c r="M263" s="30">
        <v>18</v>
      </c>
      <c r="N263" s="283" t="s">
        <v>721</v>
      </c>
    </row>
    <row r="264" spans="1:14" s="32" customFormat="1" ht="14.25" customHeight="1">
      <c r="A264" s="8" t="s">
        <v>641</v>
      </c>
      <c r="B264" s="227" t="s">
        <v>3206</v>
      </c>
      <c r="C264" s="7"/>
      <c r="D264" s="7"/>
      <c r="E264" s="7"/>
      <c r="F264" s="7"/>
      <c r="G264" s="68"/>
      <c r="H264" s="7"/>
      <c r="I264" s="7"/>
      <c r="J264" s="7"/>
      <c r="K264" s="7"/>
      <c r="L264" s="7"/>
      <c r="M264" s="7"/>
      <c r="N264" s="284"/>
    </row>
    <row r="265" spans="1:14" s="32" customFormat="1" ht="14.25" customHeight="1">
      <c r="A265" s="3" t="s">
        <v>641</v>
      </c>
      <c r="B265" s="40" t="s">
        <v>3211</v>
      </c>
      <c r="C265" s="214">
        <v>4058075647145</v>
      </c>
      <c r="D265" s="214"/>
      <c r="E265" s="215"/>
      <c r="F265" s="214"/>
      <c r="G265" s="66" t="str">
        <f>HYPERLINK("https://ledvance.com/pt/product-datasheet/8559/161608","Ficha de Produto")</f>
        <v>Ficha de Produto</v>
      </c>
      <c r="H265" s="34">
        <v>8</v>
      </c>
      <c r="I265" s="34" t="s">
        <v>827</v>
      </c>
      <c r="J265" s="34" t="s">
        <v>6139</v>
      </c>
      <c r="K265" s="34" t="s">
        <v>822</v>
      </c>
      <c r="L265" s="34" t="s">
        <v>765</v>
      </c>
      <c r="M265" s="30">
        <v>55.9</v>
      </c>
      <c r="N265" s="283" t="s">
        <v>721</v>
      </c>
    </row>
    <row r="266" spans="1:14" s="32" customFormat="1" ht="14.25" customHeight="1">
      <c r="A266" s="3" t="s">
        <v>641</v>
      </c>
      <c r="B266" s="40" t="s">
        <v>3212</v>
      </c>
      <c r="C266" s="214">
        <v>4058075647169</v>
      </c>
      <c r="D266" s="214"/>
      <c r="E266" s="215"/>
      <c r="F266" s="214"/>
      <c r="G266" s="66" t="str">
        <f>HYPERLINK("https://ledvance.com/pt/product-datasheet/8559/161610","Ficha de Produto")</f>
        <v>Ficha de Produto</v>
      </c>
      <c r="H266" s="34">
        <v>8</v>
      </c>
      <c r="I266" s="34" t="s">
        <v>827</v>
      </c>
      <c r="J266" s="34" t="s">
        <v>6139</v>
      </c>
      <c r="K266" s="34" t="s">
        <v>822</v>
      </c>
      <c r="L266" s="34" t="s">
        <v>765</v>
      </c>
      <c r="M266" s="30">
        <v>55.9</v>
      </c>
      <c r="N266" s="283" t="s">
        <v>721</v>
      </c>
    </row>
    <row r="267" spans="1:14" s="32" customFormat="1" ht="14.25" customHeight="1">
      <c r="A267" s="3" t="s">
        <v>641</v>
      </c>
      <c r="B267" s="40" t="s">
        <v>3213</v>
      </c>
      <c r="C267" s="214">
        <v>4058075647183</v>
      </c>
      <c r="D267" s="214"/>
      <c r="E267" s="215"/>
      <c r="F267" s="214"/>
      <c r="G267" s="66" t="str">
        <f>HYPERLINK("https://ledvance.com/pt/product-datasheet/8559/161612","Ficha de Produto")</f>
        <v>Ficha de Produto</v>
      </c>
      <c r="H267" s="34">
        <v>8</v>
      </c>
      <c r="I267" s="34" t="s">
        <v>827</v>
      </c>
      <c r="J267" s="34" t="s">
        <v>6139</v>
      </c>
      <c r="K267" s="34" t="s">
        <v>822</v>
      </c>
      <c r="L267" s="34" t="s">
        <v>765</v>
      </c>
      <c r="M267" s="30">
        <v>55.9</v>
      </c>
      <c r="N267" s="283" t="s">
        <v>721</v>
      </c>
    </row>
    <row r="268" spans="1:14" s="32" customFormat="1" ht="14.25" customHeight="1">
      <c r="A268" s="3" t="s">
        <v>641</v>
      </c>
      <c r="B268" s="40" t="s">
        <v>3214</v>
      </c>
      <c r="C268" s="214">
        <v>4058075647206</v>
      </c>
      <c r="D268" s="214"/>
      <c r="E268" s="215"/>
      <c r="F268" s="214"/>
      <c r="G268" s="66" t="str">
        <f>HYPERLINK("https://ledvance.com/pt/product-datasheet/8559/161614","Ficha de Produto")</f>
        <v>Ficha de Produto</v>
      </c>
      <c r="H268" s="34">
        <v>8</v>
      </c>
      <c r="I268" s="34" t="s">
        <v>827</v>
      </c>
      <c r="J268" s="34" t="s">
        <v>6139</v>
      </c>
      <c r="K268" s="34" t="s">
        <v>822</v>
      </c>
      <c r="L268" s="34" t="s">
        <v>765</v>
      </c>
      <c r="M268" s="30">
        <v>55.9</v>
      </c>
      <c r="N268" s="283" t="s">
        <v>721</v>
      </c>
    </row>
    <row r="269" spans="1:14" s="32" customFormat="1" ht="14.25" customHeight="1">
      <c r="A269" s="3" t="s">
        <v>641</v>
      </c>
      <c r="B269" s="40" t="s">
        <v>3215</v>
      </c>
      <c r="C269" s="214">
        <v>4058075647466</v>
      </c>
      <c r="D269" s="214"/>
      <c r="E269" s="215"/>
      <c r="F269" s="214"/>
      <c r="G269" s="66" t="str">
        <f>HYPERLINK("https://ledvance.com/pt/product-datasheet/8560/161640","Ficha de Produto")</f>
        <v>Ficha de Produto</v>
      </c>
      <c r="H269" s="34">
        <v>8</v>
      </c>
      <c r="I269" s="34" t="s">
        <v>789</v>
      </c>
      <c r="J269" s="34" t="s">
        <v>6117</v>
      </c>
      <c r="K269" s="34" t="s">
        <v>822</v>
      </c>
      <c r="L269" s="34" t="s">
        <v>765</v>
      </c>
      <c r="M269" s="30">
        <v>73.2</v>
      </c>
      <c r="N269" s="283" t="s">
        <v>721</v>
      </c>
    </row>
    <row r="270" spans="1:14" s="32" customFormat="1" ht="14.25" customHeight="1">
      <c r="A270" s="3" t="s">
        <v>641</v>
      </c>
      <c r="B270" s="40" t="s">
        <v>3216</v>
      </c>
      <c r="C270" s="214">
        <v>4058075647480</v>
      </c>
      <c r="D270" s="214"/>
      <c r="E270" s="215"/>
      <c r="F270" s="214"/>
      <c r="G270" s="66" t="str">
        <f>HYPERLINK("https://ledvance.com/pt/product-datasheet/8560/161642","Ficha de Produto")</f>
        <v>Ficha de Produto</v>
      </c>
      <c r="H270" s="34">
        <v>8</v>
      </c>
      <c r="I270" s="34" t="s">
        <v>789</v>
      </c>
      <c r="J270" s="34" t="s">
        <v>6117</v>
      </c>
      <c r="K270" s="34" t="s">
        <v>822</v>
      </c>
      <c r="L270" s="34" t="s">
        <v>765</v>
      </c>
      <c r="M270" s="30">
        <v>73.2</v>
      </c>
      <c r="N270" s="283" t="s">
        <v>721</v>
      </c>
    </row>
    <row r="271" spans="1:14" s="32" customFormat="1" ht="14.25" customHeight="1">
      <c r="A271" s="3" t="s">
        <v>641</v>
      </c>
      <c r="B271" s="40" t="s">
        <v>3217</v>
      </c>
      <c r="C271" s="214">
        <v>4058075647503</v>
      </c>
      <c r="D271" s="214"/>
      <c r="E271" s="215"/>
      <c r="F271" s="214"/>
      <c r="G271" s="66" t="str">
        <f>HYPERLINK("https://ledvance.com/pt/product-datasheet/8560/161644","Ficha de Produto")</f>
        <v>Ficha de Produto</v>
      </c>
      <c r="H271" s="34">
        <v>8</v>
      </c>
      <c r="I271" s="34" t="s">
        <v>789</v>
      </c>
      <c r="J271" s="34" t="s">
        <v>6117</v>
      </c>
      <c r="K271" s="34" t="s">
        <v>822</v>
      </c>
      <c r="L271" s="34" t="s">
        <v>765</v>
      </c>
      <c r="M271" s="30">
        <v>73.2</v>
      </c>
      <c r="N271" s="283" t="s">
        <v>721</v>
      </c>
    </row>
    <row r="272" spans="1:14" s="32" customFormat="1" ht="14.25" customHeight="1">
      <c r="A272" s="3" t="s">
        <v>641</v>
      </c>
      <c r="B272" s="40" t="s">
        <v>3218</v>
      </c>
      <c r="C272" s="214">
        <v>4058075647527</v>
      </c>
      <c r="D272" s="214"/>
      <c r="E272" s="215"/>
      <c r="F272" s="214"/>
      <c r="G272" s="66" t="str">
        <f>HYPERLINK("https://ledvance.com/pt/product-datasheet/8560/161646","Ficha de Produto")</f>
        <v>Ficha de Produto</v>
      </c>
      <c r="H272" s="34">
        <v>8</v>
      </c>
      <c r="I272" s="34" t="s">
        <v>789</v>
      </c>
      <c r="J272" s="34" t="s">
        <v>6117</v>
      </c>
      <c r="K272" s="34" t="s">
        <v>822</v>
      </c>
      <c r="L272" s="34" t="s">
        <v>765</v>
      </c>
      <c r="M272" s="30">
        <v>73.2</v>
      </c>
      <c r="N272" s="283" t="s">
        <v>721</v>
      </c>
    </row>
    <row r="273" spans="1:14" s="32" customFormat="1" ht="14.25" customHeight="1">
      <c r="A273" s="8" t="s">
        <v>641</v>
      </c>
      <c r="B273" s="227" t="s">
        <v>3207</v>
      </c>
      <c r="C273" s="7"/>
      <c r="D273" s="7"/>
      <c r="E273" s="7"/>
      <c r="F273" s="7"/>
      <c r="G273" s="68"/>
      <c r="H273" s="7"/>
      <c r="I273" s="7"/>
      <c r="J273" s="7"/>
      <c r="K273" s="7"/>
      <c r="L273" s="7"/>
      <c r="M273" s="7"/>
      <c r="N273" s="284"/>
    </row>
    <row r="274" spans="1:14" s="32" customFormat="1" ht="14.25" customHeight="1">
      <c r="A274" s="3" t="s">
        <v>641</v>
      </c>
      <c r="B274" s="40" t="s">
        <v>3219</v>
      </c>
      <c r="C274" s="214">
        <v>4058075647220</v>
      </c>
      <c r="D274" s="214"/>
      <c r="E274" s="215"/>
      <c r="F274" s="214"/>
      <c r="G274" s="66" t="str">
        <f>HYPERLINK("https://ledvance.com/pt/product-datasheet/8561/161616","Ficha de Produto")</f>
        <v>Ficha de Produto</v>
      </c>
      <c r="H274" s="34">
        <v>8</v>
      </c>
      <c r="I274" s="34" t="s">
        <v>827</v>
      </c>
      <c r="J274" s="34" t="s">
        <v>6139</v>
      </c>
      <c r="K274" s="34" t="s">
        <v>822</v>
      </c>
      <c r="L274" s="34" t="s">
        <v>765</v>
      </c>
      <c r="M274" s="30">
        <v>92.7</v>
      </c>
      <c r="N274" s="283" t="s">
        <v>721</v>
      </c>
    </row>
    <row r="275" spans="1:14" s="32" customFormat="1" ht="14.25" customHeight="1">
      <c r="A275" s="3" t="s">
        <v>641</v>
      </c>
      <c r="B275" s="40" t="s">
        <v>3220</v>
      </c>
      <c r="C275" s="214">
        <v>4058075647244</v>
      </c>
      <c r="D275" s="214"/>
      <c r="E275" s="215"/>
      <c r="F275" s="214"/>
      <c r="G275" s="66" t="str">
        <f>HYPERLINK("https://ledvance.com/pt/product-datasheet/8561/161618","Ficha de Produto")</f>
        <v>Ficha de Produto</v>
      </c>
      <c r="H275" s="34">
        <v>8</v>
      </c>
      <c r="I275" s="34" t="s">
        <v>827</v>
      </c>
      <c r="J275" s="34" t="s">
        <v>6139</v>
      </c>
      <c r="K275" s="34" t="s">
        <v>822</v>
      </c>
      <c r="L275" s="34" t="s">
        <v>765</v>
      </c>
      <c r="M275" s="30">
        <v>92.7</v>
      </c>
      <c r="N275" s="283" t="s">
        <v>721</v>
      </c>
    </row>
    <row r="276" spans="1:14" s="32" customFormat="1" ht="14.25" customHeight="1">
      <c r="A276" s="3" t="s">
        <v>641</v>
      </c>
      <c r="B276" s="40" t="s">
        <v>3221</v>
      </c>
      <c r="C276" s="214">
        <v>4058075647268</v>
      </c>
      <c r="D276" s="214"/>
      <c r="E276" s="215"/>
      <c r="F276" s="214"/>
      <c r="G276" s="66" t="str">
        <f>HYPERLINK("https://ledvance.com/pt/product-datasheet/8561/161620","Ficha de Produto")</f>
        <v>Ficha de Produto</v>
      </c>
      <c r="H276" s="34">
        <v>8</v>
      </c>
      <c r="I276" s="34" t="s">
        <v>827</v>
      </c>
      <c r="J276" s="34" t="s">
        <v>6139</v>
      </c>
      <c r="K276" s="34" t="s">
        <v>822</v>
      </c>
      <c r="L276" s="34" t="s">
        <v>765</v>
      </c>
      <c r="M276" s="30">
        <v>92.7</v>
      </c>
      <c r="N276" s="283" t="s">
        <v>721</v>
      </c>
    </row>
    <row r="277" spans="1:14" s="32" customFormat="1" ht="14.25" customHeight="1">
      <c r="A277" s="3" t="s">
        <v>641</v>
      </c>
      <c r="B277" s="40" t="s">
        <v>3222</v>
      </c>
      <c r="C277" s="214">
        <v>4058075647282</v>
      </c>
      <c r="D277" s="214"/>
      <c r="E277" s="215"/>
      <c r="F277" s="214"/>
      <c r="G277" s="66" t="str">
        <f>HYPERLINK("https://ledvance.com/pt/product-datasheet/8561/161622","Ficha de Produto")</f>
        <v>Ficha de Produto</v>
      </c>
      <c r="H277" s="34">
        <v>8</v>
      </c>
      <c r="I277" s="34" t="s">
        <v>827</v>
      </c>
      <c r="J277" s="34" t="s">
        <v>6139</v>
      </c>
      <c r="K277" s="34" t="s">
        <v>822</v>
      </c>
      <c r="L277" s="34" t="s">
        <v>765</v>
      </c>
      <c r="M277" s="30">
        <v>92.7</v>
      </c>
      <c r="N277" s="283" t="s">
        <v>721</v>
      </c>
    </row>
    <row r="278" spans="1:14" s="32" customFormat="1" ht="14.25" customHeight="1">
      <c r="A278" s="3" t="s">
        <v>641</v>
      </c>
      <c r="B278" s="40" t="s">
        <v>3223</v>
      </c>
      <c r="C278" s="214">
        <v>4058075647541</v>
      </c>
      <c r="D278" s="214"/>
      <c r="E278" s="215"/>
      <c r="F278" s="214"/>
      <c r="G278" s="66" t="str">
        <f>HYPERLINK("https://ledvance.com/pt/product-datasheet/8562/161648","Ficha de Produto")</f>
        <v>Ficha de Produto</v>
      </c>
      <c r="H278" s="34">
        <v>8</v>
      </c>
      <c r="I278" s="34" t="s">
        <v>789</v>
      </c>
      <c r="J278" s="34" t="s">
        <v>6117</v>
      </c>
      <c r="K278" s="34" t="s">
        <v>822</v>
      </c>
      <c r="L278" s="34" t="s">
        <v>765</v>
      </c>
      <c r="M278" s="30">
        <v>108.4</v>
      </c>
      <c r="N278" s="283" t="s">
        <v>721</v>
      </c>
    </row>
    <row r="279" spans="1:14" s="32" customFormat="1" ht="14.25" customHeight="1">
      <c r="A279" s="3" t="s">
        <v>641</v>
      </c>
      <c r="B279" s="40" t="s">
        <v>3224</v>
      </c>
      <c r="C279" s="214">
        <v>4058075647565</v>
      </c>
      <c r="D279" s="214"/>
      <c r="E279" s="215"/>
      <c r="F279" s="214"/>
      <c r="G279" s="66" t="str">
        <f>HYPERLINK("https://ledvance.com/pt/product-datasheet/8562/161650","Ficha de Produto")</f>
        <v>Ficha de Produto</v>
      </c>
      <c r="H279" s="34">
        <v>8</v>
      </c>
      <c r="I279" s="34" t="s">
        <v>789</v>
      </c>
      <c r="J279" s="34" t="s">
        <v>6117</v>
      </c>
      <c r="K279" s="34" t="s">
        <v>822</v>
      </c>
      <c r="L279" s="34" t="s">
        <v>765</v>
      </c>
      <c r="M279" s="30">
        <v>108.4</v>
      </c>
      <c r="N279" s="283" t="s">
        <v>721</v>
      </c>
    </row>
    <row r="280" spans="1:14" s="32" customFormat="1" ht="14.25" customHeight="1">
      <c r="A280" s="3" t="s">
        <v>641</v>
      </c>
      <c r="B280" s="40" t="s">
        <v>3225</v>
      </c>
      <c r="C280" s="214">
        <v>4058075647589</v>
      </c>
      <c r="D280" s="214"/>
      <c r="E280" s="215"/>
      <c r="F280" s="214"/>
      <c r="G280" s="66" t="str">
        <f>HYPERLINK("https://ledvance.com/pt/product-datasheet/8562/161652","Ficha de Produto")</f>
        <v>Ficha de Produto</v>
      </c>
      <c r="H280" s="34">
        <v>8</v>
      </c>
      <c r="I280" s="34" t="s">
        <v>789</v>
      </c>
      <c r="J280" s="34" t="s">
        <v>6117</v>
      </c>
      <c r="K280" s="34" t="s">
        <v>822</v>
      </c>
      <c r="L280" s="34" t="s">
        <v>765</v>
      </c>
      <c r="M280" s="30">
        <v>108.4</v>
      </c>
      <c r="N280" s="283" t="s">
        <v>721</v>
      </c>
    </row>
    <row r="281" spans="1:14" s="32" customFormat="1" ht="14.25" customHeight="1">
      <c r="A281" s="3" t="s">
        <v>641</v>
      </c>
      <c r="B281" s="40" t="s">
        <v>3226</v>
      </c>
      <c r="C281" s="214">
        <v>4058075647602</v>
      </c>
      <c r="D281" s="214"/>
      <c r="E281" s="215"/>
      <c r="F281" s="214"/>
      <c r="G281" s="66" t="str">
        <f>HYPERLINK("https://ledvance.com/pt/product-datasheet/8562/161654","Ficha de Produto")</f>
        <v>Ficha de Produto</v>
      </c>
      <c r="H281" s="34">
        <v>8</v>
      </c>
      <c r="I281" s="34" t="s">
        <v>789</v>
      </c>
      <c r="J281" s="34" t="s">
        <v>6117</v>
      </c>
      <c r="K281" s="34" t="s">
        <v>822</v>
      </c>
      <c r="L281" s="34" t="s">
        <v>765</v>
      </c>
      <c r="M281" s="30">
        <v>108.4</v>
      </c>
      <c r="N281" s="283" t="s">
        <v>721</v>
      </c>
    </row>
    <row r="282" spans="1:14" s="32" customFormat="1" ht="14.25" customHeight="1">
      <c r="A282" s="8" t="s">
        <v>641</v>
      </c>
      <c r="B282" s="227" t="s">
        <v>3208</v>
      </c>
      <c r="C282" s="7"/>
      <c r="D282" s="7"/>
      <c r="E282" s="7"/>
      <c r="F282" s="7"/>
      <c r="G282" s="68" t="s">
        <v>6505</v>
      </c>
      <c r="H282" s="7"/>
      <c r="I282" s="7"/>
      <c r="J282" s="7"/>
      <c r="K282" s="7"/>
      <c r="L282" s="7"/>
      <c r="M282" s="7"/>
      <c r="N282" s="284"/>
    </row>
    <row r="283" spans="1:14" s="32" customFormat="1" ht="14.25" customHeight="1">
      <c r="A283" s="3" t="s">
        <v>641</v>
      </c>
      <c r="B283" s="40" t="s">
        <v>3227</v>
      </c>
      <c r="C283" s="214">
        <v>4058075647305</v>
      </c>
      <c r="D283" s="214"/>
      <c r="E283" s="215"/>
      <c r="F283" s="214"/>
      <c r="G283" s="66" t="str">
        <f>HYPERLINK("https://ledvance.com/pt/product-datasheet/8563/161624","Ficha de Produto")</f>
        <v>Ficha de Produto</v>
      </c>
      <c r="H283" s="34">
        <v>8</v>
      </c>
      <c r="I283" s="34" t="s">
        <v>827</v>
      </c>
      <c r="J283" s="34" t="s">
        <v>6139</v>
      </c>
      <c r="K283" s="34" t="s">
        <v>822</v>
      </c>
      <c r="L283" s="34" t="s">
        <v>793</v>
      </c>
      <c r="M283" s="30">
        <v>212</v>
      </c>
      <c r="N283" s="283" t="s">
        <v>721</v>
      </c>
    </row>
    <row r="284" spans="1:14" s="32" customFormat="1" ht="14.25" customHeight="1">
      <c r="A284" s="3" t="s">
        <v>641</v>
      </c>
      <c r="B284" s="40" t="s">
        <v>3228</v>
      </c>
      <c r="C284" s="214">
        <v>4058075647329</v>
      </c>
      <c r="D284" s="214"/>
      <c r="E284" s="215"/>
      <c r="F284" s="214"/>
      <c r="G284" s="66" t="str">
        <f>HYPERLINK("https://ledvance.com/pt/product-datasheet/8563/161626","Ficha de Produto")</f>
        <v>Ficha de Produto</v>
      </c>
      <c r="H284" s="34">
        <v>8</v>
      </c>
      <c r="I284" s="34" t="s">
        <v>827</v>
      </c>
      <c r="J284" s="34" t="s">
        <v>6139</v>
      </c>
      <c r="K284" s="34" t="s">
        <v>822</v>
      </c>
      <c r="L284" s="34" t="s">
        <v>793</v>
      </c>
      <c r="M284" s="30">
        <v>212</v>
      </c>
      <c r="N284" s="283" t="s">
        <v>721</v>
      </c>
    </row>
    <row r="285" spans="1:14" s="32" customFormat="1" ht="14.25" customHeight="1">
      <c r="A285" s="3" t="s">
        <v>641</v>
      </c>
      <c r="B285" s="40" t="s">
        <v>3229</v>
      </c>
      <c r="C285" s="214">
        <v>4058075647343</v>
      </c>
      <c r="D285" s="214"/>
      <c r="E285" s="215"/>
      <c r="F285" s="214"/>
      <c r="G285" s="66" t="str">
        <f>HYPERLINK("https://ledvance.com/pt/product-datasheet/8563/161628","Ficha de Produto")</f>
        <v>Ficha de Produto</v>
      </c>
      <c r="H285" s="34">
        <v>8</v>
      </c>
      <c r="I285" s="34" t="s">
        <v>827</v>
      </c>
      <c r="J285" s="34" t="s">
        <v>6139</v>
      </c>
      <c r="K285" s="34" t="s">
        <v>822</v>
      </c>
      <c r="L285" s="34" t="s">
        <v>793</v>
      </c>
      <c r="M285" s="30">
        <v>212</v>
      </c>
      <c r="N285" s="283" t="s">
        <v>721</v>
      </c>
    </row>
    <row r="286" spans="1:14" s="32" customFormat="1" ht="14.25" customHeight="1">
      <c r="A286" s="3" t="s">
        <v>641</v>
      </c>
      <c r="B286" s="40" t="s">
        <v>3230</v>
      </c>
      <c r="C286" s="214">
        <v>4058075647367</v>
      </c>
      <c r="D286" s="214"/>
      <c r="E286" s="215"/>
      <c r="F286" s="214"/>
      <c r="G286" s="66" t="str">
        <f>HYPERLINK("https://ledvance.com/pt/product-datasheet/8563/161630","Ficha de Produto")</f>
        <v>Ficha de Produto</v>
      </c>
      <c r="H286" s="34">
        <v>8</v>
      </c>
      <c r="I286" s="34" t="s">
        <v>827</v>
      </c>
      <c r="J286" s="34" t="s">
        <v>6139</v>
      </c>
      <c r="K286" s="34" t="s">
        <v>822</v>
      </c>
      <c r="L286" s="34" t="s">
        <v>793</v>
      </c>
      <c r="M286" s="30">
        <v>212</v>
      </c>
      <c r="N286" s="283" t="s">
        <v>721</v>
      </c>
    </row>
    <row r="287" spans="1:14" s="32" customFormat="1" ht="14.25" customHeight="1">
      <c r="A287" s="3" t="s">
        <v>641</v>
      </c>
      <c r="B287" s="40" t="s">
        <v>3231</v>
      </c>
      <c r="C287" s="214">
        <v>4058075647626</v>
      </c>
      <c r="D287" s="214"/>
      <c r="E287" s="215"/>
      <c r="F287" s="214"/>
      <c r="G287" s="66" t="str">
        <f>HYPERLINK("https://ledvance.com/pt/product-datasheet/8564/161656","Ficha de Produto")</f>
        <v>Ficha de Produto</v>
      </c>
      <c r="H287" s="34">
        <v>8</v>
      </c>
      <c r="I287" s="34" t="s">
        <v>789</v>
      </c>
      <c r="J287" s="34" t="s">
        <v>6117</v>
      </c>
      <c r="K287" s="34" t="s">
        <v>822</v>
      </c>
      <c r="L287" s="34" t="s">
        <v>793</v>
      </c>
      <c r="M287" s="30">
        <v>235.5</v>
      </c>
      <c r="N287" s="283" t="s">
        <v>721</v>
      </c>
    </row>
    <row r="288" spans="1:14" s="32" customFormat="1" ht="14.25" customHeight="1">
      <c r="A288" s="3" t="s">
        <v>641</v>
      </c>
      <c r="B288" s="40" t="s">
        <v>3232</v>
      </c>
      <c r="C288" s="214">
        <v>4058075647640</v>
      </c>
      <c r="D288" s="214"/>
      <c r="E288" s="215"/>
      <c r="F288" s="214"/>
      <c r="G288" s="66" t="str">
        <f>HYPERLINK("https://ledvance.com/pt/product-datasheet/8564/161658","Ficha de Produto")</f>
        <v>Ficha de Produto</v>
      </c>
      <c r="H288" s="34">
        <v>8</v>
      </c>
      <c r="I288" s="34" t="s">
        <v>789</v>
      </c>
      <c r="J288" s="34" t="s">
        <v>6117</v>
      </c>
      <c r="K288" s="34" t="s">
        <v>822</v>
      </c>
      <c r="L288" s="34" t="s">
        <v>793</v>
      </c>
      <c r="M288" s="30">
        <v>235.5</v>
      </c>
      <c r="N288" s="283" t="s">
        <v>721</v>
      </c>
    </row>
    <row r="289" spans="1:14" s="32" customFormat="1" ht="14.25" customHeight="1">
      <c r="A289" s="3" t="s">
        <v>641</v>
      </c>
      <c r="B289" s="40" t="s">
        <v>3233</v>
      </c>
      <c r="C289" s="214">
        <v>4058075647664</v>
      </c>
      <c r="D289" s="214"/>
      <c r="E289" s="215"/>
      <c r="F289" s="214"/>
      <c r="G289" s="66" t="str">
        <f>HYPERLINK("https://ledvance.com/pt/product-datasheet/8564/161660","Ficha de Produto")</f>
        <v>Ficha de Produto</v>
      </c>
      <c r="H289" s="34">
        <v>8</v>
      </c>
      <c r="I289" s="34" t="s">
        <v>789</v>
      </c>
      <c r="J289" s="34" t="s">
        <v>6117</v>
      </c>
      <c r="K289" s="34" t="s">
        <v>822</v>
      </c>
      <c r="L289" s="34" t="s">
        <v>793</v>
      </c>
      <c r="M289" s="30">
        <v>235.5</v>
      </c>
      <c r="N289" s="283" t="s">
        <v>721</v>
      </c>
    </row>
    <row r="290" spans="1:14" s="32" customFormat="1" ht="14.25" customHeight="1">
      <c r="A290" s="3" t="s">
        <v>641</v>
      </c>
      <c r="B290" s="40" t="s">
        <v>3234</v>
      </c>
      <c r="C290" s="214">
        <v>4058075647688</v>
      </c>
      <c r="D290" s="214"/>
      <c r="E290" s="215"/>
      <c r="F290" s="214"/>
      <c r="G290" s="66" t="str">
        <f>HYPERLINK("https://ledvance.com/pt/product-datasheet/8564/161662","Ficha de Produto")</f>
        <v>Ficha de Produto</v>
      </c>
      <c r="H290" s="34">
        <v>8</v>
      </c>
      <c r="I290" s="34" t="s">
        <v>789</v>
      </c>
      <c r="J290" s="34" t="s">
        <v>6117</v>
      </c>
      <c r="K290" s="34" t="s">
        <v>822</v>
      </c>
      <c r="L290" s="34" t="s">
        <v>793</v>
      </c>
      <c r="M290" s="30">
        <v>235.5</v>
      </c>
      <c r="N290" s="283" t="s">
        <v>721</v>
      </c>
    </row>
    <row r="291" spans="1:14" s="32" customFormat="1" ht="14.25" customHeight="1">
      <c r="A291" s="8" t="s">
        <v>641</v>
      </c>
      <c r="B291" s="227" t="s">
        <v>3209</v>
      </c>
      <c r="C291" s="7"/>
      <c r="D291" s="7"/>
      <c r="E291" s="7"/>
      <c r="F291" s="7"/>
      <c r="G291" s="68"/>
      <c r="H291" s="7"/>
      <c r="I291" s="7"/>
      <c r="J291" s="7"/>
      <c r="K291" s="7"/>
      <c r="L291" s="7"/>
      <c r="M291" s="7"/>
      <c r="N291" s="284"/>
    </row>
    <row r="292" spans="1:14" s="32" customFormat="1" ht="14.25" customHeight="1">
      <c r="A292" s="3" t="s">
        <v>641</v>
      </c>
      <c r="B292" s="40" t="s">
        <v>690</v>
      </c>
      <c r="C292" s="214">
        <v>4058075647381</v>
      </c>
      <c r="D292" s="214"/>
      <c r="E292" s="215"/>
      <c r="F292" s="214"/>
      <c r="G292" s="66" t="str">
        <f>HYPERLINK("https://ledvance.com/pt/product-datasheet/8565/161632","Ficha de Produto")</f>
        <v>Ficha de Produto</v>
      </c>
      <c r="H292" s="34">
        <v>8</v>
      </c>
      <c r="I292" s="34" t="s">
        <v>827</v>
      </c>
      <c r="J292" s="34" t="s">
        <v>6139</v>
      </c>
      <c r="K292" s="34" t="s">
        <v>822</v>
      </c>
      <c r="L292" s="34" t="s">
        <v>793</v>
      </c>
      <c r="M292" s="30">
        <v>238.1</v>
      </c>
      <c r="N292" s="283" t="s">
        <v>721</v>
      </c>
    </row>
    <row r="293" spans="1:14" s="32" customFormat="1" ht="14.25" customHeight="1">
      <c r="A293" s="3" t="s">
        <v>641</v>
      </c>
      <c r="B293" s="40" t="s">
        <v>691</v>
      </c>
      <c r="C293" s="214">
        <v>4058075647404</v>
      </c>
      <c r="D293" s="214"/>
      <c r="E293" s="215"/>
      <c r="F293" s="214"/>
      <c r="G293" s="66" t="str">
        <f>HYPERLINK("https://ledvance.com/pt/product-datasheet/8565/161634","Ficha de Produto")</f>
        <v>Ficha de Produto</v>
      </c>
      <c r="H293" s="34">
        <v>8</v>
      </c>
      <c r="I293" s="34" t="s">
        <v>827</v>
      </c>
      <c r="J293" s="34" t="s">
        <v>6139</v>
      </c>
      <c r="K293" s="34" t="s">
        <v>822</v>
      </c>
      <c r="L293" s="34" t="s">
        <v>793</v>
      </c>
      <c r="M293" s="30">
        <v>238.1</v>
      </c>
      <c r="N293" s="283" t="s">
        <v>721</v>
      </c>
    </row>
    <row r="294" spans="1:14" s="32" customFormat="1" ht="14.25" customHeight="1">
      <c r="A294" s="3" t="s">
        <v>641</v>
      </c>
      <c r="B294" s="40" t="s">
        <v>692</v>
      </c>
      <c r="C294" s="214">
        <v>4058075647428</v>
      </c>
      <c r="D294" s="214"/>
      <c r="E294" s="215"/>
      <c r="F294" s="214"/>
      <c r="G294" s="66" t="str">
        <f>HYPERLINK("https://ledvance.com/pt/product-datasheet/8565/161636","Ficha de Produto")</f>
        <v>Ficha de Produto</v>
      </c>
      <c r="H294" s="34">
        <v>8</v>
      </c>
      <c r="I294" s="34" t="s">
        <v>827</v>
      </c>
      <c r="J294" s="34" t="s">
        <v>6139</v>
      </c>
      <c r="K294" s="34" t="s">
        <v>822</v>
      </c>
      <c r="L294" s="34" t="s">
        <v>793</v>
      </c>
      <c r="M294" s="30">
        <v>238.1</v>
      </c>
      <c r="N294" s="283" t="s">
        <v>721</v>
      </c>
    </row>
    <row r="295" spans="1:14" s="32" customFormat="1" ht="14.25" customHeight="1">
      <c r="A295" s="3" t="s">
        <v>641</v>
      </c>
      <c r="B295" s="40" t="s">
        <v>693</v>
      </c>
      <c r="C295" s="214">
        <v>4058075647442</v>
      </c>
      <c r="D295" s="214"/>
      <c r="E295" s="215"/>
      <c r="F295" s="214"/>
      <c r="G295" s="66" t="str">
        <f>HYPERLINK("https://ledvance.com/pt/product-datasheet/8565/161638","Ficha de Produto")</f>
        <v>Ficha de Produto</v>
      </c>
      <c r="H295" s="34">
        <v>8</v>
      </c>
      <c r="I295" s="34" t="s">
        <v>827</v>
      </c>
      <c r="J295" s="34" t="s">
        <v>6139</v>
      </c>
      <c r="K295" s="34" t="s">
        <v>822</v>
      </c>
      <c r="L295" s="34" t="s">
        <v>793</v>
      </c>
      <c r="M295" s="30">
        <v>238.1</v>
      </c>
      <c r="N295" s="283" t="s">
        <v>721</v>
      </c>
    </row>
    <row r="296" spans="1:14" s="32" customFormat="1" ht="14.25" customHeight="1">
      <c r="A296" s="3" t="s">
        <v>641</v>
      </c>
      <c r="B296" s="40" t="s">
        <v>694</v>
      </c>
      <c r="C296" s="214">
        <v>4058075647701</v>
      </c>
      <c r="D296" s="214"/>
      <c r="E296" s="215"/>
      <c r="F296" s="214"/>
      <c r="G296" s="66" t="str">
        <f>HYPERLINK("https://ledvance.com/pt/product-datasheet/8566/161664","Ficha de Produto")</f>
        <v>Ficha de Produto</v>
      </c>
      <c r="H296" s="34">
        <v>8</v>
      </c>
      <c r="I296" s="34" t="s">
        <v>789</v>
      </c>
      <c r="J296" s="34" t="s">
        <v>6117</v>
      </c>
      <c r="K296" s="34" t="s">
        <v>822</v>
      </c>
      <c r="L296" s="34" t="s">
        <v>793</v>
      </c>
      <c r="M296" s="30">
        <v>256.10000000000002</v>
      </c>
      <c r="N296" s="283" t="s">
        <v>721</v>
      </c>
    </row>
    <row r="297" spans="1:14" s="32" customFormat="1" ht="14.25" customHeight="1">
      <c r="A297" s="3" t="s">
        <v>641</v>
      </c>
      <c r="B297" s="40" t="s">
        <v>695</v>
      </c>
      <c r="C297" s="214">
        <v>4058075647725</v>
      </c>
      <c r="D297" s="214"/>
      <c r="E297" s="215"/>
      <c r="F297" s="214"/>
      <c r="G297" s="66" t="str">
        <f>HYPERLINK("https://ledvance.com/pt/product-datasheet/8566/161666","Ficha de Produto")</f>
        <v>Ficha de Produto</v>
      </c>
      <c r="H297" s="34">
        <v>8</v>
      </c>
      <c r="I297" s="34" t="s">
        <v>789</v>
      </c>
      <c r="J297" s="34" t="s">
        <v>6117</v>
      </c>
      <c r="K297" s="34" t="s">
        <v>822</v>
      </c>
      <c r="L297" s="34" t="s">
        <v>793</v>
      </c>
      <c r="M297" s="30">
        <v>256.10000000000002</v>
      </c>
      <c r="N297" s="283" t="s">
        <v>721</v>
      </c>
    </row>
    <row r="298" spans="1:14" s="32" customFormat="1" ht="14.25" customHeight="1">
      <c r="A298" s="3" t="s">
        <v>641</v>
      </c>
      <c r="B298" s="40" t="s">
        <v>696</v>
      </c>
      <c r="C298" s="214">
        <v>4058075647749</v>
      </c>
      <c r="D298" s="214"/>
      <c r="E298" s="215"/>
      <c r="F298" s="214"/>
      <c r="G298" s="66" t="str">
        <f>HYPERLINK("https://ledvance.com/pt/product-datasheet/8566/161668","Ficha de Produto")</f>
        <v>Ficha de Produto</v>
      </c>
      <c r="H298" s="34">
        <v>8</v>
      </c>
      <c r="I298" s="34" t="s">
        <v>789</v>
      </c>
      <c r="J298" s="34" t="s">
        <v>6117</v>
      </c>
      <c r="K298" s="34" t="s">
        <v>822</v>
      </c>
      <c r="L298" s="34" t="s">
        <v>793</v>
      </c>
      <c r="M298" s="30">
        <v>256.10000000000002</v>
      </c>
      <c r="N298" s="283" t="s">
        <v>721</v>
      </c>
    </row>
    <row r="299" spans="1:14" s="32" customFormat="1" ht="14.25" customHeight="1">
      <c r="A299" s="3" t="s">
        <v>641</v>
      </c>
      <c r="B299" s="40" t="s">
        <v>697</v>
      </c>
      <c r="C299" s="214">
        <v>4058075647763</v>
      </c>
      <c r="D299" s="214"/>
      <c r="E299" s="215"/>
      <c r="F299" s="214"/>
      <c r="G299" s="66" t="str">
        <f>HYPERLINK("https://ledvance.com/pt/product-datasheet/8566/161670","Ficha de Produto")</f>
        <v>Ficha de Produto</v>
      </c>
      <c r="H299" s="34">
        <v>8</v>
      </c>
      <c r="I299" s="34" t="s">
        <v>789</v>
      </c>
      <c r="J299" s="34" t="s">
        <v>6117</v>
      </c>
      <c r="K299" s="34" t="s">
        <v>822</v>
      </c>
      <c r="L299" s="34" t="s">
        <v>793</v>
      </c>
      <c r="M299" s="30">
        <v>256.10000000000002</v>
      </c>
      <c r="N299" s="283" t="s">
        <v>721</v>
      </c>
    </row>
    <row r="300" spans="1:14" s="32" customFormat="1" ht="14.25" customHeight="1">
      <c r="A300" s="8" t="s">
        <v>1114</v>
      </c>
      <c r="B300" s="227" t="s">
        <v>3210</v>
      </c>
      <c r="C300" s="7"/>
      <c r="D300" s="7"/>
      <c r="E300" s="7"/>
      <c r="F300" s="7"/>
      <c r="G300" s="68" t="s">
        <v>6505</v>
      </c>
      <c r="H300" s="7"/>
      <c r="I300" s="7"/>
      <c r="J300" s="7"/>
      <c r="K300" s="7"/>
      <c r="L300" s="7"/>
      <c r="M300" s="7"/>
      <c r="N300" s="284"/>
    </row>
    <row r="301" spans="1:14" s="32" customFormat="1" ht="14.25" customHeight="1">
      <c r="A301" s="3" t="s">
        <v>1114</v>
      </c>
      <c r="B301" s="36" t="s">
        <v>3235</v>
      </c>
      <c r="C301" s="214">
        <v>4058075399334</v>
      </c>
      <c r="D301" s="214"/>
      <c r="E301" s="215"/>
      <c r="F301" s="214"/>
      <c r="G301" s="66" t="str">
        <f>HYPERLINK("https://ledvance.com/pt/product-datasheet/8568/130328","Ficha de Produto")</f>
        <v>Ficha de Produto</v>
      </c>
      <c r="H301" s="34">
        <v>8</v>
      </c>
      <c r="I301" s="217" t="s">
        <v>1201</v>
      </c>
      <c r="J301" s="217" t="s">
        <v>1201</v>
      </c>
      <c r="K301" s="217" t="s">
        <v>1201</v>
      </c>
      <c r="L301" s="34" t="s">
        <v>800</v>
      </c>
      <c r="M301" s="30">
        <v>20.3</v>
      </c>
      <c r="N301" s="283" t="s">
        <v>721</v>
      </c>
    </row>
    <row r="302" spans="1:14" s="32" customFormat="1" ht="14.25" customHeight="1">
      <c r="A302" s="3" t="s">
        <v>1114</v>
      </c>
      <c r="B302" s="36" t="s">
        <v>3236</v>
      </c>
      <c r="C302" s="214">
        <v>4058075399358</v>
      </c>
      <c r="D302" s="214"/>
      <c r="E302" s="215"/>
      <c r="F302" s="214"/>
      <c r="G302" s="66" t="str">
        <f>HYPERLINK("https://ledvance.com/pt/product-datasheet/8568/130331","Ficha de Produto")</f>
        <v>Ficha de Produto</v>
      </c>
      <c r="H302" s="34">
        <v>8</v>
      </c>
      <c r="I302" s="217" t="s">
        <v>1201</v>
      </c>
      <c r="J302" s="217" t="s">
        <v>1201</v>
      </c>
      <c r="K302" s="217" t="s">
        <v>1201</v>
      </c>
      <c r="L302" s="34" t="s">
        <v>800</v>
      </c>
      <c r="M302" s="30">
        <v>20.3</v>
      </c>
      <c r="N302" s="283" t="s">
        <v>721</v>
      </c>
    </row>
    <row r="303" spans="1:14" s="32" customFormat="1" ht="14.25" customHeight="1">
      <c r="A303" s="3" t="s">
        <v>1114</v>
      </c>
      <c r="B303" s="36" t="s">
        <v>3237</v>
      </c>
      <c r="C303" s="214">
        <v>4058075399372</v>
      </c>
      <c r="D303" s="214"/>
      <c r="E303" s="215"/>
      <c r="F303" s="214"/>
      <c r="G303" s="66" t="str">
        <f>HYPERLINK("https://ledvance.com/pt/product-datasheet/8568/130334","Ficha de Produto")</f>
        <v>Ficha de Produto</v>
      </c>
      <c r="H303" s="34">
        <v>8</v>
      </c>
      <c r="I303" s="217" t="s">
        <v>1201</v>
      </c>
      <c r="J303" s="217" t="s">
        <v>1201</v>
      </c>
      <c r="K303" s="217" t="s">
        <v>1201</v>
      </c>
      <c r="L303" s="34" t="s">
        <v>800</v>
      </c>
      <c r="M303" s="30">
        <v>23.6</v>
      </c>
      <c r="N303" s="283" t="s">
        <v>721</v>
      </c>
    </row>
    <row r="304" spans="1:14" s="32" customFormat="1" ht="14.25" customHeight="1">
      <c r="A304" s="3" t="s">
        <v>1114</v>
      </c>
      <c r="B304" s="36" t="s">
        <v>3238</v>
      </c>
      <c r="C304" s="214">
        <v>4058075399396</v>
      </c>
      <c r="D304" s="214"/>
      <c r="E304" s="215"/>
      <c r="F304" s="214"/>
      <c r="G304" s="66" t="str">
        <f>HYPERLINK("https://ledvance.com/pt/product-datasheet/8568/130337","Ficha de Produto")</f>
        <v>Ficha de Produto</v>
      </c>
      <c r="H304" s="34">
        <v>8</v>
      </c>
      <c r="I304" s="217" t="s">
        <v>1201</v>
      </c>
      <c r="J304" s="217" t="s">
        <v>1201</v>
      </c>
      <c r="K304" s="217" t="s">
        <v>1201</v>
      </c>
      <c r="L304" s="34" t="s">
        <v>800</v>
      </c>
      <c r="M304" s="30">
        <v>23.6</v>
      </c>
      <c r="N304" s="283" t="s">
        <v>721</v>
      </c>
    </row>
    <row r="305" spans="1:14" s="32" customFormat="1" ht="14.25" customHeight="1">
      <c r="A305" s="3" t="s">
        <v>1114</v>
      </c>
      <c r="B305" s="36" t="s">
        <v>3239</v>
      </c>
      <c r="C305" s="214">
        <v>4058075375482</v>
      </c>
      <c r="D305" s="214"/>
      <c r="E305" s="215"/>
      <c r="F305" s="214"/>
      <c r="G305" s="66" t="str">
        <f>HYPERLINK("https://ledvance.com/pt/product-datasheet/8567/133530","Ficha de Produto")</f>
        <v>Ficha de Produto</v>
      </c>
      <c r="H305" s="34">
        <v>8</v>
      </c>
      <c r="I305" s="217" t="s">
        <v>1201</v>
      </c>
      <c r="J305" s="217" t="s">
        <v>1201</v>
      </c>
      <c r="K305" s="217" t="s">
        <v>1201</v>
      </c>
      <c r="L305" s="34" t="s">
        <v>800</v>
      </c>
      <c r="M305" s="30">
        <v>26.9</v>
      </c>
      <c r="N305" s="283" t="s">
        <v>721</v>
      </c>
    </row>
    <row r="306" spans="1:14" s="32" customFormat="1" ht="14.25" customHeight="1">
      <c r="A306" s="3" t="s">
        <v>1114</v>
      </c>
      <c r="B306" s="36" t="s">
        <v>3240</v>
      </c>
      <c r="C306" s="214">
        <v>4058075375505</v>
      </c>
      <c r="D306" s="214"/>
      <c r="E306" s="215"/>
      <c r="F306" s="214"/>
      <c r="G306" s="66" t="str">
        <f>HYPERLINK("https://ledvance.com/pt/product-datasheet/8567/133533","Ficha de Produto")</f>
        <v>Ficha de Produto</v>
      </c>
      <c r="H306" s="34">
        <v>8</v>
      </c>
      <c r="I306" s="217" t="s">
        <v>1201</v>
      </c>
      <c r="J306" s="217" t="s">
        <v>1201</v>
      </c>
      <c r="K306" s="217" t="s">
        <v>1201</v>
      </c>
      <c r="L306" s="34" t="s">
        <v>800</v>
      </c>
      <c r="M306" s="30">
        <v>26.9</v>
      </c>
      <c r="N306" s="283" t="s">
        <v>721</v>
      </c>
    </row>
    <row r="307" spans="1:14" s="32" customFormat="1" ht="14.25" customHeight="1">
      <c r="A307" s="3" t="s">
        <v>1114</v>
      </c>
      <c r="B307" s="36" t="s">
        <v>3241</v>
      </c>
      <c r="C307" s="214">
        <v>4058075375529</v>
      </c>
      <c r="D307" s="214"/>
      <c r="E307" s="215"/>
      <c r="F307" s="214"/>
      <c r="G307" s="66" t="str">
        <f>HYPERLINK("https://ledvance.com/pt/product-datasheet/8567/133536","Ficha de Produto")</f>
        <v>Ficha de Produto</v>
      </c>
      <c r="H307" s="34">
        <v>8</v>
      </c>
      <c r="I307" s="217" t="s">
        <v>1201</v>
      </c>
      <c r="J307" s="217" t="s">
        <v>1201</v>
      </c>
      <c r="K307" s="217" t="s">
        <v>1201</v>
      </c>
      <c r="L307" s="34" t="s">
        <v>800</v>
      </c>
      <c r="M307" s="30">
        <v>30.2</v>
      </c>
      <c r="N307" s="283" t="s">
        <v>721</v>
      </c>
    </row>
    <row r="308" spans="1:14" s="32" customFormat="1" ht="14.25" customHeight="1">
      <c r="A308" s="3" t="s">
        <v>1114</v>
      </c>
      <c r="B308" s="36" t="s">
        <v>3242</v>
      </c>
      <c r="C308" s="214">
        <v>4058075375543</v>
      </c>
      <c r="D308" s="214"/>
      <c r="E308" s="215"/>
      <c r="F308" s="214"/>
      <c r="G308" s="66" t="str">
        <f>HYPERLINK("https://ledvance.com/pt/product-datasheet/8567/133539","Ficha de Produto")</f>
        <v>Ficha de Produto</v>
      </c>
      <c r="H308" s="34">
        <v>8</v>
      </c>
      <c r="I308" s="217" t="s">
        <v>1201</v>
      </c>
      <c r="J308" s="217" t="s">
        <v>1201</v>
      </c>
      <c r="K308" s="217" t="s">
        <v>1201</v>
      </c>
      <c r="L308" s="34" t="s">
        <v>800</v>
      </c>
      <c r="M308" s="30">
        <v>30.2</v>
      </c>
      <c r="N308" s="283" t="s">
        <v>721</v>
      </c>
    </row>
    <row r="309" spans="1:14" s="32" customFormat="1" ht="14.25" customHeight="1">
      <c r="A309" s="8" t="s">
        <v>641</v>
      </c>
      <c r="B309" s="227" t="s">
        <v>651</v>
      </c>
      <c r="C309" s="7"/>
      <c r="D309" s="7"/>
      <c r="E309" s="7"/>
      <c r="F309" s="7"/>
      <c r="G309" s="68"/>
      <c r="H309" s="7"/>
      <c r="I309" s="7"/>
      <c r="J309" s="7"/>
      <c r="K309" s="7"/>
      <c r="L309" s="7"/>
      <c r="M309" s="7"/>
      <c r="N309" s="284"/>
    </row>
    <row r="310" spans="1:14" s="32" customFormat="1" ht="14.25" customHeight="1">
      <c r="A310" s="3" t="s">
        <v>641</v>
      </c>
      <c r="B310" s="36" t="s">
        <v>3243</v>
      </c>
      <c r="C310" s="214">
        <v>4058075201132</v>
      </c>
      <c r="D310" s="214"/>
      <c r="E310" s="215"/>
      <c r="F310" s="214"/>
      <c r="G310" s="66" t="str">
        <f>HYPERLINK("https://ledvance.com/pt/product-datasheet/8591/136412","Ficha de Produto")</f>
        <v>Ficha de Produto</v>
      </c>
      <c r="H310" s="34">
        <v>3</v>
      </c>
      <c r="I310" s="34" t="s">
        <v>828</v>
      </c>
      <c r="J310" s="34" t="s">
        <v>6140</v>
      </c>
      <c r="K310" s="34" t="s">
        <v>829</v>
      </c>
      <c r="L310" s="34" t="s">
        <v>765</v>
      </c>
      <c r="M310" s="30">
        <v>165</v>
      </c>
      <c r="N310" s="283" t="s">
        <v>721</v>
      </c>
    </row>
    <row r="311" spans="1:14" s="32" customFormat="1" ht="14.25" customHeight="1">
      <c r="A311" s="3" t="s">
        <v>641</v>
      </c>
      <c r="B311" s="36" t="s">
        <v>3244</v>
      </c>
      <c r="C311" s="214">
        <v>4058075201156</v>
      </c>
      <c r="D311" s="214"/>
      <c r="E311" s="215"/>
      <c r="F311" s="214"/>
      <c r="G311" s="66" t="str">
        <f>HYPERLINK("https://ledvance.com/pt/product-datasheet/8591/136448","Ficha de Produto")</f>
        <v>Ficha de Produto</v>
      </c>
      <c r="H311" s="34">
        <v>3</v>
      </c>
      <c r="I311" s="34" t="s">
        <v>815</v>
      </c>
      <c r="J311" s="34" t="s">
        <v>6140</v>
      </c>
      <c r="K311" s="34" t="s">
        <v>829</v>
      </c>
      <c r="L311" s="34" t="s">
        <v>765</v>
      </c>
      <c r="M311" s="30">
        <v>165</v>
      </c>
      <c r="N311" s="283" t="s">
        <v>721</v>
      </c>
    </row>
    <row r="312" spans="1:14" s="32" customFormat="1" ht="14.25" customHeight="1">
      <c r="A312" s="3" t="s">
        <v>641</v>
      </c>
      <c r="B312" s="36" t="s">
        <v>3245</v>
      </c>
      <c r="C312" s="214">
        <v>4058075503885</v>
      </c>
      <c r="D312" s="214"/>
      <c r="E312" s="215"/>
      <c r="F312" s="214"/>
      <c r="G312" s="66" t="str">
        <f>HYPERLINK("https://ledvance.com/pt/product-datasheet/141835/126476","Ficha de Produto")</f>
        <v>Ficha de Produto</v>
      </c>
      <c r="H312" s="34">
        <v>3</v>
      </c>
      <c r="I312" s="34" t="s">
        <v>828</v>
      </c>
      <c r="J312" s="34" t="s">
        <v>6140</v>
      </c>
      <c r="K312" s="34" t="s">
        <v>829</v>
      </c>
      <c r="L312" s="34" t="s">
        <v>765</v>
      </c>
      <c r="M312" s="30">
        <v>250</v>
      </c>
      <c r="N312" s="283" t="s">
        <v>721</v>
      </c>
    </row>
    <row r="313" spans="1:14" s="32" customFormat="1" ht="14.25" customHeight="1">
      <c r="A313" s="3" t="s">
        <v>641</v>
      </c>
      <c r="B313" s="36" t="s">
        <v>3246</v>
      </c>
      <c r="C313" s="214">
        <v>4058075503861</v>
      </c>
      <c r="D313" s="214"/>
      <c r="E313" s="215"/>
      <c r="F313" s="214"/>
      <c r="G313" s="66" t="str">
        <f>HYPERLINK("https://ledvance.com/pt/product-datasheet/141835/131443","Ficha de Produto")</f>
        <v>Ficha de Produto</v>
      </c>
      <c r="H313" s="34">
        <v>3</v>
      </c>
      <c r="I313" s="34" t="s">
        <v>815</v>
      </c>
      <c r="J313" s="34" t="s">
        <v>6140</v>
      </c>
      <c r="K313" s="34" t="s">
        <v>829</v>
      </c>
      <c r="L313" s="34" t="s">
        <v>765</v>
      </c>
      <c r="M313" s="30">
        <v>250</v>
      </c>
      <c r="N313" s="283" t="s">
        <v>721</v>
      </c>
    </row>
    <row r="314" spans="1:14" s="32" customFormat="1" ht="14.25" customHeight="1">
      <c r="A314" s="3" t="s">
        <v>641</v>
      </c>
      <c r="B314" s="36" t="s">
        <v>3247</v>
      </c>
      <c r="C314" s="214">
        <v>4058075521841</v>
      </c>
      <c r="D314" s="214"/>
      <c r="E314" s="215"/>
      <c r="F314" s="216"/>
      <c r="G314" s="66" t="str">
        <f>HYPERLINK("https://ledvance.com/pt/product-datasheet/141836/36172","Ficha de Produto")</f>
        <v>Ficha de Produto</v>
      </c>
      <c r="H314" s="34">
        <v>3</v>
      </c>
      <c r="I314" s="34" t="s">
        <v>815</v>
      </c>
      <c r="J314" s="34" t="s">
        <v>6140</v>
      </c>
      <c r="K314" s="34" t="s">
        <v>833</v>
      </c>
      <c r="L314" s="34" t="s">
        <v>765</v>
      </c>
      <c r="M314" s="30">
        <v>252.5</v>
      </c>
      <c r="N314" s="283" t="s">
        <v>721</v>
      </c>
    </row>
    <row r="315" spans="1:14" s="32" customFormat="1" ht="14.25" customHeight="1">
      <c r="A315" s="8" t="s">
        <v>641</v>
      </c>
      <c r="B315" s="227" t="s">
        <v>652</v>
      </c>
      <c r="C315" s="7"/>
      <c r="D315" s="7"/>
      <c r="E315" s="7"/>
      <c r="F315" s="7"/>
      <c r="G315" s="68" t="s">
        <v>6505</v>
      </c>
      <c r="H315" s="7"/>
      <c r="I315" s="7"/>
      <c r="J315" s="7"/>
      <c r="K315" s="7"/>
      <c r="L315" s="7"/>
      <c r="M315" s="7"/>
      <c r="N315" s="284"/>
    </row>
    <row r="316" spans="1:14" s="32" customFormat="1" ht="14.25" customHeight="1">
      <c r="A316" s="3" t="s">
        <v>641</v>
      </c>
      <c r="B316" s="36" t="s">
        <v>3248</v>
      </c>
      <c r="C316" s="214">
        <v>4058075201293</v>
      </c>
      <c r="D316" s="214"/>
      <c r="E316" s="215"/>
      <c r="F316" s="214"/>
      <c r="G316" s="66" t="str">
        <f>HYPERLINK("https://ledvance.com/pt/product-datasheet/9008/136436","Ficha de Produto")</f>
        <v>Ficha de Produto</v>
      </c>
      <c r="H316" s="34">
        <v>4</v>
      </c>
      <c r="I316" s="34" t="s">
        <v>828</v>
      </c>
      <c r="J316" s="34" t="s">
        <v>6140</v>
      </c>
      <c r="K316" s="34" t="s">
        <v>829</v>
      </c>
      <c r="L316" s="34" t="s">
        <v>793</v>
      </c>
      <c r="M316" s="30">
        <v>320</v>
      </c>
      <c r="N316" s="283" t="s">
        <v>721</v>
      </c>
    </row>
    <row r="317" spans="1:14" s="32" customFormat="1" ht="14.25" customHeight="1">
      <c r="A317" s="3" t="s">
        <v>641</v>
      </c>
      <c r="B317" s="36" t="s">
        <v>3249</v>
      </c>
      <c r="C317" s="214">
        <v>4058075201316</v>
      </c>
      <c r="D317" s="214"/>
      <c r="E317" s="215"/>
      <c r="F317" s="214"/>
      <c r="G317" s="66" t="str">
        <f>HYPERLINK("https://ledvance.com/pt/product-datasheet/8595/136439","Ficha de Produto")</f>
        <v>Ficha de Produto</v>
      </c>
      <c r="H317" s="34">
        <v>4</v>
      </c>
      <c r="I317" s="34" t="s">
        <v>815</v>
      </c>
      <c r="J317" s="34" t="s">
        <v>6140</v>
      </c>
      <c r="K317" s="34" t="s">
        <v>829</v>
      </c>
      <c r="L317" s="34" t="s">
        <v>793</v>
      </c>
      <c r="M317" s="30">
        <v>320</v>
      </c>
      <c r="N317" s="283" t="s">
        <v>721</v>
      </c>
    </row>
    <row r="318" spans="1:14" s="32" customFormat="1" ht="14.25" customHeight="1">
      <c r="A318" s="8" t="s">
        <v>641</v>
      </c>
      <c r="B318" s="227" t="s">
        <v>3161</v>
      </c>
      <c r="C318" s="7"/>
      <c r="D318" s="7"/>
      <c r="E318" s="7"/>
      <c r="F318" s="7"/>
      <c r="G318" s="68" t="s">
        <v>6505</v>
      </c>
      <c r="H318" s="7"/>
      <c r="I318" s="7"/>
      <c r="J318" s="7"/>
      <c r="K318" s="7"/>
      <c r="L318" s="7"/>
      <c r="M318" s="7"/>
      <c r="N318" s="284"/>
    </row>
    <row r="319" spans="1:14" s="32" customFormat="1" ht="14.25" customHeight="1">
      <c r="A319" s="3" t="s">
        <v>641</v>
      </c>
      <c r="B319" s="36" t="s">
        <v>1944</v>
      </c>
      <c r="C319" s="218">
        <v>4099854082863</v>
      </c>
      <c r="D319" s="224">
        <v>4058075149489</v>
      </c>
      <c r="E319" s="225" t="s">
        <v>1441</v>
      </c>
      <c r="F319" s="214"/>
      <c r="G319" s="66" t="str">
        <f>HYPERLINK("https://ledvance.com/pt/product-datasheet/266444/244026","Ficha de Produto")</f>
        <v>Ficha de Produto</v>
      </c>
      <c r="H319" s="34">
        <v>4</v>
      </c>
      <c r="I319" s="34" t="s">
        <v>6141</v>
      </c>
      <c r="J319" s="34" t="s">
        <v>6142</v>
      </c>
      <c r="K319" s="34" t="s">
        <v>764</v>
      </c>
      <c r="L319" s="34" t="s">
        <v>765</v>
      </c>
      <c r="M319" s="30">
        <v>157.5</v>
      </c>
      <c r="N319" s="283" t="s">
        <v>721</v>
      </c>
    </row>
    <row r="320" spans="1:14" s="32" customFormat="1" ht="14.25" customHeight="1">
      <c r="A320" s="3" t="s">
        <v>641</v>
      </c>
      <c r="B320" s="36" t="s">
        <v>1945</v>
      </c>
      <c r="C320" s="218">
        <v>4099854082887</v>
      </c>
      <c r="D320" s="224">
        <v>4058075149502</v>
      </c>
      <c r="E320" s="225" t="s">
        <v>92</v>
      </c>
      <c r="F320" s="214"/>
      <c r="G320" s="66" t="str">
        <f>HYPERLINK("https://ledvance.com/pt/product-datasheet/266444/244029","Ficha de Produto")</f>
        <v>Ficha de Produto</v>
      </c>
      <c r="H320" s="34">
        <v>4</v>
      </c>
      <c r="I320" s="34" t="s">
        <v>6141</v>
      </c>
      <c r="J320" s="34" t="s">
        <v>6142</v>
      </c>
      <c r="K320" s="34" t="s">
        <v>764</v>
      </c>
      <c r="L320" s="34" t="s">
        <v>765</v>
      </c>
      <c r="M320" s="30">
        <v>157.5</v>
      </c>
      <c r="N320" s="283" t="s">
        <v>721</v>
      </c>
    </row>
    <row r="321" spans="1:14" s="32" customFormat="1" ht="14.25" customHeight="1">
      <c r="A321" s="3" t="s">
        <v>641</v>
      </c>
      <c r="B321" s="36" t="s">
        <v>1946</v>
      </c>
      <c r="C321" s="218">
        <v>4099854082900</v>
      </c>
      <c r="D321" s="224">
        <v>4058075217720</v>
      </c>
      <c r="E321" s="225" t="s">
        <v>93</v>
      </c>
      <c r="F321" s="226"/>
      <c r="G321" s="66" t="str">
        <f>HYPERLINK("https://ledvance.com/pt/product-datasheet/266446/244044","Ficha de Produto")</f>
        <v>Ficha de Produto</v>
      </c>
      <c r="H321" s="34">
        <v>4</v>
      </c>
      <c r="I321" s="34" t="s">
        <v>890</v>
      </c>
      <c r="J321" s="34" t="s">
        <v>6143</v>
      </c>
      <c r="K321" s="34" t="s">
        <v>764</v>
      </c>
      <c r="L321" s="34" t="s">
        <v>765</v>
      </c>
      <c r="M321" s="30">
        <v>235</v>
      </c>
      <c r="N321" s="283" t="s">
        <v>721</v>
      </c>
    </row>
    <row r="322" spans="1:14" s="32" customFormat="1" ht="14.25" customHeight="1">
      <c r="A322" s="3" t="s">
        <v>641</v>
      </c>
      <c r="B322" s="36" t="s">
        <v>1947</v>
      </c>
      <c r="C322" s="218">
        <v>4099854083105</v>
      </c>
      <c r="D322" s="224">
        <v>4058075217744</v>
      </c>
      <c r="E322" s="225" t="s">
        <v>94</v>
      </c>
      <c r="F322" s="226"/>
      <c r="G322" s="66" t="str">
        <f>HYPERLINK("https://ledvance.com/pt/product-datasheet/266446/244047","Ficha de Produto")</f>
        <v>Ficha de Produto</v>
      </c>
      <c r="H322" s="34">
        <v>4</v>
      </c>
      <c r="I322" s="34" t="s">
        <v>890</v>
      </c>
      <c r="J322" s="34" t="s">
        <v>6143</v>
      </c>
      <c r="K322" s="34" t="s">
        <v>764</v>
      </c>
      <c r="L322" s="34" t="s">
        <v>765</v>
      </c>
      <c r="M322" s="30">
        <v>235</v>
      </c>
      <c r="N322" s="283" t="s">
        <v>721</v>
      </c>
    </row>
    <row r="323" spans="1:14" s="32" customFormat="1" ht="14.25" customHeight="1">
      <c r="A323" s="8" t="s">
        <v>641</v>
      </c>
      <c r="B323" s="227" t="s">
        <v>3250</v>
      </c>
      <c r="C323" s="7"/>
      <c r="D323" s="7"/>
      <c r="E323" s="7"/>
      <c r="F323" s="7"/>
      <c r="G323" s="68" t="s">
        <v>6505</v>
      </c>
      <c r="H323" s="7"/>
      <c r="I323" s="7"/>
      <c r="J323" s="7"/>
      <c r="K323" s="7"/>
      <c r="L323" s="7"/>
      <c r="M323" s="7"/>
      <c r="N323" s="284"/>
    </row>
    <row r="324" spans="1:14" s="32" customFormat="1" ht="14.25" customHeight="1">
      <c r="A324" s="3" t="s">
        <v>641</v>
      </c>
      <c r="B324" s="36" t="s">
        <v>1948</v>
      </c>
      <c r="C324" s="218">
        <v>4099854083303</v>
      </c>
      <c r="D324" s="218"/>
      <c r="E324" s="218"/>
      <c r="F324" s="226"/>
      <c r="G324" s="66" t="str">
        <f>HYPERLINK("https://ledvance.com/pt/product-datasheet/266445/244032","Ficha de Produto")</f>
        <v>Ficha de Produto</v>
      </c>
      <c r="H324" s="34"/>
      <c r="I324" s="34" t="s">
        <v>6141</v>
      </c>
      <c r="J324" s="34" t="s">
        <v>6142</v>
      </c>
      <c r="K324" s="34" t="s">
        <v>764</v>
      </c>
      <c r="L324" s="34" t="s">
        <v>765</v>
      </c>
      <c r="M324" s="30">
        <v>171.29999999999998</v>
      </c>
      <c r="N324" s="283" t="s">
        <v>721</v>
      </c>
    </row>
    <row r="325" spans="1:14" s="32" customFormat="1" ht="14.25" customHeight="1">
      <c r="A325" s="3" t="s">
        <v>641</v>
      </c>
      <c r="B325" s="36" t="s">
        <v>1949</v>
      </c>
      <c r="C325" s="218">
        <v>4099854083327</v>
      </c>
      <c r="D325" s="218"/>
      <c r="E325" s="218"/>
      <c r="F325" s="226"/>
      <c r="G325" s="66" t="str">
        <f>HYPERLINK("https://ledvance.com/pt/product-datasheet/266447/244050","Ficha de Produto")</f>
        <v>Ficha de Produto</v>
      </c>
      <c r="H325" s="34"/>
      <c r="I325" s="34" t="s">
        <v>890</v>
      </c>
      <c r="J325" s="34" t="s">
        <v>6143</v>
      </c>
      <c r="K325" s="34" t="s">
        <v>764</v>
      </c>
      <c r="L325" s="34" t="s">
        <v>765</v>
      </c>
      <c r="M325" s="30">
        <v>241.1</v>
      </c>
      <c r="N325" s="283" t="s">
        <v>721</v>
      </c>
    </row>
    <row r="326" spans="1:14" s="32" customFormat="1" ht="14.25" customHeight="1">
      <c r="A326" s="8" t="s">
        <v>641</v>
      </c>
      <c r="B326" s="227" t="s">
        <v>1475</v>
      </c>
      <c r="C326" s="7"/>
      <c r="D326" s="7"/>
      <c r="E326" s="7"/>
      <c r="F326" s="7"/>
      <c r="G326" s="68"/>
      <c r="H326" s="7"/>
      <c r="I326" s="7"/>
      <c r="J326" s="7"/>
      <c r="K326" s="7"/>
      <c r="L326" s="7"/>
      <c r="M326" s="7"/>
      <c r="N326" s="284"/>
    </row>
    <row r="327" spans="1:14" s="32" customFormat="1" ht="14.25" customHeight="1">
      <c r="A327" s="3" t="s">
        <v>641</v>
      </c>
      <c r="B327" s="36" t="s">
        <v>1476</v>
      </c>
      <c r="C327" s="214">
        <v>4099854014192</v>
      </c>
      <c r="D327" s="214"/>
      <c r="E327" s="215"/>
      <c r="F327" s="214"/>
      <c r="G327" s="66" t="str">
        <f>HYPERLINK("https://ledvance.com/pt/product-datasheet/236110/225899","Ficha de Produto")</f>
        <v>Ficha de Produto</v>
      </c>
      <c r="H327" s="34">
        <v>4</v>
      </c>
      <c r="I327" s="34" t="s">
        <v>6144</v>
      </c>
      <c r="J327" s="34" t="s">
        <v>6145</v>
      </c>
      <c r="K327" s="34" t="s">
        <v>833</v>
      </c>
      <c r="L327" s="34" t="s">
        <v>765</v>
      </c>
      <c r="M327" s="30">
        <v>87.5</v>
      </c>
      <c r="N327" s="283" t="s">
        <v>721</v>
      </c>
    </row>
    <row r="328" spans="1:14" s="32" customFormat="1" ht="14.25" customHeight="1">
      <c r="A328" s="3" t="s">
        <v>641</v>
      </c>
      <c r="B328" s="36" t="s">
        <v>1477</v>
      </c>
      <c r="C328" s="214">
        <v>4099854014215</v>
      </c>
      <c r="D328" s="214"/>
      <c r="E328" s="215"/>
      <c r="F328" s="214"/>
      <c r="G328" s="66" t="str">
        <f>HYPERLINK("https://ledvance.com/pt/product-datasheet/236110/225902","Ficha de Produto")</f>
        <v>Ficha de Produto</v>
      </c>
      <c r="H328" s="34">
        <v>4</v>
      </c>
      <c r="I328" s="34" t="s">
        <v>6144</v>
      </c>
      <c r="J328" s="34" t="s">
        <v>6145</v>
      </c>
      <c r="K328" s="34" t="s">
        <v>833</v>
      </c>
      <c r="L328" s="34" t="s">
        <v>765</v>
      </c>
      <c r="M328" s="30">
        <v>87.5</v>
      </c>
      <c r="N328" s="283" t="s">
        <v>721</v>
      </c>
    </row>
    <row r="329" spans="1:14" s="32" customFormat="1" ht="14.25" customHeight="1">
      <c r="A329" s="3" t="s">
        <v>641</v>
      </c>
      <c r="B329" s="36" t="s">
        <v>1478</v>
      </c>
      <c r="C329" s="214">
        <v>4099854014864</v>
      </c>
      <c r="D329" s="214"/>
      <c r="E329" s="215"/>
      <c r="F329" s="214"/>
      <c r="G329" s="66" t="str">
        <f>HYPERLINK("https://ledvance.com/pt/product-datasheet/236110/225927","Ficha de Produto")</f>
        <v>Ficha de Produto</v>
      </c>
      <c r="H329" s="34">
        <v>4</v>
      </c>
      <c r="I329" s="34" t="s">
        <v>6146</v>
      </c>
      <c r="J329" s="34" t="s">
        <v>6147</v>
      </c>
      <c r="K329" s="34" t="s">
        <v>833</v>
      </c>
      <c r="L329" s="34" t="s">
        <v>765</v>
      </c>
      <c r="M329" s="30">
        <v>100</v>
      </c>
      <c r="N329" s="283" t="s">
        <v>721</v>
      </c>
    </row>
    <row r="330" spans="1:14" s="32" customFormat="1" ht="14.25" customHeight="1">
      <c r="A330" s="3" t="s">
        <v>641</v>
      </c>
      <c r="B330" s="36" t="s">
        <v>1479</v>
      </c>
      <c r="C330" s="214">
        <v>4099854014888</v>
      </c>
      <c r="D330" s="214"/>
      <c r="E330" s="215"/>
      <c r="F330" s="214"/>
      <c r="G330" s="66" t="str">
        <f>HYPERLINK("https://ledvance.com/pt/product-datasheet/236110/225930","Ficha de Produto")</f>
        <v>Ficha de Produto</v>
      </c>
      <c r="H330" s="34">
        <v>4</v>
      </c>
      <c r="I330" s="34" t="s">
        <v>6146</v>
      </c>
      <c r="J330" s="34" t="s">
        <v>6147</v>
      </c>
      <c r="K330" s="34" t="s">
        <v>833</v>
      </c>
      <c r="L330" s="34" t="s">
        <v>765</v>
      </c>
      <c r="M330" s="30">
        <v>100</v>
      </c>
      <c r="N330" s="283" t="s">
        <v>721</v>
      </c>
    </row>
    <row r="331" spans="1:14" s="32" customFormat="1" ht="14.25" customHeight="1">
      <c r="A331" s="3" t="s">
        <v>641</v>
      </c>
      <c r="B331" s="36" t="s">
        <v>1480</v>
      </c>
      <c r="C331" s="214">
        <v>4099854014901</v>
      </c>
      <c r="D331" s="214"/>
      <c r="E331" s="215"/>
      <c r="F331" s="214"/>
      <c r="G331" s="66" t="str">
        <f>HYPERLINK("https://ledvance.com/pt/product-datasheet/236110/225933","Ficha de Produto")</f>
        <v>Ficha de Produto</v>
      </c>
      <c r="H331" s="34">
        <v>4</v>
      </c>
      <c r="I331" s="34" t="s">
        <v>6146</v>
      </c>
      <c r="J331" s="34" t="s">
        <v>6147</v>
      </c>
      <c r="K331" s="34" t="s">
        <v>833</v>
      </c>
      <c r="L331" s="34" t="s">
        <v>765</v>
      </c>
      <c r="M331" s="30">
        <v>100</v>
      </c>
      <c r="N331" s="283" t="s">
        <v>721</v>
      </c>
    </row>
    <row r="332" spans="1:14" s="32" customFormat="1" ht="14.25" customHeight="1">
      <c r="A332" s="8" t="s">
        <v>641</v>
      </c>
      <c r="B332" s="227" t="s">
        <v>1714</v>
      </c>
      <c r="C332" s="7"/>
      <c r="D332" s="7"/>
      <c r="E332" s="7"/>
      <c r="F332" s="7"/>
      <c r="G332" s="68"/>
      <c r="H332" s="7"/>
      <c r="I332" s="7"/>
      <c r="J332" s="7"/>
      <c r="K332" s="7"/>
      <c r="L332" s="7"/>
      <c r="M332" s="7"/>
      <c r="N332" s="284"/>
    </row>
    <row r="333" spans="1:14" s="32" customFormat="1" ht="14.25" customHeight="1">
      <c r="A333" s="3" t="s">
        <v>641</v>
      </c>
      <c r="B333" s="36" t="s">
        <v>1481</v>
      </c>
      <c r="C333" s="214">
        <v>4099854014604</v>
      </c>
      <c r="D333" s="214"/>
      <c r="E333" s="215"/>
      <c r="F333" s="214"/>
      <c r="G333" s="66" t="str">
        <f>HYPERLINK("https://ledvance.com/pt/product-datasheet/236111/225913","Ficha de Produto")</f>
        <v>Ficha de Produto</v>
      </c>
      <c r="H333" s="34">
        <v>4</v>
      </c>
      <c r="I333" s="34" t="s">
        <v>6144</v>
      </c>
      <c r="J333" s="34" t="s">
        <v>6145</v>
      </c>
      <c r="K333" s="34" t="s">
        <v>833</v>
      </c>
      <c r="L333" s="34" t="s">
        <v>765</v>
      </c>
      <c r="M333" s="30">
        <v>92.5</v>
      </c>
      <c r="N333" s="283" t="s">
        <v>721</v>
      </c>
    </row>
    <row r="334" spans="1:14" s="32" customFormat="1" ht="14.25" customHeight="1">
      <c r="A334" s="3" t="s">
        <v>641</v>
      </c>
      <c r="B334" s="36" t="s">
        <v>1482</v>
      </c>
      <c r="C334" s="214">
        <v>4099854014628</v>
      </c>
      <c r="D334" s="214"/>
      <c r="E334" s="215"/>
      <c r="F334" s="214"/>
      <c r="G334" s="66" t="str">
        <f>HYPERLINK("https://ledvance.com/pt/product-datasheet/236111/225916","Ficha de Produto")</f>
        <v>Ficha de Produto</v>
      </c>
      <c r="H334" s="34">
        <v>4</v>
      </c>
      <c r="I334" s="34" t="s">
        <v>6144</v>
      </c>
      <c r="J334" s="34" t="s">
        <v>6145</v>
      </c>
      <c r="K334" s="34" t="s">
        <v>833</v>
      </c>
      <c r="L334" s="34" t="s">
        <v>765</v>
      </c>
      <c r="M334" s="30">
        <v>92.5</v>
      </c>
      <c r="N334" s="283" t="s">
        <v>721</v>
      </c>
    </row>
    <row r="335" spans="1:14" s="32" customFormat="1" ht="14.25" customHeight="1">
      <c r="A335" s="3" t="s">
        <v>641</v>
      </c>
      <c r="B335" s="36" t="s">
        <v>1483</v>
      </c>
      <c r="C335" s="214">
        <v>4099854015090</v>
      </c>
      <c r="D335" s="214"/>
      <c r="E335" s="215"/>
      <c r="F335" s="214"/>
      <c r="G335" s="66" t="str">
        <f>HYPERLINK("https://ledvance.com/pt/product-datasheet/236111/225951","Ficha de Produto")</f>
        <v>Ficha de Produto</v>
      </c>
      <c r="H335" s="34">
        <v>4</v>
      </c>
      <c r="I335" s="34" t="s">
        <v>6146</v>
      </c>
      <c r="J335" s="34" t="s">
        <v>6147</v>
      </c>
      <c r="K335" s="34" t="s">
        <v>833</v>
      </c>
      <c r="L335" s="34" t="s">
        <v>765</v>
      </c>
      <c r="M335" s="30">
        <v>115</v>
      </c>
      <c r="N335" s="283" t="s">
        <v>721</v>
      </c>
    </row>
    <row r="336" spans="1:14" s="32" customFormat="1" ht="14.25" customHeight="1">
      <c r="A336" s="3" t="s">
        <v>641</v>
      </c>
      <c r="B336" s="36" t="s">
        <v>1484</v>
      </c>
      <c r="C336" s="214">
        <v>4099854015113</v>
      </c>
      <c r="D336" s="214"/>
      <c r="E336" s="215"/>
      <c r="F336" s="214"/>
      <c r="G336" s="66" t="str">
        <f>HYPERLINK("https://ledvance.com/pt/product-datasheet/236111/225954","Ficha de Produto")</f>
        <v>Ficha de Produto</v>
      </c>
      <c r="H336" s="34">
        <v>4</v>
      </c>
      <c r="I336" s="34" t="s">
        <v>6146</v>
      </c>
      <c r="J336" s="34" t="s">
        <v>6147</v>
      </c>
      <c r="K336" s="34" t="s">
        <v>833</v>
      </c>
      <c r="L336" s="34" t="s">
        <v>765</v>
      </c>
      <c r="M336" s="30">
        <v>115</v>
      </c>
      <c r="N336" s="283" t="s">
        <v>721</v>
      </c>
    </row>
    <row r="337" spans="1:14" s="32" customFormat="1" ht="14.25" customHeight="1">
      <c r="A337" s="3" t="s">
        <v>641</v>
      </c>
      <c r="B337" s="36" t="s">
        <v>1485</v>
      </c>
      <c r="C337" s="214">
        <v>4099854015137</v>
      </c>
      <c r="D337" s="214"/>
      <c r="E337" s="215"/>
      <c r="F337" s="214"/>
      <c r="G337" s="66" t="str">
        <f>HYPERLINK("https://ledvance.com/pt/product-datasheet/236111/225957","Ficha de Produto")</f>
        <v>Ficha de Produto</v>
      </c>
      <c r="H337" s="34">
        <v>4</v>
      </c>
      <c r="I337" s="34" t="s">
        <v>6146</v>
      </c>
      <c r="J337" s="34" t="s">
        <v>6147</v>
      </c>
      <c r="K337" s="34" t="s">
        <v>833</v>
      </c>
      <c r="L337" s="34" t="s">
        <v>765</v>
      </c>
      <c r="M337" s="30">
        <v>115</v>
      </c>
      <c r="N337" s="283" t="s">
        <v>721</v>
      </c>
    </row>
    <row r="338" spans="1:14" s="32" customFormat="1" ht="14.25" customHeight="1">
      <c r="A338" s="8" t="s">
        <v>641</v>
      </c>
      <c r="B338" s="227" t="s">
        <v>1715</v>
      </c>
      <c r="C338" s="7"/>
      <c r="D338" s="7"/>
      <c r="E338" s="7"/>
      <c r="F338" s="7"/>
      <c r="G338" s="68"/>
      <c r="H338" s="7"/>
      <c r="I338" s="7"/>
      <c r="J338" s="7"/>
      <c r="K338" s="7"/>
      <c r="L338" s="7"/>
      <c r="M338" s="7"/>
      <c r="N338" s="284"/>
    </row>
    <row r="339" spans="1:14" s="32" customFormat="1" ht="14.25" customHeight="1">
      <c r="A339" s="3" t="s">
        <v>641</v>
      </c>
      <c r="B339" s="36" t="s">
        <v>1486</v>
      </c>
      <c r="C339" s="214">
        <v>4099854014352</v>
      </c>
      <c r="D339" s="214"/>
      <c r="E339" s="215"/>
      <c r="F339" s="214"/>
      <c r="G339" s="66" t="str">
        <f>HYPERLINK("https://ledvance.com/pt/product-datasheet/236112/225905","Ficha de Produto")</f>
        <v>Ficha de Produto</v>
      </c>
      <c r="H339" s="34">
        <v>4</v>
      </c>
      <c r="I339" s="34" t="s">
        <v>1754</v>
      </c>
      <c r="J339" s="34" t="s">
        <v>6148</v>
      </c>
      <c r="K339" s="34" t="s">
        <v>833</v>
      </c>
      <c r="L339" s="34" t="s">
        <v>765</v>
      </c>
      <c r="M339" s="30">
        <v>145</v>
      </c>
      <c r="N339" s="283" t="s">
        <v>721</v>
      </c>
    </row>
    <row r="340" spans="1:14" s="32" customFormat="1" ht="14.25" customHeight="1">
      <c r="A340" s="3" t="s">
        <v>641</v>
      </c>
      <c r="B340" s="36" t="s">
        <v>1487</v>
      </c>
      <c r="C340" s="214">
        <v>4099854014505</v>
      </c>
      <c r="D340" s="214"/>
      <c r="E340" s="215"/>
      <c r="F340" s="214"/>
      <c r="G340" s="66" t="str">
        <f>HYPERLINK("https://ledvance.com/pt/product-datasheet/236112/225909","Ficha de Produto")</f>
        <v>Ficha de Produto</v>
      </c>
      <c r="H340" s="34">
        <v>4</v>
      </c>
      <c r="I340" s="34" t="s">
        <v>1754</v>
      </c>
      <c r="J340" s="34" t="s">
        <v>6148</v>
      </c>
      <c r="K340" s="34" t="s">
        <v>833</v>
      </c>
      <c r="L340" s="34" t="s">
        <v>765</v>
      </c>
      <c r="M340" s="30">
        <v>145</v>
      </c>
      <c r="N340" s="283" t="s">
        <v>721</v>
      </c>
    </row>
    <row r="341" spans="1:14" s="32" customFormat="1" ht="14.25" customHeight="1">
      <c r="A341" s="3" t="s">
        <v>641</v>
      </c>
      <c r="B341" s="36" t="s">
        <v>1488</v>
      </c>
      <c r="C341" s="214">
        <v>4099854014925</v>
      </c>
      <c r="D341" s="214"/>
      <c r="E341" s="215"/>
      <c r="F341" s="214"/>
      <c r="G341" s="66" t="str">
        <f>HYPERLINK("https://ledvance.com/pt/product-datasheet/236112/225936","Ficha de Produto")</f>
        <v>Ficha de Produto</v>
      </c>
      <c r="H341" s="34">
        <v>4</v>
      </c>
      <c r="I341" s="34" t="s">
        <v>830</v>
      </c>
      <c r="J341" s="34" t="s">
        <v>6140</v>
      </c>
      <c r="K341" s="34" t="s">
        <v>833</v>
      </c>
      <c r="L341" s="34" t="s">
        <v>765</v>
      </c>
      <c r="M341" s="30">
        <v>155</v>
      </c>
      <c r="N341" s="283" t="s">
        <v>721</v>
      </c>
    </row>
    <row r="342" spans="1:14" s="32" customFormat="1" ht="14.25" customHeight="1">
      <c r="A342" s="3" t="s">
        <v>641</v>
      </c>
      <c r="B342" s="36" t="s">
        <v>1489</v>
      </c>
      <c r="C342" s="214">
        <v>4099854015342</v>
      </c>
      <c r="D342" s="214"/>
      <c r="E342" s="215"/>
      <c r="F342" s="214"/>
      <c r="G342" s="66" t="str">
        <f>HYPERLINK("https://ledvance.com/pt/product-datasheet/236112/225940","Ficha de Produto")</f>
        <v>Ficha de Produto</v>
      </c>
      <c r="H342" s="34">
        <v>4</v>
      </c>
      <c r="I342" s="34" t="s">
        <v>830</v>
      </c>
      <c r="J342" s="34" t="s">
        <v>6140</v>
      </c>
      <c r="K342" s="34" t="s">
        <v>833</v>
      </c>
      <c r="L342" s="34" t="s">
        <v>765</v>
      </c>
      <c r="M342" s="30">
        <v>155</v>
      </c>
      <c r="N342" s="283" t="s">
        <v>721</v>
      </c>
    </row>
    <row r="343" spans="1:14" s="32" customFormat="1" ht="14.25" customHeight="1">
      <c r="A343" s="3" t="s">
        <v>641</v>
      </c>
      <c r="B343" s="36" t="s">
        <v>1490</v>
      </c>
      <c r="C343" s="214">
        <v>4099854015410</v>
      </c>
      <c r="D343" s="214"/>
      <c r="E343" s="215"/>
      <c r="F343" s="214"/>
      <c r="G343" s="66" t="str">
        <f>HYPERLINK("https://ledvance.com/pt/product-datasheet/236112/225944","Ficha de Produto")</f>
        <v>Ficha de Produto</v>
      </c>
      <c r="H343" s="34">
        <v>4</v>
      </c>
      <c r="I343" s="34" t="s">
        <v>830</v>
      </c>
      <c r="J343" s="34" t="s">
        <v>6140</v>
      </c>
      <c r="K343" s="34" t="s">
        <v>833</v>
      </c>
      <c r="L343" s="34" t="s">
        <v>765</v>
      </c>
      <c r="M343" s="30">
        <v>155</v>
      </c>
      <c r="N343" s="283" t="s">
        <v>721</v>
      </c>
    </row>
    <row r="344" spans="1:14" s="32" customFormat="1" ht="14.25" customHeight="1">
      <c r="A344" s="3" t="s">
        <v>641</v>
      </c>
      <c r="B344" s="36" t="s">
        <v>1496</v>
      </c>
      <c r="C344" s="214">
        <v>4099854015076</v>
      </c>
      <c r="D344" s="214"/>
      <c r="E344" s="215"/>
      <c r="F344" s="214"/>
      <c r="G344" s="66" t="str">
        <f>HYPERLINK("https://ledvance.com/pt/product-datasheet/236114/225948","Ficha de Produto")</f>
        <v>Ficha de Produto</v>
      </c>
      <c r="H344" s="34">
        <v>4</v>
      </c>
      <c r="I344" s="34" t="s">
        <v>830</v>
      </c>
      <c r="J344" s="34" t="s">
        <v>6140</v>
      </c>
      <c r="K344" s="34" t="s">
        <v>833</v>
      </c>
      <c r="L344" s="34" t="s">
        <v>765</v>
      </c>
      <c r="M344" s="30">
        <v>162.5</v>
      </c>
      <c r="N344" s="283" t="s">
        <v>721</v>
      </c>
    </row>
    <row r="345" spans="1:14" s="32" customFormat="1" ht="14.25" customHeight="1">
      <c r="A345" s="8" t="s">
        <v>641</v>
      </c>
      <c r="B345" s="227" t="s">
        <v>1716</v>
      </c>
      <c r="C345" s="7"/>
      <c r="D345" s="7"/>
      <c r="E345" s="7"/>
      <c r="F345" s="7"/>
      <c r="G345" s="68"/>
      <c r="H345" s="7"/>
      <c r="I345" s="7"/>
      <c r="J345" s="7"/>
      <c r="K345" s="7"/>
      <c r="L345" s="7"/>
      <c r="M345" s="7"/>
      <c r="N345" s="284"/>
    </row>
    <row r="346" spans="1:14" s="32" customFormat="1" ht="14.25" customHeight="1">
      <c r="A346" s="3" t="s">
        <v>641</v>
      </c>
      <c r="B346" s="36" t="s">
        <v>1491</v>
      </c>
      <c r="C346" s="214">
        <v>4099854014703</v>
      </c>
      <c r="D346" s="214"/>
      <c r="E346" s="215"/>
      <c r="F346" s="214"/>
      <c r="G346" s="66" t="str">
        <f>HYPERLINK("https://ledvance.com/pt/product-datasheet/236113/225919","Ficha de Produto")</f>
        <v>Ficha de Produto</v>
      </c>
      <c r="H346" s="34">
        <v>4</v>
      </c>
      <c r="I346" s="34" t="s">
        <v>1754</v>
      </c>
      <c r="J346" s="34" t="s">
        <v>6148</v>
      </c>
      <c r="K346" s="34" t="s">
        <v>833</v>
      </c>
      <c r="L346" s="34" t="s">
        <v>765</v>
      </c>
      <c r="M346" s="30">
        <v>150</v>
      </c>
      <c r="N346" s="283" t="s">
        <v>721</v>
      </c>
    </row>
    <row r="347" spans="1:14" s="32" customFormat="1" ht="14.25" customHeight="1">
      <c r="A347" s="3" t="s">
        <v>641</v>
      </c>
      <c r="B347" s="36" t="s">
        <v>1492</v>
      </c>
      <c r="C347" s="214">
        <v>4099854014789</v>
      </c>
      <c r="D347" s="214"/>
      <c r="E347" s="215"/>
      <c r="F347" s="214"/>
      <c r="G347" s="66" t="str">
        <f>HYPERLINK("https://ledvance.com/pt/product-datasheet/236113/225923","Ficha de Produto")</f>
        <v>Ficha de Produto</v>
      </c>
      <c r="H347" s="34">
        <v>4</v>
      </c>
      <c r="I347" s="34" t="s">
        <v>1754</v>
      </c>
      <c r="J347" s="34" t="s">
        <v>6148</v>
      </c>
      <c r="K347" s="34" t="s">
        <v>833</v>
      </c>
      <c r="L347" s="34" t="s">
        <v>765</v>
      </c>
      <c r="M347" s="30">
        <v>150</v>
      </c>
      <c r="N347" s="283" t="s">
        <v>721</v>
      </c>
    </row>
    <row r="348" spans="1:14" s="32" customFormat="1" ht="14.25" customHeight="1">
      <c r="A348" s="3" t="s">
        <v>641</v>
      </c>
      <c r="B348" s="36" t="s">
        <v>1493</v>
      </c>
      <c r="C348" s="214">
        <v>4099854015304</v>
      </c>
      <c r="D348" s="214"/>
      <c r="E348" s="215"/>
      <c r="F348" s="214"/>
      <c r="G348" s="66" t="str">
        <f>HYPERLINK("https://ledvance.com/pt/product-datasheet/236113/225960","Ficha de Produto")</f>
        <v>Ficha de Produto</v>
      </c>
      <c r="H348" s="34">
        <v>4</v>
      </c>
      <c r="I348" s="34" t="s">
        <v>830</v>
      </c>
      <c r="J348" s="34" t="s">
        <v>6140</v>
      </c>
      <c r="K348" s="34" t="s">
        <v>833</v>
      </c>
      <c r="L348" s="34" t="s">
        <v>765</v>
      </c>
      <c r="M348" s="30">
        <v>172.5</v>
      </c>
      <c r="N348" s="283" t="s">
        <v>721</v>
      </c>
    </row>
    <row r="349" spans="1:14" s="32" customFormat="1" ht="14.25" customHeight="1">
      <c r="A349" s="3" t="s">
        <v>641</v>
      </c>
      <c r="B349" s="36" t="s">
        <v>1494</v>
      </c>
      <c r="C349" s="214">
        <v>4099854015229</v>
      </c>
      <c r="D349" s="214"/>
      <c r="E349" s="215"/>
      <c r="F349" s="214"/>
      <c r="G349" s="66" t="str">
        <f>HYPERLINK("https://ledvance.com/pt/product-datasheet/236113/225964","Ficha de Produto")</f>
        <v>Ficha de Produto</v>
      </c>
      <c r="H349" s="34">
        <v>4</v>
      </c>
      <c r="I349" s="34" t="s">
        <v>830</v>
      </c>
      <c r="J349" s="34" t="s">
        <v>6140</v>
      </c>
      <c r="K349" s="34" t="s">
        <v>833</v>
      </c>
      <c r="L349" s="34" t="s">
        <v>765</v>
      </c>
      <c r="M349" s="30">
        <v>172.5</v>
      </c>
      <c r="N349" s="283" t="s">
        <v>721</v>
      </c>
    </row>
    <row r="350" spans="1:14" s="32" customFormat="1" ht="14.25" customHeight="1">
      <c r="A350" s="3" t="s">
        <v>641</v>
      </c>
      <c r="B350" s="36" t="s">
        <v>1495</v>
      </c>
      <c r="C350" s="214">
        <v>4099854015243</v>
      </c>
      <c r="D350" s="214"/>
      <c r="E350" s="215"/>
      <c r="F350" s="214"/>
      <c r="G350" s="66" t="str">
        <f>HYPERLINK("https://ledvance.com/pt/product-datasheet/236113/225968","Ficha de Produto")</f>
        <v>Ficha de Produto</v>
      </c>
      <c r="H350" s="34">
        <v>4</v>
      </c>
      <c r="I350" s="34" t="s">
        <v>830</v>
      </c>
      <c r="J350" s="34" t="s">
        <v>6140</v>
      </c>
      <c r="K350" s="34" t="s">
        <v>833</v>
      </c>
      <c r="L350" s="34" t="s">
        <v>765</v>
      </c>
      <c r="M350" s="30">
        <v>172.5</v>
      </c>
      <c r="N350" s="283" t="s">
        <v>721</v>
      </c>
    </row>
    <row r="351" spans="1:14" s="32" customFormat="1" ht="14.25" customHeight="1">
      <c r="A351" s="3" t="s">
        <v>641</v>
      </c>
      <c r="B351" s="36" t="s">
        <v>1497</v>
      </c>
      <c r="C351" s="214">
        <v>4099854014239</v>
      </c>
      <c r="D351" s="214"/>
      <c r="E351" s="215"/>
      <c r="F351" s="214"/>
      <c r="G351" s="66" t="str">
        <f>HYPERLINK("https://ledvance.com/pt/product-datasheet/236115/225972","Ficha de Produto")</f>
        <v>Ficha de Produto</v>
      </c>
      <c r="H351" s="34">
        <v>4</v>
      </c>
      <c r="I351" s="34" t="s">
        <v>830</v>
      </c>
      <c r="J351" s="34" t="s">
        <v>6140</v>
      </c>
      <c r="K351" s="34" t="s">
        <v>833</v>
      </c>
      <c r="L351" s="34" t="s">
        <v>765</v>
      </c>
      <c r="M351" s="30">
        <v>180</v>
      </c>
      <c r="N351" s="283" t="s">
        <v>721</v>
      </c>
    </row>
    <row r="352" spans="1:14" s="32" customFormat="1" ht="14.25" customHeight="1">
      <c r="A352" s="8" t="s">
        <v>641</v>
      </c>
      <c r="B352" s="227" t="s">
        <v>1442</v>
      </c>
      <c r="C352" s="7"/>
      <c r="D352" s="7"/>
      <c r="E352" s="7"/>
      <c r="F352" s="7"/>
      <c r="G352" s="68"/>
      <c r="H352" s="7"/>
      <c r="I352" s="7"/>
      <c r="J352" s="7"/>
      <c r="K352" s="7"/>
      <c r="L352" s="7"/>
      <c r="M352" s="7"/>
      <c r="N352" s="284"/>
    </row>
    <row r="353" spans="1:14" s="32" customFormat="1" ht="14.25" customHeight="1">
      <c r="A353" s="3" t="s">
        <v>641</v>
      </c>
      <c r="B353" s="36" t="s">
        <v>1723</v>
      </c>
      <c r="C353" s="214">
        <v>4058075694460</v>
      </c>
      <c r="D353" s="214"/>
      <c r="E353" s="215"/>
      <c r="F353" s="214"/>
      <c r="G353" s="66" t="str">
        <f>HYPERLINK("https://ledvance.com/pt/product-datasheet/195832/179922","Ficha de Produto")</f>
        <v>Ficha de Produto</v>
      </c>
      <c r="H353" s="34">
        <v>4</v>
      </c>
      <c r="I353" s="34" t="s">
        <v>6149</v>
      </c>
      <c r="J353" s="34" t="s">
        <v>6150</v>
      </c>
      <c r="K353" s="34" t="s">
        <v>833</v>
      </c>
      <c r="L353" s="34" t="s">
        <v>765</v>
      </c>
      <c r="M353" s="30">
        <v>137.5</v>
      </c>
      <c r="N353" s="283" t="s">
        <v>721</v>
      </c>
    </row>
    <row r="354" spans="1:14" s="32" customFormat="1" ht="14.25" customHeight="1">
      <c r="A354" s="3" t="s">
        <v>641</v>
      </c>
      <c r="B354" s="36" t="s">
        <v>1724</v>
      </c>
      <c r="C354" s="214">
        <v>4058075694507</v>
      </c>
      <c r="D354" s="214"/>
      <c r="E354" s="215"/>
      <c r="F354" s="214"/>
      <c r="G354" s="66" t="str">
        <f>HYPERLINK("https://ledvance.com/pt/product-datasheet/195833/179928","Ficha de Produto")</f>
        <v>Ficha de Produto</v>
      </c>
      <c r="H354" s="34">
        <v>4</v>
      </c>
      <c r="I354" s="34" t="s">
        <v>817</v>
      </c>
      <c r="J354" s="34" t="s">
        <v>6143</v>
      </c>
      <c r="K354" s="34" t="s">
        <v>833</v>
      </c>
      <c r="L354" s="34" t="s">
        <v>765</v>
      </c>
      <c r="M354" s="30">
        <v>197.5</v>
      </c>
      <c r="N354" s="283" t="s">
        <v>721</v>
      </c>
    </row>
    <row r="355" spans="1:14" s="32" customFormat="1" ht="14.25" customHeight="1">
      <c r="A355" s="8" t="s">
        <v>641</v>
      </c>
      <c r="B355" s="227" t="s">
        <v>1717</v>
      </c>
      <c r="C355" s="7"/>
      <c r="D355" s="7"/>
      <c r="E355" s="7"/>
      <c r="F355" s="7"/>
      <c r="G355" s="68" t="s">
        <v>6505</v>
      </c>
      <c r="H355" s="7"/>
      <c r="I355" s="7"/>
      <c r="J355" s="7"/>
      <c r="K355" s="7"/>
      <c r="L355" s="7"/>
      <c r="M355" s="7"/>
      <c r="N355" s="284"/>
    </row>
    <row r="356" spans="1:14" s="32" customFormat="1" ht="14.25" customHeight="1">
      <c r="A356" s="3" t="s">
        <v>641</v>
      </c>
      <c r="B356" s="36" t="s">
        <v>1498</v>
      </c>
      <c r="C356" s="214">
        <v>4099854002731</v>
      </c>
      <c r="D356" s="214"/>
      <c r="E356" s="215"/>
      <c r="F356" s="214"/>
      <c r="G356" s="66" t="str">
        <f>HYPERLINK("https://ledvance.com/pt/product-datasheet/236122/218907","Ficha de Produto")</f>
        <v>Ficha de Produto</v>
      </c>
      <c r="H356" s="34">
        <v>4</v>
      </c>
      <c r="I356" s="34" t="s">
        <v>6151</v>
      </c>
      <c r="J356" s="34" t="s">
        <v>6152</v>
      </c>
      <c r="K356" s="34" t="s">
        <v>833</v>
      </c>
      <c r="L356" s="34" t="s">
        <v>765</v>
      </c>
      <c r="M356" s="30">
        <v>122.5</v>
      </c>
      <c r="N356" s="283" t="s">
        <v>721</v>
      </c>
    </row>
    <row r="357" spans="1:14" s="32" customFormat="1" ht="14.25" customHeight="1">
      <c r="A357" s="3" t="s">
        <v>641</v>
      </c>
      <c r="B357" s="36" t="s">
        <v>1499</v>
      </c>
      <c r="C357" s="214">
        <v>4099854003981</v>
      </c>
      <c r="D357" s="214"/>
      <c r="E357" s="215"/>
      <c r="F357" s="214"/>
      <c r="G357" s="66" t="str">
        <f>HYPERLINK("https://ledvance.com/pt/product-datasheet/236122/218910","Ficha de Produto")</f>
        <v>Ficha de Produto</v>
      </c>
      <c r="H357" s="34">
        <v>4</v>
      </c>
      <c r="I357" s="34" t="s">
        <v>6151</v>
      </c>
      <c r="J357" s="34" t="s">
        <v>6152</v>
      </c>
      <c r="K357" s="34" t="s">
        <v>833</v>
      </c>
      <c r="L357" s="34" t="s">
        <v>765</v>
      </c>
      <c r="M357" s="30">
        <v>122.5</v>
      </c>
      <c r="N357" s="283" t="s">
        <v>721</v>
      </c>
    </row>
    <row r="358" spans="1:14" s="32" customFormat="1" ht="14.25" customHeight="1">
      <c r="A358" s="3" t="s">
        <v>641</v>
      </c>
      <c r="B358" s="36" t="s">
        <v>1500</v>
      </c>
      <c r="C358" s="214">
        <v>4099854004087</v>
      </c>
      <c r="D358" s="214"/>
      <c r="E358" s="215"/>
      <c r="F358" s="214"/>
      <c r="G358" s="66" t="str">
        <f>HYPERLINK("https://ledvance.com/pt/product-datasheet/236123/218919","Ficha de Produto")</f>
        <v>Ficha de Produto</v>
      </c>
      <c r="H358" s="34">
        <v>4</v>
      </c>
      <c r="I358" s="34" t="s">
        <v>6151</v>
      </c>
      <c r="J358" s="34" t="s">
        <v>6152</v>
      </c>
      <c r="K358" s="34" t="s">
        <v>833</v>
      </c>
      <c r="L358" s="34" t="s">
        <v>765</v>
      </c>
      <c r="M358" s="30">
        <v>145</v>
      </c>
      <c r="N358" s="283" t="s">
        <v>721</v>
      </c>
    </row>
    <row r="359" spans="1:14" s="32" customFormat="1" ht="14.25" customHeight="1">
      <c r="A359" s="3" t="s">
        <v>641</v>
      </c>
      <c r="B359" s="36" t="s">
        <v>1501</v>
      </c>
      <c r="C359" s="214">
        <v>4099854004100</v>
      </c>
      <c r="D359" s="214"/>
      <c r="E359" s="215"/>
      <c r="F359" s="214"/>
      <c r="G359" s="66" t="str">
        <f>HYPERLINK("https://ledvance.com/pt/product-datasheet/236123/218922","Ficha de Produto")</f>
        <v>Ficha de Produto</v>
      </c>
      <c r="H359" s="34">
        <v>4</v>
      </c>
      <c r="I359" s="34" t="s">
        <v>6151</v>
      </c>
      <c r="J359" s="34" t="s">
        <v>6152</v>
      </c>
      <c r="K359" s="34" t="s">
        <v>833</v>
      </c>
      <c r="L359" s="34" t="s">
        <v>765</v>
      </c>
      <c r="M359" s="30">
        <v>145</v>
      </c>
      <c r="N359" s="283" t="s">
        <v>721</v>
      </c>
    </row>
    <row r="360" spans="1:14" s="32" customFormat="1" ht="14.25" customHeight="1">
      <c r="A360" s="3" t="s">
        <v>641</v>
      </c>
      <c r="B360" s="36" t="s">
        <v>1502</v>
      </c>
      <c r="C360" s="214">
        <v>4099854004001</v>
      </c>
      <c r="D360" s="214"/>
      <c r="E360" s="215"/>
      <c r="F360" s="214"/>
      <c r="G360" s="66" t="str">
        <f>HYPERLINK("https://ledvance.com/pt/product-datasheet/236124/218913","Ficha de Produto")</f>
        <v>Ficha de Produto</v>
      </c>
      <c r="H360" s="34">
        <v>4</v>
      </c>
      <c r="I360" s="34" t="s">
        <v>830</v>
      </c>
      <c r="J360" s="34" t="s">
        <v>6140</v>
      </c>
      <c r="K360" s="34" t="s">
        <v>833</v>
      </c>
      <c r="L360" s="34" t="s">
        <v>765</v>
      </c>
      <c r="M360" s="30">
        <v>197.5</v>
      </c>
      <c r="N360" s="283" t="s">
        <v>721</v>
      </c>
    </row>
    <row r="361" spans="1:14" s="32" customFormat="1" ht="14.25" customHeight="1">
      <c r="A361" s="3" t="s">
        <v>641</v>
      </c>
      <c r="B361" s="36" t="s">
        <v>1503</v>
      </c>
      <c r="C361" s="214">
        <v>4099854004049</v>
      </c>
      <c r="D361" s="214"/>
      <c r="E361" s="215"/>
      <c r="F361" s="214"/>
      <c r="G361" s="66" t="str">
        <f>HYPERLINK("https://ledvance.com/pt/product-datasheet/236124/218916","Ficha de Produto")</f>
        <v>Ficha de Produto</v>
      </c>
      <c r="H361" s="34">
        <v>4</v>
      </c>
      <c r="I361" s="34" t="s">
        <v>830</v>
      </c>
      <c r="J361" s="34" t="s">
        <v>6140</v>
      </c>
      <c r="K361" s="34" t="s">
        <v>833</v>
      </c>
      <c r="L361" s="34" t="s">
        <v>765</v>
      </c>
      <c r="M361" s="30">
        <v>197.5</v>
      </c>
      <c r="N361" s="283" t="s">
        <v>721</v>
      </c>
    </row>
    <row r="362" spans="1:14" s="32" customFormat="1" ht="14.25" customHeight="1">
      <c r="A362" s="3" t="s">
        <v>641</v>
      </c>
      <c r="B362" s="36" t="s">
        <v>1504</v>
      </c>
      <c r="C362" s="214">
        <v>4099854004124</v>
      </c>
      <c r="D362" s="214"/>
      <c r="E362" s="215"/>
      <c r="F362" s="214"/>
      <c r="G362" s="66" t="str">
        <f>HYPERLINK("https://ledvance.com/pt/product-datasheet/236125/218925","Ficha de Produto")</f>
        <v>Ficha de Produto</v>
      </c>
      <c r="H362" s="34">
        <v>4</v>
      </c>
      <c r="I362" s="34" t="s">
        <v>830</v>
      </c>
      <c r="J362" s="34" t="s">
        <v>6140</v>
      </c>
      <c r="K362" s="34" t="s">
        <v>833</v>
      </c>
      <c r="L362" s="34" t="s">
        <v>765</v>
      </c>
      <c r="M362" s="30">
        <v>210</v>
      </c>
      <c r="N362" s="283" t="s">
        <v>721</v>
      </c>
    </row>
    <row r="363" spans="1:14" s="32" customFormat="1" ht="14.25" customHeight="1">
      <c r="A363" s="3" t="s">
        <v>641</v>
      </c>
      <c r="B363" s="36" t="s">
        <v>1505</v>
      </c>
      <c r="C363" s="214">
        <v>4099854004162</v>
      </c>
      <c r="D363" s="214"/>
      <c r="E363" s="215"/>
      <c r="F363" s="214"/>
      <c r="G363" s="66" t="str">
        <f>HYPERLINK("https://ledvance.com/pt/product-datasheet/236125/218928","Ficha de Produto")</f>
        <v>Ficha de Produto</v>
      </c>
      <c r="H363" s="34">
        <v>4</v>
      </c>
      <c r="I363" s="34" t="s">
        <v>830</v>
      </c>
      <c r="J363" s="34" t="s">
        <v>6140</v>
      </c>
      <c r="K363" s="34" t="s">
        <v>833</v>
      </c>
      <c r="L363" s="34" t="s">
        <v>765</v>
      </c>
      <c r="M363" s="30">
        <v>210</v>
      </c>
      <c r="N363" s="283" t="s">
        <v>721</v>
      </c>
    </row>
    <row r="364" spans="1:14" s="32" customFormat="1" ht="14.25" customHeight="1">
      <c r="A364" s="8" t="s">
        <v>641</v>
      </c>
      <c r="B364" s="227" t="s">
        <v>3251</v>
      </c>
      <c r="C364" s="7"/>
      <c r="D364" s="7"/>
      <c r="E364" s="7"/>
      <c r="F364" s="7"/>
      <c r="G364" s="68"/>
      <c r="H364" s="7"/>
      <c r="I364" s="7"/>
      <c r="J364" s="7"/>
      <c r="K364" s="7"/>
      <c r="L364" s="7"/>
      <c r="M364" s="7"/>
      <c r="N364" s="284"/>
    </row>
    <row r="365" spans="1:14" s="32" customFormat="1" ht="14.25" customHeight="1">
      <c r="A365" s="3" t="s">
        <v>641</v>
      </c>
      <c r="B365" s="36" t="s">
        <v>1506</v>
      </c>
      <c r="C365" s="214">
        <v>4099854017742</v>
      </c>
      <c r="D365" s="214"/>
      <c r="E365" s="215"/>
      <c r="F365" s="214"/>
      <c r="G365" s="66" t="str">
        <f>HYPERLINK("https://ledvance.com/pt/product-datasheet/236671/226396","Ficha de Produto")</f>
        <v>Ficha de Produto</v>
      </c>
      <c r="H365" s="34">
        <v>4</v>
      </c>
      <c r="I365" s="34" t="s">
        <v>1756</v>
      </c>
      <c r="J365" s="34" t="s">
        <v>6140</v>
      </c>
      <c r="K365" s="34" t="s">
        <v>833</v>
      </c>
      <c r="L365" s="34" t="s">
        <v>765</v>
      </c>
      <c r="M365" s="30">
        <v>57.5</v>
      </c>
      <c r="N365" s="283" t="s">
        <v>721</v>
      </c>
    </row>
    <row r="366" spans="1:14" s="32" customFormat="1" ht="14.25" customHeight="1">
      <c r="A366" s="3" t="s">
        <v>641</v>
      </c>
      <c r="B366" s="36" t="s">
        <v>1507</v>
      </c>
      <c r="C366" s="214">
        <v>4099854017902</v>
      </c>
      <c r="D366" s="214"/>
      <c r="E366" s="215"/>
      <c r="F366" s="214"/>
      <c r="G366" s="66" t="str">
        <f>HYPERLINK("https://ledvance.com/pt/product-datasheet/236671/226399","Ficha de Produto")</f>
        <v>Ficha de Produto</v>
      </c>
      <c r="H366" s="34">
        <v>4</v>
      </c>
      <c r="I366" s="34" t="s">
        <v>1756</v>
      </c>
      <c r="J366" s="34" t="s">
        <v>6140</v>
      </c>
      <c r="K366" s="34" t="s">
        <v>833</v>
      </c>
      <c r="L366" s="34" t="s">
        <v>765</v>
      </c>
      <c r="M366" s="30">
        <v>57.5</v>
      </c>
      <c r="N366" s="283" t="s">
        <v>721</v>
      </c>
    </row>
    <row r="367" spans="1:14" s="32" customFormat="1" ht="14.25" customHeight="1">
      <c r="A367" s="3" t="s">
        <v>641</v>
      </c>
      <c r="B367" s="36" t="s">
        <v>1508</v>
      </c>
      <c r="C367" s="214">
        <v>4099854017940</v>
      </c>
      <c r="D367" s="214"/>
      <c r="E367" s="215"/>
      <c r="F367" s="214"/>
      <c r="G367" s="66" t="str">
        <f>HYPERLINK("https://ledvance.com/pt/product-datasheet/236671/226402","Ficha de Produto")</f>
        <v>Ficha de Produto</v>
      </c>
      <c r="H367" s="34">
        <v>4</v>
      </c>
      <c r="I367" s="34" t="s">
        <v>1756</v>
      </c>
      <c r="J367" s="34" t="s">
        <v>6140</v>
      </c>
      <c r="K367" s="34" t="s">
        <v>833</v>
      </c>
      <c r="L367" s="34" t="s">
        <v>765</v>
      </c>
      <c r="M367" s="30">
        <v>57.5</v>
      </c>
      <c r="N367" s="283" t="s">
        <v>721</v>
      </c>
    </row>
    <row r="368" spans="1:14" s="32" customFormat="1" ht="14.25" customHeight="1">
      <c r="A368" s="3" t="s">
        <v>641</v>
      </c>
      <c r="B368" s="36" t="s">
        <v>1512</v>
      </c>
      <c r="C368" s="214">
        <v>4099854017803</v>
      </c>
      <c r="D368" s="214"/>
      <c r="E368" s="215"/>
      <c r="F368" s="214"/>
      <c r="G368" s="66" t="str">
        <f>HYPERLINK("https://ledvance.com/pt/product-datasheet/236673/226438","Ficha de Produto")</f>
        <v>Ficha de Produto</v>
      </c>
      <c r="H368" s="34">
        <v>4</v>
      </c>
      <c r="I368" s="34" t="s">
        <v>1756</v>
      </c>
      <c r="J368" s="34" t="s">
        <v>6140</v>
      </c>
      <c r="K368" s="34" t="s">
        <v>833</v>
      </c>
      <c r="L368" s="34" t="s">
        <v>765</v>
      </c>
      <c r="M368" s="30">
        <v>95</v>
      </c>
      <c r="N368" s="283" t="s">
        <v>721</v>
      </c>
    </row>
    <row r="369" spans="1:14" s="32" customFormat="1" ht="14.25" customHeight="1">
      <c r="A369" s="3" t="s">
        <v>641</v>
      </c>
      <c r="B369" s="36" t="s">
        <v>1513</v>
      </c>
      <c r="C369" s="214">
        <v>4099854017926</v>
      </c>
      <c r="D369" s="214"/>
      <c r="E369" s="215"/>
      <c r="F369" s="214"/>
      <c r="G369" s="66" t="str">
        <f>HYPERLINK("https://ledvance.com/pt/product-datasheet/236673/226441","Ficha de Produto")</f>
        <v>Ficha de Produto</v>
      </c>
      <c r="H369" s="34">
        <v>4</v>
      </c>
      <c r="I369" s="34" t="s">
        <v>1756</v>
      </c>
      <c r="J369" s="34" t="s">
        <v>6140</v>
      </c>
      <c r="K369" s="34" t="s">
        <v>833</v>
      </c>
      <c r="L369" s="34" t="s">
        <v>765</v>
      </c>
      <c r="M369" s="30">
        <v>95</v>
      </c>
      <c r="N369" s="283" t="s">
        <v>721</v>
      </c>
    </row>
    <row r="370" spans="1:14" s="32" customFormat="1" ht="14.25" customHeight="1">
      <c r="A370" s="3" t="s">
        <v>641</v>
      </c>
      <c r="B370" s="36" t="s">
        <v>1514</v>
      </c>
      <c r="C370" s="214">
        <v>4099854017025</v>
      </c>
      <c r="D370" s="214"/>
      <c r="E370" s="215"/>
      <c r="F370" s="214"/>
      <c r="G370" s="66" t="str">
        <f>HYPERLINK("https://ledvance.com/pt/product-datasheet/236673/226444","Ficha de Produto")</f>
        <v>Ficha de Produto</v>
      </c>
      <c r="H370" s="34">
        <v>4</v>
      </c>
      <c r="I370" s="34" t="s">
        <v>1756</v>
      </c>
      <c r="J370" s="34" t="s">
        <v>6140</v>
      </c>
      <c r="K370" s="34" t="s">
        <v>833</v>
      </c>
      <c r="L370" s="34" t="s">
        <v>765</v>
      </c>
      <c r="M370" s="30">
        <v>95</v>
      </c>
      <c r="N370" s="283" t="s">
        <v>721</v>
      </c>
    </row>
    <row r="371" spans="1:14" s="32" customFormat="1" ht="14.25" customHeight="1">
      <c r="A371" s="8" t="s">
        <v>641</v>
      </c>
      <c r="B371" s="227" t="s">
        <v>3252</v>
      </c>
      <c r="C371" s="7"/>
      <c r="D371" s="7"/>
      <c r="E371" s="7"/>
      <c r="F371" s="7"/>
      <c r="G371" s="68"/>
      <c r="H371" s="7"/>
      <c r="I371" s="7"/>
      <c r="J371" s="7"/>
      <c r="K371" s="7"/>
      <c r="L371" s="7"/>
      <c r="M371" s="7"/>
      <c r="N371" s="284"/>
    </row>
    <row r="372" spans="1:14" s="32" customFormat="1" ht="14.25" customHeight="1">
      <c r="A372" s="3" t="s">
        <v>641</v>
      </c>
      <c r="B372" s="36" t="s">
        <v>1509</v>
      </c>
      <c r="C372" s="214">
        <v>4099854017063</v>
      </c>
      <c r="D372" s="214"/>
      <c r="E372" s="215"/>
      <c r="F372" s="214"/>
      <c r="G372" s="66" t="str">
        <f>HYPERLINK("https://ledvance.com/pt/product-datasheet/236672/226405","Ficha de Produto")</f>
        <v>Ficha de Produto</v>
      </c>
      <c r="H372" s="34">
        <v>4</v>
      </c>
      <c r="I372" s="34" t="s">
        <v>1756</v>
      </c>
      <c r="J372" s="34" t="s">
        <v>6140</v>
      </c>
      <c r="K372" s="34" t="s">
        <v>833</v>
      </c>
      <c r="L372" s="34" t="s">
        <v>765</v>
      </c>
      <c r="M372" s="30">
        <v>70</v>
      </c>
      <c r="N372" s="283" t="s">
        <v>721</v>
      </c>
    </row>
    <row r="373" spans="1:14" s="32" customFormat="1" ht="14.25" customHeight="1">
      <c r="A373" s="3" t="s">
        <v>641</v>
      </c>
      <c r="B373" s="36" t="s">
        <v>1510</v>
      </c>
      <c r="C373" s="214">
        <v>4099854017223</v>
      </c>
      <c r="D373" s="214"/>
      <c r="E373" s="215"/>
      <c r="F373" s="214"/>
      <c r="G373" s="66" t="str">
        <f>HYPERLINK("https://ledvance.com/pt/product-datasheet/236672/226408","Ficha de Produto")</f>
        <v>Ficha de Produto</v>
      </c>
      <c r="H373" s="34">
        <v>4</v>
      </c>
      <c r="I373" s="34" t="s">
        <v>1756</v>
      </c>
      <c r="J373" s="34" t="s">
        <v>6140</v>
      </c>
      <c r="K373" s="34" t="s">
        <v>833</v>
      </c>
      <c r="L373" s="34" t="s">
        <v>765</v>
      </c>
      <c r="M373" s="30">
        <v>70</v>
      </c>
      <c r="N373" s="283" t="s">
        <v>721</v>
      </c>
    </row>
    <row r="374" spans="1:14" s="32" customFormat="1" ht="14.25" customHeight="1">
      <c r="A374" s="3" t="s">
        <v>641</v>
      </c>
      <c r="B374" s="36" t="s">
        <v>1511</v>
      </c>
      <c r="C374" s="214">
        <v>4099854017308</v>
      </c>
      <c r="D374" s="214"/>
      <c r="E374" s="215"/>
      <c r="F374" s="214"/>
      <c r="G374" s="66" t="str">
        <f>HYPERLINK("https://ledvance.com/pt/product-datasheet/236672/226411","Ficha de Produto")</f>
        <v>Ficha de Produto</v>
      </c>
      <c r="H374" s="34">
        <v>4</v>
      </c>
      <c r="I374" s="34" t="s">
        <v>1756</v>
      </c>
      <c r="J374" s="34" t="s">
        <v>6140</v>
      </c>
      <c r="K374" s="34" t="s">
        <v>833</v>
      </c>
      <c r="L374" s="34" t="s">
        <v>765</v>
      </c>
      <c r="M374" s="30">
        <v>70</v>
      </c>
      <c r="N374" s="283" t="s">
        <v>721</v>
      </c>
    </row>
    <row r="375" spans="1:14" s="32" customFormat="1" ht="14.25" customHeight="1">
      <c r="A375" s="3" t="s">
        <v>641</v>
      </c>
      <c r="B375" s="36" t="s">
        <v>3142</v>
      </c>
      <c r="C375" s="218">
        <v>4099854206535</v>
      </c>
      <c r="D375" s="223"/>
      <c r="E375" s="223"/>
      <c r="F375" s="221" t="s">
        <v>2019</v>
      </c>
      <c r="G375" s="66" t="str">
        <f>HYPERLINK("https://ledvance.com/pt/product-datasheet/296244/277369","Ficha de Produto")</f>
        <v>Ficha de Produto</v>
      </c>
      <c r="H375" s="217" t="s">
        <v>1201</v>
      </c>
      <c r="I375" s="34" t="s">
        <v>6153</v>
      </c>
      <c r="J375" s="34" t="s">
        <v>6154</v>
      </c>
      <c r="K375" s="34" t="s">
        <v>833</v>
      </c>
      <c r="L375" s="34" t="s">
        <v>765</v>
      </c>
      <c r="M375" s="30">
        <v>60</v>
      </c>
      <c r="N375" s="283" t="s">
        <v>721</v>
      </c>
    </row>
    <row r="376" spans="1:14" s="32" customFormat="1" ht="14.25" customHeight="1">
      <c r="A376" s="3" t="s">
        <v>641</v>
      </c>
      <c r="B376" s="36" t="s">
        <v>1515</v>
      </c>
      <c r="C376" s="214">
        <v>4099854017100</v>
      </c>
      <c r="D376" s="214"/>
      <c r="E376" s="215"/>
      <c r="F376" s="214"/>
      <c r="G376" s="66" t="str">
        <f>HYPERLINK("https://ledvance.com/pt/product-datasheet/236674/226448","Ficha de Produto")</f>
        <v>Ficha de Produto</v>
      </c>
      <c r="H376" s="34">
        <v>4</v>
      </c>
      <c r="I376" s="34" t="s">
        <v>1756</v>
      </c>
      <c r="J376" s="34" t="s">
        <v>6140</v>
      </c>
      <c r="K376" s="34" t="s">
        <v>833</v>
      </c>
      <c r="L376" s="34" t="s">
        <v>765</v>
      </c>
      <c r="M376" s="30">
        <v>110</v>
      </c>
      <c r="N376" s="283" t="s">
        <v>721</v>
      </c>
    </row>
    <row r="377" spans="1:14" s="32" customFormat="1" ht="14.25" customHeight="1">
      <c r="A377" s="3" t="s">
        <v>641</v>
      </c>
      <c r="B377" s="36" t="s">
        <v>1516</v>
      </c>
      <c r="C377" s="214">
        <v>4099854017261</v>
      </c>
      <c r="D377" s="214"/>
      <c r="E377" s="215"/>
      <c r="F377" s="214"/>
      <c r="G377" s="66" t="str">
        <f>HYPERLINK("https://ledvance.com/pt/product-datasheet/236674/226452","Ficha de Produto")</f>
        <v>Ficha de Produto</v>
      </c>
      <c r="H377" s="34">
        <v>4</v>
      </c>
      <c r="I377" s="34" t="s">
        <v>1756</v>
      </c>
      <c r="J377" s="34" t="s">
        <v>6140</v>
      </c>
      <c r="K377" s="34" t="s">
        <v>833</v>
      </c>
      <c r="L377" s="34" t="s">
        <v>765</v>
      </c>
      <c r="M377" s="30">
        <v>110</v>
      </c>
      <c r="N377" s="283" t="s">
        <v>721</v>
      </c>
    </row>
    <row r="378" spans="1:14" s="32" customFormat="1" ht="14.25" customHeight="1">
      <c r="A378" s="3" t="s">
        <v>641</v>
      </c>
      <c r="B378" s="36" t="s">
        <v>1517</v>
      </c>
      <c r="C378" s="214">
        <v>4099854017322</v>
      </c>
      <c r="D378" s="214"/>
      <c r="E378" s="215"/>
      <c r="F378" s="214"/>
      <c r="G378" s="66" t="str">
        <f>HYPERLINK("https://ledvance.com/pt/product-datasheet/236674/226456","Ficha de Produto")</f>
        <v>Ficha de Produto</v>
      </c>
      <c r="H378" s="34">
        <v>4</v>
      </c>
      <c r="I378" s="34" t="s">
        <v>1756</v>
      </c>
      <c r="J378" s="34" t="s">
        <v>6140</v>
      </c>
      <c r="K378" s="34" t="s">
        <v>833</v>
      </c>
      <c r="L378" s="34" t="s">
        <v>765</v>
      </c>
      <c r="M378" s="30">
        <v>110</v>
      </c>
      <c r="N378" s="283" t="s">
        <v>721</v>
      </c>
    </row>
    <row r="379" spans="1:14" s="32" customFormat="1" ht="14.25" customHeight="1">
      <c r="A379" s="3" t="s">
        <v>641</v>
      </c>
      <c r="B379" s="36" t="s">
        <v>3143</v>
      </c>
      <c r="C379" s="218">
        <v>4099854206603</v>
      </c>
      <c r="D379" s="223"/>
      <c r="E379" s="223"/>
      <c r="F379" s="221" t="s">
        <v>2019</v>
      </c>
      <c r="G379" s="66" t="str">
        <f>HYPERLINK("https://ledvance.com/pt/product-datasheet/296245/277383","Ficha de Produto")</f>
        <v>Ficha de Produto</v>
      </c>
      <c r="H379" s="217" t="s">
        <v>1201</v>
      </c>
      <c r="I379" s="34" t="s">
        <v>6155</v>
      </c>
      <c r="J379" s="34" t="s">
        <v>6122</v>
      </c>
      <c r="K379" s="34" t="s">
        <v>833</v>
      </c>
      <c r="L379" s="34" t="s">
        <v>765</v>
      </c>
      <c r="M379" s="30">
        <v>87.5</v>
      </c>
      <c r="N379" s="283" t="s">
        <v>721</v>
      </c>
    </row>
    <row r="380" spans="1:14" s="32" customFormat="1" ht="14.25" customHeight="1">
      <c r="A380" s="8" t="s">
        <v>641</v>
      </c>
      <c r="B380" s="227" t="s">
        <v>3253</v>
      </c>
      <c r="C380" s="7"/>
      <c r="D380" s="7"/>
      <c r="E380" s="7"/>
      <c r="F380" s="7"/>
      <c r="G380" s="68"/>
      <c r="H380" s="7"/>
      <c r="I380" s="7"/>
      <c r="J380" s="7"/>
      <c r="K380" s="7"/>
      <c r="L380" s="7"/>
      <c r="M380" s="7"/>
      <c r="N380" s="284"/>
    </row>
    <row r="381" spans="1:14" s="32" customFormat="1" ht="14.25" customHeight="1">
      <c r="A381" s="3" t="s">
        <v>641</v>
      </c>
      <c r="B381" s="36" t="s">
        <v>1524</v>
      </c>
      <c r="C381" s="214">
        <v>4099854017346</v>
      </c>
      <c r="D381" s="214"/>
      <c r="E381" s="215"/>
      <c r="F381" s="214"/>
      <c r="G381" s="66" t="str">
        <f>HYPERLINK("https://ledvance.com/pt/product-datasheet/236685/226414","Ficha de Produto")</f>
        <v>Ficha de Produto</v>
      </c>
      <c r="H381" s="34">
        <v>4</v>
      </c>
      <c r="I381" s="34" t="s">
        <v>1757</v>
      </c>
      <c r="J381" s="34" t="s">
        <v>6119</v>
      </c>
      <c r="K381" s="34" t="s">
        <v>833</v>
      </c>
      <c r="L381" s="34" t="s">
        <v>765</v>
      </c>
      <c r="M381" s="30">
        <v>87.5</v>
      </c>
      <c r="N381" s="283" t="s">
        <v>721</v>
      </c>
    </row>
    <row r="382" spans="1:14" s="32" customFormat="1" ht="14.25" customHeight="1">
      <c r="A382" s="3" t="s">
        <v>641</v>
      </c>
      <c r="B382" s="36" t="s">
        <v>1525</v>
      </c>
      <c r="C382" s="214">
        <v>4099854017360</v>
      </c>
      <c r="D382" s="214"/>
      <c r="E382" s="215"/>
      <c r="F382" s="214"/>
      <c r="G382" s="66" t="str">
        <f>HYPERLINK("https://ledvance.com/pt/product-datasheet/236685/226417","Ficha de Produto")</f>
        <v>Ficha de Produto</v>
      </c>
      <c r="H382" s="34">
        <v>4</v>
      </c>
      <c r="I382" s="34" t="s">
        <v>1754</v>
      </c>
      <c r="J382" s="34" t="s">
        <v>6122</v>
      </c>
      <c r="K382" s="34" t="s">
        <v>833</v>
      </c>
      <c r="L382" s="34" t="s">
        <v>765</v>
      </c>
      <c r="M382" s="30">
        <v>102.5</v>
      </c>
      <c r="N382" s="283" t="s">
        <v>721</v>
      </c>
    </row>
    <row r="383" spans="1:14" s="32" customFormat="1" ht="14.25" customHeight="1">
      <c r="A383" s="3" t="s">
        <v>641</v>
      </c>
      <c r="B383" s="36" t="s">
        <v>1526</v>
      </c>
      <c r="C383" s="214">
        <v>4099854017384</v>
      </c>
      <c r="D383" s="214"/>
      <c r="E383" s="215"/>
      <c r="F383" s="214"/>
      <c r="G383" s="66" t="str">
        <f>HYPERLINK("https://ledvance.com/pt/product-datasheet/236686/226460","Ficha de Produto")</f>
        <v>Ficha de Produto</v>
      </c>
      <c r="H383" s="34">
        <v>4</v>
      </c>
      <c r="I383" s="34" t="s">
        <v>1754</v>
      </c>
      <c r="J383" s="34" t="s">
        <v>6122</v>
      </c>
      <c r="K383" s="34" t="s">
        <v>833</v>
      </c>
      <c r="L383" s="34" t="s">
        <v>765</v>
      </c>
      <c r="M383" s="30">
        <v>145</v>
      </c>
      <c r="N383" s="283" t="s">
        <v>721</v>
      </c>
    </row>
    <row r="384" spans="1:14" s="32" customFormat="1" ht="14.25" customHeight="1">
      <c r="A384" s="8" t="s">
        <v>641</v>
      </c>
      <c r="B384" s="227" t="s">
        <v>3254</v>
      </c>
      <c r="C384" s="7"/>
      <c r="D384" s="7"/>
      <c r="E384" s="7"/>
      <c r="F384" s="7"/>
      <c r="G384" s="68"/>
      <c r="H384" s="7"/>
      <c r="I384" s="220"/>
      <c r="J384" s="7"/>
      <c r="K384" s="7"/>
      <c r="L384" s="7"/>
      <c r="M384" s="7"/>
      <c r="N384" s="284"/>
    </row>
    <row r="385" spans="1:14" s="32" customFormat="1" ht="14.25" customHeight="1">
      <c r="A385" s="3" t="s">
        <v>641</v>
      </c>
      <c r="B385" s="36" t="s">
        <v>1518</v>
      </c>
      <c r="C385" s="214">
        <v>4099854017162</v>
      </c>
      <c r="D385" s="214"/>
      <c r="E385" s="215"/>
      <c r="F385" s="214"/>
      <c r="G385" s="66" t="str">
        <f>HYPERLINK("https://ledvance.com/pt/product-datasheet/236679/226384","Ficha de Produto")</f>
        <v>Ficha de Produto</v>
      </c>
      <c r="H385" s="34">
        <v>4</v>
      </c>
      <c r="I385" s="34" t="s">
        <v>1756</v>
      </c>
      <c r="J385" s="34" t="s">
        <v>6140</v>
      </c>
      <c r="K385" s="34" t="s">
        <v>833</v>
      </c>
      <c r="L385" s="34" t="s">
        <v>765</v>
      </c>
      <c r="M385" s="30">
        <v>62.5</v>
      </c>
      <c r="N385" s="283" t="s">
        <v>721</v>
      </c>
    </row>
    <row r="386" spans="1:14" s="32" customFormat="1" ht="14.25" customHeight="1">
      <c r="A386" s="3" t="s">
        <v>641</v>
      </c>
      <c r="B386" s="36" t="s">
        <v>1520</v>
      </c>
      <c r="C386" s="214">
        <v>4099854017209</v>
      </c>
      <c r="D386" s="214"/>
      <c r="E386" s="215"/>
      <c r="F386" s="214"/>
      <c r="G386" s="66" t="str">
        <f>HYPERLINK("https://ledvance.com/pt/product-datasheet/236680/226387","Ficha de Produto")</f>
        <v>Ficha de Produto</v>
      </c>
      <c r="H386" s="34">
        <v>4</v>
      </c>
      <c r="I386" s="34" t="s">
        <v>1756</v>
      </c>
      <c r="J386" s="34" t="s">
        <v>6140</v>
      </c>
      <c r="K386" s="34" t="s">
        <v>833</v>
      </c>
      <c r="L386" s="34" t="s">
        <v>765</v>
      </c>
      <c r="M386" s="30">
        <v>70</v>
      </c>
      <c r="N386" s="283" t="s">
        <v>721</v>
      </c>
    </row>
    <row r="387" spans="1:14" s="32" customFormat="1" ht="14.25" customHeight="1">
      <c r="A387" s="3" t="s">
        <v>641</v>
      </c>
      <c r="B387" s="36" t="s">
        <v>1519</v>
      </c>
      <c r="C387" s="214">
        <v>4099854017186</v>
      </c>
      <c r="D387" s="214"/>
      <c r="E387" s="215"/>
      <c r="F387" s="214"/>
      <c r="G387" s="66" t="str">
        <f>HYPERLINK("https://ledvance.com/pt/product-datasheet/236681/226426","Ficha de Produto")</f>
        <v>Ficha de Produto</v>
      </c>
      <c r="H387" s="34">
        <v>4</v>
      </c>
      <c r="I387" s="34" t="s">
        <v>1756</v>
      </c>
      <c r="J387" s="34" t="s">
        <v>6140</v>
      </c>
      <c r="K387" s="34" t="s">
        <v>833</v>
      </c>
      <c r="L387" s="34" t="s">
        <v>765</v>
      </c>
      <c r="M387" s="30">
        <v>100</v>
      </c>
      <c r="N387" s="283" t="s">
        <v>721</v>
      </c>
    </row>
    <row r="388" spans="1:14" s="32" customFormat="1" ht="14.25" customHeight="1">
      <c r="A388" s="3" t="s">
        <v>641</v>
      </c>
      <c r="B388" s="36" t="s">
        <v>1521</v>
      </c>
      <c r="C388" s="214">
        <v>4099854017247</v>
      </c>
      <c r="D388" s="214"/>
      <c r="E388" s="215"/>
      <c r="F388" s="214"/>
      <c r="G388" s="66" t="str">
        <f>HYPERLINK("https://ledvance.com/pt/product-datasheet/236682/226429","Ficha de Produto")</f>
        <v>Ficha de Produto</v>
      </c>
      <c r="H388" s="34">
        <v>4</v>
      </c>
      <c r="I388" s="34" t="s">
        <v>1756</v>
      </c>
      <c r="J388" s="34" t="s">
        <v>6140</v>
      </c>
      <c r="K388" s="34" t="s">
        <v>833</v>
      </c>
      <c r="L388" s="34" t="s">
        <v>765</v>
      </c>
      <c r="M388" s="30">
        <v>110</v>
      </c>
      <c r="N388" s="283" t="s">
        <v>721</v>
      </c>
    </row>
    <row r="389" spans="1:14" s="32" customFormat="1" ht="14.25" customHeight="1">
      <c r="A389" s="8" t="s">
        <v>641</v>
      </c>
      <c r="B389" s="227" t="s">
        <v>3255</v>
      </c>
      <c r="C389" s="7"/>
      <c r="D389" s="7"/>
      <c r="E389" s="7"/>
      <c r="F389" s="7"/>
      <c r="G389" s="68"/>
      <c r="H389" s="220"/>
      <c r="I389" s="220"/>
      <c r="J389" s="7"/>
      <c r="K389" s="7"/>
      <c r="L389" s="7"/>
      <c r="M389" s="7"/>
      <c r="N389" s="284"/>
    </row>
    <row r="390" spans="1:14" s="32" customFormat="1" ht="14.25" customHeight="1">
      <c r="A390" s="3" t="s">
        <v>641</v>
      </c>
      <c r="B390" s="36" t="s">
        <v>1527</v>
      </c>
      <c r="C390" s="214">
        <v>4099854017285</v>
      </c>
      <c r="D390" s="214"/>
      <c r="E390" s="215"/>
      <c r="F390" s="214"/>
      <c r="G390" s="66" t="str">
        <f>HYPERLINK("https://ledvance.com/pt/product-datasheet/236687/226390","Ficha de Produto")</f>
        <v>Ficha de Produto</v>
      </c>
      <c r="H390" s="34">
        <v>4</v>
      </c>
      <c r="I390" s="34" t="s">
        <v>1754</v>
      </c>
      <c r="J390" s="34" t="s">
        <v>6122</v>
      </c>
      <c r="K390" s="34" t="s">
        <v>833</v>
      </c>
      <c r="L390" s="34" t="s">
        <v>765</v>
      </c>
      <c r="M390" s="30">
        <v>82.5</v>
      </c>
      <c r="N390" s="283" t="s">
        <v>721</v>
      </c>
    </row>
    <row r="391" spans="1:14" s="32" customFormat="1" ht="14.25" customHeight="1">
      <c r="A391" s="3" t="s">
        <v>641</v>
      </c>
      <c r="B391" s="36" t="s">
        <v>1528</v>
      </c>
      <c r="C391" s="214">
        <v>4099854017520</v>
      </c>
      <c r="D391" s="214"/>
      <c r="E391" s="215"/>
      <c r="F391" s="214"/>
      <c r="G391" s="66" t="str">
        <f>HYPERLINK("https://ledvance.com/pt/product-datasheet/236688/226432","Ficha de Produto")</f>
        <v>Ficha de Produto</v>
      </c>
      <c r="H391" s="34">
        <v>4</v>
      </c>
      <c r="I391" s="34" t="s">
        <v>1754</v>
      </c>
      <c r="J391" s="34" t="s">
        <v>6122</v>
      </c>
      <c r="K391" s="34" t="s">
        <v>833</v>
      </c>
      <c r="L391" s="34" t="s">
        <v>765</v>
      </c>
      <c r="M391" s="30">
        <v>120</v>
      </c>
      <c r="N391" s="283" t="s">
        <v>721</v>
      </c>
    </row>
    <row r="392" spans="1:14" s="32" customFormat="1" ht="14.25" customHeight="1">
      <c r="A392" s="8" t="s">
        <v>641</v>
      </c>
      <c r="B392" s="227" t="s">
        <v>3256</v>
      </c>
      <c r="C392" s="7"/>
      <c r="D392" s="7"/>
      <c r="E392" s="7"/>
      <c r="F392" s="7"/>
      <c r="G392" s="68" t="s">
        <v>6505</v>
      </c>
      <c r="H392" s="220"/>
      <c r="I392" s="7"/>
      <c r="J392" s="7"/>
      <c r="K392" s="7"/>
      <c r="L392" s="7"/>
      <c r="M392" s="7"/>
      <c r="N392" s="284"/>
    </row>
    <row r="393" spans="1:14" s="32" customFormat="1" ht="14.25" customHeight="1">
      <c r="A393" s="9" t="s">
        <v>641</v>
      </c>
      <c r="B393" s="271" t="s">
        <v>1950</v>
      </c>
      <c r="C393" s="218">
        <v>4099854113680</v>
      </c>
      <c r="D393" s="226"/>
      <c r="E393" s="226"/>
      <c r="F393" s="221" t="s">
        <v>2019</v>
      </c>
      <c r="G393" s="66" t="str">
        <f>HYPERLINK("https://ledvance.com/pt/product-datasheet/266419/254580","Ficha de Produto")</f>
        <v>Ficha de Produto</v>
      </c>
      <c r="H393" s="217" t="s">
        <v>1201</v>
      </c>
      <c r="I393" s="34" t="s">
        <v>1759</v>
      </c>
      <c r="J393" s="34" t="s">
        <v>6156</v>
      </c>
      <c r="K393" s="34" t="s">
        <v>833</v>
      </c>
      <c r="L393" s="34" t="s">
        <v>765</v>
      </c>
      <c r="M393" s="30">
        <v>130</v>
      </c>
      <c r="N393" s="283" t="s">
        <v>721</v>
      </c>
    </row>
    <row r="394" spans="1:14" s="32" customFormat="1" ht="14.25" customHeight="1">
      <c r="A394" s="9" t="s">
        <v>641</v>
      </c>
      <c r="B394" s="271" t="s">
        <v>1951</v>
      </c>
      <c r="C394" s="218">
        <v>4099854113703</v>
      </c>
      <c r="D394" s="218"/>
      <c r="E394" s="218"/>
      <c r="F394" s="221" t="s">
        <v>2019</v>
      </c>
      <c r="G394" s="66" t="str">
        <f>HYPERLINK("https://ledvance.com/pt/product-datasheet/266420/254583","Ficha de Produto")</f>
        <v>Ficha de Produto</v>
      </c>
      <c r="H394" s="217" t="s">
        <v>1201</v>
      </c>
      <c r="I394" s="34" t="s">
        <v>1759</v>
      </c>
      <c r="J394" s="34" t="s">
        <v>6156</v>
      </c>
      <c r="K394" s="34" t="s">
        <v>833</v>
      </c>
      <c r="L394" s="34" t="s">
        <v>765</v>
      </c>
      <c r="M394" s="30">
        <v>165</v>
      </c>
      <c r="N394" s="283" t="s">
        <v>721</v>
      </c>
    </row>
    <row r="395" spans="1:14" s="32" customFormat="1" ht="14.25" customHeight="1">
      <c r="A395" s="8" t="s">
        <v>641</v>
      </c>
      <c r="B395" s="227" t="s">
        <v>3257</v>
      </c>
      <c r="C395" s="7"/>
      <c r="D395" s="7"/>
      <c r="E395" s="7"/>
      <c r="F395" s="7"/>
      <c r="G395" s="68" t="s">
        <v>6505</v>
      </c>
      <c r="H395" s="220"/>
      <c r="I395" s="7"/>
      <c r="J395" s="7"/>
      <c r="K395" s="7"/>
      <c r="L395" s="7"/>
      <c r="M395" s="7"/>
      <c r="N395" s="284"/>
    </row>
    <row r="396" spans="1:14" s="32" customFormat="1" ht="14.25" customHeight="1">
      <c r="A396" s="3" t="s">
        <v>641</v>
      </c>
      <c r="B396" s="36" t="s">
        <v>1522</v>
      </c>
      <c r="C396" s="214">
        <v>4099854017643</v>
      </c>
      <c r="D396" s="214"/>
      <c r="E396" s="215"/>
      <c r="F396" s="214"/>
      <c r="G396" s="66" t="str">
        <f>HYPERLINK("https://ledvance.com/pt/product-datasheet/236683/226393","Ficha de Produto")</f>
        <v>Ficha de Produto</v>
      </c>
      <c r="H396" s="34">
        <v>2</v>
      </c>
      <c r="I396" s="34" t="s">
        <v>1759</v>
      </c>
      <c r="J396" s="34" t="s">
        <v>6156</v>
      </c>
      <c r="K396" s="34" t="s">
        <v>833</v>
      </c>
      <c r="L396" s="34" t="s">
        <v>765</v>
      </c>
      <c r="M396" s="30">
        <v>142.5</v>
      </c>
      <c r="N396" s="283" t="s">
        <v>721</v>
      </c>
    </row>
    <row r="397" spans="1:14" s="32" customFormat="1" ht="14.25" customHeight="1">
      <c r="A397" s="3" t="s">
        <v>641</v>
      </c>
      <c r="B397" s="36" t="s">
        <v>1523</v>
      </c>
      <c r="C397" s="214">
        <v>4099854017704</v>
      </c>
      <c r="D397" s="214"/>
      <c r="E397" s="215"/>
      <c r="F397" s="214"/>
      <c r="G397" s="66" t="str">
        <f>HYPERLINK("https://ledvance.com/pt/product-datasheet/236684/226435","Ficha de Produto")</f>
        <v>Ficha de Produto</v>
      </c>
      <c r="H397" s="34">
        <v>2</v>
      </c>
      <c r="I397" s="34" t="s">
        <v>1759</v>
      </c>
      <c r="J397" s="34" t="s">
        <v>6156</v>
      </c>
      <c r="K397" s="34" t="s">
        <v>833</v>
      </c>
      <c r="L397" s="34" t="s">
        <v>765</v>
      </c>
      <c r="M397" s="30">
        <v>180</v>
      </c>
      <c r="N397" s="283" t="s">
        <v>721</v>
      </c>
    </row>
    <row r="398" spans="1:14" s="32" customFormat="1" ht="14.25" customHeight="1">
      <c r="A398" s="8" t="s">
        <v>641</v>
      </c>
      <c r="B398" s="227" t="s">
        <v>653</v>
      </c>
      <c r="C398" s="7"/>
      <c r="D398" s="7"/>
      <c r="E398" s="7"/>
      <c r="F398" s="7"/>
      <c r="G398" s="68"/>
      <c r="H398" s="7"/>
      <c r="I398" s="7"/>
      <c r="J398" s="7"/>
      <c r="K398" s="7"/>
      <c r="L398" s="7"/>
      <c r="M398" s="7"/>
      <c r="N398" s="284"/>
    </row>
    <row r="399" spans="1:14" s="32" customFormat="1" ht="14.25" customHeight="1">
      <c r="A399" s="3" t="s">
        <v>641</v>
      </c>
      <c r="B399" s="36" t="s">
        <v>3259</v>
      </c>
      <c r="C399" s="10">
        <v>4099854187230</v>
      </c>
      <c r="D399" s="224">
        <v>4058075386624</v>
      </c>
      <c r="E399" s="225" t="s">
        <v>95</v>
      </c>
      <c r="F399" s="221" t="s">
        <v>2019</v>
      </c>
      <c r="G399" s="66" t="str">
        <f>HYPERLINK("https://ledvance.com/pt/product-datasheet/281969/272007","Ficha de Produto")</f>
        <v>Ficha de Produto</v>
      </c>
      <c r="H399" s="34">
        <v>4</v>
      </c>
      <c r="I399" s="34" t="s">
        <v>834</v>
      </c>
      <c r="J399" s="34" t="s">
        <v>6143</v>
      </c>
      <c r="K399" s="34" t="s">
        <v>833</v>
      </c>
      <c r="L399" s="34" t="s">
        <v>793</v>
      </c>
      <c r="M399" s="30">
        <v>40</v>
      </c>
      <c r="N399" s="283" t="s">
        <v>721</v>
      </c>
    </row>
    <row r="400" spans="1:14" s="32" customFormat="1" ht="14.25" customHeight="1">
      <c r="A400" s="3" t="s">
        <v>641</v>
      </c>
      <c r="B400" s="36" t="s">
        <v>3260</v>
      </c>
      <c r="C400" s="10">
        <v>4099854187254</v>
      </c>
      <c r="D400" s="224">
        <v>4058075386648</v>
      </c>
      <c r="E400" s="225" t="s">
        <v>96</v>
      </c>
      <c r="F400" s="221" t="s">
        <v>2019</v>
      </c>
      <c r="G400" s="66" t="str">
        <f>HYPERLINK("https://ledvance.com/pt/product-datasheet/281969/272010","Ficha de Produto")</f>
        <v>Ficha de Produto</v>
      </c>
      <c r="H400" s="34">
        <v>4</v>
      </c>
      <c r="I400" s="34" t="s">
        <v>834</v>
      </c>
      <c r="J400" s="34" t="s">
        <v>6143</v>
      </c>
      <c r="K400" s="34" t="s">
        <v>833</v>
      </c>
      <c r="L400" s="34" t="s">
        <v>793</v>
      </c>
      <c r="M400" s="30">
        <v>40</v>
      </c>
      <c r="N400" s="283" t="s">
        <v>721</v>
      </c>
    </row>
    <row r="401" spans="1:14" s="32" customFormat="1" ht="14.25" customHeight="1">
      <c r="A401" s="3" t="s">
        <v>641</v>
      </c>
      <c r="B401" s="36" t="s">
        <v>3261</v>
      </c>
      <c r="C401" s="10">
        <v>4099854187278</v>
      </c>
      <c r="D401" s="224">
        <v>4058075386662</v>
      </c>
      <c r="E401" s="225" t="s">
        <v>97</v>
      </c>
      <c r="F401" s="221" t="s">
        <v>2019</v>
      </c>
      <c r="G401" s="66" t="str">
        <f>HYPERLINK("https://ledvance.com/pt/product-datasheet/281969/272013","Ficha de Produto")</f>
        <v>Ficha de Produto</v>
      </c>
      <c r="H401" s="34">
        <v>4</v>
      </c>
      <c r="I401" s="34" t="s">
        <v>834</v>
      </c>
      <c r="J401" s="34" t="s">
        <v>6143</v>
      </c>
      <c r="K401" s="34" t="s">
        <v>833</v>
      </c>
      <c r="L401" s="34" t="s">
        <v>793</v>
      </c>
      <c r="M401" s="30">
        <v>40</v>
      </c>
      <c r="N401" s="283" t="s">
        <v>721</v>
      </c>
    </row>
    <row r="402" spans="1:14" s="32" customFormat="1" ht="14.25" customHeight="1">
      <c r="A402" s="8" t="s">
        <v>641</v>
      </c>
      <c r="B402" s="227" t="s">
        <v>3258</v>
      </c>
      <c r="C402" s="7"/>
      <c r="D402" s="7"/>
      <c r="E402" s="7"/>
      <c r="F402" s="7"/>
      <c r="G402" s="68"/>
      <c r="H402" s="7"/>
      <c r="I402" s="7"/>
      <c r="J402" s="7"/>
      <c r="K402" s="7"/>
      <c r="L402" s="7"/>
      <c r="M402" s="7"/>
      <c r="N402" s="284"/>
    </row>
    <row r="403" spans="1:14" s="32" customFormat="1" ht="14.25" customHeight="1">
      <c r="A403" s="3" t="s">
        <v>641</v>
      </c>
      <c r="B403" s="36" t="s">
        <v>3262</v>
      </c>
      <c r="C403" s="10">
        <v>4099854187292</v>
      </c>
      <c r="D403" s="224">
        <v>4058075386686</v>
      </c>
      <c r="E403" s="225" t="s">
        <v>98</v>
      </c>
      <c r="F403" s="221" t="s">
        <v>2019</v>
      </c>
      <c r="G403" s="66" t="str">
        <f>HYPERLINK("https://ledvance.com/pt/product-datasheet/281970/272016","Ficha de Produto")</f>
        <v>Ficha de Produto</v>
      </c>
      <c r="H403" s="34">
        <v>4</v>
      </c>
      <c r="I403" s="34" t="s">
        <v>834</v>
      </c>
      <c r="J403" s="34" t="s">
        <v>6143</v>
      </c>
      <c r="K403" s="34" t="s">
        <v>833</v>
      </c>
      <c r="L403" s="34" t="s">
        <v>793</v>
      </c>
      <c r="M403" s="30">
        <v>47.5</v>
      </c>
      <c r="N403" s="283" t="s">
        <v>721</v>
      </c>
    </row>
    <row r="404" spans="1:14" s="32" customFormat="1" ht="14.25" customHeight="1">
      <c r="A404" s="3" t="s">
        <v>641</v>
      </c>
      <c r="B404" s="36" t="s">
        <v>3263</v>
      </c>
      <c r="C404" s="10">
        <v>4099854187315</v>
      </c>
      <c r="D404" s="224">
        <v>4058075386709</v>
      </c>
      <c r="E404" s="225" t="s">
        <v>99</v>
      </c>
      <c r="F404" s="221" t="s">
        <v>2019</v>
      </c>
      <c r="G404" s="66" t="str">
        <f>HYPERLINK("https://ledvance.com/pt/product-datasheet/281970/272019","Ficha de Produto")</f>
        <v>Ficha de Produto</v>
      </c>
      <c r="H404" s="34">
        <v>4</v>
      </c>
      <c r="I404" s="34" t="s">
        <v>834</v>
      </c>
      <c r="J404" s="34" t="s">
        <v>6143</v>
      </c>
      <c r="K404" s="34" t="s">
        <v>833</v>
      </c>
      <c r="L404" s="34" t="s">
        <v>793</v>
      </c>
      <c r="M404" s="30">
        <v>47.5</v>
      </c>
      <c r="N404" s="283" t="s">
        <v>721</v>
      </c>
    </row>
    <row r="405" spans="1:14" s="32" customFormat="1" ht="14.25" customHeight="1">
      <c r="A405" s="3" t="s">
        <v>641</v>
      </c>
      <c r="B405" s="36" t="s">
        <v>3264</v>
      </c>
      <c r="C405" s="10">
        <v>4099854187339</v>
      </c>
      <c r="D405" s="224">
        <v>4058075386723</v>
      </c>
      <c r="E405" s="225" t="s">
        <v>100</v>
      </c>
      <c r="F405" s="221" t="s">
        <v>2019</v>
      </c>
      <c r="G405" s="66" t="str">
        <f>HYPERLINK("https://ledvance.com/pt/product-datasheet/281970/272022","Ficha de Produto")</f>
        <v>Ficha de Produto</v>
      </c>
      <c r="H405" s="34">
        <v>4</v>
      </c>
      <c r="I405" s="34" t="s">
        <v>834</v>
      </c>
      <c r="J405" s="34" t="s">
        <v>6143</v>
      </c>
      <c r="K405" s="34" t="s">
        <v>833</v>
      </c>
      <c r="L405" s="34" t="s">
        <v>793</v>
      </c>
      <c r="M405" s="30">
        <v>47.5</v>
      </c>
      <c r="N405" s="283" t="s">
        <v>721</v>
      </c>
    </row>
    <row r="406" spans="1:14" s="32" customFormat="1" ht="14.25" customHeight="1">
      <c r="A406" s="8" t="s">
        <v>1114</v>
      </c>
      <c r="B406" s="227" t="s">
        <v>654</v>
      </c>
      <c r="C406" s="7"/>
      <c r="D406" s="7"/>
      <c r="E406" s="7"/>
      <c r="F406" s="7"/>
      <c r="G406" s="68"/>
      <c r="H406" s="7"/>
      <c r="I406" s="7"/>
      <c r="J406" s="7"/>
      <c r="K406" s="7"/>
      <c r="L406" s="7"/>
      <c r="M406" s="7"/>
      <c r="N406" s="284"/>
    </row>
    <row r="407" spans="1:14" s="32" customFormat="1" ht="14.25" customHeight="1">
      <c r="A407" s="3" t="s">
        <v>1114</v>
      </c>
      <c r="B407" s="36" t="s">
        <v>3266</v>
      </c>
      <c r="C407" s="218">
        <v>4058075826397</v>
      </c>
      <c r="D407" s="218"/>
      <c r="E407" s="218"/>
      <c r="F407" s="226"/>
      <c r="G407" s="66" t="str">
        <f>HYPERLINK("https://ledvance.com/pt/product-datasheet/8625/255564","Ficha de Produto")</f>
        <v>Ficha de Produto</v>
      </c>
      <c r="H407" s="217" t="s">
        <v>1201</v>
      </c>
      <c r="I407" s="217" t="s">
        <v>1201</v>
      </c>
      <c r="J407" s="217" t="s">
        <v>1201</v>
      </c>
      <c r="K407" s="217" t="s">
        <v>1201</v>
      </c>
      <c r="L407" s="34" t="s">
        <v>765</v>
      </c>
      <c r="M407" s="30">
        <v>65.099999999999994</v>
      </c>
      <c r="N407" s="283" t="s">
        <v>721</v>
      </c>
    </row>
    <row r="408" spans="1:14" s="32" customFormat="1" ht="14.25" customHeight="1">
      <c r="A408" s="3" t="s">
        <v>1114</v>
      </c>
      <c r="B408" s="36" t="s">
        <v>3265</v>
      </c>
      <c r="C408" s="214">
        <v>4058075472914</v>
      </c>
      <c r="D408" s="214"/>
      <c r="E408" s="215"/>
      <c r="F408" s="214"/>
      <c r="G408" s="66" t="str">
        <f>HYPERLINK("https://ledvance.com/pt/product-datasheet/8625/136752","Ficha de Produto")</f>
        <v>Ficha de Produto</v>
      </c>
      <c r="H408" s="34">
        <v>4</v>
      </c>
      <c r="I408" s="217" t="s">
        <v>1201</v>
      </c>
      <c r="J408" s="217" t="s">
        <v>1201</v>
      </c>
      <c r="K408" s="217" t="s">
        <v>1201</v>
      </c>
      <c r="L408" s="34" t="s">
        <v>800</v>
      </c>
      <c r="M408" s="30">
        <v>71.599999999999994</v>
      </c>
      <c r="N408" s="283" t="s">
        <v>721</v>
      </c>
    </row>
    <row r="409" spans="1:14" s="32" customFormat="1" ht="14.25" customHeight="1">
      <c r="A409" s="3" t="s">
        <v>1114</v>
      </c>
      <c r="B409" s="36" t="s">
        <v>3267</v>
      </c>
      <c r="C409" s="218">
        <v>4058075834330</v>
      </c>
      <c r="D409" s="218"/>
      <c r="E409" s="218"/>
      <c r="F409" s="226"/>
      <c r="G409" s="66" t="str">
        <f>HYPERLINK("https://ledvance.com/pt/product-datasheet/8625/271619","Ficha de Produto")</f>
        <v>Ficha de Produto</v>
      </c>
      <c r="H409" s="217" t="s">
        <v>1201</v>
      </c>
      <c r="I409" s="217" t="s">
        <v>1201</v>
      </c>
      <c r="J409" s="217" t="s">
        <v>1201</v>
      </c>
      <c r="K409" s="217" t="s">
        <v>1201</v>
      </c>
      <c r="L409" s="34" t="s">
        <v>765</v>
      </c>
      <c r="M409" s="30">
        <v>70.199999999999989</v>
      </c>
      <c r="N409" s="283" t="s">
        <v>721</v>
      </c>
    </row>
    <row r="410" spans="1:14" s="32" customFormat="1" ht="14.25" customHeight="1">
      <c r="A410" s="3" t="s">
        <v>1114</v>
      </c>
      <c r="B410" s="36" t="s">
        <v>3269</v>
      </c>
      <c r="C410" s="214">
        <v>4058075108820</v>
      </c>
      <c r="D410" s="214"/>
      <c r="E410" s="215"/>
      <c r="F410" s="214"/>
      <c r="G410" s="66" t="str">
        <f>HYPERLINK("https://ledvance.com/pt/product-datasheet/8625/137703","Ficha de Produto")</f>
        <v>Ficha de Produto</v>
      </c>
      <c r="H410" s="34">
        <v>4</v>
      </c>
      <c r="I410" s="217" t="s">
        <v>1201</v>
      </c>
      <c r="J410" s="217" t="s">
        <v>1201</v>
      </c>
      <c r="K410" s="217" t="s">
        <v>1201</v>
      </c>
      <c r="L410" s="34" t="s">
        <v>800</v>
      </c>
      <c r="M410" s="30">
        <v>70.900000000000006</v>
      </c>
      <c r="N410" s="283" t="s">
        <v>721</v>
      </c>
    </row>
    <row r="411" spans="1:14" s="32" customFormat="1" ht="14.25" customHeight="1">
      <c r="A411" s="3" t="s">
        <v>1114</v>
      </c>
      <c r="B411" s="36" t="s">
        <v>3270</v>
      </c>
      <c r="C411" s="218">
        <v>4058075834378</v>
      </c>
      <c r="D411" s="218"/>
      <c r="E411" s="218"/>
      <c r="F411" s="226"/>
      <c r="G411" s="66" t="str">
        <f>HYPERLINK("https://ledvance.com/pt/product-datasheet/8625/271625","Ficha de Produto")</f>
        <v>Ficha de Produto</v>
      </c>
      <c r="H411" s="217" t="s">
        <v>1201</v>
      </c>
      <c r="I411" s="217" t="s">
        <v>1201</v>
      </c>
      <c r="J411" s="217" t="s">
        <v>1201</v>
      </c>
      <c r="K411" s="217" t="s">
        <v>1201</v>
      </c>
      <c r="L411" s="34" t="s">
        <v>765</v>
      </c>
      <c r="M411" s="30">
        <v>78.199999999999989</v>
      </c>
      <c r="N411" s="283" t="s">
        <v>721</v>
      </c>
    </row>
    <row r="412" spans="1:14" s="32" customFormat="1" ht="14.25" customHeight="1">
      <c r="A412" s="3" t="s">
        <v>1114</v>
      </c>
      <c r="B412" s="36" t="s">
        <v>1772</v>
      </c>
      <c r="C412" s="214">
        <v>4058075472952</v>
      </c>
      <c r="D412" s="214"/>
      <c r="E412" s="215"/>
      <c r="F412" s="214"/>
      <c r="G412" s="66" t="str">
        <f>HYPERLINK("https://ledvance.com/pt/product-datasheet/8626/136746","Ficha de Produto")</f>
        <v>Ficha de Produto</v>
      </c>
      <c r="H412" s="34">
        <v>4</v>
      </c>
      <c r="I412" s="217" t="s">
        <v>1201</v>
      </c>
      <c r="J412" s="217" t="s">
        <v>1201</v>
      </c>
      <c r="K412" s="217" t="s">
        <v>1201</v>
      </c>
      <c r="L412" s="34" t="s">
        <v>800</v>
      </c>
      <c r="M412" s="30">
        <v>67.7</v>
      </c>
      <c r="N412" s="283" t="s">
        <v>721</v>
      </c>
    </row>
    <row r="413" spans="1:14" s="32" customFormat="1" ht="14.25" customHeight="1">
      <c r="A413" s="3" t="s">
        <v>1114</v>
      </c>
      <c r="B413" s="36" t="s">
        <v>655</v>
      </c>
      <c r="C413" s="214">
        <v>4058075402843</v>
      </c>
      <c r="D413" s="214"/>
      <c r="E413" s="215"/>
      <c r="F413" s="214"/>
      <c r="G413" s="66" t="str">
        <f>HYPERLINK("https://ledvance.com/pt/product-datasheet/8626/138217","Ficha de Produto")</f>
        <v>Ficha de Produto</v>
      </c>
      <c r="H413" s="34">
        <v>4</v>
      </c>
      <c r="I413" s="217" t="s">
        <v>1201</v>
      </c>
      <c r="J413" s="217" t="s">
        <v>1201</v>
      </c>
      <c r="K413" s="217" t="s">
        <v>1201</v>
      </c>
      <c r="L413" s="34" t="s">
        <v>800</v>
      </c>
      <c r="M413" s="30">
        <v>55.6</v>
      </c>
      <c r="N413" s="283" t="s">
        <v>721</v>
      </c>
    </row>
    <row r="414" spans="1:14" s="32" customFormat="1" ht="14.25" customHeight="1">
      <c r="A414" s="3" t="s">
        <v>1114</v>
      </c>
      <c r="B414" s="36" t="s">
        <v>3271</v>
      </c>
      <c r="C414" s="214">
        <v>4099854018497</v>
      </c>
      <c r="D414" s="214"/>
      <c r="E414" s="215"/>
      <c r="F414" s="214"/>
      <c r="G414" s="66" t="str">
        <f>HYPERLINK("https://ledvance.com/pt/product-datasheet/8626/234414","Ficha de Produto")</f>
        <v>Ficha de Produto</v>
      </c>
      <c r="H414" s="217" t="s">
        <v>1201</v>
      </c>
      <c r="I414" s="217" t="s">
        <v>1201</v>
      </c>
      <c r="J414" s="217" t="s">
        <v>1201</v>
      </c>
      <c r="K414" s="217" t="s">
        <v>1201</v>
      </c>
      <c r="L414" s="34" t="s">
        <v>765</v>
      </c>
      <c r="M414" s="30">
        <v>60.3</v>
      </c>
      <c r="N414" s="283" t="s">
        <v>721</v>
      </c>
    </row>
    <row r="415" spans="1:14" s="32" customFormat="1" ht="14.25" customHeight="1">
      <c r="A415" s="3" t="s">
        <v>1114</v>
      </c>
      <c r="B415" s="36" t="s">
        <v>656</v>
      </c>
      <c r="C415" s="214">
        <v>4058075389823</v>
      </c>
      <c r="D415" s="214"/>
      <c r="E415" s="215"/>
      <c r="F415" s="214"/>
      <c r="G415" s="66" t="str">
        <f>HYPERLINK("https://ledvance.com/pt/product-datasheet/8626/139155","Ficha de Produto")</f>
        <v>Ficha de Produto</v>
      </c>
      <c r="H415" s="34">
        <v>3</v>
      </c>
      <c r="I415" s="217" t="s">
        <v>1201</v>
      </c>
      <c r="J415" s="217" t="s">
        <v>1201</v>
      </c>
      <c r="K415" s="217" t="s">
        <v>1201</v>
      </c>
      <c r="L415" s="34" t="s">
        <v>800</v>
      </c>
      <c r="M415" s="30">
        <v>68.900000000000006</v>
      </c>
      <c r="N415" s="283" t="s">
        <v>721</v>
      </c>
    </row>
    <row r="416" spans="1:14" s="32" customFormat="1" ht="14.25" customHeight="1">
      <c r="A416" s="3" t="s">
        <v>1114</v>
      </c>
      <c r="B416" s="36" t="s">
        <v>657</v>
      </c>
      <c r="C416" s="214">
        <v>4058075108844</v>
      </c>
      <c r="D416" s="214"/>
      <c r="E416" s="215"/>
      <c r="F416" s="214"/>
      <c r="G416" s="66" t="str">
        <f>HYPERLINK("https://ledvance.com/pt/product-datasheet/8627/138750","Ficha de Produto")</f>
        <v>Ficha de Produto</v>
      </c>
      <c r="H416" s="34">
        <v>8</v>
      </c>
      <c r="I416" s="217" t="s">
        <v>1201</v>
      </c>
      <c r="J416" s="217" t="s">
        <v>1201</v>
      </c>
      <c r="K416" s="217" t="s">
        <v>1201</v>
      </c>
      <c r="L416" s="34" t="s">
        <v>800</v>
      </c>
      <c r="M416" s="30">
        <v>14.6</v>
      </c>
      <c r="N416" s="283" t="s">
        <v>721</v>
      </c>
    </row>
    <row r="417" spans="1:14" s="32" customFormat="1" ht="14.25" customHeight="1">
      <c r="A417" s="3" t="s">
        <v>1114</v>
      </c>
      <c r="B417" s="36" t="s">
        <v>658</v>
      </c>
      <c r="C417" s="214">
        <v>4058075402928</v>
      </c>
      <c r="D417" s="214"/>
      <c r="E417" s="215"/>
      <c r="F417" s="214"/>
      <c r="G417" s="66" t="str">
        <f>HYPERLINK("https://ledvance.com/pt/product-datasheet/8627/138302","Ficha de Produto")</f>
        <v>Ficha de Produto</v>
      </c>
      <c r="H417" s="34">
        <v>4</v>
      </c>
      <c r="I417" s="217" t="s">
        <v>1201</v>
      </c>
      <c r="J417" s="217" t="s">
        <v>1201</v>
      </c>
      <c r="K417" s="217" t="s">
        <v>1201</v>
      </c>
      <c r="L417" s="34" t="s">
        <v>800</v>
      </c>
      <c r="M417" s="30">
        <v>13.7</v>
      </c>
      <c r="N417" s="283" t="s">
        <v>721</v>
      </c>
    </row>
    <row r="418" spans="1:14" s="32" customFormat="1" ht="14.25" customHeight="1">
      <c r="A418" s="3" t="s">
        <v>1114</v>
      </c>
      <c r="B418" s="36" t="s">
        <v>659</v>
      </c>
      <c r="C418" s="214">
        <v>4058075472990</v>
      </c>
      <c r="D418" s="214"/>
      <c r="E418" s="215"/>
      <c r="F418" s="214"/>
      <c r="G418" s="66" t="str">
        <f>HYPERLINK("https://ledvance.com/pt/product-datasheet/8633/136740","Ficha de Produto")</f>
        <v>Ficha de Produto</v>
      </c>
      <c r="H418" s="34">
        <v>10</v>
      </c>
      <c r="I418" s="217" t="s">
        <v>1201</v>
      </c>
      <c r="J418" s="217" t="s">
        <v>1201</v>
      </c>
      <c r="K418" s="217" t="s">
        <v>1201</v>
      </c>
      <c r="L418" s="34" t="s">
        <v>800</v>
      </c>
      <c r="M418" s="30">
        <v>25.3</v>
      </c>
      <c r="N418" s="283" t="s">
        <v>721</v>
      </c>
    </row>
    <row r="419" spans="1:14" s="32" customFormat="1" ht="14.25" customHeight="1">
      <c r="A419" s="3" t="s">
        <v>1114</v>
      </c>
      <c r="B419" s="36" t="s">
        <v>660</v>
      </c>
      <c r="C419" s="214">
        <v>4058075402881</v>
      </c>
      <c r="D419" s="214"/>
      <c r="E419" s="215"/>
      <c r="F419" s="214"/>
      <c r="G419" s="66" t="str">
        <f>HYPERLINK("https://ledvance.com/pt/product-datasheet/8628/138284","Ficha de Produto")</f>
        <v>Ficha de Produto</v>
      </c>
      <c r="H419" s="34">
        <v>2</v>
      </c>
      <c r="I419" s="217" t="s">
        <v>1201</v>
      </c>
      <c r="J419" s="217" t="s">
        <v>1201</v>
      </c>
      <c r="K419" s="217" t="s">
        <v>1201</v>
      </c>
      <c r="L419" s="34" t="s">
        <v>800</v>
      </c>
      <c r="M419" s="30">
        <v>67.400000000000006</v>
      </c>
      <c r="N419" s="283" t="s">
        <v>721</v>
      </c>
    </row>
    <row r="420" spans="1:14" s="32" customFormat="1" ht="14.25" customHeight="1">
      <c r="A420" s="3" t="s">
        <v>1114</v>
      </c>
      <c r="B420" s="36" t="s">
        <v>661</v>
      </c>
      <c r="C420" s="214">
        <v>4058075472976</v>
      </c>
      <c r="D420" s="214"/>
      <c r="E420" s="215"/>
      <c r="F420" s="214"/>
      <c r="G420" s="66" t="str">
        <f>HYPERLINK("https://ledvance.com/pt/product-datasheet/8628/136743","Ficha de Produto")</f>
        <v>Ficha de Produto</v>
      </c>
      <c r="H420" s="34">
        <v>4</v>
      </c>
      <c r="I420" s="217" t="s">
        <v>1201</v>
      </c>
      <c r="J420" s="217" t="s">
        <v>1201</v>
      </c>
      <c r="K420" s="217" t="s">
        <v>1201</v>
      </c>
      <c r="L420" s="34" t="s">
        <v>800</v>
      </c>
      <c r="M420" s="30">
        <v>85.1</v>
      </c>
      <c r="N420" s="283" t="s">
        <v>721</v>
      </c>
    </row>
    <row r="421" spans="1:14" s="32" customFormat="1" ht="14.25" customHeight="1">
      <c r="A421" s="3" t="s">
        <v>1114</v>
      </c>
      <c r="B421" s="36" t="s">
        <v>662</v>
      </c>
      <c r="C421" s="214">
        <v>4058075409859</v>
      </c>
      <c r="D421" s="214"/>
      <c r="E421" s="215"/>
      <c r="F421" s="214"/>
      <c r="G421" s="66" t="str">
        <f>HYPERLINK("https://ledvance.com/pt/product-datasheet/8629/138311","Ficha de Produto")</f>
        <v>Ficha de Produto</v>
      </c>
      <c r="H421" s="34">
        <v>4</v>
      </c>
      <c r="I421" s="217" t="s">
        <v>1201</v>
      </c>
      <c r="J421" s="217" t="s">
        <v>1201</v>
      </c>
      <c r="K421" s="217" t="s">
        <v>1201</v>
      </c>
      <c r="L421" s="34" t="s">
        <v>800</v>
      </c>
      <c r="M421" s="30">
        <v>6.6</v>
      </c>
      <c r="N421" s="283" t="s">
        <v>721</v>
      </c>
    </row>
    <row r="422" spans="1:14" s="32" customFormat="1" ht="14.25" customHeight="1">
      <c r="A422" s="3" t="s">
        <v>1114</v>
      </c>
      <c r="B422" s="36" t="s">
        <v>3268</v>
      </c>
      <c r="C422" s="214">
        <v>4058075108882</v>
      </c>
      <c r="D422" s="214"/>
      <c r="E422" s="215"/>
      <c r="F422" s="214"/>
      <c r="G422" s="66" t="str">
        <f>HYPERLINK("https://ledvance.com/pt/product-datasheet/8631/129770","Ficha de Produto")</f>
        <v>Ficha de Produto</v>
      </c>
      <c r="H422" s="34">
        <v>40</v>
      </c>
      <c r="I422" s="217" t="s">
        <v>1201</v>
      </c>
      <c r="J422" s="217" t="s">
        <v>1201</v>
      </c>
      <c r="K422" s="217" t="s">
        <v>1201</v>
      </c>
      <c r="L422" s="34" t="s">
        <v>800</v>
      </c>
      <c r="M422" s="30">
        <v>3.3</v>
      </c>
      <c r="N422" s="283" t="s">
        <v>721</v>
      </c>
    </row>
    <row r="423" spans="1:14" s="32" customFormat="1" ht="14.25" customHeight="1">
      <c r="A423" s="3" t="s">
        <v>1114</v>
      </c>
      <c r="B423" s="36" t="s">
        <v>663</v>
      </c>
      <c r="C423" s="214">
        <v>4058075473010</v>
      </c>
      <c r="D423" s="214"/>
      <c r="E423" s="215"/>
      <c r="F423" s="214"/>
      <c r="G423" s="66" t="str">
        <f>HYPERLINK("https://ledvance.com/pt/product-datasheet/8634/136737","Ficha de Produto")</f>
        <v>Ficha de Produto</v>
      </c>
      <c r="H423" s="34">
        <v>10</v>
      </c>
      <c r="I423" s="217" t="s">
        <v>1201</v>
      </c>
      <c r="J423" s="217" t="s">
        <v>1201</v>
      </c>
      <c r="K423" s="217" t="s">
        <v>1201</v>
      </c>
      <c r="L423" s="34" t="s">
        <v>800</v>
      </c>
      <c r="M423" s="30">
        <v>48.4</v>
      </c>
      <c r="N423" s="283" t="s">
        <v>721</v>
      </c>
    </row>
    <row r="424" spans="1:14" s="32" customFormat="1" ht="14.25" customHeight="1">
      <c r="A424" s="3" t="s">
        <v>1114</v>
      </c>
      <c r="B424" s="36" t="s">
        <v>664</v>
      </c>
      <c r="C424" s="214">
        <v>4058075473034</v>
      </c>
      <c r="D424" s="214"/>
      <c r="E424" s="215"/>
      <c r="F424" s="214"/>
      <c r="G424" s="66" t="str">
        <f>HYPERLINK("https://ledvance.com/pt/product-datasheet/8634/126739","Ficha de Produto")</f>
        <v>Ficha de Produto</v>
      </c>
      <c r="H424" s="34">
        <v>10</v>
      </c>
      <c r="I424" s="217" t="s">
        <v>1201</v>
      </c>
      <c r="J424" s="217" t="s">
        <v>1201</v>
      </c>
      <c r="K424" s="217" t="s">
        <v>1201</v>
      </c>
      <c r="L424" s="34" t="s">
        <v>800</v>
      </c>
      <c r="M424" s="30">
        <v>58.9</v>
      </c>
      <c r="N424" s="283" t="s">
        <v>721</v>
      </c>
    </row>
    <row r="425" spans="1:14" s="32" customFormat="1" ht="14.25" customHeight="1">
      <c r="A425" s="3" t="s">
        <v>1114</v>
      </c>
      <c r="B425" s="36" t="s">
        <v>1529</v>
      </c>
      <c r="C425" s="214">
        <v>4099854018510</v>
      </c>
      <c r="D425" s="214"/>
      <c r="E425" s="215"/>
      <c r="F425" s="214"/>
      <c r="G425" s="66" t="str">
        <f>HYPERLINK("https://ledvance.com/pt/product-datasheet/239256/229135","Ficha de Produto")</f>
        <v>Ficha de Produto</v>
      </c>
      <c r="H425" s="217" t="s">
        <v>1201</v>
      </c>
      <c r="I425" s="217" t="s">
        <v>1201</v>
      </c>
      <c r="J425" s="217" t="s">
        <v>1201</v>
      </c>
      <c r="K425" s="217" t="s">
        <v>1201</v>
      </c>
      <c r="L425" s="34" t="s">
        <v>793</v>
      </c>
      <c r="M425" s="30">
        <v>14.2</v>
      </c>
      <c r="N425" s="283" t="s">
        <v>721</v>
      </c>
    </row>
    <row r="426" spans="1:14" s="32" customFormat="1" ht="14.25" customHeight="1">
      <c r="A426" s="8" t="s">
        <v>641</v>
      </c>
      <c r="B426" s="227" t="s">
        <v>665</v>
      </c>
      <c r="C426" s="7"/>
      <c r="D426" s="7"/>
      <c r="E426" s="7"/>
      <c r="F426" s="7"/>
      <c r="G426" s="68"/>
      <c r="H426" s="7"/>
      <c r="I426" s="7"/>
      <c r="J426" s="7"/>
      <c r="K426" s="7"/>
      <c r="L426" s="7"/>
      <c r="M426" s="7"/>
      <c r="N426" s="284"/>
    </row>
    <row r="427" spans="1:14" s="32" customFormat="1" ht="14.25" customHeight="1">
      <c r="A427" s="3" t="s">
        <v>641</v>
      </c>
      <c r="B427" s="36" t="s">
        <v>101</v>
      </c>
      <c r="C427" s="214">
        <v>4058075144606</v>
      </c>
      <c r="D427" s="214"/>
      <c r="E427" s="215"/>
      <c r="F427" s="214"/>
      <c r="G427" s="66" t="str">
        <f>HYPERLINK("https://ledvance.com/pt/product-datasheet/8701/125778","Ficha de Produto")</f>
        <v>Ficha de Produto</v>
      </c>
      <c r="H427" s="34">
        <v>2</v>
      </c>
      <c r="I427" s="34" t="s">
        <v>828</v>
      </c>
      <c r="J427" s="34" t="s">
        <v>6143</v>
      </c>
      <c r="K427" s="34" t="s">
        <v>788</v>
      </c>
      <c r="L427" s="34" t="s">
        <v>765</v>
      </c>
      <c r="M427" s="30">
        <v>417.5</v>
      </c>
      <c r="N427" s="283" t="s">
        <v>721</v>
      </c>
    </row>
    <row r="428" spans="1:14" s="32" customFormat="1" ht="14.25" customHeight="1">
      <c r="A428" s="3" t="s">
        <v>641</v>
      </c>
      <c r="B428" s="36" t="s">
        <v>102</v>
      </c>
      <c r="C428" s="214">
        <v>4058075144620</v>
      </c>
      <c r="D428" s="214"/>
      <c r="E428" s="215"/>
      <c r="F428" s="214"/>
      <c r="G428" s="66" t="str">
        <f>HYPERLINK("https://ledvance.com/pt/product-datasheet/8701/45731","Ficha de Produto")</f>
        <v>Ficha de Produto</v>
      </c>
      <c r="H428" s="34">
        <v>2</v>
      </c>
      <c r="I428" s="34" t="s">
        <v>815</v>
      </c>
      <c r="J428" s="34" t="s">
        <v>6143</v>
      </c>
      <c r="K428" s="34" t="s">
        <v>788</v>
      </c>
      <c r="L428" s="34" t="s">
        <v>765</v>
      </c>
      <c r="M428" s="30">
        <v>417.5</v>
      </c>
      <c r="N428" s="283" t="s">
        <v>721</v>
      </c>
    </row>
    <row r="429" spans="1:14" s="32" customFormat="1" ht="14.25" customHeight="1">
      <c r="A429" s="3" t="s">
        <v>641</v>
      </c>
      <c r="B429" s="36" t="s">
        <v>103</v>
      </c>
      <c r="C429" s="214">
        <v>4058075504028</v>
      </c>
      <c r="D429" s="214"/>
      <c r="E429" s="215"/>
      <c r="F429" s="214"/>
      <c r="G429" s="66" t="str">
        <f>HYPERLINK("https://ledvance.com/pt/product-datasheet/8702/98622","Ficha de Produto")</f>
        <v>Ficha de Produto</v>
      </c>
      <c r="H429" s="34">
        <v>2</v>
      </c>
      <c r="I429" s="34" t="s">
        <v>828</v>
      </c>
      <c r="J429" s="34" t="s">
        <v>6143</v>
      </c>
      <c r="K429" s="34" t="s">
        <v>788</v>
      </c>
      <c r="L429" s="34" t="s">
        <v>765</v>
      </c>
      <c r="M429" s="30">
        <v>520</v>
      </c>
      <c r="N429" s="283" t="s">
        <v>721</v>
      </c>
    </row>
    <row r="430" spans="1:14" s="32" customFormat="1" ht="14.25" customHeight="1">
      <c r="A430" s="3" t="s">
        <v>641</v>
      </c>
      <c r="B430" s="36" t="s">
        <v>104</v>
      </c>
      <c r="C430" s="214">
        <v>4058075504042</v>
      </c>
      <c r="D430" s="214"/>
      <c r="E430" s="215"/>
      <c r="F430" s="214"/>
      <c r="G430" s="66" t="str">
        <f>HYPERLINK("https://ledvance.com/pt/product-datasheet/8702/98609","Ficha de Produto")</f>
        <v>Ficha de Produto</v>
      </c>
      <c r="H430" s="34">
        <v>2</v>
      </c>
      <c r="I430" s="34" t="s">
        <v>815</v>
      </c>
      <c r="J430" s="34" t="s">
        <v>6143</v>
      </c>
      <c r="K430" s="34" t="s">
        <v>788</v>
      </c>
      <c r="L430" s="34" t="s">
        <v>765</v>
      </c>
      <c r="M430" s="30">
        <v>520</v>
      </c>
      <c r="N430" s="283" t="s">
        <v>721</v>
      </c>
    </row>
    <row r="431" spans="1:14" s="32" customFormat="1" ht="14.25" customHeight="1">
      <c r="A431" s="3" t="s">
        <v>641</v>
      </c>
      <c r="B431" s="36" t="s">
        <v>3573</v>
      </c>
      <c r="C431" s="214">
        <v>4058075521889</v>
      </c>
      <c r="D431" s="214"/>
      <c r="E431" s="215"/>
      <c r="F431" s="216"/>
      <c r="G431" s="66" t="str">
        <f>HYPERLINK("https://ledvance.com/pt/product-datasheet/141852/36178","Ficha de Produto")</f>
        <v>Ficha de Produto</v>
      </c>
      <c r="H431" s="34">
        <v>2</v>
      </c>
      <c r="I431" s="34" t="s">
        <v>815</v>
      </c>
      <c r="J431" s="34" t="s">
        <v>6143</v>
      </c>
      <c r="K431" s="34" t="s">
        <v>788</v>
      </c>
      <c r="L431" s="34" t="s">
        <v>765</v>
      </c>
      <c r="M431" s="30">
        <v>566.1</v>
      </c>
      <c r="N431" s="283" t="s">
        <v>721</v>
      </c>
    </row>
    <row r="432" spans="1:14" s="32" customFormat="1" ht="14.25" customHeight="1">
      <c r="A432" s="8" t="s">
        <v>641</v>
      </c>
      <c r="B432" s="273" t="s">
        <v>1977</v>
      </c>
      <c r="C432" s="7"/>
      <c r="D432" s="7"/>
      <c r="E432" s="7"/>
      <c r="F432" s="7"/>
      <c r="G432" s="68"/>
      <c r="H432" s="7"/>
      <c r="I432" s="7"/>
      <c r="J432" s="7"/>
      <c r="K432" s="7"/>
      <c r="L432" s="7"/>
      <c r="M432" s="7"/>
      <c r="N432" s="284"/>
    </row>
    <row r="433" spans="1:14" s="32" customFormat="1" ht="14.25" customHeight="1">
      <c r="A433" s="8" t="s">
        <v>641</v>
      </c>
      <c r="B433" s="227" t="s">
        <v>3272</v>
      </c>
      <c r="C433" s="7"/>
      <c r="D433" s="7"/>
      <c r="E433" s="7"/>
      <c r="F433" s="7"/>
      <c r="G433" s="68"/>
      <c r="H433" s="7"/>
      <c r="I433" s="7"/>
      <c r="J433" s="7"/>
      <c r="K433" s="7"/>
      <c r="L433" s="7"/>
      <c r="M433" s="7"/>
      <c r="N433" s="284"/>
    </row>
    <row r="434" spans="1:14" s="32" customFormat="1" ht="14.25" customHeight="1">
      <c r="A434" s="3" t="s">
        <v>641</v>
      </c>
      <c r="B434" s="36" t="s">
        <v>1924</v>
      </c>
      <c r="C434" s="10">
        <v>4099854135316</v>
      </c>
      <c r="D434" s="224">
        <v>4058075109605</v>
      </c>
      <c r="E434" s="245" t="s">
        <v>1986</v>
      </c>
      <c r="F434" s="221" t="s">
        <v>2019</v>
      </c>
      <c r="G434" s="66" t="str">
        <f>HYPERLINK("https://ledvance.com/pt/product-datasheet/281912/259014","Ficha de Produto")</f>
        <v>Ficha de Produto</v>
      </c>
      <c r="H434" s="217" t="s">
        <v>1201</v>
      </c>
      <c r="I434" s="34" t="s">
        <v>844</v>
      </c>
      <c r="J434" s="34" t="s">
        <v>6157</v>
      </c>
      <c r="K434" s="34" t="s">
        <v>788</v>
      </c>
      <c r="L434" s="34" t="s">
        <v>765</v>
      </c>
      <c r="M434" s="30">
        <v>320</v>
      </c>
      <c r="N434" s="283" t="s">
        <v>721</v>
      </c>
    </row>
    <row r="435" spans="1:14" s="32" customFormat="1" ht="14.25" customHeight="1">
      <c r="A435" s="304" t="s">
        <v>641</v>
      </c>
      <c r="B435" s="305" t="s">
        <v>1925</v>
      </c>
      <c r="C435" s="303">
        <v>4099854135330</v>
      </c>
      <c r="D435" s="224">
        <v>4058075522435</v>
      </c>
      <c r="E435" s="225" t="s">
        <v>105</v>
      </c>
      <c r="F435" s="308" t="s">
        <v>2019</v>
      </c>
      <c r="G435" s="66" t="str">
        <f>HYPERLINK("https://ledvance.com/pt/product-datasheet/281912/259017","Ficha de Produto")</f>
        <v>Ficha de Produto</v>
      </c>
      <c r="H435" s="217" t="s">
        <v>1201</v>
      </c>
      <c r="I435" s="34" t="s">
        <v>837</v>
      </c>
      <c r="J435" s="34" t="s">
        <v>6157</v>
      </c>
      <c r="K435" s="34" t="s">
        <v>788</v>
      </c>
      <c r="L435" s="34" t="s">
        <v>765</v>
      </c>
      <c r="M435" s="307">
        <v>320</v>
      </c>
      <c r="N435" s="283" t="s">
        <v>721</v>
      </c>
    </row>
    <row r="436" spans="1:14" s="32" customFormat="1" ht="14.25" customHeight="1">
      <c r="A436" s="304"/>
      <c r="B436" s="305"/>
      <c r="C436" s="303"/>
      <c r="D436" s="224">
        <v>4058075109629</v>
      </c>
      <c r="E436" s="245" t="s">
        <v>1987</v>
      </c>
      <c r="F436" s="308"/>
      <c r="G436" s="66"/>
      <c r="H436" s="217" t="s">
        <v>1201</v>
      </c>
      <c r="I436" s="217" t="s">
        <v>1201</v>
      </c>
      <c r="J436" s="217" t="s">
        <v>1201</v>
      </c>
      <c r="K436" s="217" t="s">
        <v>1201</v>
      </c>
      <c r="L436" s="217" t="s">
        <v>1201</v>
      </c>
      <c r="M436" s="307"/>
      <c r="N436" s="283" t="s">
        <v>721</v>
      </c>
    </row>
    <row r="437" spans="1:14" s="32" customFormat="1" ht="14.25" customHeight="1">
      <c r="A437" s="3" t="s">
        <v>641</v>
      </c>
      <c r="B437" s="36" t="s">
        <v>1932</v>
      </c>
      <c r="C437" s="10">
        <v>4099854135477</v>
      </c>
      <c r="D437" s="224">
        <v>4058075109681</v>
      </c>
      <c r="E437" s="245" t="s">
        <v>1988</v>
      </c>
      <c r="F437" s="221" t="s">
        <v>2019</v>
      </c>
      <c r="G437" s="66" t="str">
        <f>HYPERLINK("https://ledvance.com/pt/product-datasheet/281914/259062","Ficha de Produto")</f>
        <v>Ficha de Produto</v>
      </c>
      <c r="H437" s="217" t="s">
        <v>1201</v>
      </c>
      <c r="I437" s="34" t="s">
        <v>6158</v>
      </c>
      <c r="J437" s="34" t="s">
        <v>6159</v>
      </c>
      <c r="K437" s="34" t="s">
        <v>788</v>
      </c>
      <c r="L437" s="34" t="s">
        <v>765</v>
      </c>
      <c r="M437" s="30">
        <v>397.5</v>
      </c>
      <c r="N437" s="283" t="s">
        <v>721</v>
      </c>
    </row>
    <row r="438" spans="1:14" s="32" customFormat="1" ht="14.25" customHeight="1">
      <c r="A438" s="304" t="s">
        <v>641</v>
      </c>
      <c r="B438" s="305" t="s">
        <v>1971</v>
      </c>
      <c r="C438" s="303">
        <v>4099854135491</v>
      </c>
      <c r="D438" s="224">
        <v>4058075522473</v>
      </c>
      <c r="E438" s="245" t="s">
        <v>1972</v>
      </c>
      <c r="F438" s="306" t="s">
        <v>2019</v>
      </c>
      <c r="G438" s="66" t="str">
        <f>HYPERLINK("https://ledvance.com/pt/product-datasheet/281914/259065","Ficha de Produto")</f>
        <v>Ficha de Produto</v>
      </c>
      <c r="H438" s="217" t="s">
        <v>1201</v>
      </c>
      <c r="I438" s="34" t="s">
        <v>839</v>
      </c>
      <c r="J438" s="34" t="s">
        <v>6159</v>
      </c>
      <c r="K438" s="34" t="s">
        <v>788</v>
      </c>
      <c r="L438" s="34" t="s">
        <v>765</v>
      </c>
      <c r="M438" s="307">
        <v>397.5</v>
      </c>
      <c r="N438" s="283" t="s">
        <v>721</v>
      </c>
    </row>
    <row r="439" spans="1:14" s="32" customFormat="1" ht="14.25" customHeight="1">
      <c r="A439" s="304"/>
      <c r="B439" s="305"/>
      <c r="C439" s="303"/>
      <c r="D439" s="224">
        <v>4058075109704</v>
      </c>
      <c r="E439" s="245" t="s">
        <v>1989</v>
      </c>
      <c r="F439" s="306"/>
      <c r="G439" s="66"/>
      <c r="H439" s="217" t="s">
        <v>1201</v>
      </c>
      <c r="I439" s="217" t="s">
        <v>1201</v>
      </c>
      <c r="J439" s="217" t="s">
        <v>1201</v>
      </c>
      <c r="K439" s="217" t="s">
        <v>1201</v>
      </c>
      <c r="L439" s="217" t="s">
        <v>1201</v>
      </c>
      <c r="M439" s="307"/>
      <c r="N439" s="283" t="s">
        <v>721</v>
      </c>
    </row>
    <row r="440" spans="1:14" s="32" customFormat="1" ht="14.25" customHeight="1">
      <c r="A440" s="8" t="s">
        <v>641</v>
      </c>
      <c r="B440" s="227" t="s">
        <v>3273</v>
      </c>
      <c r="C440" s="7"/>
      <c r="D440" s="7"/>
      <c r="E440" s="7"/>
      <c r="F440" s="7"/>
      <c r="G440" s="68"/>
      <c r="H440" s="7"/>
      <c r="I440" s="7"/>
      <c r="J440" s="7"/>
      <c r="K440" s="7"/>
      <c r="L440" s="7"/>
      <c r="M440" s="7"/>
      <c r="N440" s="284"/>
    </row>
    <row r="441" spans="1:14" s="32" customFormat="1" ht="14.25" customHeight="1">
      <c r="A441" s="3" t="s">
        <v>641</v>
      </c>
      <c r="B441" s="36" t="s">
        <v>1928</v>
      </c>
      <c r="C441" s="10">
        <v>4099854135712</v>
      </c>
      <c r="D441" s="10"/>
      <c r="E441" s="10"/>
      <c r="F441" s="221" t="s">
        <v>2019</v>
      </c>
      <c r="G441" s="66" t="str">
        <f>HYPERLINK("https://ledvance.com/pt/product-datasheet/281913/259038","Ficha de Produto")</f>
        <v>Ficha de Produto</v>
      </c>
      <c r="H441" s="217" t="s">
        <v>1201</v>
      </c>
      <c r="I441" s="34" t="s">
        <v>844</v>
      </c>
      <c r="J441" s="34" t="s">
        <v>6157</v>
      </c>
      <c r="K441" s="34" t="s">
        <v>788</v>
      </c>
      <c r="L441" s="34" t="s">
        <v>765</v>
      </c>
      <c r="M441" s="30">
        <v>370</v>
      </c>
      <c r="N441" s="283" t="s">
        <v>721</v>
      </c>
    </row>
    <row r="442" spans="1:14" s="32" customFormat="1" ht="14.25" customHeight="1">
      <c r="A442" s="3" t="s">
        <v>641</v>
      </c>
      <c r="B442" s="36" t="s">
        <v>1929</v>
      </c>
      <c r="C442" s="10">
        <v>4099854135736</v>
      </c>
      <c r="D442" s="10"/>
      <c r="E442" s="10"/>
      <c r="F442" s="221" t="s">
        <v>2019</v>
      </c>
      <c r="G442" s="66" t="str">
        <f>HYPERLINK("https://ledvance.com/pt/product-datasheet/281913/259041","Ficha de Produto")</f>
        <v>Ficha de Produto</v>
      </c>
      <c r="H442" s="217" t="s">
        <v>1201</v>
      </c>
      <c r="I442" s="34" t="s">
        <v>837</v>
      </c>
      <c r="J442" s="34" t="s">
        <v>6157</v>
      </c>
      <c r="K442" s="34" t="s">
        <v>788</v>
      </c>
      <c r="L442" s="34" t="s">
        <v>765</v>
      </c>
      <c r="M442" s="30">
        <v>370</v>
      </c>
      <c r="N442" s="283" t="s">
        <v>721</v>
      </c>
    </row>
    <row r="443" spans="1:14" s="32" customFormat="1" ht="14.25" customHeight="1">
      <c r="A443" s="3" t="s">
        <v>641</v>
      </c>
      <c r="B443" s="36" t="s">
        <v>1933</v>
      </c>
      <c r="C443" s="10">
        <v>4099854136047</v>
      </c>
      <c r="D443" s="224">
        <v>4058075503984</v>
      </c>
      <c r="E443" s="245" t="s">
        <v>1990</v>
      </c>
      <c r="F443" s="221" t="s">
        <v>2019</v>
      </c>
      <c r="G443" s="66" t="str">
        <f>HYPERLINK("https://ledvance.com/pt/product-datasheet/281915/259074","Ficha de Produto")</f>
        <v>Ficha de Produto</v>
      </c>
      <c r="H443" s="217" t="s">
        <v>1201</v>
      </c>
      <c r="I443" s="34" t="s">
        <v>872</v>
      </c>
      <c r="J443" s="34" t="s">
        <v>6159</v>
      </c>
      <c r="K443" s="34" t="s">
        <v>788</v>
      </c>
      <c r="L443" s="34" t="s">
        <v>765</v>
      </c>
      <c r="M443" s="30">
        <v>456.40000000000003</v>
      </c>
      <c r="N443" s="283" t="s">
        <v>721</v>
      </c>
    </row>
    <row r="444" spans="1:14" s="32" customFormat="1" ht="14.25" customHeight="1">
      <c r="A444" s="3" t="s">
        <v>641</v>
      </c>
      <c r="B444" s="36" t="s">
        <v>1934</v>
      </c>
      <c r="C444" s="10">
        <v>4099854136061</v>
      </c>
      <c r="D444" s="224">
        <v>4058075504004</v>
      </c>
      <c r="E444" s="245" t="s">
        <v>1991</v>
      </c>
      <c r="F444" s="221" t="s">
        <v>2019</v>
      </c>
      <c r="G444" s="66" t="str">
        <f>HYPERLINK("https://ledvance.com/pt/product-datasheet/281915/259077","Ficha de Produto")</f>
        <v>Ficha de Produto</v>
      </c>
      <c r="H444" s="217" t="s">
        <v>1201</v>
      </c>
      <c r="I444" s="34" t="s">
        <v>873</v>
      </c>
      <c r="J444" s="34" t="s">
        <v>6159</v>
      </c>
      <c r="K444" s="34" t="s">
        <v>788</v>
      </c>
      <c r="L444" s="34" t="s">
        <v>765</v>
      </c>
      <c r="M444" s="30">
        <v>456.40000000000003</v>
      </c>
      <c r="N444" s="283" t="s">
        <v>721</v>
      </c>
    </row>
    <row r="445" spans="1:14" s="32" customFormat="1" ht="14.25" customHeight="1">
      <c r="A445" s="8" t="s">
        <v>641</v>
      </c>
      <c r="B445" s="227" t="s">
        <v>1992</v>
      </c>
      <c r="C445" s="7"/>
      <c r="D445" s="7"/>
      <c r="E445" s="7"/>
      <c r="F445" s="7"/>
      <c r="G445" s="68"/>
      <c r="H445" s="7"/>
      <c r="I445" s="7"/>
      <c r="J445" s="7"/>
      <c r="K445" s="7"/>
      <c r="L445" s="7"/>
      <c r="M445" s="7"/>
      <c r="N445" s="284"/>
    </row>
    <row r="446" spans="1:14" s="32" customFormat="1" ht="14.25" customHeight="1">
      <c r="A446" s="3" t="s">
        <v>641</v>
      </c>
      <c r="B446" s="36" t="s">
        <v>1926</v>
      </c>
      <c r="C446" s="10">
        <v>4099854135392</v>
      </c>
      <c r="D446" s="10"/>
      <c r="E446" s="10"/>
      <c r="F446" s="221" t="s">
        <v>2019</v>
      </c>
      <c r="G446" s="217" t="s">
        <v>1201</v>
      </c>
      <c r="H446" s="217" t="s">
        <v>1201</v>
      </c>
      <c r="I446" s="217" t="s">
        <v>1201</v>
      </c>
      <c r="J446" s="217" t="s">
        <v>1201</v>
      </c>
      <c r="K446" s="217" t="s">
        <v>1201</v>
      </c>
      <c r="L446" s="217" t="s">
        <v>1201</v>
      </c>
      <c r="M446" s="30">
        <v>321</v>
      </c>
      <c r="N446" s="283" t="s">
        <v>721</v>
      </c>
    </row>
    <row r="447" spans="1:14" s="32" customFormat="1" ht="14.25" customHeight="1">
      <c r="A447" s="3" t="s">
        <v>641</v>
      </c>
      <c r="B447" s="36" t="s">
        <v>1927</v>
      </c>
      <c r="C447" s="10">
        <v>4099854135415</v>
      </c>
      <c r="D447" s="10"/>
      <c r="E447" s="10"/>
      <c r="F447" s="221" t="s">
        <v>2019</v>
      </c>
      <c r="G447" s="217" t="s">
        <v>1201</v>
      </c>
      <c r="H447" s="217" t="s">
        <v>1201</v>
      </c>
      <c r="I447" s="217" t="s">
        <v>1201</v>
      </c>
      <c r="J447" s="217" t="s">
        <v>1201</v>
      </c>
      <c r="K447" s="217" t="s">
        <v>1201</v>
      </c>
      <c r="L447" s="217" t="s">
        <v>1201</v>
      </c>
      <c r="M447" s="30">
        <v>321</v>
      </c>
      <c r="N447" s="283" t="s">
        <v>721</v>
      </c>
    </row>
    <row r="448" spans="1:14" s="32" customFormat="1" ht="14.25" customHeight="1">
      <c r="A448" s="8" t="s">
        <v>641</v>
      </c>
      <c r="B448" s="227" t="s">
        <v>1993</v>
      </c>
      <c r="C448" s="7"/>
      <c r="D448" s="7"/>
      <c r="E448" s="7"/>
      <c r="F448" s="7"/>
      <c r="G448" s="68"/>
      <c r="H448" s="7"/>
      <c r="I448" s="7"/>
      <c r="J448" s="7"/>
      <c r="K448" s="7"/>
      <c r="L448" s="7"/>
      <c r="M448" s="7"/>
      <c r="N448" s="284"/>
    </row>
    <row r="449" spans="1:14" s="32" customFormat="1" ht="14.25" customHeight="1">
      <c r="A449" s="3" t="s">
        <v>641</v>
      </c>
      <c r="B449" s="36" t="s">
        <v>1930</v>
      </c>
      <c r="C449" s="10">
        <v>4099854135965</v>
      </c>
      <c r="D449" s="215"/>
      <c r="E449" s="215"/>
      <c r="F449" s="221" t="s">
        <v>2019</v>
      </c>
      <c r="G449" s="217" t="s">
        <v>1201</v>
      </c>
      <c r="H449" s="217" t="s">
        <v>1201</v>
      </c>
      <c r="I449" s="217" t="s">
        <v>1201</v>
      </c>
      <c r="J449" s="217" t="s">
        <v>1201</v>
      </c>
      <c r="K449" s="217" t="s">
        <v>1201</v>
      </c>
      <c r="L449" s="217" t="s">
        <v>1201</v>
      </c>
      <c r="M449" s="30">
        <v>370</v>
      </c>
      <c r="N449" s="283" t="s">
        <v>721</v>
      </c>
    </row>
    <row r="450" spans="1:14" s="32" customFormat="1" ht="14.25" customHeight="1">
      <c r="A450" s="3" t="s">
        <v>641</v>
      </c>
      <c r="B450" s="36" t="s">
        <v>1931</v>
      </c>
      <c r="C450" s="10">
        <v>4099854135989</v>
      </c>
      <c r="D450" s="10"/>
      <c r="E450" s="10"/>
      <c r="F450" s="221" t="s">
        <v>2019</v>
      </c>
      <c r="G450" s="217" t="s">
        <v>1201</v>
      </c>
      <c r="H450" s="217" t="s">
        <v>1201</v>
      </c>
      <c r="I450" s="217" t="s">
        <v>1201</v>
      </c>
      <c r="J450" s="217" t="s">
        <v>1201</v>
      </c>
      <c r="K450" s="217" t="s">
        <v>1201</v>
      </c>
      <c r="L450" s="217" t="s">
        <v>1201</v>
      </c>
      <c r="M450" s="30">
        <v>370</v>
      </c>
      <c r="N450" s="283" t="s">
        <v>721</v>
      </c>
    </row>
    <row r="451" spans="1:14" s="32" customFormat="1" ht="14.25" customHeight="1">
      <c r="A451" s="8" t="s">
        <v>641</v>
      </c>
      <c r="B451" s="227" t="s">
        <v>3274</v>
      </c>
      <c r="C451" s="7"/>
      <c r="D451" s="7"/>
      <c r="E451" s="7"/>
      <c r="F451" s="7"/>
      <c r="G451" s="68" t="s">
        <v>6505</v>
      </c>
      <c r="H451" s="7"/>
      <c r="I451" s="7"/>
      <c r="J451" s="7"/>
      <c r="K451" s="7"/>
      <c r="L451" s="7"/>
      <c r="M451" s="7"/>
      <c r="N451" s="284"/>
    </row>
    <row r="452" spans="1:14" s="32" customFormat="1" ht="14.25" customHeight="1">
      <c r="A452" s="3" t="s">
        <v>641</v>
      </c>
      <c r="B452" s="36" t="s">
        <v>1918</v>
      </c>
      <c r="C452" s="10">
        <v>4099854135156</v>
      </c>
      <c r="D452" s="224">
        <v>4058075109728</v>
      </c>
      <c r="E452" s="245" t="s">
        <v>1978</v>
      </c>
      <c r="F452" s="221" t="s">
        <v>2019</v>
      </c>
      <c r="G452" s="66" t="str">
        <f>HYPERLINK("https://ledvance.com/pt/product-datasheet/281916/258965","Ficha de Produto")</f>
        <v>Ficha de Produto</v>
      </c>
      <c r="H452" s="217" t="s">
        <v>1201</v>
      </c>
      <c r="I452" s="34" t="s">
        <v>6160</v>
      </c>
      <c r="J452" s="34" t="s">
        <v>6135</v>
      </c>
      <c r="K452" s="34" t="s">
        <v>788</v>
      </c>
      <c r="L452" s="34" t="s">
        <v>765</v>
      </c>
      <c r="M452" s="30">
        <v>410</v>
      </c>
      <c r="N452" s="283" t="s">
        <v>721</v>
      </c>
    </row>
    <row r="453" spans="1:14" s="32" customFormat="1" ht="14.25" customHeight="1">
      <c r="A453" s="3" t="s">
        <v>641</v>
      </c>
      <c r="B453" s="36" t="s">
        <v>1919</v>
      </c>
      <c r="C453" s="10">
        <v>4099854135170</v>
      </c>
      <c r="D453" s="224">
        <v>4058075109742</v>
      </c>
      <c r="E453" s="245" t="s">
        <v>1979</v>
      </c>
      <c r="F453" s="221" t="s">
        <v>2019</v>
      </c>
      <c r="G453" s="66" t="str">
        <f>HYPERLINK("https://ledvance.com/pt/product-datasheet/281916/258968","Ficha de Produto")</f>
        <v>Ficha de Produto</v>
      </c>
      <c r="H453" s="217" t="s">
        <v>1201</v>
      </c>
      <c r="I453" s="34" t="s">
        <v>867</v>
      </c>
      <c r="J453" s="34" t="s">
        <v>6135</v>
      </c>
      <c r="K453" s="34" t="s">
        <v>788</v>
      </c>
      <c r="L453" s="34" t="s">
        <v>765</v>
      </c>
      <c r="M453" s="30">
        <v>410</v>
      </c>
      <c r="N453" s="283" t="s">
        <v>721</v>
      </c>
    </row>
    <row r="454" spans="1:14" s="32" customFormat="1" ht="14.25" customHeight="1">
      <c r="A454" s="3" t="s">
        <v>641</v>
      </c>
      <c r="B454" s="36" t="s">
        <v>1920</v>
      </c>
      <c r="C454" s="10">
        <v>4099854135231</v>
      </c>
      <c r="D454" s="224">
        <v>4058075109766</v>
      </c>
      <c r="E454" s="245" t="s">
        <v>1982</v>
      </c>
      <c r="F454" s="221" t="s">
        <v>2019</v>
      </c>
      <c r="G454" s="66" t="str">
        <f>HYPERLINK("https://ledvance.com/pt/product-datasheet/281918/258990","Ficha de Produto")</f>
        <v>Ficha de Produto</v>
      </c>
      <c r="H454" s="217" t="s">
        <v>1201</v>
      </c>
      <c r="I454" s="34" t="s">
        <v>6161</v>
      </c>
      <c r="J454" s="34" t="s">
        <v>6162</v>
      </c>
      <c r="K454" s="34" t="s">
        <v>788</v>
      </c>
      <c r="L454" s="34" t="s">
        <v>765</v>
      </c>
      <c r="M454" s="30">
        <v>480</v>
      </c>
      <c r="N454" s="283" t="s">
        <v>721</v>
      </c>
    </row>
    <row r="455" spans="1:14" s="32" customFormat="1" ht="14.25" customHeight="1">
      <c r="A455" s="3" t="s">
        <v>641</v>
      </c>
      <c r="B455" s="36" t="s">
        <v>1921</v>
      </c>
      <c r="C455" s="10">
        <v>4099854135255</v>
      </c>
      <c r="D455" s="224">
        <v>4058075110441</v>
      </c>
      <c r="E455" s="245" t="s">
        <v>1983</v>
      </c>
      <c r="F455" s="221" t="s">
        <v>2019</v>
      </c>
      <c r="G455" s="66" t="str">
        <f>HYPERLINK("https://ledvance.com/pt/product-datasheet/281918/258993","Ficha de Produto")</f>
        <v>Ficha de Produto</v>
      </c>
      <c r="H455" s="217" t="s">
        <v>1201</v>
      </c>
      <c r="I455" s="34" t="s">
        <v>6163</v>
      </c>
      <c r="J455" s="34" t="s">
        <v>6162</v>
      </c>
      <c r="K455" s="34" t="s">
        <v>788</v>
      </c>
      <c r="L455" s="34" t="s">
        <v>765</v>
      </c>
      <c r="M455" s="30">
        <v>480</v>
      </c>
      <c r="N455" s="283" t="s">
        <v>721</v>
      </c>
    </row>
    <row r="456" spans="1:14" s="32" customFormat="1" ht="14.25" customHeight="1">
      <c r="A456" s="8" t="s">
        <v>641</v>
      </c>
      <c r="B456" s="227" t="s">
        <v>1974</v>
      </c>
      <c r="C456" s="7"/>
      <c r="D456" s="7"/>
      <c r="E456" s="7"/>
      <c r="F456" s="7"/>
      <c r="G456" s="68"/>
      <c r="H456" s="7"/>
      <c r="I456" s="7"/>
      <c r="J456" s="7"/>
      <c r="K456" s="7"/>
      <c r="L456" s="7"/>
      <c r="M456" s="7"/>
      <c r="N456" s="284"/>
    </row>
    <row r="457" spans="1:14" s="32" customFormat="1" ht="14.25" customHeight="1">
      <c r="A457" s="3" t="s">
        <v>641</v>
      </c>
      <c r="B457" s="36" t="s">
        <v>1973</v>
      </c>
      <c r="C457" s="10">
        <v>4099854135552</v>
      </c>
      <c r="D457" s="224">
        <v>4058075109001</v>
      </c>
      <c r="E457" s="245" t="s">
        <v>1980</v>
      </c>
      <c r="F457" s="221" t="s">
        <v>2019</v>
      </c>
      <c r="G457" s="66" t="str">
        <f>HYPERLINK("https://ledvance.com/pt/product-datasheet/281917/258977","Ficha de Produto")</f>
        <v>Ficha de Produto</v>
      </c>
      <c r="H457" s="217" t="s">
        <v>1201</v>
      </c>
      <c r="I457" s="34" t="s">
        <v>870</v>
      </c>
      <c r="J457" s="34" t="s">
        <v>6164</v>
      </c>
      <c r="K457" s="34" t="s">
        <v>788</v>
      </c>
      <c r="L457" s="34" t="s">
        <v>765</v>
      </c>
      <c r="M457" s="30">
        <v>472.5</v>
      </c>
      <c r="N457" s="283" t="s">
        <v>721</v>
      </c>
    </row>
    <row r="458" spans="1:14" s="32" customFormat="1" ht="14.25" customHeight="1">
      <c r="A458" s="3" t="s">
        <v>641</v>
      </c>
      <c r="B458" s="36" t="s">
        <v>1975</v>
      </c>
      <c r="C458" s="10">
        <v>4099854135576</v>
      </c>
      <c r="D458" s="224">
        <v>4058075109025</v>
      </c>
      <c r="E458" s="245" t="s">
        <v>1981</v>
      </c>
      <c r="F458" s="221" t="s">
        <v>2019</v>
      </c>
      <c r="G458" s="66" t="str">
        <f>HYPERLINK("https://ledvance.com/pt/product-datasheet/281917/258980","Ficha de Produto")</f>
        <v>Ficha de Produto</v>
      </c>
      <c r="H458" s="217" t="s">
        <v>1201</v>
      </c>
      <c r="I458" s="34" t="s">
        <v>6165</v>
      </c>
      <c r="J458" s="34" t="s">
        <v>6164</v>
      </c>
      <c r="K458" s="34" t="s">
        <v>788</v>
      </c>
      <c r="L458" s="34" t="s">
        <v>765</v>
      </c>
      <c r="M458" s="30">
        <v>472.5</v>
      </c>
      <c r="N458" s="283" t="s">
        <v>721</v>
      </c>
    </row>
    <row r="459" spans="1:14" s="32" customFormat="1" ht="14.25" customHeight="1">
      <c r="A459" s="3" t="s">
        <v>641</v>
      </c>
      <c r="B459" s="36" t="s">
        <v>1922</v>
      </c>
      <c r="C459" s="10">
        <v>4099854135637</v>
      </c>
      <c r="D459" s="224">
        <v>4058075109049</v>
      </c>
      <c r="E459" s="245" t="s">
        <v>1984</v>
      </c>
      <c r="F459" s="221" t="s">
        <v>2019</v>
      </c>
      <c r="G459" s="66" t="str">
        <f>HYPERLINK("https://ledvance.com/pt/product-datasheet/281919/259002","Ficha de Produto")</f>
        <v>Ficha de Produto</v>
      </c>
      <c r="H459" s="217" t="s">
        <v>1201</v>
      </c>
      <c r="I459" s="34" t="s">
        <v>6166</v>
      </c>
      <c r="J459" s="34" t="s">
        <v>6162</v>
      </c>
      <c r="K459" s="34" t="s">
        <v>788</v>
      </c>
      <c r="L459" s="34" t="s">
        <v>765</v>
      </c>
      <c r="M459" s="30">
        <v>540</v>
      </c>
      <c r="N459" s="283" t="s">
        <v>721</v>
      </c>
    </row>
    <row r="460" spans="1:14" s="32" customFormat="1" ht="14.25" customHeight="1">
      <c r="A460" s="3" t="s">
        <v>641</v>
      </c>
      <c r="B460" s="36" t="s">
        <v>1923</v>
      </c>
      <c r="C460" s="10">
        <v>4099854135651</v>
      </c>
      <c r="D460" s="224">
        <v>4058075109063</v>
      </c>
      <c r="E460" s="245" t="s">
        <v>1985</v>
      </c>
      <c r="F460" s="221" t="s">
        <v>2019</v>
      </c>
      <c r="G460" s="66" t="str">
        <f>HYPERLINK("https://ledvance.com/pt/product-datasheet/281919/259005","Ficha de Produto")</f>
        <v>Ficha de Produto</v>
      </c>
      <c r="H460" s="217" t="s">
        <v>1201</v>
      </c>
      <c r="I460" s="34" t="s">
        <v>6167</v>
      </c>
      <c r="J460" s="34" t="s">
        <v>6162</v>
      </c>
      <c r="K460" s="34" t="s">
        <v>788</v>
      </c>
      <c r="L460" s="34" t="s">
        <v>765</v>
      </c>
      <c r="M460" s="30">
        <v>540</v>
      </c>
      <c r="N460" s="283" t="s">
        <v>721</v>
      </c>
    </row>
    <row r="461" spans="1:14" s="32" customFormat="1" ht="14.25" customHeight="1">
      <c r="A461" s="8" t="s">
        <v>1114</v>
      </c>
      <c r="B461" s="227" t="s">
        <v>3275</v>
      </c>
      <c r="C461" s="7"/>
      <c r="D461" s="7"/>
      <c r="E461" s="7"/>
      <c r="F461" s="7"/>
      <c r="G461" s="68"/>
      <c r="H461" s="7"/>
      <c r="I461" s="7"/>
      <c r="J461" s="7"/>
      <c r="K461" s="7"/>
      <c r="L461" s="7"/>
      <c r="M461" s="7"/>
      <c r="N461" s="284"/>
    </row>
    <row r="462" spans="1:14" s="32" customFormat="1" ht="14.25" customHeight="1">
      <c r="A462" s="3" t="s">
        <v>1114</v>
      </c>
      <c r="B462" s="36" t="s">
        <v>1935</v>
      </c>
      <c r="C462" s="10">
        <v>4099854215537</v>
      </c>
      <c r="D462" s="224">
        <v>4058075133303</v>
      </c>
      <c r="E462" s="225" t="s">
        <v>667</v>
      </c>
      <c r="F462" s="221" t="s">
        <v>2019</v>
      </c>
      <c r="G462" s="66" t="str">
        <f>HYPERLINK("https://ledvance.com/pt/product-datasheet/281906/278961","Ficha de Produto")</f>
        <v>Ficha de Produto</v>
      </c>
      <c r="H462" s="34">
        <v>4</v>
      </c>
      <c r="I462" s="217" t="s">
        <v>1201</v>
      </c>
      <c r="J462" s="217" t="s">
        <v>1201</v>
      </c>
      <c r="K462" s="217" t="s">
        <v>1201</v>
      </c>
      <c r="L462" s="34" t="s">
        <v>800</v>
      </c>
      <c r="M462" s="30">
        <v>75</v>
      </c>
      <c r="N462" s="283" t="s">
        <v>721</v>
      </c>
    </row>
    <row r="463" spans="1:14" s="32" customFormat="1" ht="14.25" customHeight="1">
      <c r="A463" s="3" t="s">
        <v>1114</v>
      </c>
      <c r="B463" s="36" t="s">
        <v>1936</v>
      </c>
      <c r="C463" s="10">
        <v>4099854215551</v>
      </c>
      <c r="D463" s="224">
        <v>4058075133327</v>
      </c>
      <c r="E463" s="225" t="s">
        <v>668</v>
      </c>
      <c r="F463" s="221" t="s">
        <v>2019</v>
      </c>
      <c r="G463" s="66" t="str">
        <f>HYPERLINK("https://ledvance.com/pt/product-datasheet/281907/278964","Ficha de Produto")</f>
        <v>Ficha de Produto</v>
      </c>
      <c r="H463" s="34">
        <v>40</v>
      </c>
      <c r="I463" s="217" t="s">
        <v>1201</v>
      </c>
      <c r="J463" s="217" t="s">
        <v>1201</v>
      </c>
      <c r="K463" s="217" t="s">
        <v>1201</v>
      </c>
      <c r="L463" s="34" t="s">
        <v>800</v>
      </c>
      <c r="M463" s="30">
        <v>22.5</v>
      </c>
      <c r="N463" s="283" t="s">
        <v>721</v>
      </c>
    </row>
    <row r="464" spans="1:14" s="32" customFormat="1" ht="14.25" customHeight="1">
      <c r="A464" s="3" t="s">
        <v>1114</v>
      </c>
      <c r="B464" s="36" t="s">
        <v>1937</v>
      </c>
      <c r="C464" s="10">
        <v>4099854215612</v>
      </c>
      <c r="D464" s="224">
        <v>4058075133341</v>
      </c>
      <c r="E464" s="225" t="s">
        <v>669</v>
      </c>
      <c r="F464" s="221" t="s">
        <v>2019</v>
      </c>
      <c r="G464" s="66" t="str">
        <f>HYPERLINK("https://ledvance.com/pt/product-datasheet/281909/278967","Ficha de Produto")</f>
        <v>Ficha de Produto</v>
      </c>
      <c r="H464" s="34">
        <v>240</v>
      </c>
      <c r="I464" s="217" t="s">
        <v>1201</v>
      </c>
      <c r="J464" s="217" t="s">
        <v>1201</v>
      </c>
      <c r="K464" s="217" t="s">
        <v>1201</v>
      </c>
      <c r="L464" s="34" t="s">
        <v>800</v>
      </c>
      <c r="M464" s="30">
        <v>15</v>
      </c>
      <c r="N464" s="283" t="s">
        <v>721</v>
      </c>
    </row>
    <row r="465" spans="1:14" s="32" customFormat="1" ht="14.25" customHeight="1">
      <c r="A465" s="3" t="s">
        <v>1114</v>
      </c>
      <c r="B465" s="36" t="s">
        <v>1940</v>
      </c>
      <c r="C465" s="10">
        <v>4099854214905</v>
      </c>
      <c r="D465" s="10"/>
      <c r="E465" s="10"/>
      <c r="F465" s="221" t="s">
        <v>2019</v>
      </c>
      <c r="G465" s="66" t="str">
        <f>HYPERLINK("https://ledvance.com/pt/product-datasheet/281910/278970","Ficha de Produto")</f>
        <v>Ficha de Produto</v>
      </c>
      <c r="H465" s="217" t="s">
        <v>1201</v>
      </c>
      <c r="I465" s="217" t="s">
        <v>1201</v>
      </c>
      <c r="J465" s="217" t="s">
        <v>1201</v>
      </c>
      <c r="K465" s="217" t="s">
        <v>1201</v>
      </c>
      <c r="L465" s="34" t="s">
        <v>800</v>
      </c>
      <c r="M465" s="30">
        <v>270</v>
      </c>
      <c r="N465" s="283" t="s">
        <v>721</v>
      </c>
    </row>
    <row r="466" spans="1:14" s="32" customFormat="1" ht="14.25" customHeight="1">
      <c r="A466" s="3" t="s">
        <v>1114</v>
      </c>
      <c r="B466" s="36" t="s">
        <v>1941</v>
      </c>
      <c r="C466" s="10">
        <v>4099854214882</v>
      </c>
      <c r="D466" s="10"/>
      <c r="E466" s="10"/>
      <c r="F466" s="221" t="s">
        <v>2019</v>
      </c>
      <c r="G466" s="66" t="str">
        <f>HYPERLINK("https://ledvance.com/pt/product-datasheet/281911/278973","Ficha de Produto")</f>
        <v>Ficha de Produto</v>
      </c>
      <c r="H466" s="217" t="s">
        <v>1201</v>
      </c>
      <c r="I466" s="217" t="s">
        <v>1201</v>
      </c>
      <c r="J466" s="217" t="s">
        <v>1201</v>
      </c>
      <c r="K466" s="217" t="s">
        <v>1201</v>
      </c>
      <c r="L466" s="34" t="s">
        <v>800</v>
      </c>
      <c r="M466" s="30">
        <v>130</v>
      </c>
      <c r="N466" s="283" t="s">
        <v>721</v>
      </c>
    </row>
    <row r="467" spans="1:14" s="32" customFormat="1" ht="14.25" customHeight="1">
      <c r="A467" s="3" t="s">
        <v>1114</v>
      </c>
      <c r="B467" s="36" t="s">
        <v>1942</v>
      </c>
      <c r="C467" s="10">
        <v>4099854214868</v>
      </c>
      <c r="D467" s="10"/>
      <c r="E467" s="10"/>
      <c r="F467" s="221" t="s">
        <v>2019</v>
      </c>
      <c r="G467" s="66" t="str">
        <f>HYPERLINK("https://ledvance.com/pt/product-datasheet/281911/278976","Ficha de Produto")</f>
        <v>Ficha de Produto</v>
      </c>
      <c r="H467" s="217" t="s">
        <v>1201</v>
      </c>
      <c r="I467" s="217" t="s">
        <v>1201</v>
      </c>
      <c r="J467" s="217" t="s">
        <v>1201</v>
      </c>
      <c r="K467" s="217" t="s">
        <v>1201</v>
      </c>
      <c r="L467" s="34" t="s">
        <v>800</v>
      </c>
      <c r="M467" s="30">
        <v>182.5</v>
      </c>
      <c r="N467" s="283" t="s">
        <v>721</v>
      </c>
    </row>
    <row r="468" spans="1:14" s="32" customFormat="1" ht="14.25" customHeight="1">
      <c r="A468" s="3" t="s">
        <v>1114</v>
      </c>
      <c r="B468" s="36" t="s">
        <v>1943</v>
      </c>
      <c r="C468" s="10">
        <v>4099854214844</v>
      </c>
      <c r="D468" s="10"/>
      <c r="E468" s="10"/>
      <c r="F468" s="221" t="s">
        <v>2019</v>
      </c>
      <c r="G468" s="66" t="str">
        <f>HYPERLINK("https://ledvance.com/pt/product-datasheet/281911/278979","Ficha de Produto")</f>
        <v>Ficha de Produto</v>
      </c>
      <c r="H468" s="217" t="s">
        <v>1201</v>
      </c>
      <c r="I468" s="217" t="s">
        <v>1201</v>
      </c>
      <c r="J468" s="217" t="s">
        <v>1201</v>
      </c>
      <c r="K468" s="217" t="s">
        <v>1201</v>
      </c>
      <c r="L468" s="34" t="s">
        <v>800</v>
      </c>
      <c r="M468" s="30">
        <v>200</v>
      </c>
      <c r="N468" s="283" t="s">
        <v>721</v>
      </c>
    </row>
    <row r="469" spans="1:14" s="32" customFormat="1" ht="14.25" customHeight="1">
      <c r="A469" s="3" t="s">
        <v>1114</v>
      </c>
      <c r="B469" s="36" t="s">
        <v>1938</v>
      </c>
      <c r="C469" s="10">
        <v>4099854214820</v>
      </c>
      <c r="D469" s="224">
        <v>4058075158016</v>
      </c>
      <c r="E469" s="225" t="s">
        <v>672</v>
      </c>
      <c r="F469" s="221" t="s">
        <v>2019</v>
      </c>
      <c r="G469" s="66" t="str">
        <f>HYPERLINK("https://ledvance.com/pt/product-datasheet/281908/278982","Ficha de Produto")</f>
        <v>Ficha de Produto</v>
      </c>
      <c r="H469" s="34">
        <v>24</v>
      </c>
      <c r="I469" s="217" t="s">
        <v>1201</v>
      </c>
      <c r="J469" s="217" t="s">
        <v>1201</v>
      </c>
      <c r="K469" s="217" t="s">
        <v>1201</v>
      </c>
      <c r="L469" s="34" t="s">
        <v>800</v>
      </c>
      <c r="M469" s="30">
        <v>32.5</v>
      </c>
      <c r="N469" s="283" t="s">
        <v>721</v>
      </c>
    </row>
    <row r="470" spans="1:14" s="32" customFormat="1" ht="14.25" customHeight="1">
      <c r="A470" s="3" t="s">
        <v>1114</v>
      </c>
      <c r="B470" s="36" t="s">
        <v>1939</v>
      </c>
      <c r="C470" s="10">
        <v>4099854214806</v>
      </c>
      <c r="D470" s="224">
        <v>4058075157996</v>
      </c>
      <c r="E470" s="225" t="s">
        <v>673</v>
      </c>
      <c r="F470" s="221" t="s">
        <v>2019</v>
      </c>
      <c r="G470" s="66" t="str">
        <f>HYPERLINK("https://ledvance.com/pt/product-datasheet/281908/278985","Ficha de Produto")</f>
        <v>Ficha de Produto</v>
      </c>
      <c r="H470" s="34">
        <v>24</v>
      </c>
      <c r="I470" s="217" t="s">
        <v>1201</v>
      </c>
      <c r="J470" s="217" t="s">
        <v>1201</v>
      </c>
      <c r="K470" s="217" t="s">
        <v>1201</v>
      </c>
      <c r="L470" s="34" t="s">
        <v>800</v>
      </c>
      <c r="M470" s="30">
        <v>37.5</v>
      </c>
      <c r="N470" s="283" t="s">
        <v>721</v>
      </c>
    </row>
    <row r="471" spans="1:14" s="32" customFormat="1" ht="14.25" customHeight="1">
      <c r="A471" s="3" t="s">
        <v>1114</v>
      </c>
      <c r="B471" s="36" t="s">
        <v>666</v>
      </c>
      <c r="C471" s="214">
        <v>4058075133280</v>
      </c>
      <c r="D471" s="214"/>
      <c r="E471" s="215"/>
      <c r="F471" s="214"/>
      <c r="G471" s="66" t="str">
        <f>HYPERLINK("https://ledvance.com/pt/product-datasheet/8724/137303","Ficha de Produto")</f>
        <v>Ficha de Produto</v>
      </c>
      <c r="H471" s="34">
        <v>4</v>
      </c>
      <c r="I471" s="217" t="s">
        <v>1201</v>
      </c>
      <c r="J471" s="217" t="s">
        <v>1201</v>
      </c>
      <c r="K471" s="217" t="s">
        <v>1201</v>
      </c>
      <c r="L471" s="34" t="s">
        <v>800</v>
      </c>
      <c r="M471" s="30">
        <v>70</v>
      </c>
      <c r="N471" s="283" t="s">
        <v>721</v>
      </c>
    </row>
    <row r="472" spans="1:14" s="32" customFormat="1" ht="14.25" customHeight="1">
      <c r="A472" s="3" t="s">
        <v>1114</v>
      </c>
      <c r="B472" s="36" t="s">
        <v>670</v>
      </c>
      <c r="C472" s="214">
        <v>4058075158030</v>
      </c>
      <c r="D472" s="214"/>
      <c r="E472" s="215"/>
      <c r="F472" s="3"/>
      <c r="G472" s="66" t="str">
        <f>HYPERLINK("https://ledvance.com/pt/product-datasheet/8728/139010","Ficha de Produto")</f>
        <v>Ficha de Produto</v>
      </c>
      <c r="H472" s="34">
        <v>24</v>
      </c>
      <c r="I472" s="217" t="s">
        <v>1201</v>
      </c>
      <c r="J472" s="217" t="s">
        <v>1201</v>
      </c>
      <c r="K472" s="217" t="s">
        <v>1201</v>
      </c>
      <c r="L472" s="34" t="s">
        <v>800</v>
      </c>
      <c r="M472" s="30">
        <v>37.5</v>
      </c>
      <c r="N472" s="283" t="s">
        <v>721</v>
      </c>
    </row>
    <row r="473" spans="1:14" s="32" customFormat="1" ht="14.25" customHeight="1">
      <c r="A473" s="3" t="s">
        <v>1114</v>
      </c>
      <c r="B473" s="36" t="s">
        <v>671</v>
      </c>
      <c r="C473" s="214">
        <v>4058075133365</v>
      </c>
      <c r="D473" s="214"/>
      <c r="E473" s="215"/>
      <c r="F473" s="3"/>
      <c r="G473" s="66" t="str">
        <f>HYPERLINK("https://ledvance.com/pt/product-datasheet/8728/137317","Ficha de Produto")</f>
        <v>Ficha de Produto</v>
      </c>
      <c r="H473" s="34">
        <v>24</v>
      </c>
      <c r="I473" s="217" t="s">
        <v>1201</v>
      </c>
      <c r="J473" s="217" t="s">
        <v>1201</v>
      </c>
      <c r="K473" s="217" t="s">
        <v>1201</v>
      </c>
      <c r="L473" s="34" t="s">
        <v>800</v>
      </c>
      <c r="M473" s="30">
        <v>28.5</v>
      </c>
      <c r="N473" s="283" t="s">
        <v>721</v>
      </c>
    </row>
    <row r="474" spans="1:14" s="32" customFormat="1" ht="14.25" customHeight="1">
      <c r="A474" s="8" t="s">
        <v>641</v>
      </c>
      <c r="B474" s="227" t="s">
        <v>674</v>
      </c>
      <c r="C474" s="7"/>
      <c r="D474" s="7"/>
      <c r="E474" s="7"/>
      <c r="F474" s="7"/>
      <c r="G474" s="68"/>
      <c r="H474" s="7"/>
      <c r="I474" s="7"/>
      <c r="J474" s="7"/>
      <c r="K474" s="7"/>
      <c r="L474" s="7"/>
      <c r="M474" s="7"/>
      <c r="N474" s="284"/>
    </row>
    <row r="475" spans="1:14" s="32" customFormat="1" ht="14.25" customHeight="1">
      <c r="A475" s="3" t="s">
        <v>641</v>
      </c>
      <c r="B475" s="36" t="s">
        <v>3276</v>
      </c>
      <c r="C475" s="214">
        <v>4058075479951</v>
      </c>
      <c r="D475" s="214"/>
      <c r="E475" s="215"/>
      <c r="F475" s="214"/>
      <c r="G475" s="66" t="str">
        <f>HYPERLINK("https://ledvance.com/pt/product-datasheet/8736/128439","Ficha de Produto")</f>
        <v>Ficha de Produto</v>
      </c>
      <c r="H475" s="34">
        <v>6</v>
      </c>
      <c r="I475" s="34" t="s">
        <v>846</v>
      </c>
      <c r="J475" s="34" t="s">
        <v>6121</v>
      </c>
      <c r="K475" s="34" t="s">
        <v>788</v>
      </c>
      <c r="L475" s="34" t="s">
        <v>765</v>
      </c>
      <c r="M475" s="30">
        <v>75</v>
      </c>
      <c r="N475" s="283" t="s">
        <v>721</v>
      </c>
    </row>
    <row r="476" spans="1:14" s="32" customFormat="1" ht="14.25" customHeight="1">
      <c r="A476" s="3" t="s">
        <v>641</v>
      </c>
      <c r="B476" s="36" t="s">
        <v>3277</v>
      </c>
      <c r="C476" s="214">
        <v>4058075122147</v>
      </c>
      <c r="D476" s="214"/>
      <c r="E476" s="215"/>
      <c r="F476" s="214"/>
      <c r="G476" s="66" t="str">
        <f>HYPERLINK("https://ledvance.com/pt/product-datasheet/8736/128442","Ficha de Produto")</f>
        <v>Ficha de Produto</v>
      </c>
      <c r="H476" s="34">
        <v>6</v>
      </c>
      <c r="I476" s="34" t="s">
        <v>847</v>
      </c>
      <c r="J476" s="34" t="s">
        <v>6140</v>
      </c>
      <c r="K476" s="34" t="s">
        <v>788</v>
      </c>
      <c r="L476" s="34" t="s">
        <v>765</v>
      </c>
      <c r="M476" s="30">
        <v>77.5</v>
      </c>
      <c r="N476" s="283" t="s">
        <v>721</v>
      </c>
    </row>
    <row r="477" spans="1:14" s="32" customFormat="1" ht="14.25" customHeight="1">
      <c r="A477" s="3" t="s">
        <v>641</v>
      </c>
      <c r="B477" s="36" t="s">
        <v>3278</v>
      </c>
      <c r="C477" s="214">
        <v>4058075122161</v>
      </c>
      <c r="D477" s="214"/>
      <c r="E477" s="215"/>
      <c r="F477" s="214"/>
      <c r="G477" s="66" t="str">
        <f>HYPERLINK("https://ledvance.com/pt/product-datasheet/8736/45408","Ficha de Produto")</f>
        <v>Ficha de Produto</v>
      </c>
      <c r="H477" s="34">
        <v>6</v>
      </c>
      <c r="I477" s="34" t="s">
        <v>815</v>
      </c>
      <c r="J477" s="34" t="s">
        <v>6140</v>
      </c>
      <c r="K477" s="34" t="s">
        <v>788</v>
      </c>
      <c r="L477" s="34" t="s">
        <v>765</v>
      </c>
      <c r="M477" s="30">
        <v>77.5</v>
      </c>
      <c r="N477" s="283" t="s">
        <v>721</v>
      </c>
    </row>
    <row r="478" spans="1:14" s="32" customFormat="1" ht="14.25" customHeight="1">
      <c r="A478" s="3" t="s">
        <v>641</v>
      </c>
      <c r="B478" s="36" t="s">
        <v>3279</v>
      </c>
      <c r="C478" s="214">
        <v>4058075122208</v>
      </c>
      <c r="D478" s="214"/>
      <c r="E478" s="215"/>
      <c r="F478" s="214"/>
      <c r="G478" s="66" t="str">
        <f>HYPERLINK("https://ledvance.com/pt/product-datasheet/8736/130630","Ficha de Produto")</f>
        <v>Ficha de Produto</v>
      </c>
      <c r="H478" s="34">
        <v>6</v>
      </c>
      <c r="I478" s="34" t="s">
        <v>828</v>
      </c>
      <c r="J478" s="34" t="s">
        <v>6119</v>
      </c>
      <c r="K478" s="34" t="s">
        <v>788</v>
      </c>
      <c r="L478" s="34" t="s">
        <v>765</v>
      </c>
      <c r="M478" s="30">
        <v>82.5</v>
      </c>
      <c r="N478" s="283" t="s">
        <v>721</v>
      </c>
    </row>
    <row r="479" spans="1:14" s="32" customFormat="1" ht="14.25" customHeight="1">
      <c r="A479" s="3" t="s">
        <v>641</v>
      </c>
      <c r="B479" s="36" t="s">
        <v>3280</v>
      </c>
      <c r="C479" s="214">
        <v>4058075122222</v>
      </c>
      <c r="D479" s="214"/>
      <c r="E479" s="215"/>
      <c r="F479" s="214"/>
      <c r="G479" s="66" t="str">
        <f>HYPERLINK("https://ledvance.com/pt/product-datasheet/8736/130633","Ficha de Produto")</f>
        <v>Ficha de Produto</v>
      </c>
      <c r="H479" s="34">
        <v>6</v>
      </c>
      <c r="I479" s="34" t="s">
        <v>849</v>
      </c>
      <c r="J479" s="34" t="s">
        <v>6168</v>
      </c>
      <c r="K479" s="34" t="s">
        <v>788</v>
      </c>
      <c r="L479" s="34" t="s">
        <v>765</v>
      </c>
      <c r="M479" s="30">
        <v>97.5</v>
      </c>
      <c r="N479" s="283" t="s">
        <v>721</v>
      </c>
    </row>
    <row r="480" spans="1:14" s="32" customFormat="1" ht="14.25" customHeight="1">
      <c r="A480" s="3" t="s">
        <v>641</v>
      </c>
      <c r="B480" s="36" t="s">
        <v>3281</v>
      </c>
      <c r="C480" s="214">
        <v>4058075122246</v>
      </c>
      <c r="D480" s="214"/>
      <c r="E480" s="215"/>
      <c r="F480" s="214"/>
      <c r="G480" s="66" t="str">
        <f>HYPERLINK("https://ledvance.com/pt/product-datasheet/8736/130636","Ficha de Produto")</f>
        <v>Ficha de Produto</v>
      </c>
      <c r="H480" s="34">
        <v>6</v>
      </c>
      <c r="I480" s="34" t="s">
        <v>850</v>
      </c>
      <c r="J480" s="34" t="s">
        <v>6168</v>
      </c>
      <c r="K480" s="34" t="s">
        <v>788</v>
      </c>
      <c r="L480" s="34" t="s">
        <v>765</v>
      </c>
      <c r="M480" s="30">
        <v>97.5</v>
      </c>
      <c r="N480" s="283" t="s">
        <v>721</v>
      </c>
    </row>
    <row r="481" spans="1:14" s="32" customFormat="1" ht="14.25" customHeight="1">
      <c r="A481" s="3" t="s">
        <v>641</v>
      </c>
      <c r="B481" s="36" t="s">
        <v>3282</v>
      </c>
      <c r="C481" s="214">
        <v>4058075122284</v>
      </c>
      <c r="D481" s="214"/>
      <c r="E481" s="215"/>
      <c r="F481" s="214"/>
      <c r="G481" s="66" t="str">
        <f>HYPERLINK("https://ledvance.com/pt/product-datasheet/8736/128907","Ficha de Produto")</f>
        <v>Ficha de Produto</v>
      </c>
      <c r="H481" s="34">
        <v>6</v>
      </c>
      <c r="I481" s="34" t="s">
        <v>853</v>
      </c>
      <c r="J481" s="34" t="s">
        <v>6169</v>
      </c>
      <c r="K481" s="34" t="s">
        <v>788</v>
      </c>
      <c r="L481" s="34" t="s">
        <v>765</v>
      </c>
      <c r="M481" s="30">
        <v>117.5</v>
      </c>
      <c r="N481" s="283" t="s">
        <v>721</v>
      </c>
    </row>
    <row r="482" spans="1:14" s="32" customFormat="1" ht="14.25" customHeight="1">
      <c r="A482" s="8" t="s">
        <v>641</v>
      </c>
      <c r="B482" s="227" t="s">
        <v>675</v>
      </c>
      <c r="C482" s="7"/>
      <c r="D482" s="7"/>
      <c r="E482" s="7"/>
      <c r="F482" s="7"/>
      <c r="G482" s="68"/>
      <c r="H482" s="7"/>
      <c r="I482" s="7"/>
      <c r="J482" s="7"/>
      <c r="K482" s="7"/>
      <c r="L482" s="7"/>
      <c r="M482" s="7"/>
      <c r="N482" s="284"/>
    </row>
    <row r="483" spans="1:14" s="32" customFormat="1" ht="14.25" customHeight="1">
      <c r="A483" s="3" t="s">
        <v>641</v>
      </c>
      <c r="B483" s="36" t="s">
        <v>3283</v>
      </c>
      <c r="C483" s="214">
        <v>4058075515222</v>
      </c>
      <c r="D483" s="214"/>
      <c r="E483" s="215"/>
      <c r="F483" s="214"/>
      <c r="G483" s="66" t="str">
        <f>HYPERLINK("https://ledvance.com/pt/product-datasheet/8737/128448","Ficha de Produto")</f>
        <v>Ficha de Produto</v>
      </c>
      <c r="H483" s="34">
        <v>6</v>
      </c>
      <c r="I483" s="34" t="s">
        <v>846</v>
      </c>
      <c r="J483" s="34" t="s">
        <v>6121</v>
      </c>
      <c r="K483" s="34" t="s">
        <v>788</v>
      </c>
      <c r="L483" s="34" t="s">
        <v>793</v>
      </c>
      <c r="M483" s="30">
        <v>212.5</v>
      </c>
      <c r="N483" s="283" t="s">
        <v>721</v>
      </c>
    </row>
    <row r="484" spans="1:14" s="32" customFormat="1" ht="14.25" customHeight="1">
      <c r="A484" s="3" t="s">
        <v>641</v>
      </c>
      <c r="B484" s="36" t="s">
        <v>3284</v>
      </c>
      <c r="C484" s="214">
        <v>4058075515246</v>
      </c>
      <c r="D484" s="214"/>
      <c r="E484" s="215"/>
      <c r="F484" s="214"/>
      <c r="G484" s="66" t="str">
        <f>HYPERLINK("https://ledvance.com/pt/product-datasheet/8737/128451","Ficha de Produto")</f>
        <v>Ficha de Produto</v>
      </c>
      <c r="H484" s="34">
        <v>6</v>
      </c>
      <c r="I484" s="34" t="s">
        <v>847</v>
      </c>
      <c r="J484" s="34" t="s">
        <v>6140</v>
      </c>
      <c r="K484" s="34" t="s">
        <v>788</v>
      </c>
      <c r="L484" s="34" t="s">
        <v>793</v>
      </c>
      <c r="M484" s="30">
        <v>215</v>
      </c>
      <c r="N484" s="283" t="s">
        <v>721</v>
      </c>
    </row>
    <row r="485" spans="1:14" s="32" customFormat="1" ht="14.25" customHeight="1">
      <c r="A485" s="3" t="s">
        <v>641</v>
      </c>
      <c r="B485" s="36" t="s">
        <v>3285</v>
      </c>
      <c r="C485" s="214">
        <v>4058075515260</v>
      </c>
      <c r="D485" s="214"/>
      <c r="E485" s="215"/>
      <c r="F485" s="214"/>
      <c r="G485" s="66" t="str">
        <f>HYPERLINK("https://ledvance.com/pt/product-datasheet/8737/128454","Ficha de Produto")</f>
        <v>Ficha de Produto</v>
      </c>
      <c r="H485" s="34">
        <v>6</v>
      </c>
      <c r="I485" s="34" t="s">
        <v>815</v>
      </c>
      <c r="J485" s="34" t="s">
        <v>6140</v>
      </c>
      <c r="K485" s="34" t="s">
        <v>788</v>
      </c>
      <c r="L485" s="34" t="s">
        <v>793</v>
      </c>
      <c r="M485" s="30">
        <v>215</v>
      </c>
      <c r="N485" s="283" t="s">
        <v>721</v>
      </c>
    </row>
    <row r="486" spans="1:14" s="32" customFormat="1" ht="14.25" customHeight="1">
      <c r="A486" s="3" t="s">
        <v>641</v>
      </c>
      <c r="B486" s="36" t="s">
        <v>3286</v>
      </c>
      <c r="C486" s="214">
        <v>4058075515307</v>
      </c>
      <c r="D486" s="214"/>
      <c r="E486" s="215"/>
      <c r="F486" s="214"/>
      <c r="G486" s="66" t="str">
        <f>HYPERLINK("https://ledvance.com/pt/product-datasheet/8737/128460","Ficha de Produto")</f>
        <v>Ficha de Produto</v>
      </c>
      <c r="H486" s="34">
        <v>6</v>
      </c>
      <c r="I486" s="34" t="s">
        <v>828</v>
      </c>
      <c r="J486" s="34" t="s">
        <v>6119</v>
      </c>
      <c r="K486" s="34" t="s">
        <v>788</v>
      </c>
      <c r="L486" s="34" t="s">
        <v>793</v>
      </c>
      <c r="M486" s="30">
        <v>225</v>
      </c>
      <c r="N486" s="283" t="s">
        <v>721</v>
      </c>
    </row>
    <row r="487" spans="1:14" s="32" customFormat="1" ht="14.25" customHeight="1">
      <c r="A487" s="3" t="s">
        <v>641</v>
      </c>
      <c r="B487" s="36" t="s">
        <v>3287</v>
      </c>
      <c r="C487" s="214">
        <v>4058075515321</v>
      </c>
      <c r="D487" s="214"/>
      <c r="E487" s="215"/>
      <c r="F487" s="214"/>
      <c r="G487" s="66" t="str">
        <f>HYPERLINK("https://ledvance.com/pt/product-datasheet/8737/128463","Ficha de Produto")</f>
        <v>Ficha de Produto</v>
      </c>
      <c r="H487" s="34">
        <v>6</v>
      </c>
      <c r="I487" s="34" t="s">
        <v>849</v>
      </c>
      <c r="J487" s="34" t="s">
        <v>6168</v>
      </c>
      <c r="K487" s="34" t="s">
        <v>788</v>
      </c>
      <c r="L487" s="34" t="s">
        <v>793</v>
      </c>
      <c r="M487" s="30">
        <v>232.5</v>
      </c>
      <c r="N487" s="283" t="s">
        <v>721</v>
      </c>
    </row>
    <row r="488" spans="1:14" s="32" customFormat="1" ht="14.25" customHeight="1">
      <c r="A488" s="3" t="s">
        <v>641</v>
      </c>
      <c r="B488" s="36" t="s">
        <v>3288</v>
      </c>
      <c r="C488" s="214">
        <v>4058075515352</v>
      </c>
      <c r="D488" s="214"/>
      <c r="E488" s="215"/>
      <c r="F488" s="214"/>
      <c r="G488" s="66" t="str">
        <f>HYPERLINK("https://ledvance.com/pt/product-datasheet/8737/128466","Ficha de Produto")</f>
        <v>Ficha de Produto</v>
      </c>
      <c r="H488" s="34">
        <v>6</v>
      </c>
      <c r="I488" s="34" t="s">
        <v>850</v>
      </c>
      <c r="J488" s="34" t="s">
        <v>6168</v>
      </c>
      <c r="K488" s="34" t="s">
        <v>788</v>
      </c>
      <c r="L488" s="34" t="s">
        <v>793</v>
      </c>
      <c r="M488" s="30">
        <v>232.5</v>
      </c>
      <c r="N488" s="283" t="s">
        <v>721</v>
      </c>
    </row>
    <row r="489" spans="1:14" s="32" customFormat="1" ht="14.25" customHeight="1">
      <c r="A489" s="3" t="s">
        <v>641</v>
      </c>
      <c r="B489" s="36" t="s">
        <v>3289</v>
      </c>
      <c r="C489" s="214">
        <v>4058075515390</v>
      </c>
      <c r="D489" s="214"/>
      <c r="E489" s="215"/>
      <c r="F489" s="214"/>
      <c r="G489" s="66" t="str">
        <f>HYPERLINK("https://ledvance.com/pt/product-datasheet/8737/128472","Ficha de Produto")</f>
        <v>Ficha de Produto</v>
      </c>
      <c r="H489" s="34">
        <v>6</v>
      </c>
      <c r="I489" s="34" t="s">
        <v>853</v>
      </c>
      <c r="J489" s="34" t="s">
        <v>6169</v>
      </c>
      <c r="K489" s="34" t="s">
        <v>788</v>
      </c>
      <c r="L489" s="34" t="s">
        <v>793</v>
      </c>
      <c r="M489" s="30">
        <v>245</v>
      </c>
      <c r="N489" s="283" t="s">
        <v>721</v>
      </c>
    </row>
    <row r="490" spans="1:14" s="32" customFormat="1" ht="14.25" customHeight="1">
      <c r="A490" s="8" t="s">
        <v>641</v>
      </c>
      <c r="B490" s="227" t="s">
        <v>1302</v>
      </c>
      <c r="C490" s="7"/>
      <c r="D490" s="7"/>
      <c r="E490" s="7"/>
      <c r="F490" s="7"/>
      <c r="G490" s="68"/>
      <c r="H490" s="7"/>
      <c r="I490" s="7"/>
      <c r="J490" s="7"/>
      <c r="K490" s="7"/>
      <c r="L490" s="7"/>
      <c r="M490" s="7"/>
      <c r="N490" s="284"/>
    </row>
    <row r="491" spans="1:14" s="32" customFormat="1" ht="14.25" customHeight="1">
      <c r="A491" s="3" t="s">
        <v>641</v>
      </c>
      <c r="B491" s="36" t="s">
        <v>1306</v>
      </c>
      <c r="C491" s="214">
        <v>4058075733152</v>
      </c>
      <c r="D491" s="214"/>
      <c r="E491" s="215"/>
      <c r="F491" s="214"/>
      <c r="G491" s="66" t="str">
        <f>HYPERLINK("https://ledvance.com/pt/product-datasheet/221846/196566","Ficha de Produto")</f>
        <v>Ficha de Produto</v>
      </c>
      <c r="H491" s="34">
        <v>4</v>
      </c>
      <c r="I491" s="34" t="s">
        <v>780</v>
      </c>
      <c r="J491" s="34" t="s">
        <v>6115</v>
      </c>
      <c r="K491" s="34" t="s">
        <v>824</v>
      </c>
      <c r="L491" s="34" t="s">
        <v>765</v>
      </c>
      <c r="M491" s="30">
        <v>121.9</v>
      </c>
      <c r="N491" s="283" t="s">
        <v>721</v>
      </c>
    </row>
    <row r="492" spans="1:14" s="32" customFormat="1" ht="14.25" customHeight="1">
      <c r="A492" s="3" t="s">
        <v>641</v>
      </c>
      <c r="B492" s="36" t="s">
        <v>1303</v>
      </c>
      <c r="C492" s="214">
        <v>4058075733091</v>
      </c>
      <c r="D492" s="214"/>
      <c r="E492" s="215"/>
      <c r="F492" s="214"/>
      <c r="G492" s="66" t="str">
        <f>HYPERLINK("https://ledvance.com/pt/product-datasheet/221846/196557","Ficha de Produto")</f>
        <v>Ficha de Produto</v>
      </c>
      <c r="H492" s="34">
        <v>4</v>
      </c>
      <c r="I492" s="34" t="s">
        <v>1760</v>
      </c>
      <c r="J492" s="34" t="s">
        <v>6115</v>
      </c>
      <c r="K492" s="34" t="s">
        <v>824</v>
      </c>
      <c r="L492" s="34" t="s">
        <v>765</v>
      </c>
      <c r="M492" s="30">
        <v>121.9</v>
      </c>
      <c r="N492" s="283" t="s">
        <v>721</v>
      </c>
    </row>
    <row r="493" spans="1:14" s="32" customFormat="1" ht="14.25" customHeight="1">
      <c r="A493" s="3" t="s">
        <v>641</v>
      </c>
      <c r="B493" s="36" t="s">
        <v>1307</v>
      </c>
      <c r="C493" s="214">
        <v>4058075733176</v>
      </c>
      <c r="D493" s="214"/>
      <c r="E493" s="215"/>
      <c r="F493" s="214"/>
      <c r="G493" s="66" t="str">
        <f>HYPERLINK("https://ledvance.com/pt/product-datasheet/221846/196569","Ficha de Produto")</f>
        <v>Ficha de Produto</v>
      </c>
      <c r="H493" s="34">
        <v>4</v>
      </c>
      <c r="I493" s="34" t="s">
        <v>1765</v>
      </c>
      <c r="J493" s="34" t="s">
        <v>6170</v>
      </c>
      <c r="K493" s="34" t="s">
        <v>824</v>
      </c>
      <c r="L493" s="34" t="s">
        <v>765</v>
      </c>
      <c r="M493" s="30">
        <v>191.9</v>
      </c>
      <c r="N493" s="283" t="s">
        <v>721</v>
      </c>
    </row>
    <row r="494" spans="1:14" s="32" customFormat="1" ht="14.25" customHeight="1">
      <c r="A494" s="3" t="s">
        <v>641</v>
      </c>
      <c r="B494" s="36" t="s">
        <v>1304</v>
      </c>
      <c r="C494" s="214">
        <v>4058075733114</v>
      </c>
      <c r="D494" s="214"/>
      <c r="E494" s="215"/>
      <c r="F494" s="214"/>
      <c r="G494" s="66" t="str">
        <f>HYPERLINK("https://ledvance.com/pt/product-datasheet/221846/196560","Ficha de Produto")</f>
        <v>Ficha de Produto</v>
      </c>
      <c r="H494" s="34">
        <v>4</v>
      </c>
      <c r="I494" s="34" t="s">
        <v>1762</v>
      </c>
      <c r="J494" s="34" t="s">
        <v>6170</v>
      </c>
      <c r="K494" s="34" t="s">
        <v>824</v>
      </c>
      <c r="L494" s="34" t="s">
        <v>765</v>
      </c>
      <c r="M494" s="30">
        <v>171.9</v>
      </c>
      <c r="N494" s="283" t="s">
        <v>721</v>
      </c>
    </row>
    <row r="495" spans="1:14" s="32" customFormat="1" ht="14.25" customHeight="1">
      <c r="A495" s="3" t="s">
        <v>641</v>
      </c>
      <c r="B495" s="36" t="s">
        <v>1308</v>
      </c>
      <c r="C495" s="214">
        <v>4058075733190</v>
      </c>
      <c r="D495" s="214"/>
      <c r="E495" s="215"/>
      <c r="F495" s="214"/>
      <c r="G495" s="66" t="str">
        <f>HYPERLINK("https://ledvance.com/pt/product-datasheet/221846/196572","Ficha de Produto")</f>
        <v>Ficha de Produto</v>
      </c>
      <c r="H495" s="34">
        <v>4</v>
      </c>
      <c r="I495" s="34" t="s">
        <v>835</v>
      </c>
      <c r="J495" s="34" t="s">
        <v>6120</v>
      </c>
      <c r="K495" s="34" t="s">
        <v>824</v>
      </c>
      <c r="L495" s="34" t="s">
        <v>765</v>
      </c>
      <c r="M495" s="30">
        <v>212.5</v>
      </c>
      <c r="N495" s="283" t="s">
        <v>721</v>
      </c>
    </row>
    <row r="496" spans="1:14" s="32" customFormat="1" ht="14.25" customHeight="1">
      <c r="A496" s="3" t="s">
        <v>641</v>
      </c>
      <c r="B496" s="36" t="s">
        <v>1305</v>
      </c>
      <c r="C496" s="214">
        <v>4058075733138</v>
      </c>
      <c r="D496" s="214"/>
      <c r="E496" s="215"/>
      <c r="F496" s="214"/>
      <c r="G496" s="66" t="str">
        <f>HYPERLINK("https://ledvance.com/pt/product-datasheet/221846/196563","Ficha de Produto")</f>
        <v>Ficha de Produto</v>
      </c>
      <c r="H496" s="34">
        <v>4</v>
      </c>
      <c r="I496" s="34" t="s">
        <v>1764</v>
      </c>
      <c r="J496" s="34" t="s">
        <v>6120</v>
      </c>
      <c r="K496" s="34" t="s">
        <v>824</v>
      </c>
      <c r="L496" s="34" t="s">
        <v>765</v>
      </c>
      <c r="M496" s="30">
        <v>212.5</v>
      </c>
      <c r="N496" s="283" t="s">
        <v>721</v>
      </c>
    </row>
    <row r="497" spans="1:14" s="32" customFormat="1" ht="14.25" customHeight="1">
      <c r="A497" s="8" t="s">
        <v>641</v>
      </c>
      <c r="B497" s="227" t="s">
        <v>1718</v>
      </c>
      <c r="C497" s="7"/>
      <c r="D497" s="7"/>
      <c r="E497" s="7"/>
      <c r="F497" s="7"/>
      <c r="G497" s="68"/>
      <c r="H497" s="7"/>
      <c r="I497" s="220"/>
      <c r="J497" s="220"/>
      <c r="K497" s="7"/>
      <c r="L497" s="7"/>
      <c r="M497" s="7"/>
      <c r="N497" s="284"/>
    </row>
    <row r="498" spans="1:14" s="32" customFormat="1" ht="14.25" customHeight="1">
      <c r="A498" s="3" t="s">
        <v>641</v>
      </c>
      <c r="B498" s="36" t="s">
        <v>1530</v>
      </c>
      <c r="C498" s="214">
        <v>4058075733398</v>
      </c>
      <c r="D498" s="214"/>
      <c r="E498" s="215"/>
      <c r="F498" s="214"/>
      <c r="G498" s="66" t="str">
        <f>HYPERLINK("https://ledvance.com/pt/product-datasheet/221847/196602","Ficha de Produto")</f>
        <v>Ficha de Produto</v>
      </c>
      <c r="H498" s="34">
        <v>4</v>
      </c>
      <c r="I498" s="34" t="s">
        <v>1766</v>
      </c>
      <c r="J498" s="34" t="s">
        <v>6115</v>
      </c>
      <c r="K498" s="34" t="s">
        <v>824</v>
      </c>
      <c r="L498" s="34" t="s">
        <v>765</v>
      </c>
      <c r="M498" s="30">
        <v>150</v>
      </c>
      <c r="N498" s="283" t="s">
        <v>721</v>
      </c>
    </row>
    <row r="499" spans="1:14" s="32" customFormat="1" ht="14.25" customHeight="1">
      <c r="A499" s="3" t="s">
        <v>641</v>
      </c>
      <c r="B499" s="36" t="s">
        <v>1531</v>
      </c>
      <c r="C499" s="214">
        <v>4058075733336</v>
      </c>
      <c r="D499" s="214"/>
      <c r="E499" s="215"/>
      <c r="F499" s="214"/>
      <c r="G499" s="66" t="str">
        <f>HYPERLINK("https://ledvance.com/pt/product-datasheet/221847/196593","Ficha de Produto")</f>
        <v>Ficha de Produto</v>
      </c>
      <c r="H499" s="34">
        <v>4</v>
      </c>
      <c r="I499" s="34" t="s">
        <v>1767</v>
      </c>
      <c r="J499" s="34" t="s">
        <v>6115</v>
      </c>
      <c r="K499" s="34" t="s">
        <v>824</v>
      </c>
      <c r="L499" s="34" t="s">
        <v>765</v>
      </c>
      <c r="M499" s="30">
        <v>150</v>
      </c>
      <c r="N499" s="283" t="s">
        <v>721</v>
      </c>
    </row>
    <row r="500" spans="1:14" s="32" customFormat="1" ht="14.25" customHeight="1">
      <c r="A500" s="3" t="s">
        <v>641</v>
      </c>
      <c r="B500" s="36" t="s">
        <v>1532</v>
      </c>
      <c r="C500" s="214">
        <v>4058075733411</v>
      </c>
      <c r="D500" s="214"/>
      <c r="E500" s="215"/>
      <c r="F500" s="214"/>
      <c r="G500" s="66" t="str">
        <f>HYPERLINK("https://ledvance.com/pt/product-datasheet/221847/196605","Ficha de Produto")</f>
        <v>Ficha de Produto</v>
      </c>
      <c r="H500" s="34">
        <v>4</v>
      </c>
      <c r="I500" s="34" t="s">
        <v>1765</v>
      </c>
      <c r="J500" s="34" t="s">
        <v>6170</v>
      </c>
      <c r="K500" s="34" t="s">
        <v>824</v>
      </c>
      <c r="L500" s="34" t="s">
        <v>765</v>
      </c>
      <c r="M500" s="30">
        <v>220</v>
      </c>
      <c r="N500" s="283" t="s">
        <v>721</v>
      </c>
    </row>
    <row r="501" spans="1:14" s="32" customFormat="1" ht="14.25" customHeight="1">
      <c r="A501" s="3" t="s">
        <v>641</v>
      </c>
      <c r="B501" s="36" t="s">
        <v>1533</v>
      </c>
      <c r="C501" s="214">
        <v>4058075733350</v>
      </c>
      <c r="D501" s="214"/>
      <c r="E501" s="215"/>
      <c r="F501" s="214"/>
      <c r="G501" s="66" t="str">
        <f>HYPERLINK("https://ledvance.com/pt/product-datasheet/221847/196596","Ficha de Produto")</f>
        <v>Ficha de Produto</v>
      </c>
      <c r="H501" s="34">
        <v>4</v>
      </c>
      <c r="I501" s="34" t="s">
        <v>1762</v>
      </c>
      <c r="J501" s="34" t="s">
        <v>6170</v>
      </c>
      <c r="K501" s="34" t="s">
        <v>824</v>
      </c>
      <c r="L501" s="34" t="s">
        <v>765</v>
      </c>
      <c r="M501" s="30">
        <v>220</v>
      </c>
      <c r="N501" s="283" t="s">
        <v>721</v>
      </c>
    </row>
    <row r="502" spans="1:14" s="32" customFormat="1" ht="14.25" customHeight="1">
      <c r="A502" s="3" t="s">
        <v>641</v>
      </c>
      <c r="B502" s="36" t="s">
        <v>1534</v>
      </c>
      <c r="C502" s="214">
        <v>4058075733435</v>
      </c>
      <c r="D502" s="214"/>
      <c r="E502" s="215"/>
      <c r="F502" s="214"/>
      <c r="G502" s="66" t="str">
        <f>HYPERLINK("https://ledvance.com/pt/product-datasheet/221847/196608","Ficha de Produto")</f>
        <v>Ficha de Produto</v>
      </c>
      <c r="H502" s="34">
        <v>4</v>
      </c>
      <c r="I502" s="34" t="s">
        <v>835</v>
      </c>
      <c r="J502" s="34" t="s">
        <v>6120</v>
      </c>
      <c r="K502" s="34" t="s">
        <v>824</v>
      </c>
      <c r="L502" s="34" t="s">
        <v>765</v>
      </c>
      <c r="M502" s="30">
        <v>260</v>
      </c>
      <c r="N502" s="283" t="s">
        <v>721</v>
      </c>
    </row>
    <row r="503" spans="1:14" s="32" customFormat="1" ht="14.25" customHeight="1">
      <c r="A503" s="3" t="s">
        <v>641</v>
      </c>
      <c r="B503" s="36" t="s">
        <v>1535</v>
      </c>
      <c r="C503" s="214">
        <v>4058075733374</v>
      </c>
      <c r="D503" s="214"/>
      <c r="E503" s="215"/>
      <c r="F503" s="214"/>
      <c r="G503" s="66" t="str">
        <f>HYPERLINK("https://ledvance.com/pt/product-datasheet/221847/196599","Ficha de Produto")</f>
        <v>Ficha de Produto</v>
      </c>
      <c r="H503" s="34">
        <v>4</v>
      </c>
      <c r="I503" s="34" t="s">
        <v>1764</v>
      </c>
      <c r="J503" s="34" t="s">
        <v>6120</v>
      </c>
      <c r="K503" s="34" t="s">
        <v>824</v>
      </c>
      <c r="L503" s="34" t="s">
        <v>765</v>
      </c>
      <c r="M503" s="30">
        <v>260</v>
      </c>
      <c r="N503" s="283" t="s">
        <v>721</v>
      </c>
    </row>
    <row r="504" spans="1:14" s="32" customFormat="1" ht="14.25" customHeight="1">
      <c r="A504" s="8" t="s">
        <v>641</v>
      </c>
      <c r="B504" s="227" t="s">
        <v>1719</v>
      </c>
      <c r="C504" s="7"/>
      <c r="D504" s="7"/>
      <c r="E504" s="7"/>
      <c r="F504" s="7"/>
      <c r="G504" s="68"/>
      <c r="H504" s="7"/>
      <c r="I504" s="220"/>
      <c r="J504" s="220"/>
      <c r="K504" s="7"/>
      <c r="L504" s="7"/>
      <c r="M504" s="7"/>
      <c r="N504" s="284"/>
    </row>
    <row r="505" spans="1:14" s="32" customFormat="1" ht="14.25" customHeight="1">
      <c r="A505" s="3" t="s">
        <v>641</v>
      </c>
      <c r="B505" s="36" t="s">
        <v>1536</v>
      </c>
      <c r="C505" s="214">
        <v>4058075733275</v>
      </c>
      <c r="D505" s="214"/>
      <c r="E505" s="215"/>
      <c r="F505" s="214"/>
      <c r="G505" s="66" t="str">
        <f>HYPERLINK("https://ledvance.com/pt/product-datasheet/221848/196584","Ficha de Produto")</f>
        <v>Ficha de Produto</v>
      </c>
      <c r="H505" s="34" t="s">
        <v>1201</v>
      </c>
      <c r="I505" s="34" t="s">
        <v>780</v>
      </c>
      <c r="J505" s="34" t="s">
        <v>6115</v>
      </c>
      <c r="K505" s="34" t="s">
        <v>824</v>
      </c>
      <c r="L505" s="34" t="s">
        <v>793</v>
      </c>
      <c r="M505" s="30">
        <v>257.5</v>
      </c>
      <c r="N505" s="283" t="s">
        <v>721</v>
      </c>
    </row>
    <row r="506" spans="1:14" s="32" customFormat="1" ht="14.25" customHeight="1">
      <c r="A506" s="3" t="s">
        <v>641</v>
      </c>
      <c r="B506" s="36" t="s">
        <v>1537</v>
      </c>
      <c r="C506" s="214">
        <v>4058075733213</v>
      </c>
      <c r="D506" s="214"/>
      <c r="E506" s="215"/>
      <c r="F506" s="214"/>
      <c r="G506" s="66" t="str">
        <f>HYPERLINK("https://ledvance.com/pt/product-datasheet/221848/196575","Ficha de Produto")</f>
        <v>Ficha de Produto</v>
      </c>
      <c r="H506" s="34" t="s">
        <v>1201</v>
      </c>
      <c r="I506" s="34" t="s">
        <v>1760</v>
      </c>
      <c r="J506" s="34" t="s">
        <v>6115</v>
      </c>
      <c r="K506" s="34" t="s">
        <v>824</v>
      </c>
      <c r="L506" s="34" t="s">
        <v>793</v>
      </c>
      <c r="M506" s="30">
        <v>257.5</v>
      </c>
      <c r="N506" s="283" t="s">
        <v>721</v>
      </c>
    </row>
    <row r="507" spans="1:14" s="32" customFormat="1" ht="14.25" customHeight="1">
      <c r="A507" s="3" t="s">
        <v>641</v>
      </c>
      <c r="B507" s="36" t="s">
        <v>1538</v>
      </c>
      <c r="C507" s="214">
        <v>4058075733299</v>
      </c>
      <c r="D507" s="214"/>
      <c r="E507" s="215"/>
      <c r="F507" s="214"/>
      <c r="G507" s="66" t="str">
        <f>HYPERLINK("https://ledvance.com/pt/product-datasheet/221848/196587","Ficha de Produto")</f>
        <v>Ficha de Produto</v>
      </c>
      <c r="H507" s="34" t="s">
        <v>1201</v>
      </c>
      <c r="I507" s="34" t="s">
        <v>1765</v>
      </c>
      <c r="J507" s="34" t="s">
        <v>6170</v>
      </c>
      <c r="K507" s="34" t="s">
        <v>824</v>
      </c>
      <c r="L507" s="34" t="s">
        <v>793</v>
      </c>
      <c r="M507" s="30">
        <v>297.5</v>
      </c>
      <c r="N507" s="283" t="s">
        <v>721</v>
      </c>
    </row>
    <row r="508" spans="1:14" s="32" customFormat="1" ht="14.25" customHeight="1">
      <c r="A508" s="3" t="s">
        <v>641</v>
      </c>
      <c r="B508" s="36" t="s">
        <v>1539</v>
      </c>
      <c r="C508" s="214">
        <v>4058075733237</v>
      </c>
      <c r="D508" s="214"/>
      <c r="E508" s="215"/>
      <c r="F508" s="214"/>
      <c r="G508" s="66" t="str">
        <f>HYPERLINK("https://ledvance.com/pt/product-datasheet/221848/196578","Ficha de Produto")</f>
        <v>Ficha de Produto</v>
      </c>
      <c r="H508" s="34" t="s">
        <v>1201</v>
      </c>
      <c r="I508" s="34" t="s">
        <v>1762</v>
      </c>
      <c r="J508" s="34" t="s">
        <v>6170</v>
      </c>
      <c r="K508" s="34" t="s">
        <v>824</v>
      </c>
      <c r="L508" s="34" t="s">
        <v>793</v>
      </c>
      <c r="M508" s="30">
        <v>297.5</v>
      </c>
      <c r="N508" s="283" t="s">
        <v>721</v>
      </c>
    </row>
    <row r="509" spans="1:14" s="32" customFormat="1" ht="14.25" customHeight="1">
      <c r="A509" s="3" t="s">
        <v>641</v>
      </c>
      <c r="B509" s="36" t="s">
        <v>1540</v>
      </c>
      <c r="C509" s="214">
        <v>4058075733312</v>
      </c>
      <c r="D509" s="214"/>
      <c r="E509" s="215"/>
      <c r="F509" s="214"/>
      <c r="G509" s="66" t="str">
        <f>HYPERLINK("https://ledvance.com/pt/product-datasheet/221848/196590","Ficha de Produto")</f>
        <v>Ficha de Produto</v>
      </c>
      <c r="H509" s="34" t="s">
        <v>1201</v>
      </c>
      <c r="I509" s="34" t="s">
        <v>835</v>
      </c>
      <c r="J509" s="34" t="s">
        <v>6120</v>
      </c>
      <c r="K509" s="34" t="s">
        <v>824</v>
      </c>
      <c r="L509" s="34" t="s">
        <v>793</v>
      </c>
      <c r="M509" s="30">
        <v>315</v>
      </c>
      <c r="N509" s="283" t="s">
        <v>721</v>
      </c>
    </row>
    <row r="510" spans="1:14" s="32" customFormat="1" ht="14.25" customHeight="1">
      <c r="A510" s="3" t="s">
        <v>641</v>
      </c>
      <c r="B510" s="36" t="s">
        <v>1541</v>
      </c>
      <c r="C510" s="214">
        <v>4058075733251</v>
      </c>
      <c r="D510" s="214"/>
      <c r="E510" s="215"/>
      <c r="F510" s="214"/>
      <c r="G510" s="66" t="str">
        <f>HYPERLINK("https://ledvance.com/pt/product-datasheet/221848/196581","Ficha de Produto")</f>
        <v>Ficha de Produto</v>
      </c>
      <c r="H510" s="34" t="s">
        <v>1201</v>
      </c>
      <c r="I510" s="34" t="s">
        <v>1764</v>
      </c>
      <c r="J510" s="34" t="s">
        <v>6120</v>
      </c>
      <c r="K510" s="34" t="s">
        <v>824</v>
      </c>
      <c r="L510" s="34" t="s">
        <v>793</v>
      </c>
      <c r="M510" s="30">
        <v>315</v>
      </c>
      <c r="N510" s="283" t="s">
        <v>721</v>
      </c>
    </row>
    <row r="511" spans="1:14" s="32" customFormat="1" ht="14.25" customHeight="1">
      <c r="A511" s="8" t="s">
        <v>641</v>
      </c>
      <c r="B511" s="227" t="s">
        <v>676</v>
      </c>
      <c r="C511" s="7"/>
      <c r="D511" s="7"/>
      <c r="E511" s="7"/>
      <c r="F511" s="7"/>
      <c r="G511" s="68"/>
      <c r="H511" s="7"/>
      <c r="I511" s="7"/>
      <c r="J511" s="7"/>
      <c r="K511" s="7"/>
      <c r="L511" s="7"/>
      <c r="M511" s="7"/>
      <c r="N511" s="284"/>
    </row>
    <row r="512" spans="1:14" s="32" customFormat="1" ht="14.25" customHeight="1">
      <c r="A512" s="3" t="s">
        <v>641</v>
      </c>
      <c r="B512" s="36" t="s">
        <v>3290</v>
      </c>
      <c r="C512" s="214">
        <v>4058075106079</v>
      </c>
      <c r="D512" s="214"/>
      <c r="E512" s="215"/>
      <c r="F512" s="214"/>
      <c r="G512" s="66" t="str">
        <f>HYPERLINK("https://ledvance.com/pt/product-datasheet/8740/45608","Ficha de Produto")</f>
        <v>Ficha de Produto</v>
      </c>
      <c r="H512" s="34">
        <v>25</v>
      </c>
      <c r="I512" s="34" t="s">
        <v>854</v>
      </c>
      <c r="J512" s="34" t="s">
        <v>6123</v>
      </c>
      <c r="K512" s="34" t="s">
        <v>788</v>
      </c>
      <c r="L512" s="34" t="s">
        <v>765</v>
      </c>
      <c r="M512" s="30">
        <v>16</v>
      </c>
      <c r="N512" s="283" t="s">
        <v>721</v>
      </c>
    </row>
    <row r="513" spans="1:14" s="32" customFormat="1" ht="14.25" customHeight="1">
      <c r="A513" s="3" t="s">
        <v>641</v>
      </c>
      <c r="B513" s="36" t="s">
        <v>3291</v>
      </c>
      <c r="C513" s="214">
        <v>4058075106093</v>
      </c>
      <c r="D513" s="214"/>
      <c r="E513" s="215"/>
      <c r="F513" s="214"/>
      <c r="G513" s="66" t="str">
        <f>HYPERLINK("https://ledvance.com/pt/product-datasheet/8740/45734","Ficha de Produto")</f>
        <v>Ficha de Produto</v>
      </c>
      <c r="H513" s="34">
        <v>25</v>
      </c>
      <c r="I513" s="34" t="s">
        <v>856</v>
      </c>
      <c r="J513" s="34" t="s">
        <v>6123</v>
      </c>
      <c r="K513" s="34" t="s">
        <v>788</v>
      </c>
      <c r="L513" s="34" t="s">
        <v>765</v>
      </c>
      <c r="M513" s="30">
        <v>16</v>
      </c>
      <c r="N513" s="283" t="s">
        <v>721</v>
      </c>
    </row>
    <row r="514" spans="1:14" s="32" customFormat="1" ht="14.25" customHeight="1">
      <c r="A514" s="3" t="s">
        <v>641</v>
      </c>
      <c r="B514" s="36" t="s">
        <v>3292</v>
      </c>
      <c r="C514" s="214">
        <v>4058075106116</v>
      </c>
      <c r="D514" s="214"/>
      <c r="E514" s="215"/>
      <c r="F514" s="214"/>
      <c r="G514" s="66" t="str">
        <f>HYPERLINK("https://ledvance.com/pt/product-datasheet/8740/45414","Ficha de Produto")</f>
        <v>Ficha de Produto</v>
      </c>
      <c r="H514" s="34">
        <v>25</v>
      </c>
      <c r="I514" s="34" t="s">
        <v>827</v>
      </c>
      <c r="J514" s="34" t="s">
        <v>6124</v>
      </c>
      <c r="K514" s="34" t="s">
        <v>788</v>
      </c>
      <c r="L514" s="34" t="s">
        <v>765</v>
      </c>
      <c r="M514" s="30">
        <v>19</v>
      </c>
      <c r="N514" s="283" t="s">
        <v>721</v>
      </c>
    </row>
    <row r="515" spans="1:14" s="32" customFormat="1" ht="14.25" customHeight="1">
      <c r="A515" s="3" t="s">
        <v>641</v>
      </c>
      <c r="B515" s="36" t="s">
        <v>3293</v>
      </c>
      <c r="C515" s="214">
        <v>4058075106130</v>
      </c>
      <c r="D515" s="214"/>
      <c r="E515" s="215"/>
      <c r="F515" s="214"/>
      <c r="G515" s="66" t="str">
        <f>HYPERLINK("https://ledvance.com/pt/product-datasheet/8740/45739","Ficha de Produto")</f>
        <v>Ficha de Produto</v>
      </c>
      <c r="H515" s="34">
        <v>25</v>
      </c>
      <c r="I515" s="34" t="s">
        <v>827</v>
      </c>
      <c r="J515" s="34" t="s">
        <v>6124</v>
      </c>
      <c r="K515" s="34" t="s">
        <v>788</v>
      </c>
      <c r="L515" s="34" t="s">
        <v>765</v>
      </c>
      <c r="M515" s="30">
        <v>19</v>
      </c>
      <c r="N515" s="283" t="s">
        <v>721</v>
      </c>
    </row>
    <row r="516" spans="1:14" s="32" customFormat="1" ht="14.25" customHeight="1">
      <c r="A516" s="3" t="s">
        <v>641</v>
      </c>
      <c r="B516" s="36" t="s">
        <v>3294</v>
      </c>
      <c r="C516" s="214">
        <v>4058075106192</v>
      </c>
      <c r="D516" s="214"/>
      <c r="E516" s="215"/>
      <c r="F516" s="214"/>
      <c r="G516" s="66" t="str">
        <f>HYPERLINK("https://ledvance.com/pt/product-datasheet/8740/45742","Ficha de Produto")</f>
        <v>Ficha de Produto</v>
      </c>
      <c r="H516" s="34">
        <v>25</v>
      </c>
      <c r="I516" s="34" t="s">
        <v>857</v>
      </c>
      <c r="J516" s="34" t="s">
        <v>6129</v>
      </c>
      <c r="K516" s="34" t="s">
        <v>788</v>
      </c>
      <c r="L516" s="34" t="s">
        <v>765</v>
      </c>
      <c r="M516" s="30">
        <v>23</v>
      </c>
      <c r="N516" s="283" t="s">
        <v>721</v>
      </c>
    </row>
    <row r="517" spans="1:14" s="32" customFormat="1" ht="14.25" customHeight="1">
      <c r="A517" s="3" t="s">
        <v>641</v>
      </c>
      <c r="B517" s="36" t="s">
        <v>3295</v>
      </c>
      <c r="C517" s="214">
        <v>4058075106215</v>
      </c>
      <c r="D517" s="214"/>
      <c r="E517" s="215"/>
      <c r="F517" s="214"/>
      <c r="G517" s="66" t="str">
        <f>HYPERLINK("https://ledvance.com/pt/product-datasheet/8740/35518","Ficha de Produto")</f>
        <v>Ficha de Produto</v>
      </c>
      <c r="H517" s="34">
        <v>25</v>
      </c>
      <c r="I517" s="34" t="s">
        <v>857</v>
      </c>
      <c r="J517" s="34" t="s">
        <v>6129</v>
      </c>
      <c r="K517" s="34" t="s">
        <v>788</v>
      </c>
      <c r="L517" s="34" t="s">
        <v>765</v>
      </c>
      <c r="M517" s="30">
        <v>23</v>
      </c>
      <c r="N517" s="283" t="s">
        <v>721</v>
      </c>
    </row>
    <row r="518" spans="1:14" s="32" customFormat="1" ht="14.25" customHeight="1">
      <c r="A518" s="3" t="s">
        <v>641</v>
      </c>
      <c r="B518" s="36" t="s">
        <v>3296</v>
      </c>
      <c r="C518" s="214">
        <v>4058075106154</v>
      </c>
      <c r="D518" s="214"/>
      <c r="E518" s="215"/>
      <c r="F518" s="214"/>
      <c r="G518" s="66" t="str">
        <f>HYPERLINK("https://ledvance.com/pt/product-datasheet/8740/45745","Ficha de Produto")</f>
        <v>Ficha de Produto</v>
      </c>
      <c r="H518" s="34">
        <v>25</v>
      </c>
      <c r="I518" s="34" t="s">
        <v>789</v>
      </c>
      <c r="J518" s="34" t="s">
        <v>6112</v>
      </c>
      <c r="K518" s="34" t="s">
        <v>788</v>
      </c>
      <c r="L518" s="34" t="s">
        <v>765</v>
      </c>
      <c r="M518" s="30">
        <v>26</v>
      </c>
      <c r="N518" s="283" t="s">
        <v>721</v>
      </c>
    </row>
    <row r="519" spans="1:14" s="32" customFormat="1" ht="14.25" customHeight="1">
      <c r="A519" s="3" t="s">
        <v>641</v>
      </c>
      <c r="B519" s="36" t="s">
        <v>3297</v>
      </c>
      <c r="C519" s="214">
        <v>4058075106178</v>
      </c>
      <c r="D519" s="214"/>
      <c r="E519" s="215"/>
      <c r="F519" s="214"/>
      <c r="G519" s="66" t="str">
        <f>HYPERLINK("https://ledvance.com/pt/product-datasheet/8740/45748","Ficha de Produto")</f>
        <v>Ficha de Produto</v>
      </c>
      <c r="H519" s="34">
        <v>25</v>
      </c>
      <c r="I519" s="34" t="s">
        <v>789</v>
      </c>
      <c r="J519" s="34" t="s">
        <v>6112</v>
      </c>
      <c r="K519" s="34" t="s">
        <v>788</v>
      </c>
      <c r="L519" s="34" t="s">
        <v>765</v>
      </c>
      <c r="M519" s="30">
        <v>26</v>
      </c>
      <c r="N519" s="283" t="s">
        <v>721</v>
      </c>
    </row>
    <row r="520" spans="1:14" s="32" customFormat="1" ht="14.25" customHeight="1">
      <c r="A520" s="3" t="s">
        <v>641</v>
      </c>
      <c r="B520" s="36" t="s">
        <v>3298</v>
      </c>
      <c r="C520" s="214">
        <v>4058075683341</v>
      </c>
      <c r="D520" s="214"/>
      <c r="E520" s="215"/>
      <c r="F520" s="214"/>
      <c r="G520" s="66" t="str">
        <f>HYPERLINK("https://ledvance.com/pt/product-datasheet/8740/171798","Ficha de Produto")</f>
        <v>Ficha de Produto</v>
      </c>
      <c r="H520" s="34">
        <v>25</v>
      </c>
      <c r="I520" s="34" t="s">
        <v>820</v>
      </c>
      <c r="J520" s="34" t="s">
        <v>6126</v>
      </c>
      <c r="K520" s="34" t="s">
        <v>788</v>
      </c>
      <c r="L520" s="34" t="s">
        <v>765</v>
      </c>
      <c r="M520" s="30">
        <v>35</v>
      </c>
      <c r="N520" s="283" t="s">
        <v>721</v>
      </c>
    </row>
    <row r="521" spans="1:14" s="32" customFormat="1" ht="14.25" customHeight="1">
      <c r="A521" s="3" t="s">
        <v>641</v>
      </c>
      <c r="B521" s="36" t="s">
        <v>3299</v>
      </c>
      <c r="C521" s="214">
        <v>4058075683365</v>
      </c>
      <c r="D521" s="214"/>
      <c r="E521" s="215"/>
      <c r="F521" s="214"/>
      <c r="G521" s="66" t="str">
        <f>HYPERLINK("https://ledvance.com/pt/product-datasheet/8740/171801","Ficha de Produto")</f>
        <v>Ficha de Produto</v>
      </c>
      <c r="H521" s="34">
        <v>25</v>
      </c>
      <c r="I521" s="34" t="s">
        <v>812</v>
      </c>
      <c r="J521" s="34" t="s">
        <v>6126</v>
      </c>
      <c r="K521" s="34" t="s">
        <v>788</v>
      </c>
      <c r="L521" s="34" t="s">
        <v>765</v>
      </c>
      <c r="M521" s="30">
        <v>35</v>
      </c>
      <c r="N521" s="283" t="s">
        <v>721</v>
      </c>
    </row>
    <row r="522" spans="1:14" s="32" customFormat="1" ht="14.25" customHeight="1">
      <c r="A522" s="8" t="s">
        <v>641</v>
      </c>
      <c r="B522" s="227" t="s">
        <v>677</v>
      </c>
      <c r="C522" s="7"/>
      <c r="D522" s="7"/>
      <c r="E522" s="7"/>
      <c r="F522" s="7"/>
      <c r="G522" s="68"/>
      <c r="H522" s="7"/>
      <c r="I522" s="7"/>
      <c r="J522" s="7"/>
      <c r="K522" s="7"/>
      <c r="L522" s="7"/>
      <c r="M522" s="7"/>
      <c r="N522" s="284"/>
    </row>
    <row r="523" spans="1:14" s="32" customFormat="1" ht="14.25" customHeight="1">
      <c r="A523" s="3" t="s">
        <v>641</v>
      </c>
      <c r="B523" s="36" t="s">
        <v>3300</v>
      </c>
      <c r="C523" s="214">
        <v>4058075106277</v>
      </c>
      <c r="D523" s="214"/>
      <c r="E523" s="215"/>
      <c r="F523" s="214"/>
      <c r="G523" s="66" t="str">
        <f>HYPERLINK("https://ledvance.com/pt/product-datasheet/8741/45751","Ficha de Produto")</f>
        <v>Ficha de Produto</v>
      </c>
      <c r="H523" s="34">
        <v>25</v>
      </c>
      <c r="I523" s="34" t="s">
        <v>858</v>
      </c>
      <c r="J523" s="34" t="s">
        <v>6139</v>
      </c>
      <c r="K523" s="34" t="s">
        <v>788</v>
      </c>
      <c r="L523" s="34" t="s">
        <v>765</v>
      </c>
      <c r="M523" s="30">
        <v>30</v>
      </c>
      <c r="N523" s="283" t="s">
        <v>721</v>
      </c>
    </row>
    <row r="524" spans="1:14" s="32" customFormat="1" ht="14.25" customHeight="1">
      <c r="A524" s="3" t="s">
        <v>641</v>
      </c>
      <c r="B524" s="36" t="s">
        <v>3301</v>
      </c>
      <c r="C524" s="214">
        <v>4058075106291</v>
      </c>
      <c r="D524" s="214"/>
      <c r="E524" s="215"/>
      <c r="F524" s="214"/>
      <c r="G524" s="66" t="str">
        <f>HYPERLINK("https://ledvance.com/pt/product-datasheet/8741/45754","Ficha de Produto")</f>
        <v>Ficha de Produto</v>
      </c>
      <c r="H524" s="34">
        <v>25</v>
      </c>
      <c r="I524" s="34" t="s">
        <v>858</v>
      </c>
      <c r="J524" s="34" t="s">
        <v>6139</v>
      </c>
      <c r="K524" s="34" t="s">
        <v>788</v>
      </c>
      <c r="L524" s="34" t="s">
        <v>765</v>
      </c>
      <c r="M524" s="30">
        <v>30</v>
      </c>
      <c r="N524" s="283" t="s">
        <v>721</v>
      </c>
    </row>
    <row r="525" spans="1:14" s="32" customFormat="1" ht="14.25" customHeight="1">
      <c r="A525" s="3" t="s">
        <v>641</v>
      </c>
      <c r="B525" s="36" t="s">
        <v>3302</v>
      </c>
      <c r="C525" s="214">
        <v>4058075106239</v>
      </c>
      <c r="D525" s="214"/>
      <c r="E525" s="215"/>
      <c r="F525" s="214"/>
      <c r="G525" s="66" t="str">
        <f>HYPERLINK("https://ledvance.com/pt/product-datasheet/8741/45757","Ficha de Produto")</f>
        <v>Ficha de Produto</v>
      </c>
      <c r="H525" s="34">
        <v>25</v>
      </c>
      <c r="I525" s="34" t="s">
        <v>762</v>
      </c>
      <c r="J525" s="34" t="s">
        <v>6117</v>
      </c>
      <c r="K525" s="34" t="s">
        <v>788</v>
      </c>
      <c r="L525" s="34" t="s">
        <v>765</v>
      </c>
      <c r="M525" s="30">
        <v>32.5</v>
      </c>
      <c r="N525" s="283" t="s">
        <v>721</v>
      </c>
    </row>
    <row r="526" spans="1:14" s="32" customFormat="1" ht="14.25" customHeight="1">
      <c r="A526" s="3" t="s">
        <v>641</v>
      </c>
      <c r="B526" s="36" t="s">
        <v>3303</v>
      </c>
      <c r="C526" s="214">
        <v>4058075106253</v>
      </c>
      <c r="D526" s="214"/>
      <c r="E526" s="215"/>
      <c r="F526" s="214"/>
      <c r="G526" s="66" t="str">
        <f>HYPERLINK("https://ledvance.com/pt/product-datasheet/8741/45760","Ficha de Produto")</f>
        <v>Ficha de Produto</v>
      </c>
      <c r="H526" s="34">
        <v>25</v>
      </c>
      <c r="I526" s="34" t="s">
        <v>762</v>
      </c>
      <c r="J526" s="34" t="s">
        <v>6117</v>
      </c>
      <c r="K526" s="34" t="s">
        <v>788</v>
      </c>
      <c r="L526" s="34" t="s">
        <v>765</v>
      </c>
      <c r="M526" s="30">
        <v>32.5</v>
      </c>
      <c r="N526" s="283" t="s">
        <v>721</v>
      </c>
    </row>
    <row r="527" spans="1:14" s="32" customFormat="1" ht="14.25" customHeight="1">
      <c r="A527" s="3" t="s">
        <v>641</v>
      </c>
      <c r="B527" s="36" t="s">
        <v>3304</v>
      </c>
      <c r="C527" s="214">
        <v>4058075106314</v>
      </c>
      <c r="D527" s="214"/>
      <c r="E527" s="215"/>
      <c r="F527" s="214"/>
      <c r="G527" s="66" t="str">
        <f>HYPERLINK("https://ledvance.com/pt/product-datasheet/8741/45763","Ficha de Produto")</f>
        <v>Ficha de Produto</v>
      </c>
      <c r="H527" s="34">
        <v>25</v>
      </c>
      <c r="I527" s="34" t="s">
        <v>861</v>
      </c>
      <c r="J527" s="34" t="s">
        <v>6116</v>
      </c>
      <c r="K527" s="34" t="s">
        <v>788</v>
      </c>
      <c r="L527" s="34" t="s">
        <v>765</v>
      </c>
      <c r="M527" s="30">
        <v>35</v>
      </c>
      <c r="N527" s="283" t="s">
        <v>721</v>
      </c>
    </row>
    <row r="528" spans="1:14" s="32" customFormat="1" ht="14.25" customHeight="1">
      <c r="A528" s="3" t="s">
        <v>641</v>
      </c>
      <c r="B528" s="36" t="s">
        <v>3305</v>
      </c>
      <c r="C528" s="214">
        <v>4058075106338</v>
      </c>
      <c r="D528" s="214"/>
      <c r="E528" s="215"/>
      <c r="F528" s="214"/>
      <c r="G528" s="66" t="str">
        <f>HYPERLINK("https://ledvance.com/pt/product-datasheet/8741/45766","Ficha de Produto")</f>
        <v>Ficha de Produto</v>
      </c>
      <c r="H528" s="34">
        <v>25</v>
      </c>
      <c r="I528" s="34" t="s">
        <v>861</v>
      </c>
      <c r="J528" s="34" t="s">
        <v>6116</v>
      </c>
      <c r="K528" s="34" t="s">
        <v>788</v>
      </c>
      <c r="L528" s="34" t="s">
        <v>765</v>
      </c>
      <c r="M528" s="30">
        <v>35</v>
      </c>
      <c r="N528" s="283" t="s">
        <v>721</v>
      </c>
    </row>
    <row r="529" spans="1:14" s="32" customFormat="1" ht="14.25" customHeight="1">
      <c r="A529" s="3" t="s">
        <v>641</v>
      </c>
      <c r="B529" s="36" t="s">
        <v>3306</v>
      </c>
      <c r="C529" s="214">
        <v>4058075106352</v>
      </c>
      <c r="D529" s="214"/>
      <c r="E529" s="215"/>
      <c r="F529" s="214"/>
      <c r="G529" s="66" t="str">
        <f>HYPERLINK("https://ledvance.com/pt/product-datasheet/8741/45769","Ficha de Produto")</f>
        <v>Ficha de Produto</v>
      </c>
      <c r="H529" s="34">
        <v>25</v>
      </c>
      <c r="I529" s="34" t="s">
        <v>862</v>
      </c>
      <c r="J529" s="34" t="s">
        <v>6121</v>
      </c>
      <c r="K529" s="34" t="s">
        <v>788</v>
      </c>
      <c r="L529" s="34" t="s">
        <v>765</v>
      </c>
      <c r="M529" s="30">
        <v>40</v>
      </c>
      <c r="N529" s="283" t="s">
        <v>721</v>
      </c>
    </row>
    <row r="530" spans="1:14" s="32" customFormat="1" ht="14.25" customHeight="1">
      <c r="A530" s="3" t="s">
        <v>641</v>
      </c>
      <c r="B530" s="36" t="s">
        <v>3307</v>
      </c>
      <c r="C530" s="214">
        <v>4058075106376</v>
      </c>
      <c r="D530" s="214"/>
      <c r="E530" s="215"/>
      <c r="F530" s="214"/>
      <c r="G530" s="66" t="str">
        <f>HYPERLINK("https://ledvance.com/pt/product-datasheet/8741/45772","Ficha de Produto")</f>
        <v>Ficha de Produto</v>
      </c>
      <c r="H530" s="34">
        <v>25</v>
      </c>
      <c r="I530" s="34" t="s">
        <v>862</v>
      </c>
      <c r="J530" s="34" t="s">
        <v>6121</v>
      </c>
      <c r="K530" s="34" t="s">
        <v>788</v>
      </c>
      <c r="L530" s="34" t="s">
        <v>765</v>
      </c>
      <c r="M530" s="30">
        <v>40</v>
      </c>
      <c r="N530" s="283" t="s">
        <v>721</v>
      </c>
    </row>
    <row r="531" spans="1:14" s="32" customFormat="1" ht="14.25" customHeight="1">
      <c r="A531" s="8" t="s">
        <v>641</v>
      </c>
      <c r="B531" s="227" t="s">
        <v>678</v>
      </c>
      <c r="C531" s="7"/>
      <c r="D531" s="7"/>
      <c r="E531" s="7"/>
      <c r="F531" s="7"/>
      <c r="G531" s="68" t="s">
        <v>6505</v>
      </c>
      <c r="H531" s="7"/>
      <c r="I531" s="7"/>
      <c r="J531" s="7"/>
      <c r="K531" s="7"/>
      <c r="L531" s="7"/>
      <c r="M531" s="7"/>
      <c r="N531" s="284"/>
    </row>
    <row r="532" spans="1:14" s="32" customFormat="1" ht="14.25" customHeight="1">
      <c r="A532" s="3" t="s">
        <v>641</v>
      </c>
      <c r="B532" s="36" t="s">
        <v>3308</v>
      </c>
      <c r="C532" s="214">
        <v>4058075099692</v>
      </c>
      <c r="D532" s="214"/>
      <c r="E532" s="215"/>
      <c r="F532" s="214"/>
      <c r="G532" s="66" t="str">
        <f>HYPERLINK("https://ledvance.com/pt/product-datasheet/8742/129284","Ficha de Produto")</f>
        <v>Ficha de Produto</v>
      </c>
      <c r="H532" s="34">
        <v>25</v>
      </c>
      <c r="I532" s="34" t="s">
        <v>858</v>
      </c>
      <c r="J532" s="34" t="s">
        <v>6139</v>
      </c>
      <c r="K532" s="34" t="s">
        <v>788</v>
      </c>
      <c r="L532" s="34" t="s">
        <v>765</v>
      </c>
      <c r="M532" s="30">
        <v>30</v>
      </c>
      <c r="N532" s="283" t="s">
        <v>721</v>
      </c>
    </row>
    <row r="533" spans="1:14" s="32" customFormat="1" ht="14.25" customHeight="1">
      <c r="A533" s="3" t="s">
        <v>641</v>
      </c>
      <c r="B533" s="36" t="s">
        <v>3309</v>
      </c>
      <c r="C533" s="214">
        <v>4058075099715</v>
      </c>
      <c r="D533" s="214"/>
      <c r="E533" s="215"/>
      <c r="F533" s="214"/>
      <c r="G533" s="66" t="str">
        <f>HYPERLINK("https://ledvance.com/pt/product-datasheet/8742/129288","Ficha de Produto")</f>
        <v>Ficha de Produto</v>
      </c>
      <c r="H533" s="34">
        <v>25</v>
      </c>
      <c r="I533" s="34" t="s">
        <v>858</v>
      </c>
      <c r="J533" s="34" t="s">
        <v>6139</v>
      </c>
      <c r="K533" s="34" t="s">
        <v>788</v>
      </c>
      <c r="L533" s="34" t="s">
        <v>765</v>
      </c>
      <c r="M533" s="30">
        <v>30</v>
      </c>
      <c r="N533" s="283" t="s">
        <v>721</v>
      </c>
    </row>
    <row r="534" spans="1:14" s="32" customFormat="1" ht="14.25" customHeight="1">
      <c r="A534" s="3" t="s">
        <v>641</v>
      </c>
      <c r="B534" s="36" t="s">
        <v>3310</v>
      </c>
      <c r="C534" s="214">
        <v>4058075099739</v>
      </c>
      <c r="D534" s="214"/>
      <c r="E534" s="215"/>
      <c r="F534" s="214"/>
      <c r="G534" s="66" t="str">
        <f>HYPERLINK("https://ledvance.com/pt/product-datasheet/8742/129292","Ficha de Produto")</f>
        <v>Ficha de Produto</v>
      </c>
      <c r="H534" s="34">
        <v>25</v>
      </c>
      <c r="I534" s="34" t="s">
        <v>861</v>
      </c>
      <c r="J534" s="34" t="s">
        <v>6116</v>
      </c>
      <c r="K534" s="34" t="s">
        <v>788</v>
      </c>
      <c r="L534" s="34" t="s">
        <v>765</v>
      </c>
      <c r="M534" s="30">
        <v>35</v>
      </c>
      <c r="N534" s="283" t="s">
        <v>721</v>
      </c>
    </row>
    <row r="535" spans="1:14" s="32" customFormat="1" ht="14.25" customHeight="1">
      <c r="A535" s="3" t="s">
        <v>641</v>
      </c>
      <c r="B535" s="36" t="s">
        <v>3311</v>
      </c>
      <c r="C535" s="214">
        <v>4058075099753</v>
      </c>
      <c r="D535" s="214"/>
      <c r="E535" s="215"/>
      <c r="F535" s="214"/>
      <c r="G535" s="66" t="str">
        <f>HYPERLINK("https://ledvance.com/pt/product-datasheet/8742/129296","Ficha de Produto")</f>
        <v>Ficha de Produto</v>
      </c>
      <c r="H535" s="34">
        <v>25</v>
      </c>
      <c r="I535" s="34" t="s">
        <v>861</v>
      </c>
      <c r="J535" s="34" t="s">
        <v>6116</v>
      </c>
      <c r="K535" s="34" t="s">
        <v>788</v>
      </c>
      <c r="L535" s="34" t="s">
        <v>765</v>
      </c>
      <c r="M535" s="30">
        <v>35</v>
      </c>
      <c r="N535" s="283" t="s">
        <v>721</v>
      </c>
    </row>
    <row r="536" spans="1:14" s="32" customFormat="1" ht="14.25" customHeight="1">
      <c r="A536" s="3" t="s">
        <v>641</v>
      </c>
      <c r="B536" s="36" t="s">
        <v>3312</v>
      </c>
      <c r="C536" s="214">
        <v>4058075099777</v>
      </c>
      <c r="D536" s="214"/>
      <c r="E536" s="215"/>
      <c r="F536" s="214"/>
      <c r="G536" s="66" t="str">
        <f>HYPERLINK("https://ledvance.com/pt/product-datasheet/8742/125431","Ficha de Produto")</f>
        <v>Ficha de Produto</v>
      </c>
      <c r="H536" s="34">
        <v>25</v>
      </c>
      <c r="I536" s="34" t="s">
        <v>862</v>
      </c>
      <c r="J536" s="34" t="s">
        <v>6121</v>
      </c>
      <c r="K536" s="34" t="s">
        <v>788</v>
      </c>
      <c r="L536" s="34" t="s">
        <v>765</v>
      </c>
      <c r="M536" s="30">
        <v>40</v>
      </c>
      <c r="N536" s="283" t="s">
        <v>721</v>
      </c>
    </row>
    <row r="537" spans="1:14" s="32" customFormat="1" ht="14.25" customHeight="1">
      <c r="A537" s="3" t="s">
        <v>641</v>
      </c>
      <c r="B537" s="36" t="s">
        <v>3313</v>
      </c>
      <c r="C537" s="214">
        <v>4058075099791</v>
      </c>
      <c r="D537" s="214"/>
      <c r="E537" s="215"/>
      <c r="F537" s="214"/>
      <c r="G537" s="66" t="str">
        <f>HYPERLINK("https://ledvance.com/pt/product-datasheet/8742/125435","Ficha de Produto")</f>
        <v>Ficha de Produto</v>
      </c>
      <c r="H537" s="34">
        <v>25</v>
      </c>
      <c r="I537" s="34" t="s">
        <v>862</v>
      </c>
      <c r="J537" s="34" t="s">
        <v>6121</v>
      </c>
      <c r="K537" s="34" t="s">
        <v>788</v>
      </c>
      <c r="L537" s="34" t="s">
        <v>765</v>
      </c>
      <c r="M537" s="30">
        <v>40</v>
      </c>
      <c r="N537" s="283" t="s">
        <v>721</v>
      </c>
    </row>
    <row r="538" spans="1:14" s="32" customFormat="1" ht="14.25" customHeight="1">
      <c r="A538" s="8" t="s">
        <v>641</v>
      </c>
      <c r="B538" s="227" t="s">
        <v>1249</v>
      </c>
      <c r="C538" s="7"/>
      <c r="D538" s="7"/>
      <c r="E538" s="7"/>
      <c r="F538" s="7"/>
      <c r="G538" s="68"/>
      <c r="H538" s="7"/>
      <c r="I538" s="7"/>
      <c r="J538" s="7"/>
      <c r="K538" s="7"/>
      <c r="L538" s="7"/>
      <c r="M538" s="7"/>
      <c r="N538" s="284"/>
    </row>
    <row r="539" spans="1:14" s="32" customFormat="1" ht="14.25" customHeight="1">
      <c r="A539" s="3" t="s">
        <v>641</v>
      </c>
      <c r="B539" s="36" t="s">
        <v>1250</v>
      </c>
      <c r="C539" s="214">
        <v>4099854009723</v>
      </c>
      <c r="D539" s="214"/>
      <c r="E539" s="215"/>
      <c r="F539" s="214"/>
      <c r="G539" s="66" t="str">
        <f>HYPERLINK("https://ledvance.com/pt/product-datasheet/246156/241988","Ficha de Produto")</f>
        <v>Ficha de Produto</v>
      </c>
      <c r="H539" s="217" t="s">
        <v>1201</v>
      </c>
      <c r="I539" s="217" t="s">
        <v>1201</v>
      </c>
      <c r="J539" s="217" t="s">
        <v>1201</v>
      </c>
      <c r="K539" s="34" t="s">
        <v>788</v>
      </c>
      <c r="L539" s="34" t="s">
        <v>765</v>
      </c>
      <c r="M539" s="30">
        <v>110</v>
      </c>
      <c r="N539" s="283" t="s">
        <v>721</v>
      </c>
    </row>
    <row r="540" spans="1:14" s="32" customFormat="1" ht="14.25" customHeight="1">
      <c r="A540" s="3" t="s">
        <v>641</v>
      </c>
      <c r="B540" s="36" t="s">
        <v>4123</v>
      </c>
      <c r="C540" s="218">
        <v>4058075821798</v>
      </c>
      <c r="D540" s="218"/>
      <c r="E540" s="218"/>
      <c r="F540" s="221" t="s">
        <v>2019</v>
      </c>
      <c r="G540" s="66" t="str">
        <f>HYPERLINK("https://ledvance.com/pt/product-datasheet/246156/241991","Ficha de Produto")</f>
        <v>Ficha de Produto</v>
      </c>
      <c r="H540" s="217" t="s">
        <v>1201</v>
      </c>
      <c r="I540" s="217" t="s">
        <v>1201</v>
      </c>
      <c r="J540" s="217" t="s">
        <v>1201</v>
      </c>
      <c r="K540" s="34" t="s">
        <v>788</v>
      </c>
      <c r="L540" s="34" t="s">
        <v>765</v>
      </c>
      <c r="M540" s="30">
        <v>115</v>
      </c>
      <c r="N540" s="283" t="s">
        <v>721</v>
      </c>
    </row>
    <row r="541" spans="1:14" s="32" customFormat="1" ht="14.25" customHeight="1">
      <c r="A541" s="3" t="s">
        <v>641</v>
      </c>
      <c r="B541" s="36" t="s">
        <v>1251</v>
      </c>
      <c r="C541" s="214">
        <v>4099854009747</v>
      </c>
      <c r="D541" s="214"/>
      <c r="E541" s="215"/>
      <c r="F541" s="214"/>
      <c r="G541" s="66" t="str">
        <f>HYPERLINK("https://ledvance.com/pt/product-datasheet/246156/241994","Ficha de Produto")</f>
        <v>Ficha de Produto</v>
      </c>
      <c r="H541" s="217" t="s">
        <v>1201</v>
      </c>
      <c r="I541" s="217" t="s">
        <v>1201</v>
      </c>
      <c r="J541" s="217" t="s">
        <v>1201</v>
      </c>
      <c r="K541" s="34" t="s">
        <v>788</v>
      </c>
      <c r="L541" s="34" t="s">
        <v>765</v>
      </c>
      <c r="M541" s="30">
        <v>120</v>
      </c>
      <c r="N541" s="283" t="s">
        <v>721</v>
      </c>
    </row>
    <row r="542" spans="1:14" s="32" customFormat="1" ht="14.25" customHeight="1">
      <c r="A542" s="3" t="s">
        <v>641</v>
      </c>
      <c r="B542" s="36" t="s">
        <v>1252</v>
      </c>
      <c r="C542" s="214">
        <v>4099854009761</v>
      </c>
      <c r="D542" s="214"/>
      <c r="E542" s="215"/>
      <c r="F542" s="214"/>
      <c r="G542" s="66" t="str">
        <f>HYPERLINK("https://ledvance.com/pt/product-datasheet/246156/241997","Ficha de Produto")</f>
        <v>Ficha de Produto</v>
      </c>
      <c r="H542" s="217" t="s">
        <v>1201</v>
      </c>
      <c r="I542" s="217" t="s">
        <v>1201</v>
      </c>
      <c r="J542" s="217" t="s">
        <v>1201</v>
      </c>
      <c r="K542" s="34" t="s">
        <v>788</v>
      </c>
      <c r="L542" s="34" t="s">
        <v>765</v>
      </c>
      <c r="M542" s="30">
        <v>140</v>
      </c>
      <c r="N542" s="283" t="s">
        <v>721</v>
      </c>
    </row>
    <row r="543" spans="1:14" s="32" customFormat="1" ht="14.25" customHeight="1">
      <c r="A543" s="8"/>
      <c r="B543" s="227" t="s">
        <v>1850</v>
      </c>
      <c r="C543" s="7"/>
      <c r="D543" s="7"/>
      <c r="E543" s="7"/>
      <c r="F543" s="7"/>
      <c r="G543" s="68"/>
      <c r="H543" s="8"/>
      <c r="I543" s="227"/>
      <c r="J543" s="7"/>
      <c r="K543" s="7"/>
      <c r="L543" s="8"/>
      <c r="M543" s="7"/>
      <c r="N543" s="284"/>
    </row>
    <row r="544" spans="1:14" s="32" customFormat="1" ht="14.25" customHeight="1">
      <c r="A544" s="3" t="s">
        <v>641</v>
      </c>
      <c r="B544" s="36" t="s">
        <v>1253</v>
      </c>
      <c r="C544" s="214">
        <v>4058075771017</v>
      </c>
      <c r="D544" s="214"/>
      <c r="E544" s="215"/>
      <c r="F544" s="214"/>
      <c r="G544" s="66" t="str">
        <f>HYPERLINK("https://ledvance.com/pt/product-datasheet/226661/207471","Ficha de Produto")</f>
        <v>Ficha de Produto</v>
      </c>
      <c r="H544" s="217" t="s">
        <v>1201</v>
      </c>
      <c r="I544" s="34" t="s">
        <v>889</v>
      </c>
      <c r="J544" s="34" t="s">
        <v>6122</v>
      </c>
      <c r="K544" s="34" t="s">
        <v>829</v>
      </c>
      <c r="L544" s="34" t="s">
        <v>765</v>
      </c>
      <c r="M544" s="30">
        <v>172.9</v>
      </c>
      <c r="N544" s="283" t="s">
        <v>721</v>
      </c>
    </row>
    <row r="545" spans="1:14" s="32" customFormat="1" ht="14.25" customHeight="1">
      <c r="A545" s="3" t="s">
        <v>641</v>
      </c>
      <c r="B545" s="36" t="s">
        <v>1813</v>
      </c>
      <c r="C545" s="10">
        <v>4099854190490</v>
      </c>
      <c r="D545" s="10"/>
      <c r="E545" s="10"/>
      <c r="F545" s="221" t="s">
        <v>2019</v>
      </c>
      <c r="G545" s="66" t="str">
        <f>HYPERLINK("https://ledvance.com/pt/product-datasheet/226661/272960","Ficha de Produto")</f>
        <v>Ficha de Produto</v>
      </c>
      <c r="H545" s="217" t="s">
        <v>1201</v>
      </c>
      <c r="I545" s="34" t="s">
        <v>889</v>
      </c>
      <c r="J545" s="34" t="s">
        <v>6122</v>
      </c>
      <c r="K545" s="34" t="s">
        <v>829</v>
      </c>
      <c r="L545" s="34" t="s">
        <v>765</v>
      </c>
      <c r="M545" s="30">
        <v>172.9</v>
      </c>
      <c r="N545" s="283" t="s">
        <v>721</v>
      </c>
    </row>
    <row r="546" spans="1:14" s="32" customFormat="1" ht="14.25" customHeight="1">
      <c r="A546" s="3" t="s">
        <v>641</v>
      </c>
      <c r="B546" s="36" t="s">
        <v>1254</v>
      </c>
      <c r="C546" s="214">
        <v>4058075771093</v>
      </c>
      <c r="D546" s="214"/>
      <c r="E546" s="215"/>
      <c r="F546" s="214"/>
      <c r="G546" s="66" t="str">
        <f>HYPERLINK("https://ledvance.com/pt/product-datasheet/226662/207474","Ficha de Produto")</f>
        <v>Ficha de Produto</v>
      </c>
      <c r="H546" s="217" t="s">
        <v>1201</v>
      </c>
      <c r="I546" s="34" t="s">
        <v>889</v>
      </c>
      <c r="J546" s="34" t="s">
        <v>6122</v>
      </c>
      <c r="K546" s="34" t="s">
        <v>829</v>
      </c>
      <c r="L546" s="34" t="s">
        <v>765</v>
      </c>
      <c r="M546" s="30">
        <v>172.9</v>
      </c>
      <c r="N546" s="283" t="s">
        <v>721</v>
      </c>
    </row>
    <row r="547" spans="1:14" s="32" customFormat="1" ht="14.25" customHeight="1">
      <c r="A547" s="3" t="s">
        <v>641</v>
      </c>
      <c r="B547" s="36" t="s">
        <v>1814</v>
      </c>
      <c r="C547" s="10">
        <v>4099854190513</v>
      </c>
      <c r="D547" s="10"/>
      <c r="E547" s="10"/>
      <c r="F547" s="221" t="s">
        <v>2019</v>
      </c>
      <c r="G547" s="66" t="str">
        <f>HYPERLINK("https://ledvance.com/pt/product-datasheet/226662/272963","Ficha de Produto")</f>
        <v>Ficha de Produto</v>
      </c>
      <c r="H547" s="217" t="s">
        <v>1201</v>
      </c>
      <c r="I547" s="34" t="s">
        <v>889</v>
      </c>
      <c r="J547" s="34" t="s">
        <v>6122</v>
      </c>
      <c r="K547" s="34" t="s">
        <v>829</v>
      </c>
      <c r="L547" s="34" t="s">
        <v>765</v>
      </c>
      <c r="M547" s="30">
        <v>172.9</v>
      </c>
      <c r="N547" s="283" t="s">
        <v>721</v>
      </c>
    </row>
    <row r="548" spans="1:14" s="32" customFormat="1" ht="14.25" customHeight="1">
      <c r="A548" s="3" t="s">
        <v>641</v>
      </c>
      <c r="B548" s="36" t="s">
        <v>1255</v>
      </c>
      <c r="C548" s="214">
        <v>4058075771406</v>
      </c>
      <c r="D548" s="214"/>
      <c r="E548" s="215"/>
      <c r="F548" s="214"/>
      <c r="G548" s="66" t="str">
        <f>HYPERLINK("https://ledvance.com/pt/product-datasheet/226663/207500","Ficha de Produto")</f>
        <v>Ficha de Produto</v>
      </c>
      <c r="H548" s="217" t="s">
        <v>1201</v>
      </c>
      <c r="I548" s="34" t="s">
        <v>902</v>
      </c>
      <c r="J548" s="34" t="s">
        <v>6122</v>
      </c>
      <c r="K548" s="34" t="s">
        <v>829</v>
      </c>
      <c r="L548" s="34" t="s">
        <v>765</v>
      </c>
      <c r="M548" s="30">
        <v>186.2</v>
      </c>
      <c r="N548" s="283" t="s">
        <v>721</v>
      </c>
    </row>
    <row r="549" spans="1:14" s="32" customFormat="1" ht="14.25" customHeight="1">
      <c r="A549" s="3" t="s">
        <v>641</v>
      </c>
      <c r="B549" s="36" t="s">
        <v>1818</v>
      </c>
      <c r="C549" s="10">
        <v>4099854190599</v>
      </c>
      <c r="D549" s="10"/>
      <c r="E549" s="10"/>
      <c r="F549" s="221" t="s">
        <v>2019</v>
      </c>
      <c r="G549" s="66" t="str">
        <f>HYPERLINK("https://ledvance.com/pt/product-datasheet/226663/272975","Ficha de Produto")</f>
        <v>Ficha de Produto</v>
      </c>
      <c r="H549" s="217" t="s">
        <v>1201</v>
      </c>
      <c r="I549" s="34" t="s">
        <v>902</v>
      </c>
      <c r="J549" s="34" t="s">
        <v>6122</v>
      </c>
      <c r="K549" s="34" t="s">
        <v>829</v>
      </c>
      <c r="L549" s="34" t="s">
        <v>765</v>
      </c>
      <c r="M549" s="30">
        <v>186.2</v>
      </c>
      <c r="N549" s="283" t="s">
        <v>721</v>
      </c>
    </row>
    <row r="550" spans="1:14" s="32" customFormat="1" ht="14.25" customHeight="1">
      <c r="A550" s="3" t="s">
        <v>641</v>
      </c>
      <c r="B550" s="36" t="s">
        <v>1820</v>
      </c>
      <c r="C550" s="10">
        <v>4099854190636</v>
      </c>
      <c r="D550" s="10"/>
      <c r="E550" s="10"/>
      <c r="F550" s="221" t="s">
        <v>2019</v>
      </c>
      <c r="G550" s="66" t="str">
        <f>HYPERLINK("https://ledvance.com/pt/product-datasheet/280270/272981","Ficha de Produto")</f>
        <v>Ficha de Produto</v>
      </c>
      <c r="H550" s="217" t="s">
        <v>1201</v>
      </c>
      <c r="I550" s="34" t="s">
        <v>889</v>
      </c>
      <c r="J550" s="34" t="s">
        <v>6122</v>
      </c>
      <c r="K550" s="34" t="s">
        <v>829</v>
      </c>
      <c r="L550" s="34" t="s">
        <v>765</v>
      </c>
      <c r="M550" s="30">
        <v>172.9</v>
      </c>
      <c r="N550" s="283" t="s">
        <v>721</v>
      </c>
    </row>
    <row r="551" spans="1:14" s="32" customFormat="1" ht="14.25" customHeight="1">
      <c r="A551" s="3" t="s">
        <v>641</v>
      </c>
      <c r="B551" s="36" t="s">
        <v>1819</v>
      </c>
      <c r="C551" s="10">
        <v>4099854190612</v>
      </c>
      <c r="D551" s="10"/>
      <c r="E551" s="10"/>
      <c r="F551" s="221" t="s">
        <v>2019</v>
      </c>
      <c r="G551" s="66" t="str">
        <f>HYPERLINK("https://ledvance.com/pt/product-datasheet/280270/272978","Ficha de Produto")</f>
        <v>Ficha de Produto</v>
      </c>
      <c r="H551" s="217" t="s">
        <v>1201</v>
      </c>
      <c r="I551" s="34" t="s">
        <v>889</v>
      </c>
      <c r="J551" s="34" t="s">
        <v>6122</v>
      </c>
      <c r="K551" s="34" t="s">
        <v>829</v>
      </c>
      <c r="L551" s="34" t="s">
        <v>765</v>
      </c>
      <c r="M551" s="30">
        <v>172.9</v>
      </c>
      <c r="N551" s="283" t="s">
        <v>721</v>
      </c>
    </row>
    <row r="552" spans="1:14" s="32" customFormat="1" ht="14.25" customHeight="1">
      <c r="A552" s="3" t="s">
        <v>641</v>
      </c>
      <c r="B552" s="36" t="s">
        <v>1256</v>
      </c>
      <c r="C552" s="214">
        <v>4058075771307</v>
      </c>
      <c r="D552" s="214"/>
      <c r="E552" s="215"/>
      <c r="F552" s="214"/>
      <c r="G552" s="66" t="str">
        <f>HYPERLINK("https://ledvance.com/pt/product-datasheet/226664/207482","Ficha de Produto")</f>
        <v>Ficha de Produto</v>
      </c>
      <c r="H552" s="217" t="s">
        <v>1201</v>
      </c>
      <c r="I552" s="34" t="s">
        <v>889</v>
      </c>
      <c r="J552" s="34" t="s">
        <v>6122</v>
      </c>
      <c r="K552" s="34" t="s">
        <v>829</v>
      </c>
      <c r="L552" s="34" t="s">
        <v>765</v>
      </c>
      <c r="M552" s="30">
        <v>172.9</v>
      </c>
      <c r="N552" s="283" t="s">
        <v>721</v>
      </c>
    </row>
    <row r="553" spans="1:14" s="32" customFormat="1" ht="14.25" customHeight="1">
      <c r="A553" s="3" t="s">
        <v>641</v>
      </c>
      <c r="B553" s="36" t="s">
        <v>1815</v>
      </c>
      <c r="C553" s="10">
        <v>4099854190537</v>
      </c>
      <c r="D553" s="10"/>
      <c r="E553" s="10"/>
      <c r="F553" s="221" t="s">
        <v>2019</v>
      </c>
      <c r="G553" s="66" t="str">
        <f>HYPERLINK("https://ledvance.com/pt/product-datasheet/226664/272966","Ficha de Produto")</f>
        <v>Ficha de Produto</v>
      </c>
      <c r="H553" s="217" t="s">
        <v>1201</v>
      </c>
      <c r="I553" s="34" t="s">
        <v>889</v>
      </c>
      <c r="J553" s="34" t="s">
        <v>6122</v>
      </c>
      <c r="K553" s="34" t="s">
        <v>829</v>
      </c>
      <c r="L553" s="34" t="s">
        <v>765</v>
      </c>
      <c r="M553" s="30">
        <v>172.9</v>
      </c>
      <c r="N553" s="283" t="s">
        <v>721</v>
      </c>
    </row>
    <row r="554" spans="1:14" s="32" customFormat="1" ht="14.25" customHeight="1">
      <c r="A554" s="3" t="s">
        <v>641</v>
      </c>
      <c r="B554" s="36" t="s">
        <v>1257</v>
      </c>
      <c r="C554" s="214">
        <v>4058075771345</v>
      </c>
      <c r="D554" s="214"/>
      <c r="E554" s="215"/>
      <c r="F554" s="214"/>
      <c r="G554" s="66" t="str">
        <f>HYPERLINK("https://ledvance.com/pt/product-datasheet/226665/207490","Ficha de Produto")</f>
        <v>Ficha de Produto</v>
      </c>
      <c r="H554" s="217" t="s">
        <v>1201</v>
      </c>
      <c r="I554" s="34" t="s">
        <v>889</v>
      </c>
      <c r="J554" s="34" t="s">
        <v>6122</v>
      </c>
      <c r="K554" s="34" t="s">
        <v>829</v>
      </c>
      <c r="L554" s="34" t="s">
        <v>765</v>
      </c>
      <c r="M554" s="30">
        <v>172.9</v>
      </c>
      <c r="N554" s="283" t="s">
        <v>721</v>
      </c>
    </row>
    <row r="555" spans="1:14" s="32" customFormat="1" ht="14.25" customHeight="1">
      <c r="A555" s="3" t="s">
        <v>641</v>
      </c>
      <c r="B555" s="36" t="s">
        <v>1816</v>
      </c>
      <c r="C555" s="10">
        <v>4099854190551</v>
      </c>
      <c r="D555" s="10"/>
      <c r="E555" s="10"/>
      <c r="F555" s="221" t="s">
        <v>2019</v>
      </c>
      <c r="G555" s="66" t="str">
        <f>HYPERLINK("https://ledvance.com/pt/product-datasheet/226665/272969","Ficha de Produto")</f>
        <v>Ficha de Produto</v>
      </c>
      <c r="H555" s="217" t="s">
        <v>1201</v>
      </c>
      <c r="I555" s="34" t="s">
        <v>889</v>
      </c>
      <c r="J555" s="34" t="s">
        <v>6122</v>
      </c>
      <c r="K555" s="34" t="s">
        <v>829</v>
      </c>
      <c r="L555" s="34" t="s">
        <v>765</v>
      </c>
      <c r="M555" s="30">
        <v>172.9</v>
      </c>
      <c r="N555" s="283" t="s">
        <v>721</v>
      </c>
    </row>
    <row r="556" spans="1:14" s="32" customFormat="1" ht="14.25" customHeight="1">
      <c r="A556" s="3" t="s">
        <v>641</v>
      </c>
      <c r="B556" s="36" t="s">
        <v>1258</v>
      </c>
      <c r="C556" s="214">
        <v>4058075771383</v>
      </c>
      <c r="D556" s="214"/>
      <c r="E556" s="215"/>
      <c r="F556" s="214"/>
      <c r="G556" s="66" t="str">
        <f>HYPERLINK("https://ledvance.com/pt/product-datasheet/226666/207493","Ficha de Produto")</f>
        <v>Ficha de Produto</v>
      </c>
      <c r="H556" s="217" t="s">
        <v>1201</v>
      </c>
      <c r="I556" s="34" t="s">
        <v>889</v>
      </c>
      <c r="J556" s="34" t="s">
        <v>6122</v>
      </c>
      <c r="K556" s="34" t="s">
        <v>829</v>
      </c>
      <c r="L556" s="34" t="s">
        <v>765</v>
      </c>
      <c r="M556" s="30">
        <v>172.9</v>
      </c>
      <c r="N556" s="283" t="s">
        <v>721</v>
      </c>
    </row>
    <row r="557" spans="1:14" s="32" customFormat="1" ht="14.25" customHeight="1">
      <c r="A557" s="9" t="s">
        <v>641</v>
      </c>
      <c r="B557" s="40" t="s">
        <v>1817</v>
      </c>
      <c r="C557" s="10">
        <v>4099854190575</v>
      </c>
      <c r="D557" s="228"/>
      <c r="E557" s="228"/>
      <c r="F557" s="221" t="s">
        <v>2019</v>
      </c>
      <c r="G557" s="66" t="str">
        <f>HYPERLINK("https://ledvance.com/pt/product-datasheet/226666/272972","Ficha de Produto")</f>
        <v>Ficha de Produto</v>
      </c>
      <c r="H557" s="217" t="s">
        <v>1201</v>
      </c>
      <c r="I557" s="34" t="s">
        <v>889</v>
      </c>
      <c r="J557" s="34" t="s">
        <v>6122</v>
      </c>
      <c r="K557" s="34" t="s">
        <v>829</v>
      </c>
      <c r="L557" s="34" t="s">
        <v>765</v>
      </c>
      <c r="M557" s="30">
        <v>172.9</v>
      </c>
      <c r="N557" s="283" t="s">
        <v>721</v>
      </c>
    </row>
    <row r="558" spans="1:14" s="32" customFormat="1" ht="14.25" customHeight="1">
      <c r="A558" s="3" t="s">
        <v>641</v>
      </c>
      <c r="B558" s="36" t="s">
        <v>1259</v>
      </c>
      <c r="C558" s="214">
        <v>4058075771444</v>
      </c>
      <c r="D558" s="214"/>
      <c r="E558" s="215"/>
      <c r="F558" s="214"/>
      <c r="G558" s="66" t="str">
        <f>HYPERLINK("https://ledvance.com/pt/product-datasheet/226661/207509","Ficha de Produto")</f>
        <v>Ficha de Produto</v>
      </c>
      <c r="H558" s="217" t="s">
        <v>1201</v>
      </c>
      <c r="I558" s="34" t="s">
        <v>1768</v>
      </c>
      <c r="J558" s="34" t="s">
        <v>6171</v>
      </c>
      <c r="K558" s="34" t="s">
        <v>829</v>
      </c>
      <c r="L558" s="34" t="s">
        <v>765</v>
      </c>
      <c r="M558" s="30">
        <v>192.8</v>
      </c>
      <c r="N558" s="283" t="s">
        <v>721</v>
      </c>
    </row>
    <row r="559" spans="1:14" s="32" customFormat="1" ht="14.25" customHeight="1">
      <c r="A559" s="3" t="s">
        <v>641</v>
      </c>
      <c r="B559" s="36" t="s">
        <v>1821</v>
      </c>
      <c r="C559" s="10">
        <v>4099854190650</v>
      </c>
      <c r="D559" s="10"/>
      <c r="E559" s="10"/>
      <c r="F559" s="221" t="s">
        <v>2019</v>
      </c>
      <c r="G559" s="66" t="str">
        <f>HYPERLINK("https://ledvance.com/pt/product-datasheet/226661/272984","Ficha de Produto")</f>
        <v>Ficha de Produto</v>
      </c>
      <c r="H559" s="217" t="s">
        <v>1201</v>
      </c>
      <c r="I559" s="34" t="s">
        <v>1768</v>
      </c>
      <c r="J559" s="34" t="s">
        <v>6171</v>
      </c>
      <c r="K559" s="34" t="s">
        <v>829</v>
      </c>
      <c r="L559" s="34" t="s">
        <v>765</v>
      </c>
      <c r="M559" s="30">
        <v>192.8</v>
      </c>
      <c r="N559" s="283" t="s">
        <v>721</v>
      </c>
    </row>
    <row r="560" spans="1:14" s="32" customFormat="1" ht="14.25" customHeight="1">
      <c r="A560" s="3" t="s">
        <v>641</v>
      </c>
      <c r="B560" s="36" t="s">
        <v>1260</v>
      </c>
      <c r="C560" s="214">
        <v>4058075771482</v>
      </c>
      <c r="D560" s="214"/>
      <c r="E560" s="215"/>
      <c r="F560" s="214"/>
      <c r="G560" s="66" t="str">
        <f>HYPERLINK("https://ledvance.com/pt/product-datasheet/226662/207516","Ficha de Produto")</f>
        <v>Ficha de Produto</v>
      </c>
      <c r="H560" s="217" t="s">
        <v>1201</v>
      </c>
      <c r="I560" s="34" t="s">
        <v>1768</v>
      </c>
      <c r="J560" s="34" t="s">
        <v>6171</v>
      </c>
      <c r="K560" s="34" t="s">
        <v>829</v>
      </c>
      <c r="L560" s="34" t="s">
        <v>765</v>
      </c>
      <c r="M560" s="30">
        <v>192.8</v>
      </c>
      <c r="N560" s="283" t="s">
        <v>721</v>
      </c>
    </row>
    <row r="561" spans="1:14" s="32" customFormat="1" ht="14.25" customHeight="1">
      <c r="A561" s="3" t="s">
        <v>641</v>
      </c>
      <c r="B561" s="36" t="s">
        <v>1822</v>
      </c>
      <c r="C561" s="10">
        <v>4099854190674</v>
      </c>
      <c r="D561" s="10"/>
      <c r="E561" s="10"/>
      <c r="F561" s="221" t="s">
        <v>2019</v>
      </c>
      <c r="G561" s="66" t="str">
        <f>HYPERLINK("https://ledvance.com/pt/product-datasheet/226662/272987","Ficha de Produto")</f>
        <v>Ficha de Produto</v>
      </c>
      <c r="H561" s="217" t="s">
        <v>1201</v>
      </c>
      <c r="I561" s="34" t="s">
        <v>1768</v>
      </c>
      <c r="J561" s="34" t="s">
        <v>6171</v>
      </c>
      <c r="K561" s="34" t="s">
        <v>829</v>
      </c>
      <c r="L561" s="34" t="s">
        <v>765</v>
      </c>
      <c r="M561" s="30">
        <v>192.8</v>
      </c>
      <c r="N561" s="283" t="s">
        <v>721</v>
      </c>
    </row>
    <row r="562" spans="1:14" s="32" customFormat="1" ht="14.25" customHeight="1">
      <c r="A562" s="3" t="s">
        <v>641</v>
      </c>
      <c r="B562" s="36" t="s">
        <v>1261</v>
      </c>
      <c r="C562" s="214">
        <v>4058075771826</v>
      </c>
      <c r="D562" s="214"/>
      <c r="E562" s="215"/>
      <c r="F562" s="214"/>
      <c r="G562" s="66" t="str">
        <f>HYPERLINK("https://ledvance.com/pt/product-datasheet/226663/207505","Ficha de Produto")</f>
        <v>Ficha de Produto</v>
      </c>
      <c r="H562" s="217" t="s">
        <v>1201</v>
      </c>
      <c r="I562" s="34" t="s">
        <v>1769</v>
      </c>
      <c r="J562" s="34" t="s">
        <v>6171</v>
      </c>
      <c r="K562" s="34" t="s">
        <v>829</v>
      </c>
      <c r="L562" s="34" t="s">
        <v>765</v>
      </c>
      <c r="M562" s="30">
        <v>209.2</v>
      </c>
      <c r="N562" s="283" t="s">
        <v>721</v>
      </c>
    </row>
    <row r="563" spans="1:14" s="32" customFormat="1" ht="14.25" customHeight="1">
      <c r="A563" s="3" t="s">
        <v>641</v>
      </c>
      <c r="B563" s="36" t="s">
        <v>1826</v>
      </c>
      <c r="C563" s="10">
        <v>4099854190759</v>
      </c>
      <c r="D563" s="10"/>
      <c r="E563" s="10"/>
      <c r="F563" s="221" t="s">
        <v>2019</v>
      </c>
      <c r="G563" s="66" t="str">
        <f>HYPERLINK("https://ledvance.com/pt/product-datasheet/226663/272999","Ficha de Produto")</f>
        <v>Ficha de Produto</v>
      </c>
      <c r="H563" s="217" t="s">
        <v>1201</v>
      </c>
      <c r="I563" s="34" t="s">
        <v>1769</v>
      </c>
      <c r="J563" s="34" t="s">
        <v>6171</v>
      </c>
      <c r="K563" s="34" t="s">
        <v>829</v>
      </c>
      <c r="L563" s="34" t="s">
        <v>765</v>
      </c>
      <c r="M563" s="30">
        <v>209.2</v>
      </c>
      <c r="N563" s="283" t="s">
        <v>721</v>
      </c>
    </row>
    <row r="564" spans="1:14" s="32" customFormat="1" ht="14.25" customHeight="1">
      <c r="A564" s="3" t="s">
        <v>641</v>
      </c>
      <c r="B564" s="36" t="s">
        <v>1828</v>
      </c>
      <c r="C564" s="10">
        <v>4099854190797</v>
      </c>
      <c r="D564" s="10"/>
      <c r="E564" s="10"/>
      <c r="F564" s="221" t="s">
        <v>2019</v>
      </c>
      <c r="G564" s="66" t="str">
        <f>HYPERLINK("https://ledvance.com/pt/product-datasheet/280270/273005","Ficha de Produto")</f>
        <v>Ficha de Produto</v>
      </c>
      <c r="H564" s="217" t="s">
        <v>1201</v>
      </c>
      <c r="I564" s="34" t="s">
        <v>1768</v>
      </c>
      <c r="J564" s="34" t="s">
        <v>6171</v>
      </c>
      <c r="K564" s="34" t="s">
        <v>829</v>
      </c>
      <c r="L564" s="34" t="s">
        <v>765</v>
      </c>
      <c r="M564" s="30">
        <v>192.8</v>
      </c>
      <c r="N564" s="283" t="s">
        <v>721</v>
      </c>
    </row>
    <row r="565" spans="1:14" s="32" customFormat="1" ht="14.25" customHeight="1">
      <c r="A565" s="3" t="s">
        <v>641</v>
      </c>
      <c r="B565" s="36" t="s">
        <v>1827</v>
      </c>
      <c r="C565" s="10">
        <v>4099854190773</v>
      </c>
      <c r="D565" s="10"/>
      <c r="E565" s="10"/>
      <c r="F565" s="221" t="s">
        <v>2019</v>
      </c>
      <c r="G565" s="66" t="str">
        <f>HYPERLINK("https://ledvance.com/pt/product-datasheet/280270/273002","Ficha de Produto")</f>
        <v>Ficha de Produto</v>
      </c>
      <c r="H565" s="217" t="s">
        <v>1201</v>
      </c>
      <c r="I565" s="34" t="s">
        <v>1768</v>
      </c>
      <c r="J565" s="34" t="s">
        <v>6171</v>
      </c>
      <c r="K565" s="34" t="s">
        <v>829</v>
      </c>
      <c r="L565" s="34" t="s">
        <v>765</v>
      </c>
      <c r="M565" s="30">
        <v>192.8</v>
      </c>
      <c r="N565" s="283" t="s">
        <v>721</v>
      </c>
    </row>
    <row r="566" spans="1:14" s="32" customFormat="1" ht="14.25" customHeight="1">
      <c r="A566" s="3" t="s">
        <v>641</v>
      </c>
      <c r="B566" s="36" t="s">
        <v>1262</v>
      </c>
      <c r="C566" s="214">
        <v>4058075771574</v>
      </c>
      <c r="D566" s="214"/>
      <c r="E566" s="215"/>
      <c r="F566" s="214"/>
      <c r="G566" s="66" t="str">
        <f>HYPERLINK("https://ledvance.com/pt/product-datasheet/226664/207534","Ficha de Produto")</f>
        <v>Ficha de Produto</v>
      </c>
      <c r="H566" s="217" t="s">
        <v>1201</v>
      </c>
      <c r="I566" s="34" t="s">
        <v>1768</v>
      </c>
      <c r="J566" s="34" t="s">
        <v>6171</v>
      </c>
      <c r="K566" s="34" t="s">
        <v>829</v>
      </c>
      <c r="L566" s="34" t="s">
        <v>765</v>
      </c>
      <c r="M566" s="30">
        <v>192.8</v>
      </c>
      <c r="N566" s="283" t="s">
        <v>721</v>
      </c>
    </row>
    <row r="567" spans="1:14" s="32" customFormat="1" ht="14.25" customHeight="1">
      <c r="A567" s="3" t="s">
        <v>641</v>
      </c>
      <c r="B567" s="36" t="s">
        <v>1823</v>
      </c>
      <c r="C567" s="10">
        <v>4099854190698</v>
      </c>
      <c r="D567" s="10"/>
      <c r="E567" s="10"/>
      <c r="F567" s="221" t="s">
        <v>2019</v>
      </c>
      <c r="G567" s="66" t="str">
        <f>HYPERLINK("https://ledvance.com/pt/product-datasheet/226664/272990","Ficha de Produto")</f>
        <v>Ficha de Produto</v>
      </c>
      <c r="H567" s="217" t="s">
        <v>1201</v>
      </c>
      <c r="I567" s="34" t="s">
        <v>1768</v>
      </c>
      <c r="J567" s="34" t="s">
        <v>6171</v>
      </c>
      <c r="K567" s="34" t="s">
        <v>829</v>
      </c>
      <c r="L567" s="34" t="s">
        <v>765</v>
      </c>
      <c r="M567" s="30">
        <v>192.8</v>
      </c>
      <c r="N567" s="283" t="s">
        <v>721</v>
      </c>
    </row>
    <row r="568" spans="1:14" s="32" customFormat="1" ht="14.25" customHeight="1">
      <c r="A568" s="3" t="s">
        <v>641</v>
      </c>
      <c r="B568" s="36" t="s">
        <v>1263</v>
      </c>
      <c r="C568" s="214">
        <v>4058075771604</v>
      </c>
      <c r="D568" s="214"/>
      <c r="E568" s="215"/>
      <c r="F568" s="214"/>
      <c r="G568" s="66" t="str">
        <f>HYPERLINK("https://ledvance.com/pt/product-datasheet/226665/207494","Ficha de Produto")</f>
        <v>Ficha de Produto</v>
      </c>
      <c r="H568" s="217" t="s">
        <v>1201</v>
      </c>
      <c r="I568" s="34" t="s">
        <v>1768</v>
      </c>
      <c r="J568" s="34" t="s">
        <v>6171</v>
      </c>
      <c r="K568" s="34" t="s">
        <v>829</v>
      </c>
      <c r="L568" s="34" t="s">
        <v>765</v>
      </c>
      <c r="M568" s="30">
        <v>192.8</v>
      </c>
      <c r="N568" s="283" t="s">
        <v>721</v>
      </c>
    </row>
    <row r="569" spans="1:14" s="32" customFormat="1" ht="14.25" customHeight="1">
      <c r="A569" s="3" t="s">
        <v>641</v>
      </c>
      <c r="B569" s="36" t="s">
        <v>1824</v>
      </c>
      <c r="C569" s="10">
        <v>4099854190711</v>
      </c>
      <c r="D569" s="10"/>
      <c r="E569" s="10"/>
      <c r="F569" s="221" t="s">
        <v>2019</v>
      </c>
      <c r="G569" s="66" t="str">
        <f>HYPERLINK("https://ledvance.com/pt/product-datasheet/226665/272993","Ficha de Produto")</f>
        <v>Ficha de Produto</v>
      </c>
      <c r="H569" s="217" t="s">
        <v>1201</v>
      </c>
      <c r="I569" s="34" t="s">
        <v>1768</v>
      </c>
      <c r="J569" s="34" t="s">
        <v>6171</v>
      </c>
      <c r="K569" s="34" t="s">
        <v>829</v>
      </c>
      <c r="L569" s="34" t="s">
        <v>765</v>
      </c>
      <c r="M569" s="30">
        <v>192.8</v>
      </c>
      <c r="N569" s="283" t="s">
        <v>721</v>
      </c>
    </row>
    <row r="570" spans="1:14" s="32" customFormat="1" ht="14.25" customHeight="1">
      <c r="A570" s="3" t="s">
        <v>641</v>
      </c>
      <c r="B570" s="36" t="s">
        <v>1264</v>
      </c>
      <c r="C570" s="214">
        <v>4058075771802</v>
      </c>
      <c r="D570" s="214"/>
      <c r="E570" s="215"/>
      <c r="F570" s="214"/>
      <c r="G570" s="66" t="str">
        <f>HYPERLINK("https://ledvance.com/pt/product-datasheet/226666/207499","Ficha de Produto")</f>
        <v>Ficha de Produto</v>
      </c>
      <c r="H570" s="217" t="s">
        <v>1201</v>
      </c>
      <c r="I570" s="34" t="s">
        <v>1768</v>
      </c>
      <c r="J570" s="34" t="s">
        <v>6171</v>
      </c>
      <c r="K570" s="34" t="s">
        <v>829</v>
      </c>
      <c r="L570" s="34" t="s">
        <v>765</v>
      </c>
      <c r="M570" s="30">
        <v>192.8</v>
      </c>
      <c r="N570" s="283" t="s">
        <v>721</v>
      </c>
    </row>
    <row r="571" spans="1:14" s="32" customFormat="1" ht="14.25" customHeight="1">
      <c r="A571" s="3" t="s">
        <v>641</v>
      </c>
      <c r="B571" s="36" t="s">
        <v>1825</v>
      </c>
      <c r="C571" s="10">
        <v>4099854190735</v>
      </c>
      <c r="D571" s="10"/>
      <c r="E571" s="10"/>
      <c r="F571" s="221" t="s">
        <v>2019</v>
      </c>
      <c r="G571" s="66" t="str">
        <f>HYPERLINK("https://ledvance.com/pt/product-datasheet/226666/272996","Ficha de Produto")</f>
        <v>Ficha de Produto</v>
      </c>
      <c r="H571" s="217" t="s">
        <v>1201</v>
      </c>
      <c r="I571" s="34" t="s">
        <v>1768</v>
      </c>
      <c r="J571" s="34" t="s">
        <v>6171</v>
      </c>
      <c r="K571" s="34" t="s">
        <v>829</v>
      </c>
      <c r="L571" s="34" t="s">
        <v>765</v>
      </c>
      <c r="M571" s="30">
        <v>192.8</v>
      </c>
      <c r="N571" s="283" t="s">
        <v>721</v>
      </c>
    </row>
    <row r="572" spans="1:14" s="32" customFormat="1" ht="14.25" customHeight="1">
      <c r="A572" s="3" t="s">
        <v>641</v>
      </c>
      <c r="B572" s="36" t="s">
        <v>1265</v>
      </c>
      <c r="C572" s="214">
        <v>4058075771840</v>
      </c>
      <c r="D572" s="214"/>
      <c r="E572" s="215"/>
      <c r="F572" s="214"/>
      <c r="G572" s="66" t="str">
        <f>HYPERLINK("https://ledvance.com/pt/product-datasheet/226661/207511","Ficha de Produto")</f>
        <v>Ficha de Produto</v>
      </c>
      <c r="H572" s="217" t="s">
        <v>1201</v>
      </c>
      <c r="I572" s="34" t="s">
        <v>1770</v>
      </c>
      <c r="J572" s="34" t="s">
        <v>6172</v>
      </c>
      <c r="K572" s="34" t="s">
        <v>829</v>
      </c>
      <c r="L572" s="34" t="s">
        <v>765</v>
      </c>
      <c r="M572" s="30">
        <v>229.3</v>
      </c>
      <c r="N572" s="283" t="s">
        <v>721</v>
      </c>
    </row>
    <row r="573" spans="1:14" s="32" customFormat="1" ht="14.25" customHeight="1">
      <c r="A573" s="3" t="s">
        <v>641</v>
      </c>
      <c r="B573" s="36" t="s">
        <v>1829</v>
      </c>
      <c r="C573" s="10">
        <v>4099854190810</v>
      </c>
      <c r="D573" s="10"/>
      <c r="E573" s="10"/>
      <c r="F573" s="221" t="s">
        <v>2019</v>
      </c>
      <c r="G573" s="66" t="str">
        <f>HYPERLINK("https://ledvance.com/pt/product-datasheet/226661/273008","Ficha de Produto")</f>
        <v>Ficha de Produto</v>
      </c>
      <c r="H573" s="217" t="s">
        <v>1201</v>
      </c>
      <c r="I573" s="34" t="s">
        <v>1770</v>
      </c>
      <c r="J573" s="34" t="s">
        <v>6172</v>
      </c>
      <c r="K573" s="34" t="s">
        <v>829</v>
      </c>
      <c r="L573" s="34" t="s">
        <v>765</v>
      </c>
      <c r="M573" s="30">
        <v>229.3</v>
      </c>
      <c r="N573" s="283" t="s">
        <v>721</v>
      </c>
    </row>
    <row r="574" spans="1:14" s="32" customFormat="1" ht="14.25" customHeight="1">
      <c r="A574" s="3" t="s">
        <v>641</v>
      </c>
      <c r="B574" s="36" t="s">
        <v>1266</v>
      </c>
      <c r="C574" s="214">
        <v>4058075771864</v>
      </c>
      <c r="D574" s="214"/>
      <c r="E574" s="215"/>
      <c r="F574" s="214"/>
      <c r="G574" s="66" t="str">
        <f>HYPERLINK("https://ledvance.com/pt/product-datasheet/226662/207478","Ficha de Produto")</f>
        <v>Ficha de Produto</v>
      </c>
      <c r="H574" s="217" t="s">
        <v>1201</v>
      </c>
      <c r="I574" s="34" t="s">
        <v>1770</v>
      </c>
      <c r="J574" s="34" t="s">
        <v>6172</v>
      </c>
      <c r="K574" s="34" t="s">
        <v>829</v>
      </c>
      <c r="L574" s="34" t="s">
        <v>765</v>
      </c>
      <c r="M574" s="30">
        <v>229.3</v>
      </c>
      <c r="N574" s="283" t="s">
        <v>721</v>
      </c>
    </row>
    <row r="575" spans="1:14" s="32" customFormat="1" ht="14.25" customHeight="1">
      <c r="A575" s="3" t="s">
        <v>641</v>
      </c>
      <c r="B575" s="36" t="s">
        <v>1830</v>
      </c>
      <c r="C575" s="10">
        <v>4099854190834</v>
      </c>
      <c r="D575" s="10"/>
      <c r="E575" s="10"/>
      <c r="F575" s="221" t="s">
        <v>2019</v>
      </c>
      <c r="G575" s="66" t="str">
        <f>HYPERLINK("https://ledvance.com/pt/product-datasheet/226662/273011","Ficha de Produto")</f>
        <v>Ficha de Produto</v>
      </c>
      <c r="H575" s="217" t="s">
        <v>1201</v>
      </c>
      <c r="I575" s="34" t="s">
        <v>1770</v>
      </c>
      <c r="J575" s="34" t="s">
        <v>6172</v>
      </c>
      <c r="K575" s="34" t="s">
        <v>829</v>
      </c>
      <c r="L575" s="34" t="s">
        <v>765</v>
      </c>
      <c r="M575" s="30">
        <v>229.3</v>
      </c>
      <c r="N575" s="283" t="s">
        <v>721</v>
      </c>
    </row>
    <row r="576" spans="1:14" s="32" customFormat="1" ht="14.25" customHeight="1">
      <c r="A576" s="3" t="s">
        <v>641</v>
      </c>
      <c r="B576" s="36" t="s">
        <v>1267</v>
      </c>
      <c r="C576" s="214">
        <v>4058075772090</v>
      </c>
      <c r="D576" s="214"/>
      <c r="E576" s="215"/>
      <c r="F576" s="214"/>
      <c r="G576" s="66" t="str">
        <f>HYPERLINK("https://ledvance.com/pt/product-datasheet/226663/207517","Ficha de Produto")</f>
        <v>Ficha de Produto</v>
      </c>
      <c r="H576" s="217" t="s">
        <v>1201</v>
      </c>
      <c r="I576" s="34" t="s">
        <v>1771</v>
      </c>
      <c r="J576" s="34" t="s">
        <v>6172</v>
      </c>
      <c r="K576" s="34" t="s">
        <v>829</v>
      </c>
      <c r="L576" s="34" t="s">
        <v>765</v>
      </c>
      <c r="M576" s="30">
        <v>248.1</v>
      </c>
      <c r="N576" s="283" t="s">
        <v>721</v>
      </c>
    </row>
    <row r="577" spans="1:14" s="36" customFormat="1" ht="14.25" customHeight="1">
      <c r="A577" s="3" t="s">
        <v>641</v>
      </c>
      <c r="B577" s="36" t="s">
        <v>1834</v>
      </c>
      <c r="C577" s="10">
        <v>4099854190919</v>
      </c>
      <c r="D577" s="10"/>
      <c r="E577" s="10"/>
      <c r="F577" s="221" t="s">
        <v>2019</v>
      </c>
      <c r="G577" s="66" t="str">
        <f>HYPERLINK("https://ledvance.com/pt/product-datasheet/226663/273023","Ficha de Produto")</f>
        <v>Ficha de Produto</v>
      </c>
      <c r="H577" s="217" t="s">
        <v>1201</v>
      </c>
      <c r="I577" s="34" t="s">
        <v>1771</v>
      </c>
      <c r="J577" s="34" t="s">
        <v>6172</v>
      </c>
      <c r="K577" s="34" t="s">
        <v>829</v>
      </c>
      <c r="L577" s="34" t="s">
        <v>765</v>
      </c>
      <c r="M577" s="30">
        <v>248.1</v>
      </c>
      <c r="N577" s="283" t="s">
        <v>721</v>
      </c>
    </row>
    <row r="578" spans="1:14" s="36" customFormat="1" ht="14.25" customHeight="1">
      <c r="A578" s="3" t="s">
        <v>641</v>
      </c>
      <c r="B578" s="36" t="s">
        <v>1836</v>
      </c>
      <c r="C578" s="10">
        <v>4099854190957</v>
      </c>
      <c r="D578" s="10"/>
      <c r="E578" s="10"/>
      <c r="F578" s="221" t="s">
        <v>2019</v>
      </c>
      <c r="G578" s="66" t="str">
        <f>HYPERLINK("https://ledvance.com/pt/product-datasheet/280270/273029","Ficha de Produto")</f>
        <v>Ficha de Produto</v>
      </c>
      <c r="H578" s="217" t="s">
        <v>1201</v>
      </c>
      <c r="I578" s="34" t="s">
        <v>1770</v>
      </c>
      <c r="J578" s="34" t="s">
        <v>6172</v>
      </c>
      <c r="K578" s="34" t="s">
        <v>829</v>
      </c>
      <c r="L578" s="34" t="s">
        <v>765</v>
      </c>
      <c r="M578" s="30">
        <v>229.3</v>
      </c>
      <c r="N578" s="283" t="s">
        <v>721</v>
      </c>
    </row>
    <row r="579" spans="1:14" s="36" customFormat="1" ht="14.25" customHeight="1">
      <c r="A579" s="3" t="s">
        <v>641</v>
      </c>
      <c r="B579" s="36" t="s">
        <v>1835</v>
      </c>
      <c r="C579" s="10">
        <v>4099854190933</v>
      </c>
      <c r="D579" s="10"/>
      <c r="E579" s="10"/>
      <c r="F579" s="221" t="s">
        <v>2019</v>
      </c>
      <c r="G579" s="66" t="str">
        <f>HYPERLINK("https://ledvance.com/pt/product-datasheet/280270/273026","Ficha de Produto")</f>
        <v>Ficha de Produto</v>
      </c>
      <c r="H579" s="217" t="s">
        <v>1201</v>
      </c>
      <c r="I579" s="34" t="s">
        <v>1770</v>
      </c>
      <c r="J579" s="34" t="s">
        <v>6172</v>
      </c>
      <c r="K579" s="34" t="s">
        <v>829</v>
      </c>
      <c r="L579" s="34" t="s">
        <v>765</v>
      </c>
      <c r="M579" s="30">
        <v>229.3</v>
      </c>
      <c r="N579" s="283" t="s">
        <v>721</v>
      </c>
    </row>
    <row r="580" spans="1:14" s="32" customFormat="1" ht="14.25" customHeight="1">
      <c r="A580" s="3" t="s">
        <v>641</v>
      </c>
      <c r="B580" s="36" t="s">
        <v>1268</v>
      </c>
      <c r="C580" s="214">
        <v>4058075771888</v>
      </c>
      <c r="D580" s="214"/>
      <c r="E580" s="215"/>
      <c r="F580" s="214"/>
      <c r="G580" s="66" t="str">
        <f>HYPERLINK("https://ledvance.com/pt/product-datasheet/226664/207486","Ficha de Produto")</f>
        <v>Ficha de Produto</v>
      </c>
      <c r="H580" s="217" t="s">
        <v>1201</v>
      </c>
      <c r="I580" s="34" t="s">
        <v>1770</v>
      </c>
      <c r="J580" s="34" t="s">
        <v>6172</v>
      </c>
      <c r="K580" s="34" t="s">
        <v>829</v>
      </c>
      <c r="L580" s="34" t="s">
        <v>765</v>
      </c>
      <c r="M580" s="30">
        <v>229.3</v>
      </c>
      <c r="N580" s="283" t="s">
        <v>721</v>
      </c>
    </row>
    <row r="581" spans="1:14" s="32" customFormat="1" ht="14.25" customHeight="1">
      <c r="A581" s="3" t="s">
        <v>641</v>
      </c>
      <c r="B581" s="36" t="s">
        <v>1831</v>
      </c>
      <c r="C581" s="10">
        <v>4099854190858</v>
      </c>
      <c r="D581" s="10"/>
      <c r="E581" s="10"/>
      <c r="F581" s="221" t="s">
        <v>2019</v>
      </c>
      <c r="G581" s="66" t="str">
        <f>HYPERLINK("https://ledvance.com/pt/product-datasheet/226664/273014","Ficha de Produto")</f>
        <v>Ficha de Produto</v>
      </c>
      <c r="H581" s="217" t="s">
        <v>1201</v>
      </c>
      <c r="I581" s="34" t="s">
        <v>1770</v>
      </c>
      <c r="J581" s="34" t="s">
        <v>6172</v>
      </c>
      <c r="K581" s="34" t="s">
        <v>829</v>
      </c>
      <c r="L581" s="34" t="s">
        <v>765</v>
      </c>
      <c r="M581" s="30">
        <v>229.3</v>
      </c>
      <c r="N581" s="283" t="s">
        <v>721</v>
      </c>
    </row>
    <row r="582" spans="1:14" s="32" customFormat="1" ht="14.25" customHeight="1">
      <c r="A582" s="3" t="s">
        <v>641</v>
      </c>
      <c r="B582" s="36" t="s">
        <v>1269</v>
      </c>
      <c r="C582" s="214">
        <v>4058075771925</v>
      </c>
      <c r="D582" s="214"/>
      <c r="E582" s="215"/>
      <c r="F582" s="214"/>
      <c r="G582" s="66" t="str">
        <f>HYPERLINK("https://ledvance.com/pt/product-datasheet/226665/207528","Ficha de Produto")</f>
        <v>Ficha de Produto</v>
      </c>
      <c r="H582" s="217" t="s">
        <v>1201</v>
      </c>
      <c r="I582" s="34" t="s">
        <v>1770</v>
      </c>
      <c r="J582" s="34" t="s">
        <v>6172</v>
      </c>
      <c r="K582" s="34" t="s">
        <v>829</v>
      </c>
      <c r="L582" s="34" t="s">
        <v>765</v>
      </c>
      <c r="M582" s="30">
        <v>229.3</v>
      </c>
      <c r="N582" s="283" t="s">
        <v>721</v>
      </c>
    </row>
    <row r="583" spans="1:14" s="36" customFormat="1" ht="14.25" customHeight="1">
      <c r="A583" s="3" t="s">
        <v>641</v>
      </c>
      <c r="B583" s="36" t="s">
        <v>1832</v>
      </c>
      <c r="C583" s="10">
        <v>4099854190872</v>
      </c>
      <c r="D583" s="10"/>
      <c r="E583" s="10"/>
      <c r="F583" s="221" t="s">
        <v>2019</v>
      </c>
      <c r="G583" s="66" t="str">
        <f>HYPERLINK("https://ledvance.com/pt/product-datasheet/226665/273017","Ficha de Produto")</f>
        <v>Ficha de Produto</v>
      </c>
      <c r="H583" s="217" t="s">
        <v>1201</v>
      </c>
      <c r="I583" s="34" t="s">
        <v>1770</v>
      </c>
      <c r="J583" s="34" t="s">
        <v>6172</v>
      </c>
      <c r="K583" s="34" t="s">
        <v>829</v>
      </c>
      <c r="L583" s="34" t="s">
        <v>765</v>
      </c>
      <c r="M583" s="30">
        <v>229.3</v>
      </c>
      <c r="N583" s="283" t="s">
        <v>721</v>
      </c>
    </row>
    <row r="584" spans="1:14" s="32" customFormat="1" ht="14.25" customHeight="1">
      <c r="A584" s="3" t="s">
        <v>641</v>
      </c>
      <c r="B584" s="36" t="s">
        <v>1270</v>
      </c>
      <c r="C584" s="214">
        <v>4058075771994</v>
      </c>
      <c r="D584" s="214"/>
      <c r="E584" s="215"/>
      <c r="F584" s="214"/>
      <c r="G584" s="66" t="str">
        <f>HYPERLINK("https://ledvance.com/pt/product-datasheet/226666/207544","Ficha de Produto")</f>
        <v>Ficha de Produto</v>
      </c>
      <c r="H584" s="217" t="s">
        <v>1201</v>
      </c>
      <c r="I584" s="34" t="s">
        <v>1770</v>
      </c>
      <c r="J584" s="34" t="s">
        <v>6172</v>
      </c>
      <c r="K584" s="34" t="s">
        <v>829</v>
      </c>
      <c r="L584" s="34" t="s">
        <v>765</v>
      </c>
      <c r="M584" s="30">
        <v>229.3</v>
      </c>
      <c r="N584" s="283" t="s">
        <v>721</v>
      </c>
    </row>
    <row r="585" spans="1:14" s="36" customFormat="1" ht="14.25" customHeight="1">
      <c r="A585" s="3" t="s">
        <v>641</v>
      </c>
      <c r="B585" s="36" t="s">
        <v>1833</v>
      </c>
      <c r="C585" s="10">
        <v>4099854190896</v>
      </c>
      <c r="D585" s="10"/>
      <c r="E585" s="10"/>
      <c r="F585" s="221" t="s">
        <v>2019</v>
      </c>
      <c r="G585" s="66" t="str">
        <f>HYPERLINK("https://ledvance.com/pt/product-datasheet/226666/273020","Ficha de Produto")</f>
        <v>Ficha de Produto</v>
      </c>
      <c r="H585" s="217" t="s">
        <v>1201</v>
      </c>
      <c r="I585" s="34" t="s">
        <v>1770</v>
      </c>
      <c r="J585" s="34" t="s">
        <v>6172</v>
      </c>
      <c r="K585" s="34" t="s">
        <v>829</v>
      </c>
      <c r="L585" s="34" t="s">
        <v>765</v>
      </c>
      <c r="M585" s="30">
        <v>229.3</v>
      </c>
      <c r="N585" s="283" t="s">
        <v>721</v>
      </c>
    </row>
    <row r="586" spans="1:14" s="32" customFormat="1" ht="14.25" customHeight="1">
      <c r="A586" s="8"/>
      <c r="B586" s="227" t="s">
        <v>1271</v>
      </c>
      <c r="C586" s="7"/>
      <c r="D586" s="7"/>
      <c r="E586" s="7"/>
      <c r="F586" s="7"/>
      <c r="G586" s="68"/>
      <c r="H586" s="8"/>
      <c r="I586" s="227"/>
      <c r="J586" s="7"/>
      <c r="K586" s="7"/>
      <c r="L586" s="8"/>
      <c r="M586" s="7"/>
      <c r="N586" s="284"/>
    </row>
    <row r="587" spans="1:14" s="32" customFormat="1" ht="14.25" customHeight="1">
      <c r="A587" s="3" t="s">
        <v>641</v>
      </c>
      <c r="B587" s="36" t="s">
        <v>1272</v>
      </c>
      <c r="C587" s="214">
        <v>4058075770799</v>
      </c>
      <c r="D587" s="214"/>
      <c r="E587" s="215"/>
      <c r="F587" s="214"/>
      <c r="G587" s="66" t="str">
        <f>HYPERLINK("https://ledvance.com/pt/product-datasheet/226661/207522","Ficha de Produto")</f>
        <v>Ficha de Produto</v>
      </c>
      <c r="H587" s="217" t="s">
        <v>1201</v>
      </c>
      <c r="I587" s="34" t="s">
        <v>843</v>
      </c>
      <c r="J587" s="34" t="s">
        <v>6122</v>
      </c>
      <c r="K587" s="34" t="s">
        <v>829</v>
      </c>
      <c r="L587" s="34" t="s">
        <v>765</v>
      </c>
      <c r="M587" s="30">
        <v>239.2</v>
      </c>
      <c r="N587" s="283" t="s">
        <v>721</v>
      </c>
    </row>
    <row r="588" spans="1:14" s="36" customFormat="1" ht="14.25" customHeight="1">
      <c r="A588" s="3" t="s">
        <v>641</v>
      </c>
      <c r="B588" s="274" t="s">
        <v>1837</v>
      </c>
      <c r="C588" s="10">
        <v>4099854191039</v>
      </c>
      <c r="D588" s="10"/>
      <c r="E588" s="10"/>
      <c r="F588" s="221" t="s">
        <v>2019</v>
      </c>
      <c r="G588" s="66" t="str">
        <f>HYPERLINK("https://ledvance.com/pt/product-datasheet/226661/273041","Ficha de Produto")</f>
        <v>Ficha de Produto</v>
      </c>
      <c r="H588" s="217" t="s">
        <v>1201</v>
      </c>
      <c r="I588" s="34" t="s">
        <v>843</v>
      </c>
      <c r="J588" s="34" t="s">
        <v>6122</v>
      </c>
      <c r="K588" s="34" t="s">
        <v>829</v>
      </c>
      <c r="L588" s="34" t="s">
        <v>765</v>
      </c>
      <c r="M588" s="30">
        <v>239.2</v>
      </c>
      <c r="N588" s="283" t="s">
        <v>721</v>
      </c>
    </row>
    <row r="589" spans="1:14" s="32" customFormat="1" ht="14.25" customHeight="1">
      <c r="A589" s="3" t="s">
        <v>641</v>
      </c>
      <c r="B589" s="36" t="s">
        <v>1273</v>
      </c>
      <c r="C589" s="214">
        <v>4058075770812</v>
      </c>
      <c r="D589" s="214"/>
      <c r="E589" s="215"/>
      <c r="F589" s="214"/>
      <c r="G589" s="66" t="str">
        <f>HYPERLINK("https://ledvance.com/pt/product-datasheet/226662/207525","Ficha de Produto")</f>
        <v>Ficha de Produto</v>
      </c>
      <c r="H589" s="217" t="s">
        <v>1201</v>
      </c>
      <c r="I589" s="34" t="s">
        <v>902</v>
      </c>
      <c r="J589" s="34" t="s">
        <v>6122</v>
      </c>
      <c r="K589" s="34" t="s">
        <v>829</v>
      </c>
      <c r="L589" s="34" t="s">
        <v>765</v>
      </c>
      <c r="M589" s="30">
        <v>239.2</v>
      </c>
      <c r="N589" s="283" t="s">
        <v>721</v>
      </c>
    </row>
    <row r="590" spans="1:14" s="36" customFormat="1" ht="14.25" customHeight="1">
      <c r="A590" s="3" t="s">
        <v>641</v>
      </c>
      <c r="B590" s="274" t="s">
        <v>1838</v>
      </c>
      <c r="C590" s="10">
        <v>4099854191053</v>
      </c>
      <c r="D590" s="10"/>
      <c r="E590" s="10"/>
      <c r="F590" s="221" t="s">
        <v>2019</v>
      </c>
      <c r="G590" s="66" t="str">
        <f>HYPERLINK("https://ledvance.com/pt/product-datasheet/226662/273044","Ficha de Produto")</f>
        <v>Ficha de Produto</v>
      </c>
      <c r="H590" s="217" t="s">
        <v>1201</v>
      </c>
      <c r="I590" s="34" t="s">
        <v>902</v>
      </c>
      <c r="J590" s="34" t="s">
        <v>6122</v>
      </c>
      <c r="K590" s="34" t="s">
        <v>829</v>
      </c>
      <c r="L590" s="34" t="s">
        <v>765</v>
      </c>
      <c r="M590" s="30">
        <v>239.2</v>
      </c>
      <c r="N590" s="283" t="s">
        <v>721</v>
      </c>
    </row>
    <row r="591" spans="1:14" s="32" customFormat="1" ht="14.25" customHeight="1">
      <c r="A591" s="3" t="s">
        <v>641</v>
      </c>
      <c r="B591" s="36" t="s">
        <v>1274</v>
      </c>
      <c r="C591" s="214">
        <v>4058075770898</v>
      </c>
      <c r="D591" s="214"/>
      <c r="E591" s="215"/>
      <c r="F591" s="214"/>
      <c r="G591" s="66" t="str">
        <f>HYPERLINK("https://ledvance.com/pt/product-datasheet/226663/207547","Ficha de Produto")</f>
        <v>Ficha de Produto</v>
      </c>
      <c r="H591" s="217" t="s">
        <v>1201</v>
      </c>
      <c r="I591" s="34" t="s">
        <v>863</v>
      </c>
      <c r="J591" s="34" t="s">
        <v>6122</v>
      </c>
      <c r="K591" s="34" t="s">
        <v>829</v>
      </c>
      <c r="L591" s="34" t="s">
        <v>765</v>
      </c>
      <c r="M591" s="30">
        <v>252.5</v>
      </c>
      <c r="N591" s="283" t="s">
        <v>721</v>
      </c>
    </row>
    <row r="592" spans="1:14" s="36" customFormat="1" ht="14.25" customHeight="1">
      <c r="A592" s="3" t="s">
        <v>641</v>
      </c>
      <c r="B592" s="274" t="s">
        <v>1842</v>
      </c>
      <c r="C592" s="10">
        <v>4099854191138</v>
      </c>
      <c r="D592" s="10"/>
      <c r="E592" s="10"/>
      <c r="F592" s="221" t="s">
        <v>2019</v>
      </c>
      <c r="G592" s="66" t="str">
        <f>HYPERLINK("https://ledvance.com/pt/product-datasheet/226663/273056","Ficha de Produto")</f>
        <v>Ficha de Produto</v>
      </c>
      <c r="H592" s="217" t="s">
        <v>1201</v>
      </c>
      <c r="I592" s="34" t="s">
        <v>863</v>
      </c>
      <c r="J592" s="34" t="s">
        <v>6122</v>
      </c>
      <c r="K592" s="34" t="s">
        <v>829</v>
      </c>
      <c r="L592" s="34" t="s">
        <v>765</v>
      </c>
      <c r="M592" s="30">
        <v>252.5</v>
      </c>
      <c r="N592" s="283" t="s">
        <v>721</v>
      </c>
    </row>
    <row r="593" spans="1:14" s="36" customFormat="1" ht="14.25" customHeight="1">
      <c r="A593" s="3" t="s">
        <v>641</v>
      </c>
      <c r="B593" s="274" t="s">
        <v>1844</v>
      </c>
      <c r="C593" s="10">
        <v>4099854191176</v>
      </c>
      <c r="D593" s="10"/>
      <c r="E593" s="10"/>
      <c r="F593" s="221" t="s">
        <v>2019</v>
      </c>
      <c r="G593" s="66" t="str">
        <f>HYPERLINK("https://ledvance.com/pt/product-datasheet/280270/273062","Ficha de Produto")</f>
        <v>Ficha de Produto</v>
      </c>
      <c r="H593" s="217" t="s">
        <v>1201</v>
      </c>
      <c r="I593" s="34" t="s">
        <v>843</v>
      </c>
      <c r="J593" s="34" t="s">
        <v>6122</v>
      </c>
      <c r="K593" s="34" t="s">
        <v>829</v>
      </c>
      <c r="L593" s="34" t="s">
        <v>765</v>
      </c>
      <c r="M593" s="30">
        <v>239.2</v>
      </c>
      <c r="N593" s="283" t="s">
        <v>721</v>
      </c>
    </row>
    <row r="594" spans="1:14" s="36" customFormat="1" ht="14.25" customHeight="1">
      <c r="A594" s="3" t="s">
        <v>641</v>
      </c>
      <c r="B594" s="274" t="s">
        <v>1843</v>
      </c>
      <c r="C594" s="10">
        <v>4099854191152</v>
      </c>
      <c r="D594" s="10"/>
      <c r="E594" s="10"/>
      <c r="F594" s="221" t="s">
        <v>2019</v>
      </c>
      <c r="G594" s="66" t="str">
        <f>HYPERLINK("https://ledvance.com/pt/product-datasheet/280270/273059","Ficha de Produto")</f>
        <v>Ficha de Produto</v>
      </c>
      <c r="H594" s="217" t="s">
        <v>1201</v>
      </c>
      <c r="I594" s="34" t="s">
        <v>843</v>
      </c>
      <c r="J594" s="34" t="s">
        <v>6122</v>
      </c>
      <c r="K594" s="34" t="s">
        <v>829</v>
      </c>
      <c r="L594" s="34" t="s">
        <v>765</v>
      </c>
      <c r="M594" s="30">
        <v>239.2</v>
      </c>
      <c r="N594" s="283" t="s">
        <v>721</v>
      </c>
    </row>
    <row r="595" spans="1:14" s="32" customFormat="1" ht="14.25" customHeight="1">
      <c r="A595" s="3" t="s">
        <v>641</v>
      </c>
      <c r="B595" s="36" t="s">
        <v>1275</v>
      </c>
      <c r="C595" s="214">
        <v>4058075770836</v>
      </c>
      <c r="D595" s="214"/>
      <c r="E595" s="215"/>
      <c r="F595" s="214"/>
      <c r="G595" s="66" t="str">
        <f>HYPERLINK("https://ledvance.com/pt/product-datasheet/226664/207531","Ficha de Produto")</f>
        <v>Ficha de Produto</v>
      </c>
      <c r="H595" s="217" t="s">
        <v>1201</v>
      </c>
      <c r="I595" s="34" t="s">
        <v>902</v>
      </c>
      <c r="J595" s="34" t="s">
        <v>6122</v>
      </c>
      <c r="K595" s="34" t="s">
        <v>829</v>
      </c>
      <c r="L595" s="34" t="s">
        <v>765</v>
      </c>
      <c r="M595" s="30">
        <v>239.2</v>
      </c>
      <c r="N595" s="283" t="s">
        <v>721</v>
      </c>
    </row>
    <row r="596" spans="1:14" s="36" customFormat="1" ht="14.25" customHeight="1">
      <c r="A596" s="3" t="s">
        <v>641</v>
      </c>
      <c r="B596" s="274" t="s">
        <v>1839</v>
      </c>
      <c r="C596" s="10">
        <v>4099854191077</v>
      </c>
      <c r="D596" s="10"/>
      <c r="E596" s="10"/>
      <c r="F596" s="221" t="s">
        <v>2019</v>
      </c>
      <c r="G596" s="66" t="str">
        <f>HYPERLINK("https://ledvance.com/pt/product-datasheet/226664/273047","Ficha de Produto")</f>
        <v>Ficha de Produto</v>
      </c>
      <c r="H596" s="217" t="s">
        <v>1201</v>
      </c>
      <c r="I596" s="34" t="s">
        <v>902</v>
      </c>
      <c r="J596" s="34" t="s">
        <v>6122</v>
      </c>
      <c r="K596" s="34" t="s">
        <v>829</v>
      </c>
      <c r="L596" s="34" t="s">
        <v>765</v>
      </c>
      <c r="M596" s="30">
        <v>239.2</v>
      </c>
      <c r="N596" s="283" t="s">
        <v>721</v>
      </c>
    </row>
    <row r="597" spans="1:14" s="32" customFormat="1" ht="14.25" customHeight="1">
      <c r="A597" s="3" t="s">
        <v>641</v>
      </c>
      <c r="B597" s="36" t="s">
        <v>1276</v>
      </c>
      <c r="C597" s="214">
        <v>4058075770850</v>
      </c>
      <c r="D597" s="214"/>
      <c r="E597" s="215"/>
      <c r="F597" s="214"/>
      <c r="G597" s="66" t="str">
        <f>HYPERLINK("https://ledvance.com/pt/product-datasheet/226665/207537","Ficha de Produto")</f>
        <v>Ficha de Produto</v>
      </c>
      <c r="H597" s="217" t="s">
        <v>1201</v>
      </c>
      <c r="I597" s="34" t="s">
        <v>902</v>
      </c>
      <c r="J597" s="34" t="s">
        <v>6122</v>
      </c>
      <c r="K597" s="34" t="s">
        <v>829</v>
      </c>
      <c r="L597" s="34" t="s">
        <v>765</v>
      </c>
      <c r="M597" s="30">
        <v>239.2</v>
      </c>
      <c r="N597" s="283" t="s">
        <v>721</v>
      </c>
    </row>
    <row r="598" spans="1:14" s="36" customFormat="1" ht="14.25" customHeight="1">
      <c r="A598" s="3" t="s">
        <v>641</v>
      </c>
      <c r="B598" s="274" t="s">
        <v>1840</v>
      </c>
      <c r="C598" s="10">
        <v>4099854191091</v>
      </c>
      <c r="D598" s="10"/>
      <c r="E598" s="10"/>
      <c r="F598" s="221" t="s">
        <v>2019</v>
      </c>
      <c r="G598" s="66" t="str">
        <f>HYPERLINK("https://ledvance.com/pt/product-datasheet/226665/273050","Ficha de Produto")</f>
        <v>Ficha de Produto</v>
      </c>
      <c r="H598" s="217" t="s">
        <v>1201</v>
      </c>
      <c r="I598" s="34" t="s">
        <v>902</v>
      </c>
      <c r="J598" s="34" t="s">
        <v>6122</v>
      </c>
      <c r="K598" s="34" t="s">
        <v>829</v>
      </c>
      <c r="L598" s="34" t="s">
        <v>765</v>
      </c>
      <c r="M598" s="30">
        <v>239.2</v>
      </c>
      <c r="N598" s="283" t="s">
        <v>721</v>
      </c>
    </row>
    <row r="599" spans="1:14" s="32" customFormat="1" ht="14.25" customHeight="1">
      <c r="A599" s="3" t="s">
        <v>641</v>
      </c>
      <c r="B599" s="36" t="s">
        <v>1277</v>
      </c>
      <c r="C599" s="214">
        <v>4058075770874</v>
      </c>
      <c r="D599" s="214"/>
      <c r="E599" s="215"/>
      <c r="F599" s="214"/>
      <c r="G599" s="66" t="str">
        <f>HYPERLINK("https://ledvance.com/pt/product-datasheet/226666/207541","Ficha de Produto")</f>
        <v>Ficha de Produto</v>
      </c>
      <c r="H599" s="217" t="s">
        <v>1201</v>
      </c>
      <c r="I599" s="34" t="s">
        <v>843</v>
      </c>
      <c r="J599" s="34" t="s">
        <v>6122</v>
      </c>
      <c r="K599" s="34" t="s">
        <v>829</v>
      </c>
      <c r="L599" s="34" t="s">
        <v>765</v>
      </c>
      <c r="M599" s="30">
        <v>239.2</v>
      </c>
      <c r="N599" s="283" t="s">
        <v>721</v>
      </c>
    </row>
    <row r="600" spans="1:14" s="36" customFormat="1" ht="14.25" customHeight="1">
      <c r="A600" s="3" t="s">
        <v>641</v>
      </c>
      <c r="B600" s="274" t="s">
        <v>1841</v>
      </c>
      <c r="C600" s="10">
        <v>4099854191114</v>
      </c>
      <c r="D600" s="10"/>
      <c r="E600" s="10"/>
      <c r="F600" s="221" t="s">
        <v>2019</v>
      </c>
      <c r="G600" s="66" t="str">
        <f>HYPERLINK("https://ledvance.com/pt/product-datasheet/226666/273053","Ficha de Produto")</f>
        <v>Ficha de Produto</v>
      </c>
      <c r="H600" s="217" t="s">
        <v>1201</v>
      </c>
      <c r="I600" s="34" t="s">
        <v>843</v>
      </c>
      <c r="J600" s="34" t="s">
        <v>6122</v>
      </c>
      <c r="K600" s="34" t="s">
        <v>829</v>
      </c>
      <c r="L600" s="34" t="s">
        <v>765</v>
      </c>
      <c r="M600" s="30">
        <v>239.2</v>
      </c>
      <c r="N600" s="283" t="s">
        <v>721</v>
      </c>
    </row>
    <row r="601" spans="1:14" s="32" customFormat="1" ht="14.25" customHeight="1">
      <c r="A601" s="3" t="s">
        <v>641</v>
      </c>
      <c r="B601" s="36" t="s">
        <v>1278</v>
      </c>
      <c r="C601" s="214">
        <v>4058075770911</v>
      </c>
      <c r="D601" s="214"/>
      <c r="E601" s="215"/>
      <c r="F601" s="214"/>
      <c r="G601" s="66" t="str">
        <f>HYPERLINK("https://ledvance.com/pt/product-datasheet/226661/207551","Ficha de Produto")</f>
        <v>Ficha de Produto</v>
      </c>
      <c r="H601" s="217" t="s">
        <v>1201</v>
      </c>
      <c r="I601" s="34" t="s">
        <v>1768</v>
      </c>
      <c r="J601" s="34" t="s">
        <v>6171</v>
      </c>
      <c r="K601" s="34" t="s">
        <v>829</v>
      </c>
      <c r="L601" s="34" t="s">
        <v>765</v>
      </c>
      <c r="M601" s="30">
        <v>259.2</v>
      </c>
      <c r="N601" s="283" t="s">
        <v>721</v>
      </c>
    </row>
    <row r="602" spans="1:14" s="36" customFormat="1" ht="14.25" customHeight="1">
      <c r="A602" s="3" t="s">
        <v>641</v>
      </c>
      <c r="B602" s="274" t="s">
        <v>1845</v>
      </c>
      <c r="C602" s="10">
        <v>4099854191190</v>
      </c>
      <c r="D602" s="10"/>
      <c r="E602" s="10"/>
      <c r="F602" s="221" t="s">
        <v>2019</v>
      </c>
      <c r="G602" s="66" t="str">
        <f>HYPERLINK("https://ledvance.com/pt/product-datasheet/226661/273065","Ficha de Produto")</f>
        <v>Ficha de Produto</v>
      </c>
      <c r="H602" s="217" t="s">
        <v>1201</v>
      </c>
      <c r="I602" s="34" t="s">
        <v>1768</v>
      </c>
      <c r="J602" s="34" t="s">
        <v>6171</v>
      </c>
      <c r="K602" s="34" t="s">
        <v>829</v>
      </c>
      <c r="L602" s="34" t="s">
        <v>765</v>
      </c>
      <c r="M602" s="30">
        <v>259.2</v>
      </c>
      <c r="N602" s="283" t="s">
        <v>721</v>
      </c>
    </row>
    <row r="603" spans="1:14" s="32" customFormat="1" ht="14.25" customHeight="1">
      <c r="A603" s="3" t="s">
        <v>641</v>
      </c>
      <c r="B603" s="36" t="s">
        <v>1279</v>
      </c>
      <c r="C603" s="214">
        <v>4058075770935</v>
      </c>
      <c r="D603" s="214"/>
      <c r="E603" s="215"/>
      <c r="F603" s="214"/>
      <c r="G603" s="66" t="str">
        <f>HYPERLINK("https://ledvance.com/pt/product-datasheet/226662/207554","Ficha de Produto")</f>
        <v>Ficha de Produto</v>
      </c>
      <c r="H603" s="217" t="s">
        <v>1201</v>
      </c>
      <c r="I603" s="34" t="s">
        <v>1768</v>
      </c>
      <c r="J603" s="34" t="s">
        <v>6171</v>
      </c>
      <c r="K603" s="34" t="s">
        <v>829</v>
      </c>
      <c r="L603" s="34" t="s">
        <v>765</v>
      </c>
      <c r="M603" s="30">
        <v>259.2</v>
      </c>
      <c r="N603" s="283" t="s">
        <v>721</v>
      </c>
    </row>
    <row r="604" spans="1:14" s="36" customFormat="1" ht="14.25" customHeight="1">
      <c r="A604" s="3" t="s">
        <v>641</v>
      </c>
      <c r="B604" s="274" t="s">
        <v>1846</v>
      </c>
      <c r="C604" s="10">
        <v>4099854191312</v>
      </c>
      <c r="D604" s="10"/>
      <c r="E604" s="10"/>
      <c r="F604" s="221" t="s">
        <v>2019</v>
      </c>
      <c r="G604" s="66" t="str">
        <f>HYPERLINK("https://ledvance.com/pt/product-datasheet/226662/273068","Ficha de Produto")</f>
        <v>Ficha de Produto</v>
      </c>
      <c r="H604" s="217" t="s">
        <v>1201</v>
      </c>
      <c r="I604" s="34" t="s">
        <v>1768</v>
      </c>
      <c r="J604" s="34" t="s">
        <v>6171</v>
      </c>
      <c r="K604" s="34" t="s">
        <v>829</v>
      </c>
      <c r="L604" s="34" t="s">
        <v>765</v>
      </c>
      <c r="M604" s="30">
        <v>259.2</v>
      </c>
      <c r="N604" s="283" t="s">
        <v>721</v>
      </c>
    </row>
    <row r="605" spans="1:14" s="32" customFormat="1" ht="14.25" customHeight="1">
      <c r="A605" s="3" t="s">
        <v>641</v>
      </c>
      <c r="B605" s="36" t="s">
        <v>1280</v>
      </c>
      <c r="C605" s="214">
        <v>4058075771031</v>
      </c>
      <c r="D605" s="214"/>
      <c r="E605" s="215"/>
      <c r="F605" s="214"/>
      <c r="G605" s="66" t="str">
        <f>HYPERLINK("https://ledvance.com/pt/product-datasheet/226663/207566","Ficha de Produto")</f>
        <v>Ficha de Produto</v>
      </c>
      <c r="H605" s="217" t="s">
        <v>1201</v>
      </c>
      <c r="I605" s="34" t="s">
        <v>1769</v>
      </c>
      <c r="J605" s="34" t="s">
        <v>6171</v>
      </c>
      <c r="K605" s="34" t="s">
        <v>829</v>
      </c>
      <c r="L605" s="34" t="s">
        <v>765</v>
      </c>
      <c r="M605" s="30">
        <v>275.5</v>
      </c>
      <c r="N605" s="283" t="s">
        <v>721</v>
      </c>
    </row>
    <row r="606" spans="1:14" s="36" customFormat="1" ht="14.25" customHeight="1">
      <c r="A606" s="3" t="s">
        <v>641</v>
      </c>
      <c r="B606" s="274" t="s">
        <v>1849</v>
      </c>
      <c r="C606" s="10">
        <v>4099854191398</v>
      </c>
      <c r="D606" s="10"/>
      <c r="E606" s="10"/>
      <c r="F606" s="221" t="s">
        <v>2019</v>
      </c>
      <c r="G606" s="66" t="str">
        <f>HYPERLINK("https://ledvance.com/pt/product-datasheet/226663/273080","Ficha de Produto")</f>
        <v>Ficha de Produto</v>
      </c>
      <c r="H606" s="217" t="s">
        <v>1201</v>
      </c>
      <c r="I606" s="34" t="s">
        <v>1769</v>
      </c>
      <c r="J606" s="34" t="s">
        <v>6171</v>
      </c>
      <c r="K606" s="34" t="s">
        <v>829</v>
      </c>
      <c r="L606" s="34" t="s">
        <v>765</v>
      </c>
      <c r="M606" s="30">
        <v>275.5</v>
      </c>
      <c r="N606" s="283" t="s">
        <v>721</v>
      </c>
    </row>
    <row r="607" spans="1:14" s="36" customFormat="1" ht="14.25" customHeight="1">
      <c r="A607" s="3" t="s">
        <v>641</v>
      </c>
      <c r="B607" s="274" t="s">
        <v>1852</v>
      </c>
      <c r="C607" s="10">
        <v>4099854191435</v>
      </c>
      <c r="D607" s="10"/>
      <c r="E607" s="10"/>
      <c r="F607" s="221" t="s">
        <v>2019</v>
      </c>
      <c r="G607" s="66" t="str">
        <f>HYPERLINK("https://ledvance.com/pt/product-datasheet/280270/273086","Ficha de Produto")</f>
        <v>Ficha de Produto</v>
      </c>
      <c r="H607" s="217" t="s">
        <v>1201</v>
      </c>
      <c r="I607" s="34" t="s">
        <v>1768</v>
      </c>
      <c r="J607" s="34" t="s">
        <v>6171</v>
      </c>
      <c r="K607" s="34" t="s">
        <v>829</v>
      </c>
      <c r="L607" s="34" t="s">
        <v>765</v>
      </c>
      <c r="M607" s="30">
        <v>259.2</v>
      </c>
      <c r="N607" s="283" t="s">
        <v>721</v>
      </c>
    </row>
    <row r="608" spans="1:14" s="36" customFormat="1" ht="14.25" customHeight="1">
      <c r="A608" s="3" t="s">
        <v>641</v>
      </c>
      <c r="B608" s="274" t="s">
        <v>1851</v>
      </c>
      <c r="C608" s="10">
        <v>4099854191411</v>
      </c>
      <c r="D608" s="10"/>
      <c r="E608" s="10"/>
      <c r="F608" s="221" t="s">
        <v>2019</v>
      </c>
      <c r="G608" s="66" t="str">
        <f>HYPERLINK("https://ledvance.com/pt/product-datasheet/280270/273083","Ficha de Produto")</f>
        <v>Ficha de Produto</v>
      </c>
      <c r="H608" s="217" t="s">
        <v>1201</v>
      </c>
      <c r="I608" s="34" t="s">
        <v>1768</v>
      </c>
      <c r="J608" s="34" t="s">
        <v>6171</v>
      </c>
      <c r="K608" s="34" t="s">
        <v>829</v>
      </c>
      <c r="L608" s="34" t="s">
        <v>765</v>
      </c>
      <c r="M608" s="30">
        <v>259.2</v>
      </c>
      <c r="N608" s="283" t="s">
        <v>721</v>
      </c>
    </row>
    <row r="609" spans="1:14" s="32" customFormat="1" ht="14.25" customHeight="1">
      <c r="A609" s="3" t="s">
        <v>641</v>
      </c>
      <c r="B609" s="36" t="s">
        <v>1281</v>
      </c>
      <c r="C609" s="214">
        <v>4058075770959</v>
      </c>
      <c r="D609" s="214"/>
      <c r="E609" s="215"/>
      <c r="F609" s="214"/>
      <c r="G609" s="66" t="str">
        <f>HYPERLINK("https://ledvance.com/pt/product-datasheet/226664/207557","Ficha de Produto")</f>
        <v>Ficha de Produto</v>
      </c>
      <c r="H609" s="217" t="s">
        <v>1201</v>
      </c>
      <c r="I609" s="34" t="s">
        <v>1768</v>
      </c>
      <c r="J609" s="34" t="s">
        <v>6171</v>
      </c>
      <c r="K609" s="34" t="s">
        <v>829</v>
      </c>
      <c r="L609" s="34" t="s">
        <v>765</v>
      </c>
      <c r="M609" s="30">
        <v>259.2</v>
      </c>
      <c r="N609" s="283" t="s">
        <v>721</v>
      </c>
    </row>
    <row r="610" spans="1:14" s="36" customFormat="1" ht="14.25" customHeight="1">
      <c r="A610" s="3" t="s">
        <v>641</v>
      </c>
      <c r="B610" s="274" t="s">
        <v>1847</v>
      </c>
      <c r="C610" s="10">
        <v>4099854191336</v>
      </c>
      <c r="D610" s="10"/>
      <c r="E610" s="10"/>
      <c r="F610" s="221" t="s">
        <v>2019</v>
      </c>
      <c r="G610" s="66" t="str">
        <f>HYPERLINK("https://ledvance.com/pt/product-datasheet/226664/273071","Ficha de Produto")</f>
        <v>Ficha de Produto</v>
      </c>
      <c r="H610" s="217" t="s">
        <v>1201</v>
      </c>
      <c r="I610" s="34" t="s">
        <v>1768</v>
      </c>
      <c r="J610" s="34" t="s">
        <v>6171</v>
      </c>
      <c r="K610" s="34" t="s">
        <v>829</v>
      </c>
      <c r="L610" s="34" t="s">
        <v>765</v>
      </c>
      <c r="M610" s="30">
        <v>259.2</v>
      </c>
      <c r="N610" s="283" t="s">
        <v>721</v>
      </c>
    </row>
    <row r="611" spans="1:14" s="32" customFormat="1" ht="14.25" customHeight="1">
      <c r="A611" s="3" t="s">
        <v>641</v>
      </c>
      <c r="B611" s="36" t="s">
        <v>1282</v>
      </c>
      <c r="C611" s="214">
        <v>4058075770973</v>
      </c>
      <c r="D611" s="214"/>
      <c r="E611" s="215"/>
      <c r="F611" s="214"/>
      <c r="G611" s="66" t="str">
        <f>HYPERLINK("https://ledvance.com/pt/product-datasheet/226665/207560","Ficha de Produto")</f>
        <v>Ficha de Produto</v>
      </c>
      <c r="H611" s="217" t="s">
        <v>1201</v>
      </c>
      <c r="I611" s="34" t="s">
        <v>1768</v>
      </c>
      <c r="J611" s="34" t="s">
        <v>6171</v>
      </c>
      <c r="K611" s="34" t="s">
        <v>829</v>
      </c>
      <c r="L611" s="34" t="s">
        <v>765</v>
      </c>
      <c r="M611" s="30">
        <v>259.2</v>
      </c>
      <c r="N611" s="283" t="s">
        <v>721</v>
      </c>
    </row>
    <row r="612" spans="1:14" s="36" customFormat="1" ht="14.25" customHeight="1">
      <c r="A612" s="3" t="s">
        <v>641</v>
      </c>
      <c r="B612" s="274" t="s">
        <v>1848</v>
      </c>
      <c r="C612" s="10">
        <v>4099854191350</v>
      </c>
      <c r="D612" s="10"/>
      <c r="E612" s="10"/>
      <c r="F612" s="221" t="s">
        <v>2019</v>
      </c>
      <c r="G612" s="66" t="str">
        <f>HYPERLINK("https://ledvance.com/pt/product-datasheet/226665/273074","Ficha de Produto")</f>
        <v>Ficha de Produto</v>
      </c>
      <c r="H612" s="217" t="s">
        <v>1201</v>
      </c>
      <c r="I612" s="34" t="s">
        <v>1768</v>
      </c>
      <c r="J612" s="34" t="s">
        <v>6171</v>
      </c>
      <c r="K612" s="34" t="s">
        <v>829</v>
      </c>
      <c r="L612" s="34" t="s">
        <v>765</v>
      </c>
      <c r="M612" s="30">
        <v>259.2</v>
      </c>
      <c r="N612" s="283" t="s">
        <v>721</v>
      </c>
    </row>
    <row r="613" spans="1:14" s="32" customFormat="1" ht="14.25" customHeight="1">
      <c r="A613" s="3" t="s">
        <v>641</v>
      </c>
      <c r="B613" s="36" t="s">
        <v>1283</v>
      </c>
      <c r="C613" s="214">
        <v>4058075770997</v>
      </c>
      <c r="D613" s="214"/>
      <c r="E613" s="215"/>
      <c r="F613" s="214"/>
      <c r="G613" s="66" t="str">
        <f>HYPERLINK("https://ledvance.com/pt/product-datasheet/226666/207563","Ficha de Produto")</f>
        <v>Ficha de Produto</v>
      </c>
      <c r="H613" s="217" t="s">
        <v>1201</v>
      </c>
      <c r="I613" s="34" t="s">
        <v>1768</v>
      </c>
      <c r="J613" s="34" t="s">
        <v>6171</v>
      </c>
      <c r="K613" s="34" t="s">
        <v>829</v>
      </c>
      <c r="L613" s="34" t="s">
        <v>765</v>
      </c>
      <c r="M613" s="30">
        <v>259.2</v>
      </c>
      <c r="N613" s="283" t="s">
        <v>721</v>
      </c>
    </row>
    <row r="614" spans="1:14" s="36" customFormat="1" ht="14.25" customHeight="1">
      <c r="A614" s="3" t="s">
        <v>641</v>
      </c>
      <c r="B614" s="274" t="s">
        <v>3572</v>
      </c>
      <c r="C614" s="10">
        <v>4099854191374</v>
      </c>
      <c r="D614" s="10"/>
      <c r="E614" s="10"/>
      <c r="F614" s="221" t="s">
        <v>2019</v>
      </c>
      <c r="G614" s="66" t="str">
        <f>HYPERLINK("https://ledvance.com/pt/product-datasheet/226666/273077","Ficha de Produto")</f>
        <v>Ficha de Produto</v>
      </c>
      <c r="H614" s="217" t="s">
        <v>1201</v>
      </c>
      <c r="I614" s="34" t="s">
        <v>1768</v>
      </c>
      <c r="J614" s="34" t="s">
        <v>6171</v>
      </c>
      <c r="K614" s="34" t="s">
        <v>829</v>
      </c>
      <c r="L614" s="34" t="s">
        <v>765</v>
      </c>
      <c r="M614" s="30">
        <v>259.2</v>
      </c>
      <c r="N614" s="283" t="s">
        <v>721</v>
      </c>
    </row>
    <row r="615" spans="1:14" s="32" customFormat="1" ht="14.25" customHeight="1">
      <c r="A615" s="3" t="s">
        <v>641</v>
      </c>
      <c r="B615" s="36" t="s">
        <v>1284</v>
      </c>
      <c r="C615" s="214">
        <v>4058075771055</v>
      </c>
      <c r="D615" s="214"/>
      <c r="E615" s="215"/>
      <c r="F615" s="214"/>
      <c r="G615" s="66" t="str">
        <f>HYPERLINK("https://ledvance.com/pt/product-datasheet/226661/207569","Ficha de Produto")</f>
        <v>Ficha de Produto</v>
      </c>
      <c r="H615" s="217" t="s">
        <v>1201</v>
      </c>
      <c r="I615" s="34" t="s">
        <v>1770</v>
      </c>
      <c r="J615" s="34" t="s">
        <v>6172</v>
      </c>
      <c r="K615" s="34" t="s">
        <v>829</v>
      </c>
      <c r="L615" s="34" t="s">
        <v>765</v>
      </c>
      <c r="M615" s="30">
        <v>295.60000000000002</v>
      </c>
      <c r="N615" s="283" t="s">
        <v>721</v>
      </c>
    </row>
    <row r="616" spans="1:14" s="36" customFormat="1" ht="14.25" customHeight="1">
      <c r="A616" s="3" t="s">
        <v>641</v>
      </c>
      <c r="B616" s="274" t="s">
        <v>1853</v>
      </c>
      <c r="C616" s="10">
        <v>4099854191459</v>
      </c>
      <c r="D616" s="10"/>
      <c r="E616" s="10"/>
      <c r="F616" s="221" t="s">
        <v>2019</v>
      </c>
      <c r="G616" s="66" t="str">
        <f>HYPERLINK("https://ledvance.com/pt/product-datasheet/226661/273089","Ficha de Produto")</f>
        <v>Ficha de Produto</v>
      </c>
      <c r="H616" s="217" t="s">
        <v>1201</v>
      </c>
      <c r="I616" s="34" t="s">
        <v>1770</v>
      </c>
      <c r="J616" s="34" t="s">
        <v>6172</v>
      </c>
      <c r="K616" s="34" t="s">
        <v>829</v>
      </c>
      <c r="L616" s="34" t="s">
        <v>765</v>
      </c>
      <c r="M616" s="30">
        <v>295.60000000000002</v>
      </c>
      <c r="N616" s="283" t="s">
        <v>721</v>
      </c>
    </row>
    <row r="617" spans="1:14" s="32" customFormat="1" ht="14.25" customHeight="1">
      <c r="A617" s="3" t="s">
        <v>641</v>
      </c>
      <c r="B617" s="36" t="s">
        <v>1285</v>
      </c>
      <c r="C617" s="214">
        <v>4058075771079</v>
      </c>
      <c r="D617" s="214"/>
      <c r="E617" s="215"/>
      <c r="F617" s="214"/>
      <c r="G617" s="66" t="str">
        <f>HYPERLINK("https://ledvance.com/pt/product-datasheet/226662/207572","Ficha de Produto")</f>
        <v>Ficha de Produto</v>
      </c>
      <c r="H617" s="217" t="s">
        <v>1201</v>
      </c>
      <c r="I617" s="34" t="s">
        <v>1770</v>
      </c>
      <c r="J617" s="34" t="s">
        <v>6172</v>
      </c>
      <c r="K617" s="34" t="s">
        <v>829</v>
      </c>
      <c r="L617" s="34" t="s">
        <v>765</v>
      </c>
      <c r="M617" s="30">
        <v>295.60000000000002</v>
      </c>
      <c r="N617" s="283" t="s">
        <v>721</v>
      </c>
    </row>
    <row r="618" spans="1:14" s="36" customFormat="1" ht="14.25" customHeight="1">
      <c r="A618" s="3" t="s">
        <v>641</v>
      </c>
      <c r="B618" s="274" t="s">
        <v>3571</v>
      </c>
      <c r="C618" s="10">
        <v>4099854191473</v>
      </c>
      <c r="D618" s="10"/>
      <c r="E618" s="10"/>
      <c r="F618" s="221" t="s">
        <v>2019</v>
      </c>
      <c r="G618" s="66" t="str">
        <f>HYPERLINK("https://ledvance.com/pt/product-datasheet/226662/273092","Ficha de Produto")</f>
        <v>Ficha de Produto</v>
      </c>
      <c r="H618" s="217" t="s">
        <v>1201</v>
      </c>
      <c r="I618" s="34" t="s">
        <v>1770</v>
      </c>
      <c r="J618" s="34" t="s">
        <v>6172</v>
      </c>
      <c r="K618" s="34" t="s">
        <v>829</v>
      </c>
      <c r="L618" s="34" t="s">
        <v>765</v>
      </c>
      <c r="M618" s="30">
        <v>295.60000000000002</v>
      </c>
      <c r="N618" s="283" t="s">
        <v>721</v>
      </c>
    </row>
    <row r="619" spans="1:14" s="32" customFormat="1" ht="14.25" customHeight="1">
      <c r="A619" s="3" t="s">
        <v>641</v>
      </c>
      <c r="B619" s="36" t="s">
        <v>1286</v>
      </c>
      <c r="C619" s="214">
        <v>4058075771901</v>
      </c>
      <c r="D619" s="214"/>
      <c r="E619" s="215"/>
      <c r="F619" s="214"/>
      <c r="G619" s="66" t="str">
        <f>HYPERLINK("https://ledvance.com/pt/product-datasheet/226663/207584","Ficha de Produto")</f>
        <v>Ficha de Produto</v>
      </c>
      <c r="H619" s="217" t="s">
        <v>1201</v>
      </c>
      <c r="I619" s="34" t="s">
        <v>1771</v>
      </c>
      <c r="J619" s="34" t="s">
        <v>6172</v>
      </c>
      <c r="K619" s="34" t="s">
        <v>829</v>
      </c>
      <c r="L619" s="34" t="s">
        <v>765</v>
      </c>
      <c r="M619" s="30">
        <v>314.39999999999998</v>
      </c>
      <c r="N619" s="283" t="s">
        <v>721</v>
      </c>
    </row>
    <row r="620" spans="1:14" s="36" customFormat="1" ht="14.25" customHeight="1">
      <c r="A620" s="3" t="s">
        <v>641</v>
      </c>
      <c r="B620" s="274" t="s">
        <v>3570</v>
      </c>
      <c r="C620" s="10">
        <v>4099854191558</v>
      </c>
      <c r="D620" s="10"/>
      <c r="E620" s="10"/>
      <c r="F620" s="221" t="s">
        <v>2019</v>
      </c>
      <c r="G620" s="66" t="str">
        <f>HYPERLINK("https://ledvance.com/pt/product-datasheet/226663/273104","Ficha de Produto")</f>
        <v>Ficha de Produto</v>
      </c>
      <c r="H620" s="217" t="s">
        <v>1201</v>
      </c>
      <c r="I620" s="34" t="s">
        <v>1771</v>
      </c>
      <c r="J620" s="34" t="s">
        <v>6172</v>
      </c>
      <c r="K620" s="34" t="s">
        <v>829</v>
      </c>
      <c r="L620" s="34" t="s">
        <v>765</v>
      </c>
      <c r="M620" s="30">
        <v>314.39999999999998</v>
      </c>
      <c r="N620" s="283" t="s">
        <v>721</v>
      </c>
    </row>
    <row r="621" spans="1:14" s="36" customFormat="1" ht="14.25" customHeight="1">
      <c r="A621" s="3" t="s">
        <v>641</v>
      </c>
      <c r="B621" s="274" t="s">
        <v>1858</v>
      </c>
      <c r="C621" s="10">
        <v>4099854191596</v>
      </c>
      <c r="D621" s="10"/>
      <c r="E621" s="10"/>
      <c r="F621" s="221" t="s">
        <v>2019</v>
      </c>
      <c r="G621" s="66" t="str">
        <f>HYPERLINK("https://ledvance.com/pt/product-datasheet/280270/273110","Ficha de Produto")</f>
        <v>Ficha de Produto</v>
      </c>
      <c r="H621" s="217" t="s">
        <v>1201</v>
      </c>
      <c r="I621" s="34" t="s">
        <v>1770</v>
      </c>
      <c r="J621" s="34" t="s">
        <v>6172</v>
      </c>
      <c r="K621" s="34" t="s">
        <v>829</v>
      </c>
      <c r="L621" s="34" t="s">
        <v>765</v>
      </c>
      <c r="M621" s="30">
        <v>295.60000000000002</v>
      </c>
      <c r="N621" s="283" t="s">
        <v>721</v>
      </c>
    </row>
    <row r="622" spans="1:14" s="36" customFormat="1" ht="14.25" customHeight="1">
      <c r="A622" s="3" t="s">
        <v>641</v>
      </c>
      <c r="B622" s="274" t="s">
        <v>1857</v>
      </c>
      <c r="C622" s="10">
        <v>4099854191572</v>
      </c>
      <c r="D622" s="10"/>
      <c r="E622" s="10"/>
      <c r="F622" s="221" t="s">
        <v>2019</v>
      </c>
      <c r="G622" s="66" t="str">
        <f>HYPERLINK("https://ledvance.com/pt/product-datasheet/280270/273107","Ficha de Produto")</f>
        <v>Ficha de Produto</v>
      </c>
      <c r="H622" s="217" t="s">
        <v>1201</v>
      </c>
      <c r="I622" s="34" t="s">
        <v>1770</v>
      </c>
      <c r="J622" s="34" t="s">
        <v>6172</v>
      </c>
      <c r="K622" s="34" t="s">
        <v>829</v>
      </c>
      <c r="L622" s="34" t="s">
        <v>765</v>
      </c>
      <c r="M622" s="30">
        <v>295.60000000000002</v>
      </c>
      <c r="N622" s="283" t="s">
        <v>721</v>
      </c>
    </row>
    <row r="623" spans="1:14" s="32" customFormat="1" ht="14.25" customHeight="1">
      <c r="A623" s="3" t="s">
        <v>641</v>
      </c>
      <c r="B623" s="36" t="s">
        <v>1287</v>
      </c>
      <c r="C623" s="214">
        <v>4058075771116</v>
      </c>
      <c r="D623" s="214"/>
      <c r="E623" s="215"/>
      <c r="F623" s="214"/>
      <c r="G623" s="66" t="str">
        <f>HYPERLINK("https://ledvance.com/pt/product-datasheet/226664/207575","Ficha de Produto")</f>
        <v>Ficha de Produto</v>
      </c>
      <c r="H623" s="217" t="s">
        <v>1201</v>
      </c>
      <c r="I623" s="34" t="s">
        <v>1770</v>
      </c>
      <c r="J623" s="34" t="s">
        <v>6172</v>
      </c>
      <c r="K623" s="34" t="s">
        <v>829</v>
      </c>
      <c r="L623" s="34" t="s">
        <v>765</v>
      </c>
      <c r="M623" s="30">
        <v>295.60000000000002</v>
      </c>
      <c r="N623" s="283" t="s">
        <v>721</v>
      </c>
    </row>
    <row r="624" spans="1:14" s="36" customFormat="1" ht="14.25" customHeight="1">
      <c r="A624" s="3" t="s">
        <v>641</v>
      </c>
      <c r="B624" s="274" t="s">
        <v>1854</v>
      </c>
      <c r="C624" s="10">
        <v>4099854191497</v>
      </c>
      <c r="D624" s="10"/>
      <c r="E624" s="10"/>
      <c r="F624" s="221" t="s">
        <v>2019</v>
      </c>
      <c r="G624" s="66" t="str">
        <f>HYPERLINK("https://ledvance.com/pt/product-datasheet/226664/273095","Ficha de Produto")</f>
        <v>Ficha de Produto</v>
      </c>
      <c r="H624" s="217" t="s">
        <v>1201</v>
      </c>
      <c r="I624" s="34" t="s">
        <v>1770</v>
      </c>
      <c r="J624" s="34" t="s">
        <v>6172</v>
      </c>
      <c r="K624" s="34" t="s">
        <v>829</v>
      </c>
      <c r="L624" s="34" t="s">
        <v>765</v>
      </c>
      <c r="M624" s="30">
        <v>295.60000000000002</v>
      </c>
      <c r="N624" s="283" t="s">
        <v>721</v>
      </c>
    </row>
    <row r="625" spans="1:14" s="32" customFormat="1" ht="14.25" customHeight="1">
      <c r="A625" s="3" t="s">
        <v>641</v>
      </c>
      <c r="B625" s="36" t="s">
        <v>1288</v>
      </c>
      <c r="C625" s="214">
        <v>4058075771130</v>
      </c>
      <c r="D625" s="214"/>
      <c r="E625" s="215"/>
      <c r="F625" s="214"/>
      <c r="G625" s="66" t="str">
        <f>HYPERLINK("https://ledvance.com/pt/product-datasheet/226665/207578","Ficha de Produto")</f>
        <v>Ficha de Produto</v>
      </c>
      <c r="H625" s="217" t="s">
        <v>1201</v>
      </c>
      <c r="I625" s="34" t="s">
        <v>1770</v>
      </c>
      <c r="J625" s="34" t="s">
        <v>6172</v>
      </c>
      <c r="K625" s="34" t="s">
        <v>829</v>
      </c>
      <c r="L625" s="34" t="s">
        <v>765</v>
      </c>
      <c r="M625" s="30">
        <v>295.60000000000002</v>
      </c>
      <c r="N625" s="283" t="s">
        <v>721</v>
      </c>
    </row>
    <row r="626" spans="1:14" s="36" customFormat="1" ht="14.25" customHeight="1">
      <c r="A626" s="3" t="s">
        <v>641</v>
      </c>
      <c r="B626" s="274" t="s">
        <v>1855</v>
      </c>
      <c r="C626" s="10">
        <v>4099854191510</v>
      </c>
      <c r="D626" s="10"/>
      <c r="E626" s="10"/>
      <c r="F626" s="221" t="s">
        <v>2019</v>
      </c>
      <c r="G626" s="66" t="str">
        <f>HYPERLINK("https://ledvance.com/pt/product-datasheet/226665/273098","Ficha de Produto")</f>
        <v>Ficha de Produto</v>
      </c>
      <c r="H626" s="217" t="s">
        <v>1201</v>
      </c>
      <c r="I626" s="34" t="s">
        <v>1770</v>
      </c>
      <c r="J626" s="34" t="s">
        <v>6172</v>
      </c>
      <c r="K626" s="34" t="s">
        <v>829</v>
      </c>
      <c r="L626" s="34" t="s">
        <v>765</v>
      </c>
      <c r="M626" s="30">
        <v>295.60000000000002</v>
      </c>
      <c r="N626" s="283" t="s">
        <v>721</v>
      </c>
    </row>
    <row r="627" spans="1:14" s="32" customFormat="1" ht="14.25" customHeight="1">
      <c r="A627" s="3" t="s">
        <v>641</v>
      </c>
      <c r="B627" s="36" t="s">
        <v>1289</v>
      </c>
      <c r="C627" s="214">
        <v>4058075771154</v>
      </c>
      <c r="D627" s="214"/>
      <c r="E627" s="215"/>
      <c r="F627" s="214"/>
      <c r="G627" s="66" t="str">
        <f>HYPERLINK("https://ledvance.com/pt/product-datasheet/226666/207581","Ficha de Produto")</f>
        <v>Ficha de Produto</v>
      </c>
      <c r="H627" s="217" t="s">
        <v>1201</v>
      </c>
      <c r="I627" s="34" t="s">
        <v>1770</v>
      </c>
      <c r="J627" s="34" t="s">
        <v>6172</v>
      </c>
      <c r="K627" s="34" t="s">
        <v>829</v>
      </c>
      <c r="L627" s="34" t="s">
        <v>765</v>
      </c>
      <c r="M627" s="30">
        <v>295.60000000000002</v>
      </c>
      <c r="N627" s="283" t="s">
        <v>721</v>
      </c>
    </row>
    <row r="628" spans="1:14" s="36" customFormat="1" ht="14.25" customHeight="1">
      <c r="A628" s="3" t="s">
        <v>641</v>
      </c>
      <c r="B628" s="274" t="s">
        <v>1856</v>
      </c>
      <c r="C628" s="10">
        <v>4099854191534</v>
      </c>
      <c r="D628" s="10"/>
      <c r="E628" s="10"/>
      <c r="F628" s="221" t="s">
        <v>2019</v>
      </c>
      <c r="G628" s="66" t="str">
        <f>HYPERLINK("https://ledvance.com/pt/product-datasheet/226666/273101","Ficha de Produto")</f>
        <v>Ficha de Produto</v>
      </c>
      <c r="H628" s="217" t="s">
        <v>1201</v>
      </c>
      <c r="I628" s="34" t="s">
        <v>1770</v>
      </c>
      <c r="J628" s="34" t="s">
        <v>6172</v>
      </c>
      <c r="K628" s="34" t="s">
        <v>829</v>
      </c>
      <c r="L628" s="34" t="s">
        <v>765</v>
      </c>
      <c r="M628" s="30">
        <v>295.60000000000002</v>
      </c>
      <c r="N628" s="283" t="s">
        <v>721</v>
      </c>
    </row>
    <row r="629" spans="1:14" s="32" customFormat="1" ht="14.25" customHeight="1">
      <c r="A629" s="8"/>
      <c r="B629" s="227" t="s">
        <v>1422</v>
      </c>
      <c r="C629" s="7"/>
      <c r="D629" s="7"/>
      <c r="E629" s="7"/>
      <c r="F629" s="7"/>
      <c r="G629" s="68"/>
      <c r="H629" s="8"/>
      <c r="I629" s="227"/>
      <c r="J629" s="7"/>
      <c r="K629" s="7"/>
      <c r="L629" s="8"/>
      <c r="M629" s="7"/>
      <c r="N629" s="284"/>
    </row>
    <row r="630" spans="1:14" s="32" customFormat="1" ht="14.25" customHeight="1">
      <c r="A630" s="3" t="s">
        <v>641</v>
      </c>
      <c r="B630" s="36" t="s">
        <v>1423</v>
      </c>
      <c r="C630" s="214">
        <v>4058075772878</v>
      </c>
      <c r="D630" s="214"/>
      <c r="E630" s="215"/>
      <c r="F630" s="214"/>
      <c r="G630" s="66" t="str">
        <f>HYPERLINK("https://ledvance.com/pt/product-datasheet/226667/208032","Ficha de Produto")</f>
        <v>Ficha de Produto</v>
      </c>
      <c r="H630" s="217" t="s">
        <v>1201</v>
      </c>
      <c r="I630" s="34" t="s">
        <v>889</v>
      </c>
      <c r="J630" s="34" t="s">
        <v>6122</v>
      </c>
      <c r="K630" s="34" t="s">
        <v>829</v>
      </c>
      <c r="L630" s="34" t="s">
        <v>793</v>
      </c>
      <c r="M630" s="30">
        <v>332.7</v>
      </c>
      <c r="N630" s="283" t="s">
        <v>721</v>
      </c>
    </row>
    <row r="631" spans="1:14" s="32" customFormat="1" ht="14.25" customHeight="1">
      <c r="A631" s="3" t="s">
        <v>641</v>
      </c>
      <c r="B631" s="274" t="s">
        <v>1859</v>
      </c>
      <c r="C631" s="10">
        <v>4099854191619</v>
      </c>
      <c r="D631" s="10"/>
      <c r="E631" s="10"/>
      <c r="F631" s="221" t="s">
        <v>2019</v>
      </c>
      <c r="G631" s="66" t="str">
        <f>HYPERLINK("https://ledvance.com/pt/product-datasheet/226667/273113","Ficha de Produto")</f>
        <v>Ficha de Produto</v>
      </c>
      <c r="H631" s="217" t="s">
        <v>1201</v>
      </c>
      <c r="I631" s="34" t="s">
        <v>889</v>
      </c>
      <c r="J631" s="34" t="s">
        <v>6122</v>
      </c>
      <c r="K631" s="34" t="s">
        <v>829</v>
      </c>
      <c r="L631" s="34" t="s">
        <v>793</v>
      </c>
      <c r="M631" s="30">
        <v>332.7</v>
      </c>
      <c r="N631" s="283" t="s">
        <v>721</v>
      </c>
    </row>
    <row r="632" spans="1:14" s="32" customFormat="1" ht="14.25" customHeight="1">
      <c r="A632" s="3" t="s">
        <v>641</v>
      </c>
      <c r="B632" s="36" t="s">
        <v>1424</v>
      </c>
      <c r="C632" s="214">
        <v>4058075772892</v>
      </c>
      <c r="D632" s="214"/>
      <c r="E632" s="215"/>
      <c r="F632" s="214"/>
      <c r="G632" s="66" t="str">
        <f>HYPERLINK("https://ledvance.com/pt/product-datasheet/226668/208035","Ficha de Produto")</f>
        <v>Ficha de Produto</v>
      </c>
      <c r="H632" s="217" t="s">
        <v>1201</v>
      </c>
      <c r="I632" s="34" t="s">
        <v>889</v>
      </c>
      <c r="J632" s="34" t="s">
        <v>6122</v>
      </c>
      <c r="K632" s="34" t="s">
        <v>829</v>
      </c>
      <c r="L632" s="34" t="s">
        <v>793</v>
      </c>
      <c r="M632" s="30">
        <v>332.7</v>
      </c>
      <c r="N632" s="283" t="s">
        <v>721</v>
      </c>
    </row>
    <row r="633" spans="1:14" s="32" customFormat="1" ht="14.25" customHeight="1">
      <c r="A633" s="3" t="s">
        <v>641</v>
      </c>
      <c r="B633" s="274" t="s">
        <v>1860</v>
      </c>
      <c r="C633" s="10">
        <v>4099854191633</v>
      </c>
      <c r="D633" s="10"/>
      <c r="E633" s="10"/>
      <c r="F633" s="221" t="s">
        <v>2019</v>
      </c>
      <c r="G633" s="66" t="str">
        <f>HYPERLINK("https://ledvance.com/pt/product-datasheet/226668/273116","Ficha de Produto")</f>
        <v>Ficha de Produto</v>
      </c>
      <c r="H633" s="217" t="s">
        <v>1201</v>
      </c>
      <c r="I633" s="34" t="s">
        <v>889</v>
      </c>
      <c r="J633" s="34" t="s">
        <v>6122</v>
      </c>
      <c r="K633" s="34" t="s">
        <v>829</v>
      </c>
      <c r="L633" s="34" t="s">
        <v>793</v>
      </c>
      <c r="M633" s="30">
        <v>332.7</v>
      </c>
      <c r="N633" s="283" t="s">
        <v>721</v>
      </c>
    </row>
    <row r="634" spans="1:14" s="32" customFormat="1" ht="14.25" customHeight="1">
      <c r="A634" s="3" t="s">
        <v>641</v>
      </c>
      <c r="B634" s="36" t="s">
        <v>1425</v>
      </c>
      <c r="C634" s="214">
        <v>4058075772977</v>
      </c>
      <c r="D634" s="214"/>
      <c r="E634" s="215"/>
      <c r="F634" s="214"/>
      <c r="G634" s="66" t="str">
        <f>HYPERLINK("https://ledvance.com/pt/product-datasheet/226669/208048","Ficha de Produto")</f>
        <v>Ficha de Produto</v>
      </c>
      <c r="H634" s="217" t="s">
        <v>1201</v>
      </c>
      <c r="I634" s="34" t="s">
        <v>902</v>
      </c>
      <c r="J634" s="34" t="s">
        <v>6122</v>
      </c>
      <c r="K634" s="34" t="s">
        <v>829</v>
      </c>
      <c r="L634" s="34" t="s">
        <v>793</v>
      </c>
      <c r="M634" s="30">
        <v>359.7</v>
      </c>
      <c r="N634" s="283" t="s">
        <v>721</v>
      </c>
    </row>
    <row r="635" spans="1:14" s="32" customFormat="1" ht="14.25" customHeight="1">
      <c r="A635" s="3" t="s">
        <v>641</v>
      </c>
      <c r="B635" s="274" t="s">
        <v>1864</v>
      </c>
      <c r="C635" s="10">
        <v>4099854191718</v>
      </c>
      <c r="D635" s="10"/>
      <c r="E635" s="10"/>
      <c r="F635" s="221" t="s">
        <v>2019</v>
      </c>
      <c r="G635" s="66" t="str">
        <f>HYPERLINK("https://ledvance.com/pt/product-datasheet/226669/273128","Ficha de Produto")</f>
        <v>Ficha de Produto</v>
      </c>
      <c r="H635" s="217" t="s">
        <v>1201</v>
      </c>
      <c r="I635" s="34" t="s">
        <v>902</v>
      </c>
      <c r="J635" s="34" t="s">
        <v>6122</v>
      </c>
      <c r="K635" s="34" t="s">
        <v>829</v>
      </c>
      <c r="L635" s="34" t="s">
        <v>793</v>
      </c>
      <c r="M635" s="30">
        <v>359.7</v>
      </c>
      <c r="N635" s="283" t="s">
        <v>721</v>
      </c>
    </row>
    <row r="636" spans="1:14" s="32" customFormat="1" ht="14.25" customHeight="1">
      <c r="A636" s="3" t="s">
        <v>641</v>
      </c>
      <c r="B636" s="274" t="s">
        <v>1866</v>
      </c>
      <c r="C636" s="10">
        <v>4099854191756</v>
      </c>
      <c r="D636" s="10"/>
      <c r="E636" s="10"/>
      <c r="F636" s="221" t="s">
        <v>2019</v>
      </c>
      <c r="G636" s="66" t="str">
        <f>HYPERLINK("https://ledvance.com/pt/product-datasheet/280276/273134","Ficha de Produto")</f>
        <v>Ficha de Produto</v>
      </c>
      <c r="H636" s="217" t="s">
        <v>1201</v>
      </c>
      <c r="I636" s="34" t="s">
        <v>889</v>
      </c>
      <c r="J636" s="34" t="s">
        <v>6122</v>
      </c>
      <c r="K636" s="34" t="s">
        <v>829</v>
      </c>
      <c r="L636" s="34" t="s">
        <v>793</v>
      </c>
      <c r="M636" s="30">
        <v>332.7</v>
      </c>
      <c r="N636" s="283" t="s">
        <v>721</v>
      </c>
    </row>
    <row r="637" spans="1:14" s="32" customFormat="1" ht="14.25" customHeight="1">
      <c r="A637" s="3" t="s">
        <v>641</v>
      </c>
      <c r="B637" s="274" t="s">
        <v>1865</v>
      </c>
      <c r="C637" s="10">
        <v>4099854191732</v>
      </c>
      <c r="D637" s="10"/>
      <c r="E637" s="10"/>
      <c r="F637" s="221" t="s">
        <v>2019</v>
      </c>
      <c r="G637" s="66" t="str">
        <f>HYPERLINK("https://ledvance.com/pt/product-datasheet/280276/273131","Ficha de Produto")</f>
        <v>Ficha de Produto</v>
      </c>
      <c r="H637" s="217" t="s">
        <v>1201</v>
      </c>
      <c r="I637" s="34" t="s">
        <v>889</v>
      </c>
      <c r="J637" s="34" t="s">
        <v>6122</v>
      </c>
      <c r="K637" s="34" t="s">
        <v>829</v>
      </c>
      <c r="L637" s="34" t="s">
        <v>793</v>
      </c>
      <c r="M637" s="30">
        <v>332.7</v>
      </c>
      <c r="N637" s="283" t="s">
        <v>721</v>
      </c>
    </row>
    <row r="638" spans="1:14" s="32" customFormat="1" ht="14.25" customHeight="1">
      <c r="A638" s="3" t="s">
        <v>641</v>
      </c>
      <c r="B638" s="36" t="s">
        <v>1426</v>
      </c>
      <c r="C638" s="214">
        <v>4058075772915</v>
      </c>
      <c r="D638" s="214"/>
      <c r="E638" s="215"/>
      <c r="F638" s="214"/>
      <c r="G638" s="66" t="str">
        <f>HYPERLINK("https://ledvance.com/pt/product-datasheet/226671/208038","Ficha de Produto")</f>
        <v>Ficha de Produto</v>
      </c>
      <c r="H638" s="217" t="s">
        <v>1201</v>
      </c>
      <c r="I638" s="34" t="s">
        <v>889</v>
      </c>
      <c r="J638" s="34" t="s">
        <v>6122</v>
      </c>
      <c r="K638" s="34" t="s">
        <v>829</v>
      </c>
      <c r="L638" s="34" t="s">
        <v>793</v>
      </c>
      <c r="M638" s="30">
        <v>332.7</v>
      </c>
      <c r="N638" s="283" t="s">
        <v>721</v>
      </c>
    </row>
    <row r="639" spans="1:14" s="32" customFormat="1" ht="14.25" customHeight="1">
      <c r="A639" s="3" t="s">
        <v>641</v>
      </c>
      <c r="B639" s="274" t="s">
        <v>1861</v>
      </c>
      <c r="C639" s="10">
        <v>4099854191657</v>
      </c>
      <c r="D639" s="10"/>
      <c r="E639" s="10"/>
      <c r="F639" s="221" t="s">
        <v>2019</v>
      </c>
      <c r="G639" s="66" t="str">
        <f>HYPERLINK("https://ledvance.com/pt/product-datasheet/226671/273119","Ficha de Produto")</f>
        <v>Ficha de Produto</v>
      </c>
      <c r="H639" s="217" t="s">
        <v>1201</v>
      </c>
      <c r="I639" s="34" t="s">
        <v>889</v>
      </c>
      <c r="J639" s="34" t="s">
        <v>6122</v>
      </c>
      <c r="K639" s="34" t="s">
        <v>829</v>
      </c>
      <c r="L639" s="34" t="s">
        <v>793</v>
      </c>
      <c r="M639" s="30">
        <v>332.7</v>
      </c>
      <c r="N639" s="283" t="s">
        <v>721</v>
      </c>
    </row>
    <row r="640" spans="1:14" s="32" customFormat="1" ht="14.25" customHeight="1">
      <c r="A640" s="3" t="s">
        <v>641</v>
      </c>
      <c r="B640" s="36" t="s">
        <v>1427</v>
      </c>
      <c r="C640" s="214">
        <v>4058075772939</v>
      </c>
      <c r="D640" s="214"/>
      <c r="E640" s="215"/>
      <c r="F640" s="214"/>
      <c r="G640" s="66" t="str">
        <f>HYPERLINK("https://ledvance.com/pt/product-datasheet/226672/208041","Ficha de Produto")</f>
        <v>Ficha de Produto</v>
      </c>
      <c r="H640" s="217" t="s">
        <v>1201</v>
      </c>
      <c r="I640" s="34" t="s">
        <v>889</v>
      </c>
      <c r="J640" s="34" t="s">
        <v>6122</v>
      </c>
      <c r="K640" s="34" t="s">
        <v>829</v>
      </c>
      <c r="L640" s="34" t="s">
        <v>793</v>
      </c>
      <c r="M640" s="30">
        <v>332.7</v>
      </c>
      <c r="N640" s="283" t="s">
        <v>721</v>
      </c>
    </row>
    <row r="641" spans="1:14" s="32" customFormat="1" ht="14.25" customHeight="1">
      <c r="A641" s="3" t="s">
        <v>641</v>
      </c>
      <c r="B641" s="274" t="s">
        <v>1862</v>
      </c>
      <c r="C641" s="10">
        <v>4099854191671</v>
      </c>
      <c r="D641" s="10"/>
      <c r="E641" s="10"/>
      <c r="F641" s="221" t="s">
        <v>2019</v>
      </c>
      <c r="G641" s="66" t="str">
        <f>HYPERLINK("https://ledvance.com/pt/product-datasheet/226672/273122","Ficha de Produto")</f>
        <v>Ficha de Produto</v>
      </c>
      <c r="H641" s="217" t="s">
        <v>1201</v>
      </c>
      <c r="I641" s="34" t="s">
        <v>889</v>
      </c>
      <c r="J641" s="34" t="s">
        <v>6122</v>
      </c>
      <c r="K641" s="34" t="s">
        <v>829</v>
      </c>
      <c r="L641" s="34" t="s">
        <v>793</v>
      </c>
      <c r="M641" s="30">
        <v>332.7</v>
      </c>
      <c r="N641" s="283" t="s">
        <v>721</v>
      </c>
    </row>
    <row r="642" spans="1:14" s="32" customFormat="1" ht="14.25" customHeight="1">
      <c r="A642" s="3" t="s">
        <v>641</v>
      </c>
      <c r="B642" s="36" t="s">
        <v>1428</v>
      </c>
      <c r="C642" s="214">
        <v>4058075772953</v>
      </c>
      <c r="D642" s="214"/>
      <c r="E642" s="215"/>
      <c r="F642" s="214"/>
      <c r="G642" s="66" t="str">
        <f>HYPERLINK("https://ledvance.com/pt/product-datasheet/226673/208045","Ficha de Produto")</f>
        <v>Ficha de Produto</v>
      </c>
      <c r="H642" s="217" t="s">
        <v>1201</v>
      </c>
      <c r="I642" s="34" t="s">
        <v>889</v>
      </c>
      <c r="J642" s="34" t="s">
        <v>6122</v>
      </c>
      <c r="K642" s="34" t="s">
        <v>829</v>
      </c>
      <c r="L642" s="34" t="s">
        <v>793</v>
      </c>
      <c r="M642" s="30">
        <v>332.7</v>
      </c>
      <c r="N642" s="283" t="s">
        <v>721</v>
      </c>
    </row>
    <row r="643" spans="1:14" s="32" customFormat="1" ht="14.25" customHeight="1">
      <c r="A643" s="3" t="s">
        <v>641</v>
      </c>
      <c r="B643" s="274" t="s">
        <v>1863</v>
      </c>
      <c r="C643" s="10">
        <v>4099854191695</v>
      </c>
      <c r="D643" s="10"/>
      <c r="E643" s="10"/>
      <c r="F643" s="221" t="s">
        <v>2019</v>
      </c>
      <c r="G643" s="66" t="str">
        <f>HYPERLINK("https://ledvance.com/pt/product-datasheet/226673/273125","Ficha de Produto")</f>
        <v>Ficha de Produto</v>
      </c>
      <c r="H643" s="217" t="s">
        <v>1201</v>
      </c>
      <c r="I643" s="34" t="s">
        <v>889</v>
      </c>
      <c r="J643" s="34" t="s">
        <v>6122</v>
      </c>
      <c r="K643" s="34" t="s">
        <v>829</v>
      </c>
      <c r="L643" s="34" t="s">
        <v>793</v>
      </c>
      <c r="M643" s="30">
        <v>332.7</v>
      </c>
      <c r="N643" s="283" t="s">
        <v>721</v>
      </c>
    </row>
    <row r="644" spans="1:14" s="32" customFormat="1" ht="14.25" customHeight="1">
      <c r="A644" s="3" t="s">
        <v>641</v>
      </c>
      <c r="B644" s="36" t="s">
        <v>1429</v>
      </c>
      <c r="C644" s="214">
        <v>4058075773004</v>
      </c>
      <c r="D644" s="214"/>
      <c r="E644" s="215"/>
      <c r="F644" s="214"/>
      <c r="G644" s="66" t="str">
        <f>HYPERLINK("https://ledvance.com/pt/product-datasheet/226667/208052","Ficha de Produto")</f>
        <v>Ficha de Produto</v>
      </c>
      <c r="H644" s="217" t="s">
        <v>1201</v>
      </c>
      <c r="I644" s="34" t="s">
        <v>1768</v>
      </c>
      <c r="J644" s="34" t="s">
        <v>6171</v>
      </c>
      <c r="K644" s="34" t="s">
        <v>829</v>
      </c>
      <c r="L644" s="34" t="s">
        <v>793</v>
      </c>
      <c r="M644" s="30">
        <v>354.3</v>
      </c>
      <c r="N644" s="283" t="s">
        <v>721</v>
      </c>
    </row>
    <row r="645" spans="1:14" s="32" customFormat="1" ht="14.25" customHeight="1">
      <c r="A645" s="3" t="s">
        <v>641</v>
      </c>
      <c r="B645" s="274" t="s">
        <v>1867</v>
      </c>
      <c r="C645" s="10">
        <v>4099854191770</v>
      </c>
      <c r="D645" s="10"/>
      <c r="E645" s="10"/>
      <c r="F645" s="221" t="s">
        <v>2019</v>
      </c>
      <c r="G645" s="66" t="str">
        <f>HYPERLINK("https://ledvance.com/pt/product-datasheet/226667/273137","Ficha de Produto")</f>
        <v>Ficha de Produto</v>
      </c>
      <c r="H645" s="217" t="s">
        <v>1201</v>
      </c>
      <c r="I645" s="34" t="s">
        <v>1768</v>
      </c>
      <c r="J645" s="34" t="s">
        <v>6171</v>
      </c>
      <c r="K645" s="34" t="s">
        <v>829</v>
      </c>
      <c r="L645" s="34" t="s">
        <v>793</v>
      </c>
      <c r="M645" s="30">
        <v>354.3</v>
      </c>
      <c r="N645" s="283" t="s">
        <v>721</v>
      </c>
    </row>
    <row r="646" spans="1:14" s="32" customFormat="1" ht="14.25" customHeight="1">
      <c r="A646" s="3" t="s">
        <v>641</v>
      </c>
      <c r="B646" s="36" t="s">
        <v>1430</v>
      </c>
      <c r="C646" s="214">
        <v>4058075773103</v>
      </c>
      <c r="D646" s="214"/>
      <c r="E646" s="215"/>
      <c r="F646" s="214"/>
      <c r="G646" s="66" t="str">
        <f>HYPERLINK("https://ledvance.com/pt/product-datasheet/226668/208055","Ficha de Produto")</f>
        <v>Ficha de Produto</v>
      </c>
      <c r="H646" s="217" t="s">
        <v>1201</v>
      </c>
      <c r="I646" s="34" t="s">
        <v>1768</v>
      </c>
      <c r="J646" s="34" t="s">
        <v>6171</v>
      </c>
      <c r="K646" s="34" t="s">
        <v>829</v>
      </c>
      <c r="L646" s="34" t="s">
        <v>793</v>
      </c>
      <c r="M646" s="30">
        <v>354.3</v>
      </c>
      <c r="N646" s="283" t="s">
        <v>721</v>
      </c>
    </row>
    <row r="647" spans="1:14" s="32" customFormat="1" ht="14.25" customHeight="1">
      <c r="A647" s="3" t="s">
        <v>641</v>
      </c>
      <c r="B647" s="274" t="s">
        <v>1868</v>
      </c>
      <c r="C647" s="10">
        <v>4099854191794</v>
      </c>
      <c r="D647" s="10"/>
      <c r="E647" s="10"/>
      <c r="F647" s="221" t="s">
        <v>2019</v>
      </c>
      <c r="G647" s="66" t="str">
        <f>HYPERLINK("https://ledvance.com/pt/product-datasheet/226668/273140","Ficha de Produto")</f>
        <v>Ficha de Produto</v>
      </c>
      <c r="H647" s="217" t="s">
        <v>1201</v>
      </c>
      <c r="I647" s="34" t="s">
        <v>1768</v>
      </c>
      <c r="J647" s="34" t="s">
        <v>6171</v>
      </c>
      <c r="K647" s="34" t="s">
        <v>829</v>
      </c>
      <c r="L647" s="34" t="s">
        <v>793</v>
      </c>
      <c r="M647" s="30">
        <v>354.3</v>
      </c>
      <c r="N647" s="283" t="s">
        <v>721</v>
      </c>
    </row>
    <row r="648" spans="1:14" s="32" customFormat="1" ht="14.25" customHeight="1">
      <c r="A648" s="3" t="s">
        <v>641</v>
      </c>
      <c r="B648" s="36" t="s">
        <v>1431</v>
      </c>
      <c r="C648" s="214">
        <v>4058075773189</v>
      </c>
      <c r="D648" s="214"/>
      <c r="E648" s="215"/>
      <c r="F648" s="214"/>
      <c r="G648" s="66" t="str">
        <f>HYPERLINK("https://ledvance.com/pt/product-datasheet/226669/207852","Ficha de Produto")</f>
        <v>Ficha de Produto</v>
      </c>
      <c r="H648" s="217" t="s">
        <v>1201</v>
      </c>
      <c r="I648" s="34" t="s">
        <v>1769</v>
      </c>
      <c r="J648" s="34" t="s">
        <v>6171</v>
      </c>
      <c r="K648" s="34" t="s">
        <v>829</v>
      </c>
      <c r="L648" s="34" t="s">
        <v>793</v>
      </c>
      <c r="M648" s="30">
        <v>383</v>
      </c>
      <c r="N648" s="283" t="s">
        <v>721</v>
      </c>
    </row>
    <row r="649" spans="1:14" s="32" customFormat="1" ht="14.25" customHeight="1">
      <c r="A649" s="3" t="s">
        <v>641</v>
      </c>
      <c r="B649" s="274" t="s">
        <v>1871</v>
      </c>
      <c r="C649" s="10">
        <v>4099854191879</v>
      </c>
      <c r="D649" s="10"/>
      <c r="E649" s="10"/>
      <c r="F649" s="221" t="s">
        <v>2019</v>
      </c>
      <c r="G649" s="66" t="str">
        <f>HYPERLINK("https://ledvance.com/pt/product-datasheet/226669/273152","Ficha de Produto")</f>
        <v>Ficha de Produto</v>
      </c>
      <c r="H649" s="217" t="s">
        <v>1201</v>
      </c>
      <c r="I649" s="34" t="s">
        <v>1769</v>
      </c>
      <c r="J649" s="34" t="s">
        <v>6171</v>
      </c>
      <c r="K649" s="34" t="s">
        <v>829</v>
      </c>
      <c r="L649" s="34" t="s">
        <v>793</v>
      </c>
      <c r="M649" s="30">
        <v>383</v>
      </c>
      <c r="N649" s="283" t="s">
        <v>721</v>
      </c>
    </row>
    <row r="650" spans="1:14" s="32" customFormat="1" ht="14.25" customHeight="1">
      <c r="A650" s="3" t="s">
        <v>641</v>
      </c>
      <c r="B650" s="274" t="s">
        <v>1873</v>
      </c>
      <c r="C650" s="10">
        <v>4099854191916</v>
      </c>
      <c r="D650" s="10"/>
      <c r="E650" s="10"/>
      <c r="F650" s="221" t="s">
        <v>2019</v>
      </c>
      <c r="G650" s="66" t="str">
        <f>HYPERLINK("https://ledvance.com/pt/product-datasheet/280276/273158","Ficha de Produto")</f>
        <v>Ficha de Produto</v>
      </c>
      <c r="H650" s="217" t="s">
        <v>1201</v>
      </c>
      <c r="I650" s="34" t="s">
        <v>1768</v>
      </c>
      <c r="J650" s="34" t="s">
        <v>6171</v>
      </c>
      <c r="K650" s="34" t="s">
        <v>829</v>
      </c>
      <c r="L650" s="34" t="s">
        <v>793</v>
      </c>
      <c r="M650" s="30">
        <v>354.3</v>
      </c>
      <c r="N650" s="283" t="s">
        <v>721</v>
      </c>
    </row>
    <row r="651" spans="1:14" s="32" customFormat="1" ht="14.25" customHeight="1">
      <c r="A651" s="3" t="s">
        <v>641</v>
      </c>
      <c r="B651" s="274" t="s">
        <v>1872</v>
      </c>
      <c r="C651" s="10">
        <v>4099854191893</v>
      </c>
      <c r="D651" s="10"/>
      <c r="E651" s="10"/>
      <c r="F651" s="221" t="s">
        <v>2019</v>
      </c>
      <c r="G651" s="66" t="str">
        <f>HYPERLINK("https://ledvance.com/pt/product-datasheet/280276/273155","Ficha de Produto")</f>
        <v>Ficha de Produto</v>
      </c>
      <c r="H651" s="217" t="s">
        <v>1201</v>
      </c>
      <c r="I651" s="34" t="s">
        <v>1768</v>
      </c>
      <c r="J651" s="34" t="s">
        <v>6171</v>
      </c>
      <c r="K651" s="34" t="s">
        <v>829</v>
      </c>
      <c r="L651" s="34" t="s">
        <v>793</v>
      </c>
      <c r="M651" s="30">
        <v>354.3</v>
      </c>
      <c r="N651" s="283" t="s">
        <v>721</v>
      </c>
    </row>
    <row r="652" spans="1:14" s="32" customFormat="1" ht="14.25" customHeight="1">
      <c r="A652" s="3" t="s">
        <v>641</v>
      </c>
      <c r="B652" s="36" t="s">
        <v>1432</v>
      </c>
      <c r="C652" s="214">
        <v>4058075773127</v>
      </c>
      <c r="D652" s="214"/>
      <c r="E652" s="215"/>
      <c r="F652" s="214"/>
      <c r="G652" s="66" t="str">
        <f>HYPERLINK("https://ledvance.com/pt/product-datasheet/226671/208058","Ficha de Produto")</f>
        <v>Ficha de Produto</v>
      </c>
      <c r="H652" s="217" t="s">
        <v>1201</v>
      </c>
      <c r="I652" s="34" t="s">
        <v>1768</v>
      </c>
      <c r="J652" s="34" t="s">
        <v>6171</v>
      </c>
      <c r="K652" s="34" t="s">
        <v>829</v>
      </c>
      <c r="L652" s="34" t="s">
        <v>793</v>
      </c>
      <c r="M652" s="30">
        <v>354.3</v>
      </c>
      <c r="N652" s="283" t="s">
        <v>721</v>
      </c>
    </row>
    <row r="653" spans="1:14" s="32" customFormat="1" ht="14.25" customHeight="1">
      <c r="A653" s="3" t="s">
        <v>641</v>
      </c>
      <c r="B653" s="274" t="s">
        <v>1869</v>
      </c>
      <c r="C653" s="10">
        <v>4099854191817</v>
      </c>
      <c r="D653" s="10"/>
      <c r="E653" s="10"/>
      <c r="F653" s="221" t="s">
        <v>2019</v>
      </c>
      <c r="G653" s="66" t="str">
        <f>HYPERLINK("https://ledvance.com/pt/product-datasheet/226671/273143","Ficha de Produto")</f>
        <v>Ficha de Produto</v>
      </c>
      <c r="H653" s="217" t="s">
        <v>1201</v>
      </c>
      <c r="I653" s="34" t="s">
        <v>1768</v>
      </c>
      <c r="J653" s="34" t="s">
        <v>6171</v>
      </c>
      <c r="K653" s="34" t="s">
        <v>829</v>
      </c>
      <c r="L653" s="34" t="s">
        <v>793</v>
      </c>
      <c r="M653" s="30">
        <v>354.3</v>
      </c>
      <c r="N653" s="283" t="s">
        <v>721</v>
      </c>
    </row>
    <row r="654" spans="1:14" s="32" customFormat="1" ht="14.25" customHeight="1">
      <c r="A654" s="3" t="s">
        <v>641</v>
      </c>
      <c r="B654" s="36" t="s">
        <v>1433</v>
      </c>
      <c r="C654" s="214">
        <v>4058075773141</v>
      </c>
      <c r="D654" s="214"/>
      <c r="E654" s="215"/>
      <c r="F654" s="214"/>
      <c r="G654" s="66" t="str">
        <f>HYPERLINK("https://ledvance.com/pt/product-datasheet/226672/207846","Ficha de Produto")</f>
        <v>Ficha de Produto</v>
      </c>
      <c r="H654" s="217" t="s">
        <v>1201</v>
      </c>
      <c r="I654" s="34" t="s">
        <v>1768</v>
      </c>
      <c r="J654" s="34" t="s">
        <v>6171</v>
      </c>
      <c r="K654" s="34" t="s">
        <v>829</v>
      </c>
      <c r="L654" s="34" t="s">
        <v>793</v>
      </c>
      <c r="M654" s="30">
        <v>354.3</v>
      </c>
      <c r="N654" s="283" t="s">
        <v>721</v>
      </c>
    </row>
    <row r="655" spans="1:14" s="32" customFormat="1" ht="14.25" customHeight="1">
      <c r="A655" s="3" t="s">
        <v>641</v>
      </c>
      <c r="B655" s="274" t="s">
        <v>1870</v>
      </c>
      <c r="C655" s="10">
        <v>4099854191831</v>
      </c>
      <c r="D655" s="10"/>
      <c r="E655" s="10"/>
      <c r="F655" s="221" t="s">
        <v>2019</v>
      </c>
      <c r="G655" s="66" t="str">
        <f>HYPERLINK("https://ledvance.com/pt/product-datasheet/226672/273146","Ficha de Produto")</f>
        <v>Ficha de Produto</v>
      </c>
      <c r="H655" s="217" t="s">
        <v>1201</v>
      </c>
      <c r="I655" s="34" t="s">
        <v>1768</v>
      </c>
      <c r="J655" s="34" t="s">
        <v>6171</v>
      </c>
      <c r="K655" s="34" t="s">
        <v>829</v>
      </c>
      <c r="L655" s="34" t="s">
        <v>793</v>
      </c>
      <c r="M655" s="30">
        <v>354.3</v>
      </c>
      <c r="N655" s="283" t="s">
        <v>721</v>
      </c>
    </row>
    <row r="656" spans="1:14" s="32" customFormat="1" ht="14.25" customHeight="1">
      <c r="A656" s="3" t="s">
        <v>641</v>
      </c>
      <c r="B656" s="36" t="s">
        <v>1434</v>
      </c>
      <c r="C656" s="214">
        <v>4058075773165</v>
      </c>
      <c r="D656" s="214"/>
      <c r="E656" s="215"/>
      <c r="F656" s="214"/>
      <c r="G656" s="66" t="str">
        <f>HYPERLINK("https://ledvance.com/pt/product-datasheet/226673/207849","Ficha de Produto")</f>
        <v>Ficha de Produto</v>
      </c>
      <c r="H656" s="217" t="s">
        <v>1201</v>
      </c>
      <c r="I656" s="34" t="s">
        <v>1768</v>
      </c>
      <c r="J656" s="34" t="s">
        <v>6171</v>
      </c>
      <c r="K656" s="34" t="s">
        <v>829</v>
      </c>
      <c r="L656" s="34" t="s">
        <v>793</v>
      </c>
      <c r="M656" s="30">
        <v>354.3</v>
      </c>
      <c r="N656" s="283" t="s">
        <v>721</v>
      </c>
    </row>
    <row r="657" spans="1:14" s="32" customFormat="1" ht="14.25" customHeight="1">
      <c r="A657" s="3" t="s">
        <v>641</v>
      </c>
      <c r="B657" s="274" t="s">
        <v>3569</v>
      </c>
      <c r="C657" s="10">
        <v>4099854191855</v>
      </c>
      <c r="D657" s="10"/>
      <c r="E657" s="10"/>
      <c r="F657" s="221" t="s">
        <v>2019</v>
      </c>
      <c r="G657" s="66" t="str">
        <f>HYPERLINK("https://ledvance.com/pt/product-datasheet/226673/273149","Ficha de Produto")</f>
        <v>Ficha de Produto</v>
      </c>
      <c r="H657" s="217" t="s">
        <v>1201</v>
      </c>
      <c r="I657" s="34" t="s">
        <v>1768</v>
      </c>
      <c r="J657" s="34" t="s">
        <v>6171</v>
      </c>
      <c r="K657" s="34" t="s">
        <v>829</v>
      </c>
      <c r="L657" s="34" t="s">
        <v>793</v>
      </c>
      <c r="M657" s="30">
        <v>354.3</v>
      </c>
      <c r="N657" s="283" t="s">
        <v>721</v>
      </c>
    </row>
    <row r="658" spans="1:14" s="32" customFormat="1" ht="14.25" customHeight="1">
      <c r="A658" s="3" t="s">
        <v>641</v>
      </c>
      <c r="B658" s="36" t="s">
        <v>1435</v>
      </c>
      <c r="C658" s="214">
        <v>4058075773219</v>
      </c>
      <c r="D658" s="214"/>
      <c r="E658" s="215"/>
      <c r="F658" s="214"/>
      <c r="G658" s="66" t="str">
        <f>HYPERLINK("https://ledvance.com/pt/product-datasheet/226667/207855","Ficha de Produto")</f>
        <v>Ficha de Produto</v>
      </c>
      <c r="H658" s="217" t="s">
        <v>1201</v>
      </c>
      <c r="I658" s="34" t="s">
        <v>1770</v>
      </c>
      <c r="J658" s="34" t="s">
        <v>6172</v>
      </c>
      <c r="K658" s="34" t="s">
        <v>829</v>
      </c>
      <c r="L658" s="34" t="s">
        <v>793</v>
      </c>
      <c r="M658" s="30">
        <v>369.7</v>
      </c>
      <c r="N658" s="283" t="s">
        <v>721</v>
      </c>
    </row>
    <row r="659" spans="1:14" s="32" customFormat="1" ht="14.25" customHeight="1">
      <c r="A659" s="3" t="s">
        <v>641</v>
      </c>
      <c r="B659" s="274" t="s">
        <v>1874</v>
      </c>
      <c r="C659" s="10">
        <v>4099854190414</v>
      </c>
      <c r="D659" s="10"/>
      <c r="E659" s="10"/>
      <c r="F659" s="221" t="s">
        <v>2019</v>
      </c>
      <c r="G659" s="66" t="str">
        <f>HYPERLINK("https://ledvance.com/pt/product-datasheet/226667/273161","Ficha de Produto")</f>
        <v>Ficha de Produto</v>
      </c>
      <c r="H659" s="217" t="s">
        <v>1201</v>
      </c>
      <c r="I659" s="34" t="s">
        <v>1770</v>
      </c>
      <c r="J659" s="34" t="s">
        <v>6172</v>
      </c>
      <c r="K659" s="34" t="s">
        <v>829</v>
      </c>
      <c r="L659" s="34" t="s">
        <v>793</v>
      </c>
      <c r="M659" s="30">
        <v>369.7</v>
      </c>
      <c r="N659" s="283" t="s">
        <v>721</v>
      </c>
    </row>
    <row r="660" spans="1:14" s="32" customFormat="1" ht="14.25" customHeight="1">
      <c r="A660" s="3" t="s">
        <v>641</v>
      </c>
      <c r="B660" s="36" t="s">
        <v>1436</v>
      </c>
      <c r="C660" s="214">
        <v>4058075773233</v>
      </c>
      <c r="D660" s="214"/>
      <c r="E660" s="215"/>
      <c r="F660" s="214"/>
      <c r="G660" s="66" t="str">
        <f>HYPERLINK("https://ledvance.com/pt/product-datasheet/226668/207858","Ficha de Produto")</f>
        <v>Ficha de Produto</v>
      </c>
      <c r="H660" s="217" t="s">
        <v>1201</v>
      </c>
      <c r="I660" s="34" t="s">
        <v>1770</v>
      </c>
      <c r="J660" s="34" t="s">
        <v>6172</v>
      </c>
      <c r="K660" s="34" t="s">
        <v>829</v>
      </c>
      <c r="L660" s="34" t="s">
        <v>793</v>
      </c>
      <c r="M660" s="30">
        <v>369.7</v>
      </c>
      <c r="N660" s="283" t="s">
        <v>721</v>
      </c>
    </row>
    <row r="661" spans="1:14" s="32" customFormat="1" ht="14.25" customHeight="1">
      <c r="A661" s="3" t="s">
        <v>641</v>
      </c>
      <c r="B661" s="274" t="s">
        <v>3567</v>
      </c>
      <c r="C661" s="10">
        <v>4099854191930</v>
      </c>
      <c r="D661" s="10"/>
      <c r="E661" s="10"/>
      <c r="F661" s="221" t="s">
        <v>2019</v>
      </c>
      <c r="G661" s="66" t="str">
        <f>HYPERLINK("https://ledvance.com/pt/product-datasheet/226668/273164","Ficha de Produto")</f>
        <v>Ficha de Produto</v>
      </c>
      <c r="H661" s="217" t="s">
        <v>1201</v>
      </c>
      <c r="I661" s="34" t="s">
        <v>1770</v>
      </c>
      <c r="J661" s="34" t="s">
        <v>6172</v>
      </c>
      <c r="K661" s="34" t="s">
        <v>829</v>
      </c>
      <c r="L661" s="34" t="s">
        <v>793</v>
      </c>
      <c r="M661" s="30">
        <v>369.7</v>
      </c>
      <c r="N661" s="283" t="s">
        <v>721</v>
      </c>
    </row>
    <row r="662" spans="1:14" s="32" customFormat="1" ht="14.25" customHeight="1">
      <c r="A662" s="3" t="s">
        <v>641</v>
      </c>
      <c r="B662" s="36" t="s">
        <v>1437</v>
      </c>
      <c r="C662" s="214">
        <v>4058075773318</v>
      </c>
      <c r="D662" s="214"/>
      <c r="E662" s="215"/>
      <c r="F662" s="214"/>
      <c r="G662" s="66" t="str">
        <f>HYPERLINK("https://ledvance.com/pt/product-datasheet/226669/207870","Ficha de Produto")</f>
        <v>Ficha de Produto</v>
      </c>
      <c r="H662" s="217" t="s">
        <v>1201</v>
      </c>
      <c r="I662" s="34" t="s">
        <v>1771</v>
      </c>
      <c r="J662" s="34" t="s">
        <v>6172</v>
      </c>
      <c r="K662" s="34" t="s">
        <v>829</v>
      </c>
      <c r="L662" s="34" t="s">
        <v>793</v>
      </c>
      <c r="M662" s="30">
        <v>399.6</v>
      </c>
      <c r="N662" s="283" t="s">
        <v>721</v>
      </c>
    </row>
    <row r="663" spans="1:14" s="32" customFormat="1" ht="14.25" customHeight="1">
      <c r="A663" s="3" t="s">
        <v>641</v>
      </c>
      <c r="B663" s="274" t="s">
        <v>3568</v>
      </c>
      <c r="C663" s="10">
        <v>4099854192012</v>
      </c>
      <c r="D663" s="10"/>
      <c r="E663" s="10"/>
      <c r="F663" s="221" t="s">
        <v>2019</v>
      </c>
      <c r="G663" s="66" t="str">
        <f>HYPERLINK("https://ledvance.com/pt/product-datasheet/226669/273176","Ficha de Produto")</f>
        <v>Ficha de Produto</v>
      </c>
      <c r="H663" s="217" t="s">
        <v>1201</v>
      </c>
      <c r="I663" s="34" t="s">
        <v>1771</v>
      </c>
      <c r="J663" s="34" t="s">
        <v>6172</v>
      </c>
      <c r="K663" s="34" t="s">
        <v>829</v>
      </c>
      <c r="L663" s="34" t="s">
        <v>793</v>
      </c>
      <c r="M663" s="30">
        <v>399.6</v>
      </c>
      <c r="N663" s="283" t="s">
        <v>721</v>
      </c>
    </row>
    <row r="664" spans="1:14" s="32" customFormat="1" ht="14.25" customHeight="1">
      <c r="A664" s="3" t="s">
        <v>641</v>
      </c>
      <c r="B664" s="274" t="s">
        <v>1879</v>
      </c>
      <c r="C664" s="10">
        <v>4099854192050</v>
      </c>
      <c r="D664" s="10"/>
      <c r="E664" s="10"/>
      <c r="F664" s="221" t="s">
        <v>2019</v>
      </c>
      <c r="G664" s="66" t="str">
        <f>HYPERLINK("https://ledvance.com/pt/product-datasheet/280276/273182","Ficha de Produto")</f>
        <v>Ficha de Produto</v>
      </c>
      <c r="H664" s="217" t="s">
        <v>1201</v>
      </c>
      <c r="I664" s="34" t="s">
        <v>1770</v>
      </c>
      <c r="J664" s="34" t="s">
        <v>6172</v>
      </c>
      <c r="K664" s="34" t="s">
        <v>829</v>
      </c>
      <c r="L664" s="34" t="s">
        <v>793</v>
      </c>
      <c r="M664" s="30">
        <v>369.7</v>
      </c>
      <c r="N664" s="283" t="s">
        <v>721</v>
      </c>
    </row>
    <row r="665" spans="1:14" s="32" customFormat="1" ht="14.25" customHeight="1">
      <c r="A665" s="3" t="s">
        <v>641</v>
      </c>
      <c r="B665" s="274" t="s">
        <v>1878</v>
      </c>
      <c r="C665" s="10">
        <v>4099854192036</v>
      </c>
      <c r="D665" s="10"/>
      <c r="E665" s="10"/>
      <c r="F665" s="221" t="s">
        <v>2019</v>
      </c>
      <c r="G665" s="66" t="str">
        <f>HYPERLINK("https://ledvance.com/pt/product-datasheet/280276/273179","Ficha de Produto")</f>
        <v>Ficha de Produto</v>
      </c>
      <c r="H665" s="217" t="s">
        <v>1201</v>
      </c>
      <c r="I665" s="34" t="s">
        <v>1770</v>
      </c>
      <c r="J665" s="34" t="s">
        <v>6172</v>
      </c>
      <c r="K665" s="34" t="s">
        <v>829</v>
      </c>
      <c r="L665" s="34" t="s">
        <v>793</v>
      </c>
      <c r="M665" s="30">
        <v>369.7</v>
      </c>
      <c r="N665" s="283" t="s">
        <v>721</v>
      </c>
    </row>
    <row r="666" spans="1:14" s="32" customFormat="1" ht="14.25" customHeight="1">
      <c r="A666" s="3" t="s">
        <v>641</v>
      </c>
      <c r="B666" s="36" t="s">
        <v>1438</v>
      </c>
      <c r="C666" s="214">
        <v>4058075773257</v>
      </c>
      <c r="D666" s="214"/>
      <c r="E666" s="215"/>
      <c r="F666" s="214"/>
      <c r="G666" s="66" t="str">
        <f>HYPERLINK("https://ledvance.com/pt/product-datasheet/226671/207861","Ficha de Produto")</f>
        <v>Ficha de Produto</v>
      </c>
      <c r="H666" s="217" t="s">
        <v>1201</v>
      </c>
      <c r="I666" s="34" t="s">
        <v>1770</v>
      </c>
      <c r="J666" s="34" t="s">
        <v>6172</v>
      </c>
      <c r="K666" s="34" t="s">
        <v>829</v>
      </c>
      <c r="L666" s="34" t="s">
        <v>793</v>
      </c>
      <c r="M666" s="30">
        <v>369.7</v>
      </c>
      <c r="N666" s="283" t="s">
        <v>721</v>
      </c>
    </row>
    <row r="667" spans="1:14" s="32" customFormat="1" ht="14.25" customHeight="1">
      <c r="A667" s="3" t="s">
        <v>641</v>
      </c>
      <c r="B667" s="274" t="s">
        <v>1875</v>
      </c>
      <c r="C667" s="10">
        <v>4099854191954</v>
      </c>
      <c r="D667" s="10"/>
      <c r="E667" s="10"/>
      <c r="F667" s="221" t="s">
        <v>2019</v>
      </c>
      <c r="G667" s="66" t="str">
        <f>HYPERLINK("https://ledvance.com/pt/product-datasheet/226671/273167","Ficha de Produto")</f>
        <v>Ficha de Produto</v>
      </c>
      <c r="H667" s="217" t="s">
        <v>1201</v>
      </c>
      <c r="I667" s="34" t="s">
        <v>1770</v>
      </c>
      <c r="J667" s="34" t="s">
        <v>6172</v>
      </c>
      <c r="K667" s="34" t="s">
        <v>829</v>
      </c>
      <c r="L667" s="34" t="s">
        <v>793</v>
      </c>
      <c r="M667" s="30">
        <v>369.7</v>
      </c>
      <c r="N667" s="283" t="s">
        <v>721</v>
      </c>
    </row>
    <row r="668" spans="1:14" s="32" customFormat="1" ht="14.25" customHeight="1">
      <c r="A668" s="3" t="s">
        <v>641</v>
      </c>
      <c r="B668" s="36" t="s">
        <v>1439</v>
      </c>
      <c r="C668" s="214">
        <v>4058075773271</v>
      </c>
      <c r="D668" s="214"/>
      <c r="E668" s="215"/>
      <c r="F668" s="214"/>
      <c r="G668" s="66" t="str">
        <f>HYPERLINK("https://ledvance.com/pt/product-datasheet/226672/207864","Ficha de Produto")</f>
        <v>Ficha de Produto</v>
      </c>
      <c r="H668" s="217" t="s">
        <v>1201</v>
      </c>
      <c r="I668" s="34" t="s">
        <v>1770</v>
      </c>
      <c r="J668" s="34" t="s">
        <v>6172</v>
      </c>
      <c r="K668" s="34" t="s">
        <v>829</v>
      </c>
      <c r="L668" s="34" t="s">
        <v>793</v>
      </c>
      <c r="M668" s="30">
        <v>369.7</v>
      </c>
      <c r="N668" s="283" t="s">
        <v>721</v>
      </c>
    </row>
    <row r="669" spans="1:14" s="32" customFormat="1" ht="14.25" customHeight="1">
      <c r="A669" s="3" t="s">
        <v>641</v>
      </c>
      <c r="B669" s="274" t="s">
        <v>1876</v>
      </c>
      <c r="C669" s="10">
        <v>4099854191978</v>
      </c>
      <c r="D669" s="10"/>
      <c r="E669" s="10"/>
      <c r="F669" s="221" t="s">
        <v>2019</v>
      </c>
      <c r="G669" s="66" t="str">
        <f>HYPERLINK("https://ledvance.com/pt/product-datasheet/226672/273170","Ficha de Produto")</f>
        <v>Ficha de Produto</v>
      </c>
      <c r="H669" s="217" t="s">
        <v>1201</v>
      </c>
      <c r="I669" s="34" t="s">
        <v>1770</v>
      </c>
      <c r="J669" s="34" t="s">
        <v>6172</v>
      </c>
      <c r="K669" s="34" t="s">
        <v>829</v>
      </c>
      <c r="L669" s="34" t="s">
        <v>793</v>
      </c>
      <c r="M669" s="30">
        <v>369.7</v>
      </c>
      <c r="N669" s="283" t="s">
        <v>721</v>
      </c>
    </row>
    <row r="670" spans="1:14" s="32" customFormat="1" ht="14.25" customHeight="1">
      <c r="A670" s="3" t="s">
        <v>641</v>
      </c>
      <c r="B670" s="36" t="s">
        <v>1440</v>
      </c>
      <c r="C670" s="214">
        <v>4058075773295</v>
      </c>
      <c r="D670" s="214"/>
      <c r="E670" s="215"/>
      <c r="F670" s="214"/>
      <c r="G670" s="66" t="str">
        <f>HYPERLINK("https://ledvance.com/pt/product-datasheet/226673/207867","Ficha de Produto")</f>
        <v>Ficha de Produto</v>
      </c>
      <c r="H670" s="217" t="s">
        <v>1201</v>
      </c>
      <c r="I670" s="34" t="s">
        <v>1770</v>
      </c>
      <c r="J670" s="34" t="s">
        <v>6172</v>
      </c>
      <c r="K670" s="34" t="s">
        <v>829</v>
      </c>
      <c r="L670" s="34" t="s">
        <v>793</v>
      </c>
      <c r="M670" s="30">
        <v>369.7</v>
      </c>
      <c r="N670" s="283" t="s">
        <v>721</v>
      </c>
    </row>
    <row r="671" spans="1:14" s="32" customFormat="1" ht="14.25" customHeight="1">
      <c r="A671" s="3" t="s">
        <v>641</v>
      </c>
      <c r="B671" s="274" t="s">
        <v>1877</v>
      </c>
      <c r="C671" s="10">
        <v>4099854191992</v>
      </c>
      <c r="D671" s="10"/>
      <c r="E671" s="10"/>
      <c r="F671" s="221" t="s">
        <v>2019</v>
      </c>
      <c r="G671" s="66" t="str">
        <f>HYPERLINK("https://ledvance.com/pt/product-datasheet/226673/273173","Ficha de Produto")</f>
        <v>Ficha de Produto</v>
      </c>
      <c r="H671" s="217" t="s">
        <v>1201</v>
      </c>
      <c r="I671" s="34" t="s">
        <v>1770</v>
      </c>
      <c r="J671" s="34" t="s">
        <v>6172</v>
      </c>
      <c r="K671" s="34" t="s">
        <v>829</v>
      </c>
      <c r="L671" s="34" t="s">
        <v>793</v>
      </c>
      <c r="M671" s="30">
        <v>369.7</v>
      </c>
      <c r="N671" s="283" t="s">
        <v>721</v>
      </c>
    </row>
    <row r="672" spans="1:14" s="32" customFormat="1" ht="14.25" customHeight="1">
      <c r="A672" s="8" t="s">
        <v>1114</v>
      </c>
      <c r="B672" s="227" t="s">
        <v>3144</v>
      </c>
      <c r="C672" s="7"/>
      <c r="D672" s="7"/>
      <c r="E672" s="7"/>
      <c r="F672" s="7"/>
      <c r="G672" s="68"/>
      <c r="H672" s="8"/>
      <c r="I672" s="227"/>
      <c r="J672" s="7"/>
      <c r="K672" s="7"/>
      <c r="L672" s="8"/>
      <c r="M672" s="7"/>
      <c r="N672" s="284"/>
    </row>
    <row r="673" spans="1:14" s="32" customFormat="1" ht="14.25" customHeight="1">
      <c r="A673" s="3" t="s">
        <v>1114</v>
      </c>
      <c r="B673" s="36" t="s">
        <v>1290</v>
      </c>
      <c r="C673" s="214">
        <v>4058075781672</v>
      </c>
      <c r="D673" s="214"/>
      <c r="E673" s="215"/>
      <c r="F673" s="214"/>
      <c r="G673" s="66" t="str">
        <f>HYPERLINK("https://ledvance.com/pt/product-datasheet/226690/210202","Ficha de Produto")</f>
        <v>Ficha de Produto</v>
      </c>
      <c r="H673" s="34" t="s">
        <v>1201</v>
      </c>
      <c r="I673" s="217" t="s">
        <v>1201</v>
      </c>
      <c r="J673" s="217" t="s">
        <v>1201</v>
      </c>
      <c r="K673" s="217" t="s">
        <v>1201</v>
      </c>
      <c r="L673" s="34" t="s">
        <v>765</v>
      </c>
      <c r="M673" s="30">
        <v>41</v>
      </c>
      <c r="N673" s="283" t="s">
        <v>721</v>
      </c>
    </row>
    <row r="674" spans="1:14" s="32" customFormat="1" ht="14.25" customHeight="1">
      <c r="A674" s="3" t="s">
        <v>1114</v>
      </c>
      <c r="B674" s="36" t="s">
        <v>1294</v>
      </c>
      <c r="C674" s="214">
        <v>4058075781757</v>
      </c>
      <c r="D674" s="214"/>
      <c r="E674" s="215"/>
      <c r="F674" s="214"/>
      <c r="G674" s="66" t="str">
        <f>HYPERLINK("https://ledvance.com/pt/product-datasheet/226690/210214","Ficha de Produto")</f>
        <v>Ficha de Produto</v>
      </c>
      <c r="H674" s="34" t="s">
        <v>1201</v>
      </c>
      <c r="I674" s="217" t="s">
        <v>1201</v>
      </c>
      <c r="J674" s="217" t="s">
        <v>1201</v>
      </c>
      <c r="K674" s="217" t="s">
        <v>1201</v>
      </c>
      <c r="L674" s="34" t="s">
        <v>765</v>
      </c>
      <c r="M674" s="30">
        <v>80.5</v>
      </c>
      <c r="N674" s="283" t="s">
        <v>721</v>
      </c>
    </row>
    <row r="675" spans="1:14" s="32" customFormat="1" ht="14.25" customHeight="1">
      <c r="A675" s="3" t="s">
        <v>1114</v>
      </c>
      <c r="B675" s="36" t="s">
        <v>3140</v>
      </c>
      <c r="C675" s="218">
        <v>4099854193521</v>
      </c>
      <c r="D675" s="214"/>
      <c r="E675" s="215"/>
      <c r="F675" s="221" t="s">
        <v>2019</v>
      </c>
      <c r="G675" s="66" t="str">
        <f>HYPERLINK("https://ledvance.com/pt/product-datasheet/226691/273561","Ficha de Produto")</f>
        <v>Ficha de Produto</v>
      </c>
      <c r="H675" s="34"/>
      <c r="I675" s="217" t="s">
        <v>1201</v>
      </c>
      <c r="J675" s="217" t="s">
        <v>1201</v>
      </c>
      <c r="K675" s="217" t="s">
        <v>1201</v>
      </c>
      <c r="L675" s="34" t="s">
        <v>765</v>
      </c>
      <c r="M675" s="30">
        <v>44.3</v>
      </c>
      <c r="N675" s="283" t="s">
        <v>721</v>
      </c>
    </row>
    <row r="676" spans="1:14" s="32" customFormat="1" ht="14.25" customHeight="1">
      <c r="A676" s="3" t="s">
        <v>1114</v>
      </c>
      <c r="B676" s="36" t="s">
        <v>1292</v>
      </c>
      <c r="C676" s="214">
        <v>4058075781696</v>
      </c>
      <c r="D676" s="214"/>
      <c r="E676" s="215"/>
      <c r="F676" s="214"/>
      <c r="G676" s="66" t="str">
        <f>HYPERLINK("https://ledvance.com/pt/product-datasheet/226691/210205","Ficha de Produto")</f>
        <v>Ficha de Produto</v>
      </c>
      <c r="H676" s="34" t="s">
        <v>1201</v>
      </c>
      <c r="I676" s="217" t="s">
        <v>1201</v>
      </c>
      <c r="J676" s="217" t="s">
        <v>1201</v>
      </c>
      <c r="K676" s="217" t="s">
        <v>1201</v>
      </c>
      <c r="L676" s="34" t="s">
        <v>765</v>
      </c>
      <c r="M676" s="30">
        <v>56.6</v>
      </c>
      <c r="N676" s="283" t="s">
        <v>721</v>
      </c>
    </row>
    <row r="677" spans="1:14" s="32" customFormat="1" ht="14.25" customHeight="1">
      <c r="A677" s="3" t="s">
        <v>1114</v>
      </c>
      <c r="B677" s="36" t="s">
        <v>1295</v>
      </c>
      <c r="C677" s="214">
        <v>4058075781771</v>
      </c>
      <c r="D677" s="214"/>
      <c r="E677" s="215"/>
      <c r="F677" s="214"/>
      <c r="G677" s="66" t="str">
        <f>HYPERLINK("https://ledvance.com/pt/product-datasheet/226691/210217","Ficha de Produto")</f>
        <v>Ficha de Produto</v>
      </c>
      <c r="H677" s="34" t="s">
        <v>1201</v>
      </c>
      <c r="I677" s="217" t="s">
        <v>1201</v>
      </c>
      <c r="J677" s="217" t="s">
        <v>1201</v>
      </c>
      <c r="K677" s="217" t="s">
        <v>1201</v>
      </c>
      <c r="L677" s="34" t="s">
        <v>765</v>
      </c>
      <c r="M677" s="30">
        <v>97</v>
      </c>
      <c r="N677" s="283" t="s">
        <v>721</v>
      </c>
    </row>
    <row r="678" spans="1:14" s="32" customFormat="1" ht="14.25" customHeight="1">
      <c r="A678" s="3" t="s">
        <v>1114</v>
      </c>
      <c r="B678" s="36" t="s">
        <v>1291</v>
      </c>
      <c r="C678" s="214">
        <v>4058075781733</v>
      </c>
      <c r="D678" s="214"/>
      <c r="E678" s="215"/>
      <c r="F678" s="214"/>
      <c r="G678" s="66" t="str">
        <f>HYPERLINK("https://ledvance.com/pt/product-datasheet/226690/210211","Ficha de Produto")</f>
        <v>Ficha de Produto</v>
      </c>
      <c r="H678" s="34" t="s">
        <v>1201</v>
      </c>
      <c r="I678" s="217" t="s">
        <v>1201</v>
      </c>
      <c r="J678" s="217" t="s">
        <v>1201</v>
      </c>
      <c r="K678" s="217" t="s">
        <v>1201</v>
      </c>
      <c r="L678" s="34" t="s">
        <v>765</v>
      </c>
      <c r="M678" s="30">
        <v>41</v>
      </c>
      <c r="N678" s="283" t="s">
        <v>721</v>
      </c>
    </row>
    <row r="679" spans="1:14" s="32" customFormat="1" ht="14.25" customHeight="1">
      <c r="A679" s="3" t="s">
        <v>1114</v>
      </c>
      <c r="B679" s="36" t="s">
        <v>3141</v>
      </c>
      <c r="C679" s="218">
        <v>4099854193545</v>
      </c>
      <c r="D679" s="214"/>
      <c r="E679" s="215"/>
      <c r="F679" s="221" t="s">
        <v>2019</v>
      </c>
      <c r="G679" s="66" t="str">
        <f>HYPERLINK("https://ledvance.com/pt/product-datasheet/226691/273564","Ficha de Produto")</f>
        <v>Ficha de Produto</v>
      </c>
      <c r="H679" s="34"/>
      <c r="I679" s="217" t="s">
        <v>1201</v>
      </c>
      <c r="J679" s="217" t="s">
        <v>1201</v>
      </c>
      <c r="K679" s="217" t="s">
        <v>1201</v>
      </c>
      <c r="L679" s="34" t="s">
        <v>765</v>
      </c>
      <c r="M679" s="30">
        <v>44.3</v>
      </c>
      <c r="N679" s="283" t="s">
        <v>721</v>
      </c>
    </row>
    <row r="680" spans="1:14" s="32" customFormat="1" ht="14.25" customHeight="1">
      <c r="A680" s="3" t="s">
        <v>1114</v>
      </c>
      <c r="B680" s="36" t="s">
        <v>1293</v>
      </c>
      <c r="C680" s="214">
        <v>4058075781719</v>
      </c>
      <c r="D680" s="214"/>
      <c r="E680" s="215"/>
      <c r="F680" s="214"/>
      <c r="G680" s="66" t="str">
        <f>HYPERLINK("https://ledvance.com/pt/product-datasheet/226691/210208","Ficha de Produto")</f>
        <v>Ficha de Produto</v>
      </c>
      <c r="H680" s="34" t="s">
        <v>1201</v>
      </c>
      <c r="I680" s="217" t="s">
        <v>1201</v>
      </c>
      <c r="J680" s="217" t="s">
        <v>1201</v>
      </c>
      <c r="K680" s="217" t="s">
        <v>1201</v>
      </c>
      <c r="L680" s="34" t="s">
        <v>765</v>
      </c>
      <c r="M680" s="30">
        <v>56.6</v>
      </c>
      <c r="N680" s="283" t="s">
        <v>721</v>
      </c>
    </row>
    <row r="681" spans="1:14" s="32" customFormat="1" ht="14.25" customHeight="1">
      <c r="A681" s="8" t="s">
        <v>1114</v>
      </c>
      <c r="B681" s="227" t="s">
        <v>1296</v>
      </c>
      <c r="C681" s="7"/>
      <c r="D681" s="7"/>
      <c r="E681" s="7"/>
      <c r="F681" s="7"/>
      <c r="G681" s="68"/>
      <c r="H681" s="8"/>
      <c r="I681" s="227"/>
      <c r="J681" s="7"/>
      <c r="K681" s="7"/>
      <c r="L681" s="8"/>
      <c r="M681" s="7"/>
      <c r="N681" s="284"/>
    </row>
    <row r="682" spans="1:14" s="32" customFormat="1" ht="14.25" customHeight="1">
      <c r="A682" s="3" t="s">
        <v>1114</v>
      </c>
      <c r="B682" s="36" t="s">
        <v>1725</v>
      </c>
      <c r="C682" s="214">
        <v>4058075781795</v>
      </c>
      <c r="D682" s="214"/>
      <c r="E682" s="215"/>
      <c r="F682" s="214"/>
      <c r="G682" s="66" t="str">
        <f>HYPERLINK("https://ledvance.com/pt/product-datasheet/226692/210222","Ficha de Produto")</f>
        <v>Ficha de Produto</v>
      </c>
      <c r="H682" s="217" t="s">
        <v>1201</v>
      </c>
      <c r="I682" s="217" t="s">
        <v>1201</v>
      </c>
      <c r="J682" s="217" t="s">
        <v>1201</v>
      </c>
      <c r="K682" s="217" t="s">
        <v>1201</v>
      </c>
      <c r="L682" s="34" t="s">
        <v>765</v>
      </c>
      <c r="M682" s="30">
        <v>28.9</v>
      </c>
      <c r="N682" s="283" t="s">
        <v>721</v>
      </c>
    </row>
    <row r="683" spans="1:14" s="32" customFormat="1" ht="14.25" customHeight="1">
      <c r="A683" s="3" t="s">
        <v>1114</v>
      </c>
      <c r="B683" s="36" t="s">
        <v>1726</v>
      </c>
      <c r="C683" s="214">
        <v>4058075781818</v>
      </c>
      <c r="D683" s="214"/>
      <c r="E683" s="215"/>
      <c r="F683" s="214"/>
      <c r="G683" s="66" t="str">
        <f>HYPERLINK("https://ledvance.com/pt/product-datasheet/226693/210228","Ficha de Produto")</f>
        <v>Ficha de Produto</v>
      </c>
      <c r="H683" s="217" t="s">
        <v>1201</v>
      </c>
      <c r="I683" s="217" t="s">
        <v>1201</v>
      </c>
      <c r="J683" s="217" t="s">
        <v>1201</v>
      </c>
      <c r="K683" s="217" t="s">
        <v>1201</v>
      </c>
      <c r="L683" s="34" t="s">
        <v>765</v>
      </c>
      <c r="M683" s="30">
        <v>26</v>
      </c>
      <c r="N683" s="283" t="s">
        <v>721</v>
      </c>
    </row>
    <row r="684" spans="1:14" s="32" customFormat="1" ht="14.25" customHeight="1">
      <c r="A684" s="3" t="s">
        <v>1114</v>
      </c>
      <c r="B684" s="36" t="s">
        <v>3151</v>
      </c>
      <c r="C684" s="218">
        <v>4099854193606</v>
      </c>
      <c r="D684" s="214"/>
      <c r="E684" s="215"/>
      <c r="F684" s="214"/>
      <c r="G684" s="66" t="str">
        <f>HYPERLINK("https://ledvance.com/pt/product-datasheet/226694/273552","Ficha de Produto")</f>
        <v>Ficha de Produto</v>
      </c>
      <c r="H684" s="217" t="s">
        <v>1201</v>
      </c>
      <c r="I684" s="217" t="s">
        <v>1201</v>
      </c>
      <c r="J684" s="217" t="s">
        <v>1201</v>
      </c>
      <c r="K684" s="217" t="s">
        <v>1201</v>
      </c>
      <c r="L684" s="34" t="s">
        <v>765</v>
      </c>
      <c r="M684" s="30">
        <v>11</v>
      </c>
      <c r="N684" s="283" t="s">
        <v>721</v>
      </c>
    </row>
    <row r="685" spans="1:14" s="32" customFormat="1" ht="14.25" customHeight="1">
      <c r="A685" s="3" t="s">
        <v>1114</v>
      </c>
      <c r="B685" s="36" t="s">
        <v>3145</v>
      </c>
      <c r="C685" s="214">
        <v>4058118270828</v>
      </c>
      <c r="D685" s="214"/>
      <c r="E685" s="215"/>
      <c r="F685" s="214"/>
      <c r="G685" s="66" t="str">
        <f>HYPERLINK("https://ledvance.com/pt/product-datasheet/226694/218153","Ficha de Produto")</f>
        <v>Ficha de Produto</v>
      </c>
      <c r="H685" s="217" t="s">
        <v>1201</v>
      </c>
      <c r="I685" s="217" t="s">
        <v>1201</v>
      </c>
      <c r="J685" s="217" t="s">
        <v>1201</v>
      </c>
      <c r="K685" s="217" t="s">
        <v>1201</v>
      </c>
      <c r="L685" s="34" t="s">
        <v>765</v>
      </c>
      <c r="M685" s="30">
        <v>16.899999999999999</v>
      </c>
      <c r="N685" s="283" t="s">
        <v>721</v>
      </c>
    </row>
    <row r="686" spans="1:14" ht="14.25" customHeight="1">
      <c r="A686" s="3" t="s">
        <v>1114</v>
      </c>
      <c r="B686" s="2" t="s">
        <v>3146</v>
      </c>
      <c r="C686" s="218">
        <v>4099854193637</v>
      </c>
      <c r="D686" s="28"/>
      <c r="E686" s="229"/>
      <c r="F686" s="221" t="s">
        <v>2019</v>
      </c>
      <c r="G686" s="66" t="str">
        <f>HYPERLINK("https://ledvance.com/pt/product-datasheet/280339/273567","Ficha de Produto")</f>
        <v>Ficha de Produto</v>
      </c>
      <c r="H686" s="217" t="s">
        <v>1201</v>
      </c>
      <c r="I686" s="217" t="s">
        <v>1201</v>
      </c>
      <c r="J686" s="217" t="s">
        <v>1201</v>
      </c>
      <c r="K686" s="217" t="s">
        <v>1201</v>
      </c>
      <c r="L686" s="34" t="s">
        <v>765</v>
      </c>
      <c r="M686" s="30">
        <v>165</v>
      </c>
      <c r="N686" s="283" t="s">
        <v>721</v>
      </c>
    </row>
    <row r="687" spans="1:14" ht="14.25" customHeight="1">
      <c r="A687" s="3" t="s">
        <v>1114</v>
      </c>
      <c r="B687" s="2" t="s">
        <v>3147</v>
      </c>
      <c r="C687" s="218">
        <v>4099854193651</v>
      </c>
      <c r="D687" s="28"/>
      <c r="E687" s="229"/>
      <c r="F687" s="221" t="s">
        <v>2019</v>
      </c>
      <c r="G687" s="66" t="str">
        <f>HYPERLINK("https://ledvance.com/pt/product-datasheet/280339/273570","Ficha de Produto")</f>
        <v>Ficha de Produto</v>
      </c>
      <c r="H687" s="217" t="s">
        <v>1201</v>
      </c>
      <c r="I687" s="217" t="s">
        <v>1201</v>
      </c>
      <c r="J687" s="217" t="s">
        <v>1201</v>
      </c>
      <c r="K687" s="217" t="s">
        <v>1201</v>
      </c>
      <c r="L687" s="34" t="s">
        <v>765</v>
      </c>
      <c r="M687" s="30">
        <v>182.5</v>
      </c>
      <c r="N687" s="283" t="s">
        <v>721</v>
      </c>
    </row>
    <row r="688" spans="1:14" ht="14.25" customHeight="1">
      <c r="A688" s="3" t="s">
        <v>1114</v>
      </c>
      <c r="B688" s="2" t="s">
        <v>3148</v>
      </c>
      <c r="C688" s="218">
        <v>4099854230158</v>
      </c>
      <c r="D688" s="28"/>
      <c r="E688" s="229"/>
      <c r="F688" s="221" t="s">
        <v>2019</v>
      </c>
      <c r="G688" s="66" t="str">
        <f>HYPERLINK("https://ledvance.com/pt/product-datasheet/297248/283819","Ficha de Produto")</f>
        <v>Ficha de Produto</v>
      </c>
      <c r="H688" s="217" t="s">
        <v>1201</v>
      </c>
      <c r="I688" s="217" t="s">
        <v>1201</v>
      </c>
      <c r="J688" s="217" t="s">
        <v>1201</v>
      </c>
      <c r="K688" s="34" t="s">
        <v>788</v>
      </c>
      <c r="L688" s="34" t="s">
        <v>765</v>
      </c>
      <c r="M688" s="30">
        <v>72.5</v>
      </c>
      <c r="N688" s="283" t="s">
        <v>721</v>
      </c>
    </row>
    <row r="689" spans="1:14" ht="14.25" customHeight="1">
      <c r="A689" s="3" t="s">
        <v>1114</v>
      </c>
      <c r="B689" s="2" t="s">
        <v>3149</v>
      </c>
      <c r="C689" s="218">
        <v>4099854230172</v>
      </c>
      <c r="D689" s="28"/>
      <c r="E689" s="229"/>
      <c r="F689" s="221" t="s">
        <v>2019</v>
      </c>
      <c r="G689" s="66" t="str">
        <f>HYPERLINK("https://ledvance.com/pt/product-datasheet/297248/283822","Ficha de Produto")</f>
        <v>Ficha de Produto</v>
      </c>
      <c r="H689" s="217" t="s">
        <v>1201</v>
      </c>
      <c r="I689" s="217" t="s">
        <v>1201</v>
      </c>
      <c r="J689" s="217" t="s">
        <v>1201</v>
      </c>
      <c r="K689" s="34" t="s">
        <v>788</v>
      </c>
      <c r="L689" s="34" t="s">
        <v>765</v>
      </c>
      <c r="M689" s="30">
        <v>67.5</v>
      </c>
      <c r="N689" s="283" t="s">
        <v>721</v>
      </c>
    </row>
    <row r="690" spans="1:14" ht="14.25" customHeight="1">
      <c r="A690" s="3" t="s">
        <v>1114</v>
      </c>
      <c r="B690" s="2" t="s">
        <v>3150</v>
      </c>
      <c r="C690" s="218">
        <v>4099854230196</v>
      </c>
      <c r="D690" s="28"/>
      <c r="E690" s="229"/>
      <c r="F690" s="221" t="s">
        <v>2019</v>
      </c>
      <c r="G690" s="66" t="str">
        <f>HYPERLINK("https://ledvance.com/pt/product-datasheet/297248/283825","Ficha de Produto")</f>
        <v>Ficha de Produto</v>
      </c>
      <c r="H690" s="217" t="s">
        <v>1201</v>
      </c>
      <c r="I690" s="217" t="s">
        <v>1201</v>
      </c>
      <c r="J690" s="217" t="s">
        <v>1201</v>
      </c>
      <c r="K690" s="34" t="s">
        <v>788</v>
      </c>
      <c r="L690" s="34" t="s">
        <v>765</v>
      </c>
      <c r="M690" s="30">
        <v>35</v>
      </c>
      <c r="N690" s="283" t="s">
        <v>721</v>
      </c>
    </row>
    <row r="691" spans="1:14" s="32" customFormat="1" ht="14.25" customHeight="1">
      <c r="A691" s="3" t="s">
        <v>1114</v>
      </c>
      <c r="B691" s="36" t="s">
        <v>1727</v>
      </c>
      <c r="C691" s="214">
        <v>4058075781856</v>
      </c>
      <c r="D691" s="214"/>
      <c r="E691" s="215"/>
      <c r="F691" s="214"/>
      <c r="G691" s="66" t="str">
        <f>HYPERLINK("https://ledvance.com/pt/product-datasheet/226695/210240","Ficha de Produto")</f>
        <v>Ficha de Produto</v>
      </c>
      <c r="H691" s="217" t="s">
        <v>1201</v>
      </c>
      <c r="I691" s="217" t="s">
        <v>1201</v>
      </c>
      <c r="J691" s="217" t="s">
        <v>1201</v>
      </c>
      <c r="K691" s="217" t="s">
        <v>1201</v>
      </c>
      <c r="L691" s="34" t="s">
        <v>765</v>
      </c>
      <c r="M691" s="30">
        <v>23</v>
      </c>
      <c r="N691" s="283" t="s">
        <v>721</v>
      </c>
    </row>
    <row r="692" spans="1:14" s="32" customFormat="1" ht="14.25" customHeight="1">
      <c r="A692" s="3" t="s">
        <v>1114</v>
      </c>
      <c r="B692" s="36" t="s">
        <v>1728</v>
      </c>
      <c r="C692" s="214">
        <v>4058075781870</v>
      </c>
      <c r="D692" s="214"/>
      <c r="E692" s="215"/>
      <c r="F692" s="214"/>
      <c r="G692" s="66" t="str">
        <f>HYPERLINK("https://ledvance.com/pt/product-datasheet/226695/210246","Ficha de Produto")</f>
        <v>Ficha de Produto</v>
      </c>
      <c r="H692" s="217" t="s">
        <v>1201</v>
      </c>
      <c r="I692" s="217" t="s">
        <v>1201</v>
      </c>
      <c r="J692" s="217" t="s">
        <v>1201</v>
      </c>
      <c r="K692" s="217" t="s">
        <v>1201</v>
      </c>
      <c r="L692" s="34" t="s">
        <v>765</v>
      </c>
      <c r="M692" s="30">
        <v>23</v>
      </c>
      <c r="N692" s="283" t="s">
        <v>721</v>
      </c>
    </row>
    <row r="693" spans="1:14" s="32" customFormat="1" ht="14.25" customHeight="1">
      <c r="A693" s="3" t="s">
        <v>1114</v>
      </c>
      <c r="B693" s="36" t="s">
        <v>1729</v>
      </c>
      <c r="C693" s="214">
        <v>4058075781894</v>
      </c>
      <c r="D693" s="214"/>
      <c r="E693" s="215"/>
      <c r="F693" s="214"/>
      <c r="G693" s="66" t="str">
        <f>HYPERLINK("https://ledvance.com/pt/product-datasheet/226696/210251","Ficha de Produto")</f>
        <v>Ficha de Produto</v>
      </c>
      <c r="H693" s="217" t="s">
        <v>1201</v>
      </c>
      <c r="I693" s="217" t="s">
        <v>1201</v>
      </c>
      <c r="J693" s="217" t="s">
        <v>1201</v>
      </c>
      <c r="K693" s="217" t="s">
        <v>1201</v>
      </c>
      <c r="L693" s="34" t="s">
        <v>765</v>
      </c>
      <c r="M693" s="30">
        <v>12</v>
      </c>
      <c r="N693" s="283" t="s">
        <v>721</v>
      </c>
    </row>
    <row r="694" spans="1:14" s="32" customFormat="1" ht="14.25" customHeight="1">
      <c r="A694" s="3" t="s">
        <v>1114</v>
      </c>
      <c r="B694" s="36" t="s">
        <v>1730</v>
      </c>
      <c r="C694" s="214">
        <v>4058075781917</v>
      </c>
      <c r="D694" s="214"/>
      <c r="E694" s="215"/>
      <c r="F694" s="214"/>
      <c r="G694" s="66" t="str">
        <f>HYPERLINK("https://ledvance.com/pt/product-datasheet/226697/210254","Ficha de Produto")</f>
        <v>Ficha de Produto</v>
      </c>
      <c r="H694" s="217" t="s">
        <v>1201</v>
      </c>
      <c r="I694" s="217" t="s">
        <v>1201</v>
      </c>
      <c r="J694" s="217" t="s">
        <v>1201</v>
      </c>
      <c r="K694" s="217" t="s">
        <v>1201</v>
      </c>
      <c r="L694" s="34" t="s">
        <v>765</v>
      </c>
      <c r="M694" s="30">
        <v>23.6</v>
      </c>
      <c r="N694" s="283" t="s">
        <v>721</v>
      </c>
    </row>
    <row r="695" spans="1:14" s="32" customFormat="1" ht="14.25" customHeight="1">
      <c r="A695" s="3" t="s">
        <v>1114</v>
      </c>
      <c r="B695" s="36" t="s">
        <v>1731</v>
      </c>
      <c r="C695" s="214">
        <v>4058075781931</v>
      </c>
      <c r="D695" s="214"/>
      <c r="E695" s="215"/>
      <c r="F695" s="214"/>
      <c r="G695" s="66" t="str">
        <f>HYPERLINK("https://ledvance.com/pt/product-datasheet/226698/210257","Ficha de Produto")</f>
        <v>Ficha de Produto</v>
      </c>
      <c r="H695" s="217" t="s">
        <v>1201</v>
      </c>
      <c r="I695" s="217" t="s">
        <v>1201</v>
      </c>
      <c r="J695" s="217" t="s">
        <v>1201</v>
      </c>
      <c r="K695" s="217" t="s">
        <v>1201</v>
      </c>
      <c r="L695" s="34" t="s">
        <v>765</v>
      </c>
      <c r="M695" s="30">
        <v>6</v>
      </c>
      <c r="N695" s="283" t="s">
        <v>721</v>
      </c>
    </row>
    <row r="696" spans="1:14" s="32" customFormat="1" ht="14.25" customHeight="1">
      <c r="A696" s="3" t="s">
        <v>1114</v>
      </c>
      <c r="B696" s="36" t="s">
        <v>1732</v>
      </c>
      <c r="C696" s="214">
        <v>4058075781955</v>
      </c>
      <c r="D696" s="214"/>
      <c r="E696" s="215"/>
      <c r="F696" s="214"/>
      <c r="G696" s="66" t="str">
        <f>HYPERLINK("https://ledvance.com/pt/product-datasheet/226698/210260","Ficha de Produto")</f>
        <v>Ficha de Produto</v>
      </c>
      <c r="H696" s="217" t="s">
        <v>1201</v>
      </c>
      <c r="I696" s="217" t="s">
        <v>1201</v>
      </c>
      <c r="J696" s="217" t="s">
        <v>1201</v>
      </c>
      <c r="K696" s="217" t="s">
        <v>1201</v>
      </c>
      <c r="L696" s="34" t="s">
        <v>765</v>
      </c>
      <c r="M696" s="30">
        <v>7.6</v>
      </c>
      <c r="N696" s="283" t="s">
        <v>721</v>
      </c>
    </row>
    <row r="697" spans="1:14" s="32" customFormat="1" ht="14.25" customHeight="1">
      <c r="A697" s="3" t="s">
        <v>1114</v>
      </c>
      <c r="B697" s="36" t="s">
        <v>1297</v>
      </c>
      <c r="C697" s="214">
        <v>4058075781979</v>
      </c>
      <c r="D697" s="214"/>
      <c r="E697" s="215"/>
      <c r="F697" s="214"/>
      <c r="G697" s="66" t="str">
        <f>HYPERLINK("https://ledvance.com/pt/product-datasheet/226699/210263","Ficha de Produto")</f>
        <v>Ficha de Produto</v>
      </c>
      <c r="H697" s="217" t="s">
        <v>1201</v>
      </c>
      <c r="I697" s="217" t="s">
        <v>1201</v>
      </c>
      <c r="J697" s="217" t="s">
        <v>1201</v>
      </c>
      <c r="K697" s="217" t="s">
        <v>1201</v>
      </c>
      <c r="L697" s="34" t="s">
        <v>765</v>
      </c>
      <c r="M697" s="30">
        <v>71.400000000000006</v>
      </c>
      <c r="N697" s="283" t="s">
        <v>721</v>
      </c>
    </row>
    <row r="698" spans="1:14" s="32" customFormat="1" ht="14.25" customHeight="1">
      <c r="A698" s="3" t="s">
        <v>1114</v>
      </c>
      <c r="B698" s="36" t="s">
        <v>1298</v>
      </c>
      <c r="C698" s="214">
        <v>4058075781993</v>
      </c>
      <c r="D698" s="214"/>
      <c r="E698" s="215"/>
      <c r="F698" s="214"/>
      <c r="G698" s="66" t="str">
        <f>HYPERLINK("https://ledvance.com/pt/product-datasheet/226699/210266","Ficha de Produto")</f>
        <v>Ficha de Produto</v>
      </c>
      <c r="H698" s="217" t="s">
        <v>1201</v>
      </c>
      <c r="I698" s="217" t="s">
        <v>1201</v>
      </c>
      <c r="J698" s="217" t="s">
        <v>1201</v>
      </c>
      <c r="K698" s="217" t="s">
        <v>1201</v>
      </c>
      <c r="L698" s="34" t="s">
        <v>765</v>
      </c>
      <c r="M698" s="30">
        <v>74.599999999999994</v>
      </c>
      <c r="N698" s="283" t="s">
        <v>721</v>
      </c>
    </row>
    <row r="699" spans="1:14" s="32" customFormat="1" ht="14.25" customHeight="1">
      <c r="A699" s="3" t="s">
        <v>1114</v>
      </c>
      <c r="B699" s="36" t="s">
        <v>1299</v>
      </c>
      <c r="C699" s="214">
        <v>4058075782013</v>
      </c>
      <c r="D699" s="214"/>
      <c r="E699" s="215"/>
      <c r="F699" s="214"/>
      <c r="G699" s="66" t="str">
        <f>HYPERLINK("https://ledvance.com/pt/product-datasheet/226701/210269","Ficha de Produto")</f>
        <v>Ficha de Produto</v>
      </c>
      <c r="H699" s="217" t="s">
        <v>1201</v>
      </c>
      <c r="I699" s="217" t="s">
        <v>1201</v>
      </c>
      <c r="J699" s="217" t="s">
        <v>1201</v>
      </c>
      <c r="K699" s="217" t="s">
        <v>1201</v>
      </c>
      <c r="L699" s="34" t="s">
        <v>765</v>
      </c>
      <c r="M699" s="30">
        <v>71.400000000000006</v>
      </c>
      <c r="N699" s="283" t="s">
        <v>721</v>
      </c>
    </row>
    <row r="700" spans="1:14" s="32" customFormat="1" ht="14.25" customHeight="1">
      <c r="A700" s="3" t="s">
        <v>1114</v>
      </c>
      <c r="B700" s="36" t="s">
        <v>1300</v>
      </c>
      <c r="C700" s="214">
        <v>4058075782037</v>
      </c>
      <c r="D700" s="214"/>
      <c r="E700" s="215"/>
      <c r="F700" s="214"/>
      <c r="G700" s="66" t="str">
        <f>HYPERLINK("https://ledvance.com/pt/product-datasheet/226701/210272","Ficha de Produto")</f>
        <v>Ficha de Produto</v>
      </c>
      <c r="H700" s="217" t="s">
        <v>1201</v>
      </c>
      <c r="I700" s="217" t="s">
        <v>1201</v>
      </c>
      <c r="J700" s="217" t="s">
        <v>1201</v>
      </c>
      <c r="K700" s="217" t="s">
        <v>1201</v>
      </c>
      <c r="L700" s="34" t="s">
        <v>765</v>
      </c>
      <c r="M700" s="30">
        <v>74.599999999999994</v>
      </c>
      <c r="N700" s="283" t="s">
        <v>721</v>
      </c>
    </row>
    <row r="701" spans="1:14" s="32" customFormat="1" ht="14.25" customHeight="1">
      <c r="A701" s="3" t="s">
        <v>1114</v>
      </c>
      <c r="B701" s="36" t="s">
        <v>1301</v>
      </c>
      <c r="C701" s="214">
        <v>4058075782051</v>
      </c>
      <c r="D701" s="214"/>
      <c r="E701" s="215"/>
      <c r="F701" s="214"/>
      <c r="G701" s="66" t="str">
        <f>HYPERLINK("https://ledvance.com/pt/product-datasheet/226702/210275","Ficha de Produto")</f>
        <v>Ficha de Produto</v>
      </c>
      <c r="H701" s="217" t="s">
        <v>1201</v>
      </c>
      <c r="I701" s="217" t="s">
        <v>1201</v>
      </c>
      <c r="J701" s="217" t="s">
        <v>1201</v>
      </c>
      <c r="K701" s="217" t="s">
        <v>1201</v>
      </c>
      <c r="L701" s="34" t="s">
        <v>765</v>
      </c>
      <c r="M701" s="30">
        <v>168.2</v>
      </c>
      <c r="N701" s="283" t="s">
        <v>721</v>
      </c>
    </row>
    <row r="702" spans="1:14" s="32" customFormat="1" ht="14.25" customHeight="1">
      <c r="A702" s="8" t="s">
        <v>641</v>
      </c>
      <c r="B702" s="227" t="s">
        <v>3324</v>
      </c>
      <c r="C702" s="7"/>
      <c r="D702" s="7"/>
      <c r="E702" s="7"/>
      <c r="F702" s="7"/>
      <c r="G702" s="68"/>
      <c r="H702" s="7"/>
      <c r="I702" s="7"/>
      <c r="J702" s="7"/>
      <c r="K702" s="7"/>
      <c r="L702" s="7"/>
      <c r="M702" s="7"/>
      <c r="N702" s="284"/>
    </row>
    <row r="703" spans="1:14" s="32" customFormat="1" ht="14.25" customHeight="1">
      <c r="A703" s="3" t="s">
        <v>641</v>
      </c>
      <c r="B703" s="36" t="s">
        <v>3314</v>
      </c>
      <c r="C703" s="214">
        <v>4058075424227</v>
      </c>
      <c r="D703" s="214"/>
      <c r="E703" s="215"/>
      <c r="F703" s="214"/>
      <c r="G703" s="66" t="str">
        <f>HYPERLINK("https://ledvance.com/pt/product-datasheet/8827/138753","Ficha de Produto")</f>
        <v>Ficha de Produto</v>
      </c>
      <c r="H703" s="34">
        <v>6</v>
      </c>
      <c r="I703" s="34" t="s">
        <v>874</v>
      </c>
      <c r="J703" s="34" t="s">
        <v>6173</v>
      </c>
      <c r="K703" s="34" t="s">
        <v>876</v>
      </c>
      <c r="L703" s="34" t="s">
        <v>765</v>
      </c>
      <c r="M703" s="30">
        <v>83.6</v>
      </c>
      <c r="N703" s="283" t="s">
        <v>721</v>
      </c>
    </row>
    <row r="704" spans="1:14" s="32" customFormat="1" ht="14.25" customHeight="1">
      <c r="A704" s="3" t="s">
        <v>641</v>
      </c>
      <c r="B704" s="36" t="s">
        <v>3315</v>
      </c>
      <c r="C704" s="214">
        <v>4058075210028</v>
      </c>
      <c r="D704" s="214"/>
      <c r="E704" s="215"/>
      <c r="F704" s="214"/>
      <c r="G704" s="66" t="str">
        <f>HYPERLINK("https://ledvance.com/pt/product-datasheet/8827/138003","Ficha de Produto")</f>
        <v>Ficha de Produto</v>
      </c>
      <c r="H704" s="34">
        <v>6</v>
      </c>
      <c r="I704" s="34" t="s">
        <v>814</v>
      </c>
      <c r="J704" s="34" t="s">
        <v>6173</v>
      </c>
      <c r="K704" s="34" t="s">
        <v>876</v>
      </c>
      <c r="L704" s="34" t="s">
        <v>765</v>
      </c>
      <c r="M704" s="30">
        <v>83.6</v>
      </c>
      <c r="N704" s="283" t="s">
        <v>721</v>
      </c>
    </row>
    <row r="705" spans="1:14" s="32" customFormat="1" ht="14.25" customHeight="1">
      <c r="A705" s="3" t="s">
        <v>641</v>
      </c>
      <c r="B705" s="36" t="s">
        <v>3316</v>
      </c>
      <c r="C705" s="214">
        <v>4058075424241</v>
      </c>
      <c r="D705" s="214"/>
      <c r="E705" s="215"/>
      <c r="F705" s="214"/>
      <c r="G705" s="66" t="str">
        <f>HYPERLINK("https://ledvance.com/pt/product-datasheet/8827/138756","Ficha de Produto")</f>
        <v>Ficha de Produto</v>
      </c>
      <c r="H705" s="34">
        <v>6</v>
      </c>
      <c r="I705" s="34" t="s">
        <v>877</v>
      </c>
      <c r="J705" s="34" t="s">
        <v>6174</v>
      </c>
      <c r="K705" s="34" t="s">
        <v>876</v>
      </c>
      <c r="L705" s="34" t="s">
        <v>765</v>
      </c>
      <c r="M705" s="30">
        <v>97.3</v>
      </c>
      <c r="N705" s="283" t="s">
        <v>721</v>
      </c>
    </row>
    <row r="706" spans="1:14" s="32" customFormat="1" ht="14.25" customHeight="1">
      <c r="A706" s="3" t="s">
        <v>641</v>
      </c>
      <c r="B706" s="36" t="s">
        <v>3317</v>
      </c>
      <c r="C706" s="214">
        <v>4058075210042</v>
      </c>
      <c r="D706" s="214"/>
      <c r="E706" s="215"/>
      <c r="F706" s="214"/>
      <c r="G706" s="66" t="str">
        <f>HYPERLINK("https://ledvance.com/pt/product-datasheet/8827/138006","Ficha de Produto")</f>
        <v>Ficha de Produto</v>
      </c>
      <c r="H706" s="34">
        <v>6</v>
      </c>
      <c r="I706" s="34" t="s">
        <v>878</v>
      </c>
      <c r="J706" s="34" t="s">
        <v>6174</v>
      </c>
      <c r="K706" s="34" t="s">
        <v>876</v>
      </c>
      <c r="L706" s="34" t="s">
        <v>765</v>
      </c>
      <c r="M706" s="30">
        <v>97.3</v>
      </c>
      <c r="N706" s="283" t="s">
        <v>721</v>
      </c>
    </row>
    <row r="707" spans="1:14" s="32" customFormat="1" ht="14.25" customHeight="1">
      <c r="A707" s="3" t="s">
        <v>641</v>
      </c>
      <c r="B707" s="36" t="s">
        <v>3318</v>
      </c>
      <c r="C707" s="214">
        <v>4058075210066</v>
      </c>
      <c r="D707" s="214"/>
      <c r="E707" s="215"/>
      <c r="F707" s="214"/>
      <c r="G707" s="66" t="str">
        <f>HYPERLINK("https://ledvance.com/pt/product-datasheet/8827/138009","Ficha de Produto")</f>
        <v>Ficha de Produto</v>
      </c>
      <c r="H707" s="34">
        <v>6</v>
      </c>
      <c r="I707" s="34" t="s">
        <v>878</v>
      </c>
      <c r="J707" s="34" t="s">
        <v>6174</v>
      </c>
      <c r="K707" s="34" t="s">
        <v>876</v>
      </c>
      <c r="L707" s="34" t="s">
        <v>765</v>
      </c>
      <c r="M707" s="30">
        <v>97.3</v>
      </c>
      <c r="N707" s="283" t="s">
        <v>721</v>
      </c>
    </row>
    <row r="708" spans="1:14" s="32" customFormat="1" ht="14.25" customHeight="1">
      <c r="A708" s="3" t="s">
        <v>641</v>
      </c>
      <c r="B708" s="36" t="s">
        <v>3319</v>
      </c>
      <c r="C708" s="214">
        <v>4058075424265</v>
      </c>
      <c r="D708" s="214"/>
      <c r="E708" s="215"/>
      <c r="F708" s="214"/>
      <c r="G708" s="66" t="str">
        <f>HYPERLINK("https://ledvance.com/pt/product-datasheet/8827/138759","Ficha de Produto")</f>
        <v>Ficha de Produto</v>
      </c>
      <c r="H708" s="34">
        <v>6</v>
      </c>
      <c r="I708" s="34" t="s">
        <v>848</v>
      </c>
      <c r="J708" s="34" t="s">
        <v>6175</v>
      </c>
      <c r="K708" s="34" t="s">
        <v>876</v>
      </c>
      <c r="L708" s="34" t="s">
        <v>765</v>
      </c>
      <c r="M708" s="30">
        <v>94.7</v>
      </c>
      <c r="N708" s="283" t="s">
        <v>721</v>
      </c>
    </row>
    <row r="709" spans="1:14" s="32" customFormat="1" ht="14.25" customHeight="1">
      <c r="A709" s="3" t="s">
        <v>641</v>
      </c>
      <c r="B709" s="36" t="s">
        <v>3320</v>
      </c>
      <c r="C709" s="214">
        <v>4058075210080</v>
      </c>
      <c r="D709" s="214"/>
      <c r="E709" s="215"/>
      <c r="F709" s="214"/>
      <c r="G709" s="66" t="str">
        <f>HYPERLINK("https://ledvance.com/pt/product-datasheet/8827/138012","Ficha de Produto")</f>
        <v>Ficha de Produto</v>
      </c>
      <c r="H709" s="34">
        <v>6</v>
      </c>
      <c r="I709" s="34" t="s">
        <v>828</v>
      </c>
      <c r="J709" s="34" t="s">
        <v>6175</v>
      </c>
      <c r="K709" s="34" t="s">
        <v>876</v>
      </c>
      <c r="L709" s="34" t="s">
        <v>765</v>
      </c>
      <c r="M709" s="30">
        <v>94.7</v>
      </c>
      <c r="N709" s="283" t="s">
        <v>721</v>
      </c>
    </row>
    <row r="710" spans="1:14" s="32" customFormat="1" ht="14.25" customHeight="1">
      <c r="A710" s="3" t="s">
        <v>641</v>
      </c>
      <c r="B710" s="36" t="s">
        <v>3321</v>
      </c>
      <c r="C710" s="214">
        <v>4058075424289</v>
      </c>
      <c r="D710" s="214"/>
      <c r="E710" s="215"/>
      <c r="F710" s="214"/>
      <c r="G710" s="66" t="str">
        <f>HYPERLINK("https://ledvance.com/pt/product-datasheet/8827/138762","Ficha de Produto")</f>
        <v>Ficha de Produto</v>
      </c>
      <c r="H710" s="34">
        <v>6</v>
      </c>
      <c r="I710" s="34" t="s">
        <v>871</v>
      </c>
      <c r="J710" s="34" t="s">
        <v>6135</v>
      </c>
      <c r="K710" s="34" t="s">
        <v>876</v>
      </c>
      <c r="L710" s="34" t="s">
        <v>765</v>
      </c>
      <c r="M710" s="30">
        <v>107.8</v>
      </c>
      <c r="N710" s="283" t="s">
        <v>721</v>
      </c>
    </row>
    <row r="711" spans="1:14" s="32" customFormat="1" ht="14.25" customHeight="1">
      <c r="A711" s="3" t="s">
        <v>641</v>
      </c>
      <c r="B711" s="36" t="s">
        <v>3322</v>
      </c>
      <c r="C711" s="214">
        <v>4058075210103</v>
      </c>
      <c r="D711" s="214"/>
      <c r="E711" s="215"/>
      <c r="F711" s="214"/>
      <c r="G711" s="66" t="str">
        <f>HYPERLINK("https://ledvance.com/pt/product-datasheet/8827/138015","Ficha de Produto")</f>
        <v>Ficha de Produto</v>
      </c>
      <c r="H711" s="34">
        <v>6</v>
      </c>
      <c r="I711" s="34" t="s">
        <v>869</v>
      </c>
      <c r="J711" s="34" t="s">
        <v>6135</v>
      </c>
      <c r="K711" s="34" t="s">
        <v>876</v>
      </c>
      <c r="L711" s="34" t="s">
        <v>765</v>
      </c>
      <c r="M711" s="30">
        <v>107.8</v>
      </c>
      <c r="N711" s="283" t="s">
        <v>721</v>
      </c>
    </row>
    <row r="712" spans="1:14" s="32" customFormat="1" ht="14.25" customHeight="1">
      <c r="A712" s="3" t="s">
        <v>641</v>
      </c>
      <c r="B712" s="36" t="s">
        <v>3323</v>
      </c>
      <c r="C712" s="214">
        <v>4058075210127</v>
      </c>
      <c r="D712" s="214"/>
      <c r="E712" s="215"/>
      <c r="F712" s="214"/>
      <c r="G712" s="66" t="str">
        <f>HYPERLINK("https://ledvance.com/pt/product-datasheet/8827/138018","Ficha de Produto")</f>
        <v>Ficha de Produto</v>
      </c>
      <c r="H712" s="34">
        <v>6</v>
      </c>
      <c r="I712" s="34" t="s">
        <v>869</v>
      </c>
      <c r="J712" s="34" t="s">
        <v>6135</v>
      </c>
      <c r="K712" s="34" t="s">
        <v>876</v>
      </c>
      <c r="L712" s="34" t="s">
        <v>765</v>
      </c>
      <c r="M712" s="30">
        <v>107.8</v>
      </c>
      <c r="N712" s="283" t="s">
        <v>721</v>
      </c>
    </row>
    <row r="713" spans="1:14" s="32" customFormat="1" ht="14.25" customHeight="1">
      <c r="A713" s="8" t="s">
        <v>641</v>
      </c>
      <c r="B713" s="227" t="s">
        <v>3328</v>
      </c>
      <c r="C713" s="7"/>
      <c r="D713" s="7"/>
      <c r="E713" s="7"/>
      <c r="F713" s="7"/>
      <c r="G713" s="68"/>
      <c r="H713" s="7"/>
      <c r="I713" s="7"/>
      <c r="J713" s="7"/>
      <c r="K713" s="7"/>
      <c r="L713" s="7"/>
      <c r="M713" s="7"/>
      <c r="N713" s="284"/>
    </row>
    <row r="714" spans="1:14" s="32" customFormat="1" ht="14.25" customHeight="1">
      <c r="A714" s="3" t="s">
        <v>641</v>
      </c>
      <c r="B714" s="36" t="s">
        <v>3326</v>
      </c>
      <c r="C714" s="214">
        <v>4058075740853</v>
      </c>
      <c r="D714" s="214"/>
      <c r="E714" s="215"/>
      <c r="F714" s="214"/>
      <c r="G714" s="66" t="str">
        <f>HYPERLINK("https://ledvance.com/pt/product-datasheet/227823/200734","Ficha de Produto")</f>
        <v>Ficha de Produto</v>
      </c>
      <c r="H714" s="34">
        <v>9</v>
      </c>
      <c r="I714" s="34" t="s">
        <v>792</v>
      </c>
      <c r="J714" s="34" t="s">
        <v>6176</v>
      </c>
      <c r="K714" s="34" t="s">
        <v>876</v>
      </c>
      <c r="L714" s="34" t="s">
        <v>765</v>
      </c>
      <c r="M714" s="30">
        <v>35.4</v>
      </c>
      <c r="N714" s="283" t="s">
        <v>721</v>
      </c>
    </row>
    <row r="715" spans="1:14" s="32" customFormat="1" ht="14.25" customHeight="1">
      <c r="A715" s="3" t="s">
        <v>641</v>
      </c>
      <c r="B715" s="36" t="s">
        <v>3325</v>
      </c>
      <c r="C715" s="214">
        <v>4058075740877</v>
      </c>
      <c r="D715" s="214"/>
      <c r="E715" s="215"/>
      <c r="F715" s="214"/>
      <c r="G715" s="66" t="str">
        <f>HYPERLINK("https://ledvance.com/pt/product-datasheet/227823/200737","Ficha de Produto")</f>
        <v>Ficha de Produto</v>
      </c>
      <c r="H715" s="34">
        <v>9</v>
      </c>
      <c r="I715" s="34" t="s">
        <v>6177</v>
      </c>
      <c r="J715" s="34" t="s">
        <v>6178</v>
      </c>
      <c r="K715" s="34" t="s">
        <v>876</v>
      </c>
      <c r="L715" s="34" t="s">
        <v>765</v>
      </c>
      <c r="M715" s="30">
        <v>48.2</v>
      </c>
      <c r="N715" s="283" t="s">
        <v>721</v>
      </c>
    </row>
    <row r="716" spans="1:14" s="32" customFormat="1" ht="14.25" customHeight="1">
      <c r="A716" s="3" t="s">
        <v>641</v>
      </c>
      <c r="B716" s="36" t="s">
        <v>3327</v>
      </c>
      <c r="C716" s="214">
        <v>4058075740891</v>
      </c>
      <c r="D716" s="214"/>
      <c r="E716" s="215"/>
      <c r="F716" s="214"/>
      <c r="G716" s="66" t="str">
        <f>HYPERLINK("https://ledvance.com/pt/product-datasheet/227823/200740","Ficha de Produto")</f>
        <v>Ficha de Produto</v>
      </c>
      <c r="H716" s="34">
        <v>6</v>
      </c>
      <c r="I716" s="34" t="s">
        <v>6179</v>
      </c>
      <c r="J716" s="34" t="s">
        <v>6180</v>
      </c>
      <c r="K716" s="34" t="s">
        <v>876</v>
      </c>
      <c r="L716" s="34" t="s">
        <v>765</v>
      </c>
      <c r="M716" s="30">
        <v>57.7</v>
      </c>
      <c r="N716" s="283" t="s">
        <v>721</v>
      </c>
    </row>
    <row r="717" spans="1:14" s="32" customFormat="1" ht="14.25" customHeight="1">
      <c r="A717" s="3" t="s">
        <v>641</v>
      </c>
      <c r="B717" s="36" t="s">
        <v>3394</v>
      </c>
      <c r="C717" s="214">
        <v>4058075740914</v>
      </c>
      <c r="D717" s="214"/>
      <c r="E717" s="215"/>
      <c r="F717" s="214"/>
      <c r="G717" s="66" t="str">
        <f>HYPERLINK("https://ledvance.com/pt/product-datasheet/227996/200744","Ficha de Produto")</f>
        <v>Ficha de Produto</v>
      </c>
      <c r="H717" s="34">
        <v>9</v>
      </c>
      <c r="I717" s="34" t="s">
        <v>6177</v>
      </c>
      <c r="J717" s="34" t="s">
        <v>6178</v>
      </c>
      <c r="K717" s="34" t="s">
        <v>876</v>
      </c>
      <c r="L717" s="34" t="s">
        <v>765</v>
      </c>
      <c r="M717" s="30">
        <v>54.5</v>
      </c>
      <c r="N717" s="283" t="s">
        <v>721</v>
      </c>
    </row>
    <row r="718" spans="1:14" s="32" customFormat="1" ht="14.25" customHeight="1">
      <c r="A718" s="3" t="s">
        <v>641</v>
      </c>
      <c r="B718" s="36" t="s">
        <v>3395</v>
      </c>
      <c r="C718" s="214">
        <v>4058075740938</v>
      </c>
      <c r="D718" s="214"/>
      <c r="E718" s="215"/>
      <c r="F718" s="214"/>
      <c r="G718" s="66" t="str">
        <f>HYPERLINK("https://ledvance.com/pt/product-datasheet/227996/200747","Ficha de Produto")</f>
        <v>Ficha de Produto</v>
      </c>
      <c r="H718" s="34">
        <v>6</v>
      </c>
      <c r="I718" s="34" t="s">
        <v>6179</v>
      </c>
      <c r="J718" s="34" t="s">
        <v>6180</v>
      </c>
      <c r="K718" s="34" t="s">
        <v>876</v>
      </c>
      <c r="L718" s="34" t="s">
        <v>765</v>
      </c>
      <c r="M718" s="30">
        <v>67.3</v>
      </c>
      <c r="N718" s="283" t="s">
        <v>721</v>
      </c>
    </row>
    <row r="719" spans="1:14" s="32" customFormat="1" ht="14.25" customHeight="1">
      <c r="A719" s="3" t="s">
        <v>641</v>
      </c>
      <c r="B719" s="36" t="s">
        <v>3396</v>
      </c>
      <c r="C719" s="214">
        <v>4058075740952</v>
      </c>
      <c r="D719" s="214"/>
      <c r="E719" s="215"/>
      <c r="F719" s="214"/>
      <c r="G719" s="66" t="str">
        <f>HYPERLINK("https://ledvance.com/pt/product-datasheet/227996/200750","Ficha de Produto")</f>
        <v>Ficha de Produto</v>
      </c>
      <c r="H719" s="34">
        <v>9</v>
      </c>
      <c r="I719" s="34" t="s">
        <v>6177</v>
      </c>
      <c r="J719" s="34" t="s">
        <v>6178</v>
      </c>
      <c r="K719" s="34" t="s">
        <v>876</v>
      </c>
      <c r="L719" s="34" t="s">
        <v>765</v>
      </c>
      <c r="M719" s="30">
        <v>54.5</v>
      </c>
      <c r="N719" s="283" t="s">
        <v>721</v>
      </c>
    </row>
    <row r="720" spans="1:14" s="32" customFormat="1" ht="14.25" customHeight="1">
      <c r="A720" s="3" t="s">
        <v>641</v>
      </c>
      <c r="B720" s="36" t="s">
        <v>3397</v>
      </c>
      <c r="C720" s="214">
        <v>4058075740976</v>
      </c>
      <c r="D720" s="214"/>
      <c r="E720" s="215"/>
      <c r="F720" s="214"/>
      <c r="G720" s="66" t="str">
        <f>HYPERLINK("https://ledvance.com/pt/product-datasheet/227996/200753","Ficha de Produto")</f>
        <v>Ficha de Produto</v>
      </c>
      <c r="H720" s="34">
        <v>6</v>
      </c>
      <c r="I720" s="34" t="s">
        <v>6179</v>
      </c>
      <c r="J720" s="34" t="s">
        <v>6180</v>
      </c>
      <c r="K720" s="34" t="s">
        <v>876</v>
      </c>
      <c r="L720" s="34" t="s">
        <v>765</v>
      </c>
      <c r="M720" s="30">
        <v>67.3</v>
      </c>
      <c r="N720" s="283" t="s">
        <v>721</v>
      </c>
    </row>
    <row r="721" spans="1:14" s="32" customFormat="1" ht="14.25" customHeight="1">
      <c r="A721" s="3" t="s">
        <v>641</v>
      </c>
      <c r="B721" s="36" t="s">
        <v>3398</v>
      </c>
      <c r="C721" s="214">
        <v>4058075740990</v>
      </c>
      <c r="D721" s="214"/>
      <c r="E721" s="215"/>
      <c r="F721" s="214"/>
      <c r="G721" s="66" t="str">
        <f>HYPERLINK("https://ledvance.com/pt/product-datasheet/227996/200756","Ficha de Produto")</f>
        <v>Ficha de Produto</v>
      </c>
      <c r="H721" s="34">
        <v>6</v>
      </c>
      <c r="I721" s="34" t="s">
        <v>6181</v>
      </c>
      <c r="J721" s="34" t="s">
        <v>6182</v>
      </c>
      <c r="K721" s="34" t="s">
        <v>876</v>
      </c>
      <c r="L721" s="34" t="s">
        <v>765</v>
      </c>
      <c r="M721" s="30">
        <v>76.8</v>
      </c>
      <c r="N721" s="283" t="s">
        <v>721</v>
      </c>
    </row>
    <row r="722" spans="1:14" s="32" customFormat="1" ht="14.25" customHeight="1">
      <c r="A722" s="8" t="s">
        <v>641</v>
      </c>
      <c r="B722" s="227" t="s">
        <v>1733</v>
      </c>
      <c r="C722" s="7"/>
      <c r="D722" s="7"/>
      <c r="E722" s="7"/>
      <c r="F722" s="7"/>
      <c r="G722" s="68"/>
      <c r="H722" s="7"/>
      <c r="I722" s="7"/>
      <c r="J722" s="7"/>
      <c r="K722" s="7"/>
      <c r="L722" s="7"/>
      <c r="M722" s="7"/>
      <c r="N722" s="284"/>
    </row>
    <row r="723" spans="1:14" s="32" customFormat="1" ht="14.25" customHeight="1">
      <c r="A723" s="3" t="s">
        <v>641</v>
      </c>
      <c r="B723" s="36" t="s">
        <v>4124</v>
      </c>
      <c r="C723" s="214">
        <v>4058075452114</v>
      </c>
      <c r="D723" s="214"/>
      <c r="E723" s="215"/>
      <c r="F723" s="214"/>
      <c r="G723" s="66" t="str">
        <f>HYPERLINK("https://ledvance.com/pt/product-datasheet/8834/129663","Ficha de Produto")</f>
        <v>Ficha de Produto</v>
      </c>
      <c r="H723" s="34">
        <v>6</v>
      </c>
      <c r="I723" s="34" t="s">
        <v>814</v>
      </c>
      <c r="J723" s="34" t="s">
        <v>6127</v>
      </c>
      <c r="K723" s="34" t="s">
        <v>6183</v>
      </c>
      <c r="L723" s="34" t="s">
        <v>765</v>
      </c>
      <c r="M723" s="30">
        <v>146</v>
      </c>
      <c r="N723" s="283" t="s">
        <v>721</v>
      </c>
    </row>
    <row r="724" spans="1:14" s="32" customFormat="1" ht="14.25" customHeight="1">
      <c r="A724" s="3" t="s">
        <v>641</v>
      </c>
      <c r="B724" s="36" t="s">
        <v>4125</v>
      </c>
      <c r="C724" s="214">
        <v>4058075452152</v>
      </c>
      <c r="D724" s="214"/>
      <c r="E724" s="215"/>
      <c r="F724" s="214"/>
      <c r="G724" s="66" t="str">
        <f>HYPERLINK("https://ledvance.com/pt/product-datasheet/8834/129669","Ficha de Produto")</f>
        <v>Ficha de Produto</v>
      </c>
      <c r="H724" s="34">
        <v>6</v>
      </c>
      <c r="I724" s="34" t="s">
        <v>850</v>
      </c>
      <c r="J724" s="34" t="s">
        <v>6138</v>
      </c>
      <c r="K724" s="34" t="s">
        <v>6183</v>
      </c>
      <c r="L724" s="34" t="s">
        <v>765</v>
      </c>
      <c r="M724" s="30">
        <v>152.1</v>
      </c>
      <c r="N724" s="283" t="s">
        <v>721</v>
      </c>
    </row>
    <row r="725" spans="1:14" s="32" customFormat="1" ht="14.25" customHeight="1">
      <c r="A725" s="3" t="s">
        <v>641</v>
      </c>
      <c r="B725" s="36" t="s">
        <v>4126</v>
      </c>
      <c r="C725" s="214">
        <v>4058075452138</v>
      </c>
      <c r="D725" s="214"/>
      <c r="E725" s="215"/>
      <c r="F725" s="214"/>
      <c r="G725" s="66" t="str">
        <f>HYPERLINK("https://ledvance.com/pt/product-datasheet/8834/129666","Ficha de Produto")</f>
        <v>Ficha de Produto</v>
      </c>
      <c r="H725" s="34">
        <v>6</v>
      </c>
      <c r="I725" s="34" t="s">
        <v>884</v>
      </c>
      <c r="J725" s="34" t="s">
        <v>6119</v>
      </c>
      <c r="K725" s="34" t="s">
        <v>6183</v>
      </c>
      <c r="L725" s="34" t="s">
        <v>765</v>
      </c>
      <c r="M725" s="30">
        <v>149</v>
      </c>
      <c r="N725" s="283" t="s">
        <v>721</v>
      </c>
    </row>
    <row r="726" spans="1:14" s="32" customFormat="1" ht="14.25" customHeight="1">
      <c r="A726" s="3" t="s">
        <v>641</v>
      </c>
      <c r="B726" s="36" t="s">
        <v>4127</v>
      </c>
      <c r="C726" s="214">
        <v>4058075452176</v>
      </c>
      <c r="D726" s="214"/>
      <c r="E726" s="215"/>
      <c r="F726" s="214"/>
      <c r="G726" s="66" t="str">
        <f>HYPERLINK("https://ledvance.com/pt/product-datasheet/8834/129672","Ficha de Produto")</f>
        <v>Ficha de Produto</v>
      </c>
      <c r="H726" s="34">
        <v>6</v>
      </c>
      <c r="I726" s="34" t="s">
        <v>870</v>
      </c>
      <c r="J726" s="34" t="s">
        <v>6171</v>
      </c>
      <c r="K726" s="34" t="s">
        <v>6183</v>
      </c>
      <c r="L726" s="34" t="s">
        <v>765</v>
      </c>
      <c r="M726" s="30">
        <v>155.30000000000001</v>
      </c>
      <c r="N726" s="283" t="s">
        <v>721</v>
      </c>
    </row>
    <row r="727" spans="1:14" s="32" customFormat="1" ht="14.25" customHeight="1">
      <c r="A727" s="8" t="s">
        <v>641</v>
      </c>
      <c r="B727" s="227" t="s">
        <v>3342</v>
      </c>
      <c r="C727" s="7"/>
      <c r="D727" s="7"/>
      <c r="E727" s="7"/>
      <c r="F727" s="7"/>
      <c r="G727" s="68"/>
      <c r="H727" s="7"/>
      <c r="I727" s="7"/>
      <c r="J727" s="7"/>
      <c r="K727" s="7"/>
      <c r="L727" s="7"/>
      <c r="M727" s="7"/>
      <c r="N727" s="284"/>
    </row>
    <row r="728" spans="1:14" s="32" customFormat="1" ht="14.25" customHeight="1">
      <c r="A728" s="3" t="s">
        <v>641</v>
      </c>
      <c r="B728" s="36" t="s">
        <v>3329</v>
      </c>
      <c r="C728" s="214">
        <v>4058075541047</v>
      </c>
      <c r="D728" s="214"/>
      <c r="E728" s="215"/>
      <c r="F728" s="214"/>
      <c r="G728" s="66" t="str">
        <f>HYPERLINK("https://ledvance.com/pt/product-datasheet/141865/101270","Ficha de Produto")</f>
        <v>Ficha de Produto</v>
      </c>
      <c r="H728" s="34">
        <v>6</v>
      </c>
      <c r="I728" s="34" t="s">
        <v>767</v>
      </c>
      <c r="J728" s="34" t="s">
        <v>6115</v>
      </c>
      <c r="K728" s="34" t="s">
        <v>822</v>
      </c>
      <c r="L728" s="34" t="s">
        <v>765</v>
      </c>
      <c r="M728" s="30">
        <v>80</v>
      </c>
      <c r="N728" s="283" t="s">
        <v>721</v>
      </c>
    </row>
    <row r="729" spans="1:14" s="32" customFormat="1" ht="14.25" customHeight="1">
      <c r="A729" s="3" t="s">
        <v>641</v>
      </c>
      <c r="B729" s="36" t="s">
        <v>3330</v>
      </c>
      <c r="C729" s="214">
        <v>4058075541061</v>
      </c>
      <c r="D729" s="214"/>
      <c r="E729" s="215"/>
      <c r="F729" s="214"/>
      <c r="G729" s="66" t="str">
        <f>HYPERLINK("https://ledvance.com/pt/product-datasheet/141865/101273","Ficha de Produto")</f>
        <v>Ficha de Produto</v>
      </c>
      <c r="H729" s="34">
        <v>6</v>
      </c>
      <c r="I729" s="34" t="s">
        <v>767</v>
      </c>
      <c r="J729" s="34" t="s">
        <v>6115</v>
      </c>
      <c r="K729" s="34" t="s">
        <v>822</v>
      </c>
      <c r="L729" s="34" t="s">
        <v>765</v>
      </c>
      <c r="M729" s="30">
        <v>80</v>
      </c>
      <c r="N729" s="283" t="s">
        <v>721</v>
      </c>
    </row>
    <row r="730" spans="1:14" s="32" customFormat="1" ht="14.25" customHeight="1">
      <c r="A730" s="3" t="s">
        <v>641</v>
      </c>
      <c r="B730" s="36" t="s">
        <v>3331</v>
      </c>
      <c r="C730" s="214">
        <v>4058075541085</v>
      </c>
      <c r="D730" s="214"/>
      <c r="E730" s="215"/>
      <c r="F730" s="214"/>
      <c r="G730" s="66" t="str">
        <f>HYPERLINK("https://ledvance.com/pt/product-datasheet/141865/101276","Ficha de Produto")</f>
        <v>Ficha de Produto</v>
      </c>
      <c r="H730" s="34">
        <v>6</v>
      </c>
      <c r="I730" s="34" t="s">
        <v>815</v>
      </c>
      <c r="J730" s="34" t="s">
        <v>6170</v>
      </c>
      <c r="K730" s="34" t="s">
        <v>822</v>
      </c>
      <c r="L730" s="34" t="s">
        <v>765</v>
      </c>
      <c r="M730" s="30">
        <v>90</v>
      </c>
      <c r="N730" s="283" t="s">
        <v>721</v>
      </c>
    </row>
    <row r="731" spans="1:14" s="32" customFormat="1" ht="14.25" customHeight="1">
      <c r="A731" s="3" t="s">
        <v>641</v>
      </c>
      <c r="B731" s="36" t="s">
        <v>3332</v>
      </c>
      <c r="C731" s="214">
        <v>4058075541108</v>
      </c>
      <c r="D731" s="214"/>
      <c r="E731" s="215"/>
      <c r="F731" s="214"/>
      <c r="G731" s="66" t="str">
        <f>HYPERLINK("https://ledvance.com/pt/product-datasheet/141865/101279","Ficha de Produto")</f>
        <v>Ficha de Produto</v>
      </c>
      <c r="H731" s="34">
        <v>6</v>
      </c>
      <c r="I731" s="34" t="s">
        <v>880</v>
      </c>
      <c r="J731" s="34" t="s">
        <v>6170</v>
      </c>
      <c r="K731" s="34" t="s">
        <v>822</v>
      </c>
      <c r="L731" s="34" t="s">
        <v>765</v>
      </c>
      <c r="M731" s="30">
        <v>90</v>
      </c>
      <c r="N731" s="283" t="s">
        <v>721</v>
      </c>
    </row>
    <row r="732" spans="1:14" s="32" customFormat="1" ht="14.25" customHeight="1">
      <c r="A732" s="3" t="s">
        <v>641</v>
      </c>
      <c r="B732" s="36" t="s">
        <v>3333</v>
      </c>
      <c r="C732" s="214">
        <v>4058075541122</v>
      </c>
      <c r="D732" s="214"/>
      <c r="E732" s="215"/>
      <c r="F732" s="214"/>
      <c r="G732" s="66" t="str">
        <f>HYPERLINK("https://ledvance.com/pt/product-datasheet/141865/101282","Ficha de Produto")</f>
        <v>Ficha de Produto</v>
      </c>
      <c r="H732" s="34">
        <v>6</v>
      </c>
      <c r="I732" s="34" t="s">
        <v>880</v>
      </c>
      <c r="J732" s="34" t="s">
        <v>6170</v>
      </c>
      <c r="K732" s="34" t="s">
        <v>822</v>
      </c>
      <c r="L732" s="34" t="s">
        <v>765</v>
      </c>
      <c r="M732" s="30">
        <v>90</v>
      </c>
      <c r="N732" s="283" t="s">
        <v>721</v>
      </c>
    </row>
    <row r="733" spans="1:14" s="32" customFormat="1" ht="14.25" customHeight="1">
      <c r="A733" s="3" t="s">
        <v>641</v>
      </c>
      <c r="B733" s="36" t="s">
        <v>3343</v>
      </c>
      <c r="C733" s="214">
        <v>4058075541146</v>
      </c>
      <c r="D733" s="214"/>
      <c r="E733" s="215"/>
      <c r="F733" s="214"/>
      <c r="G733" s="66" t="str">
        <f>HYPERLINK("https://ledvance.com/pt/product-datasheet/141865/101285","Ficha de Produto")</f>
        <v>Ficha de Produto</v>
      </c>
      <c r="H733" s="34">
        <v>6</v>
      </c>
      <c r="I733" s="34" t="s">
        <v>848</v>
      </c>
      <c r="J733" s="34" t="s">
        <v>6184</v>
      </c>
      <c r="K733" s="34" t="s">
        <v>822</v>
      </c>
      <c r="L733" s="34" t="s">
        <v>765</v>
      </c>
      <c r="M733" s="30">
        <v>92</v>
      </c>
      <c r="N733" s="283" t="s">
        <v>721</v>
      </c>
    </row>
    <row r="734" spans="1:14" s="32" customFormat="1" ht="14.25" customHeight="1">
      <c r="A734" s="3" t="s">
        <v>641</v>
      </c>
      <c r="B734" s="36" t="s">
        <v>3334</v>
      </c>
      <c r="C734" s="214">
        <v>4058075541160</v>
      </c>
      <c r="D734" s="214"/>
      <c r="E734" s="215"/>
      <c r="F734" s="214"/>
      <c r="G734" s="66" t="str">
        <f>HYPERLINK("https://ledvance.com/pt/product-datasheet/141865/101288","Ficha de Produto")</f>
        <v>Ficha de Produto</v>
      </c>
      <c r="H734" s="34">
        <v>6</v>
      </c>
      <c r="I734" s="34" t="s">
        <v>848</v>
      </c>
      <c r="J734" s="34" t="s">
        <v>6184</v>
      </c>
      <c r="K734" s="34" t="s">
        <v>822</v>
      </c>
      <c r="L734" s="34" t="s">
        <v>765</v>
      </c>
      <c r="M734" s="30">
        <v>92</v>
      </c>
      <c r="N734" s="283" t="s">
        <v>721</v>
      </c>
    </row>
    <row r="735" spans="1:14" s="32" customFormat="1" ht="14.25" customHeight="1">
      <c r="A735" s="3" t="s">
        <v>641</v>
      </c>
      <c r="B735" s="36" t="s">
        <v>3335</v>
      </c>
      <c r="C735" s="214">
        <v>4058075541184</v>
      </c>
      <c r="D735" s="214"/>
      <c r="E735" s="215"/>
      <c r="F735" s="214"/>
      <c r="G735" s="66" t="str">
        <f>HYPERLINK("https://ledvance.com/pt/product-datasheet/141865/101291","Ficha de Produto")</f>
        <v>Ficha de Produto</v>
      </c>
      <c r="H735" s="34">
        <v>6</v>
      </c>
      <c r="I735" s="34" t="s">
        <v>882</v>
      </c>
      <c r="J735" s="34" t="s">
        <v>6168</v>
      </c>
      <c r="K735" s="34" t="s">
        <v>822</v>
      </c>
      <c r="L735" s="34" t="s">
        <v>765</v>
      </c>
      <c r="M735" s="30">
        <v>95.8</v>
      </c>
      <c r="N735" s="283" t="s">
        <v>721</v>
      </c>
    </row>
    <row r="736" spans="1:14" s="32" customFormat="1" ht="14.25" customHeight="1">
      <c r="A736" s="3" t="s">
        <v>641</v>
      </c>
      <c r="B736" s="36" t="s">
        <v>3336</v>
      </c>
      <c r="C736" s="214">
        <v>4058075541207</v>
      </c>
      <c r="D736" s="214"/>
      <c r="E736" s="215"/>
      <c r="F736" s="214"/>
      <c r="G736" s="66" t="str">
        <f>HYPERLINK("https://ledvance.com/pt/product-datasheet/141865/101294","Ficha de Produto")</f>
        <v>Ficha de Produto</v>
      </c>
      <c r="H736" s="34">
        <v>6</v>
      </c>
      <c r="I736" s="34" t="s">
        <v>873</v>
      </c>
      <c r="J736" s="34" t="s">
        <v>6168</v>
      </c>
      <c r="K736" s="34" t="s">
        <v>822</v>
      </c>
      <c r="L736" s="34" t="s">
        <v>765</v>
      </c>
      <c r="M736" s="30">
        <v>95.8</v>
      </c>
      <c r="N736" s="283" t="s">
        <v>721</v>
      </c>
    </row>
    <row r="737" spans="1:14" s="32" customFormat="1" ht="14.25" customHeight="1">
      <c r="A737" s="3" t="s">
        <v>641</v>
      </c>
      <c r="B737" s="36" t="s">
        <v>3337</v>
      </c>
      <c r="C737" s="214">
        <v>4058075541221</v>
      </c>
      <c r="D737" s="214"/>
      <c r="E737" s="215"/>
      <c r="F737" s="214"/>
      <c r="G737" s="66" t="str">
        <f>HYPERLINK("https://ledvance.com/pt/product-datasheet/141865/101297","Ficha de Produto")</f>
        <v>Ficha de Produto</v>
      </c>
      <c r="H737" s="34">
        <v>6</v>
      </c>
      <c r="I737" s="34" t="s">
        <v>873</v>
      </c>
      <c r="J737" s="34" t="s">
        <v>6168</v>
      </c>
      <c r="K737" s="34" t="s">
        <v>822</v>
      </c>
      <c r="L737" s="34" t="s">
        <v>765</v>
      </c>
      <c r="M737" s="30">
        <v>95.8</v>
      </c>
      <c r="N737" s="283" t="s">
        <v>721</v>
      </c>
    </row>
    <row r="738" spans="1:14" s="32" customFormat="1" ht="14.25" customHeight="1">
      <c r="A738" s="3" t="s">
        <v>641</v>
      </c>
      <c r="B738" s="36" t="s">
        <v>3338</v>
      </c>
      <c r="C738" s="214">
        <v>4058075541245</v>
      </c>
      <c r="D738" s="214"/>
      <c r="E738" s="215"/>
      <c r="F738" s="214"/>
      <c r="G738" s="66" t="str">
        <f>HYPERLINK("https://ledvance.com/pt/product-datasheet/141865/101300","Ficha de Produto")</f>
        <v>Ficha de Produto</v>
      </c>
      <c r="H738" s="34">
        <v>6</v>
      </c>
      <c r="I738" s="34" t="s">
        <v>864</v>
      </c>
      <c r="J738" s="34" t="s">
        <v>6185</v>
      </c>
      <c r="K738" s="34" t="s">
        <v>822</v>
      </c>
      <c r="L738" s="34" t="s">
        <v>765</v>
      </c>
      <c r="M738" s="30">
        <v>134</v>
      </c>
      <c r="N738" s="283" t="s">
        <v>721</v>
      </c>
    </row>
    <row r="739" spans="1:14" s="32" customFormat="1" ht="14.25" customHeight="1">
      <c r="A739" s="3" t="s">
        <v>641</v>
      </c>
      <c r="B739" s="36" t="s">
        <v>3339</v>
      </c>
      <c r="C739" s="214">
        <v>4058075541269</v>
      </c>
      <c r="D739" s="214"/>
      <c r="E739" s="215"/>
      <c r="F739" s="214"/>
      <c r="G739" s="66" t="str">
        <f>HYPERLINK("https://ledvance.com/pt/product-datasheet/141865/101303","Ficha de Produto")</f>
        <v>Ficha de Produto</v>
      </c>
      <c r="H739" s="34">
        <v>6</v>
      </c>
      <c r="I739" s="34" t="s">
        <v>864</v>
      </c>
      <c r="J739" s="34" t="s">
        <v>6185</v>
      </c>
      <c r="K739" s="34" t="s">
        <v>822</v>
      </c>
      <c r="L739" s="34" t="s">
        <v>765</v>
      </c>
      <c r="M739" s="30">
        <v>134</v>
      </c>
      <c r="N739" s="283" t="s">
        <v>721</v>
      </c>
    </row>
    <row r="740" spans="1:14" s="32" customFormat="1" ht="14.25" customHeight="1">
      <c r="A740" s="3" t="s">
        <v>641</v>
      </c>
      <c r="B740" s="36" t="s">
        <v>3340</v>
      </c>
      <c r="C740" s="214">
        <v>4058075541283</v>
      </c>
      <c r="D740" s="214"/>
      <c r="E740" s="215"/>
      <c r="F740" s="214"/>
      <c r="G740" s="66" t="str">
        <f>HYPERLINK("https://ledvance.com/pt/product-datasheet/141865/101306","Ficha de Produto")</f>
        <v>Ficha de Produto</v>
      </c>
      <c r="H740" s="34">
        <v>6</v>
      </c>
      <c r="I740" s="34" t="s">
        <v>6186</v>
      </c>
      <c r="J740" s="34" t="s">
        <v>6187</v>
      </c>
      <c r="K740" s="34" t="s">
        <v>822</v>
      </c>
      <c r="L740" s="34" t="s">
        <v>765</v>
      </c>
      <c r="M740" s="30">
        <v>172.1</v>
      </c>
      <c r="N740" s="283" t="s">
        <v>721</v>
      </c>
    </row>
    <row r="741" spans="1:14" s="32" customFormat="1" ht="14.25" customHeight="1">
      <c r="A741" s="3" t="s">
        <v>641</v>
      </c>
      <c r="B741" s="36" t="s">
        <v>3341</v>
      </c>
      <c r="C741" s="214">
        <v>4058075541306</v>
      </c>
      <c r="D741" s="214"/>
      <c r="E741" s="215"/>
      <c r="F741" s="214"/>
      <c r="G741" s="66" t="str">
        <f>HYPERLINK("https://ledvance.com/pt/product-datasheet/141865/101309","Ficha de Produto")</f>
        <v>Ficha de Produto</v>
      </c>
      <c r="H741" s="34">
        <v>6</v>
      </c>
      <c r="I741" s="34" t="s">
        <v>6186</v>
      </c>
      <c r="J741" s="34" t="s">
        <v>6187</v>
      </c>
      <c r="K741" s="34" t="s">
        <v>822</v>
      </c>
      <c r="L741" s="34" t="s">
        <v>765</v>
      </c>
      <c r="M741" s="30">
        <v>172.1</v>
      </c>
      <c r="N741" s="283" t="s">
        <v>721</v>
      </c>
    </row>
    <row r="742" spans="1:14" s="32" customFormat="1" ht="14.25" customHeight="1">
      <c r="A742" s="8" t="s">
        <v>641</v>
      </c>
      <c r="B742" s="227" t="s">
        <v>3356</v>
      </c>
      <c r="C742" s="7"/>
      <c r="D742" s="7"/>
      <c r="E742" s="7"/>
      <c r="F742" s="7"/>
      <c r="G742" s="68"/>
      <c r="H742" s="7"/>
      <c r="I742" s="7"/>
      <c r="J742" s="7"/>
      <c r="K742" s="7"/>
      <c r="L742" s="7"/>
      <c r="M742" s="7"/>
      <c r="N742" s="284"/>
    </row>
    <row r="743" spans="1:14" s="32" customFormat="1" ht="14.25" customHeight="1">
      <c r="A743" s="3" t="s">
        <v>641</v>
      </c>
      <c r="B743" s="36" t="s">
        <v>3344</v>
      </c>
      <c r="C743" s="214">
        <v>4058075541641</v>
      </c>
      <c r="D743" s="214"/>
      <c r="E743" s="215"/>
      <c r="F743" s="214"/>
      <c r="G743" s="66" t="str">
        <f>HYPERLINK("https://ledvance.com/pt/product-datasheet/141867/134291","Ficha de Produto")</f>
        <v>Ficha de Produto</v>
      </c>
      <c r="H743" s="34">
        <v>6</v>
      </c>
      <c r="I743" s="34" t="s">
        <v>767</v>
      </c>
      <c r="J743" s="34" t="s">
        <v>6115</v>
      </c>
      <c r="K743" s="34" t="s">
        <v>822</v>
      </c>
      <c r="L743" s="34" t="s">
        <v>765</v>
      </c>
      <c r="M743" s="30">
        <v>145.69999999999999</v>
      </c>
      <c r="N743" s="283" t="s">
        <v>721</v>
      </c>
    </row>
    <row r="744" spans="1:14" s="32" customFormat="1" ht="14.25" customHeight="1">
      <c r="A744" s="3" t="s">
        <v>641</v>
      </c>
      <c r="B744" s="36" t="s">
        <v>3345</v>
      </c>
      <c r="C744" s="214">
        <v>4058075541665</v>
      </c>
      <c r="D744" s="214"/>
      <c r="E744" s="215"/>
      <c r="F744" s="214"/>
      <c r="G744" s="66" t="str">
        <f>HYPERLINK("https://ledvance.com/pt/product-datasheet/141867/134294","Ficha de Produto")</f>
        <v>Ficha de Produto</v>
      </c>
      <c r="H744" s="34">
        <v>6</v>
      </c>
      <c r="I744" s="34" t="s">
        <v>767</v>
      </c>
      <c r="J744" s="34" t="s">
        <v>6115</v>
      </c>
      <c r="K744" s="34" t="s">
        <v>822</v>
      </c>
      <c r="L744" s="34" t="s">
        <v>765</v>
      </c>
      <c r="M744" s="30">
        <v>145.69999999999999</v>
      </c>
      <c r="N744" s="283" t="s">
        <v>721</v>
      </c>
    </row>
    <row r="745" spans="1:14" s="32" customFormat="1" ht="14.25" customHeight="1">
      <c r="A745" s="3" t="s">
        <v>641</v>
      </c>
      <c r="B745" s="36" t="s">
        <v>3346</v>
      </c>
      <c r="C745" s="214">
        <v>4058075541689</v>
      </c>
      <c r="D745" s="214"/>
      <c r="E745" s="215"/>
      <c r="F745" s="214"/>
      <c r="G745" s="66" t="str">
        <f>HYPERLINK("https://ledvance.com/pt/product-datasheet/141867/35813","Ficha de Produto")</f>
        <v>Ficha de Produto</v>
      </c>
      <c r="H745" s="34">
        <v>6</v>
      </c>
      <c r="I745" s="34" t="s">
        <v>815</v>
      </c>
      <c r="J745" s="34" t="s">
        <v>6170</v>
      </c>
      <c r="K745" s="34" t="s">
        <v>822</v>
      </c>
      <c r="L745" s="34" t="s">
        <v>765</v>
      </c>
      <c r="M745" s="30">
        <v>157.5</v>
      </c>
      <c r="N745" s="283" t="s">
        <v>721</v>
      </c>
    </row>
    <row r="746" spans="1:14" s="32" customFormat="1" ht="14.25" customHeight="1">
      <c r="A746" s="3" t="s">
        <v>641</v>
      </c>
      <c r="B746" s="36" t="s">
        <v>3347</v>
      </c>
      <c r="C746" s="214">
        <v>4058075541702</v>
      </c>
      <c r="D746" s="214"/>
      <c r="E746" s="215"/>
      <c r="F746" s="214"/>
      <c r="G746" s="66" t="str">
        <f>HYPERLINK("https://ledvance.com/pt/product-datasheet/141867/35816","Ficha de Produto")</f>
        <v>Ficha de Produto</v>
      </c>
      <c r="H746" s="34">
        <v>6</v>
      </c>
      <c r="I746" s="34" t="s">
        <v>880</v>
      </c>
      <c r="J746" s="34" t="s">
        <v>6170</v>
      </c>
      <c r="K746" s="34" t="s">
        <v>822</v>
      </c>
      <c r="L746" s="34" t="s">
        <v>765</v>
      </c>
      <c r="M746" s="30">
        <v>157.5</v>
      </c>
      <c r="N746" s="283" t="s">
        <v>721</v>
      </c>
    </row>
    <row r="747" spans="1:14" s="32" customFormat="1" ht="14.25" customHeight="1">
      <c r="A747" s="3" t="s">
        <v>641</v>
      </c>
      <c r="B747" s="36" t="s">
        <v>3348</v>
      </c>
      <c r="C747" s="214">
        <v>4058075541726</v>
      </c>
      <c r="D747" s="214"/>
      <c r="E747" s="215"/>
      <c r="F747" s="214"/>
      <c r="G747" s="66" t="str">
        <f>HYPERLINK("https://ledvance.com/pt/product-datasheet/141867/35819","Ficha de Produto")</f>
        <v>Ficha de Produto</v>
      </c>
      <c r="H747" s="34">
        <v>6</v>
      </c>
      <c r="I747" s="34" t="s">
        <v>880</v>
      </c>
      <c r="J747" s="34" t="s">
        <v>6170</v>
      </c>
      <c r="K747" s="34" t="s">
        <v>822</v>
      </c>
      <c r="L747" s="34" t="s">
        <v>765</v>
      </c>
      <c r="M747" s="30">
        <v>157.5</v>
      </c>
      <c r="N747" s="283" t="s">
        <v>721</v>
      </c>
    </row>
    <row r="748" spans="1:14" s="32" customFormat="1" ht="14.25" customHeight="1">
      <c r="A748" s="3" t="s">
        <v>641</v>
      </c>
      <c r="B748" s="36" t="s">
        <v>3349</v>
      </c>
      <c r="C748" s="214">
        <v>4058075541740</v>
      </c>
      <c r="D748" s="214"/>
      <c r="E748" s="215"/>
      <c r="F748" s="214"/>
      <c r="G748" s="66" t="str">
        <f>HYPERLINK("https://ledvance.com/pt/product-datasheet/141867/35822","Ficha de Produto")</f>
        <v>Ficha de Produto</v>
      </c>
      <c r="H748" s="34">
        <v>6</v>
      </c>
      <c r="I748" s="34" t="s">
        <v>848</v>
      </c>
      <c r="J748" s="34" t="s">
        <v>6184</v>
      </c>
      <c r="K748" s="34" t="s">
        <v>822</v>
      </c>
      <c r="L748" s="34" t="s">
        <v>765</v>
      </c>
      <c r="M748" s="30">
        <v>157.5</v>
      </c>
      <c r="N748" s="283" t="s">
        <v>721</v>
      </c>
    </row>
    <row r="749" spans="1:14" s="32" customFormat="1" ht="14.25" customHeight="1">
      <c r="A749" s="3" t="s">
        <v>641</v>
      </c>
      <c r="B749" s="36" t="s">
        <v>3350</v>
      </c>
      <c r="C749" s="214">
        <v>4058075541764</v>
      </c>
      <c r="D749" s="214"/>
      <c r="E749" s="215"/>
      <c r="F749" s="214"/>
      <c r="G749" s="66" t="str">
        <f>HYPERLINK("https://ledvance.com/pt/product-datasheet/141867/35825","Ficha de Produto")</f>
        <v>Ficha de Produto</v>
      </c>
      <c r="H749" s="34">
        <v>6</v>
      </c>
      <c r="I749" s="34" t="s">
        <v>848</v>
      </c>
      <c r="J749" s="34" t="s">
        <v>6184</v>
      </c>
      <c r="K749" s="34" t="s">
        <v>822</v>
      </c>
      <c r="L749" s="34" t="s">
        <v>765</v>
      </c>
      <c r="M749" s="30">
        <v>157.5</v>
      </c>
      <c r="N749" s="283" t="s">
        <v>721</v>
      </c>
    </row>
    <row r="750" spans="1:14" s="32" customFormat="1" ht="14.25" customHeight="1">
      <c r="A750" s="3" t="s">
        <v>641</v>
      </c>
      <c r="B750" s="36" t="s">
        <v>3351</v>
      </c>
      <c r="C750" s="214">
        <v>4058075541788</v>
      </c>
      <c r="D750" s="214"/>
      <c r="E750" s="215"/>
      <c r="F750" s="214"/>
      <c r="G750" s="66" t="str">
        <f>HYPERLINK("https://ledvance.com/pt/product-datasheet/141867/35828","Ficha de Produto")</f>
        <v>Ficha de Produto</v>
      </c>
      <c r="H750" s="34">
        <v>6</v>
      </c>
      <c r="I750" s="34" t="s">
        <v>882</v>
      </c>
      <c r="J750" s="34" t="s">
        <v>6168</v>
      </c>
      <c r="K750" s="34" t="s">
        <v>822</v>
      </c>
      <c r="L750" s="34" t="s">
        <v>765</v>
      </c>
      <c r="M750" s="30">
        <v>161.4</v>
      </c>
      <c r="N750" s="283" t="s">
        <v>721</v>
      </c>
    </row>
    <row r="751" spans="1:14" s="32" customFormat="1" ht="14.25" customHeight="1">
      <c r="A751" s="3" t="s">
        <v>641</v>
      </c>
      <c r="B751" s="36" t="s">
        <v>3352</v>
      </c>
      <c r="C751" s="214">
        <v>4058075541801</v>
      </c>
      <c r="D751" s="214"/>
      <c r="E751" s="215"/>
      <c r="F751" s="214"/>
      <c r="G751" s="66" t="str">
        <f>HYPERLINK("https://ledvance.com/pt/product-datasheet/141867/35831","Ficha de Produto")</f>
        <v>Ficha de Produto</v>
      </c>
      <c r="H751" s="34">
        <v>6</v>
      </c>
      <c r="I751" s="34" t="s">
        <v>873</v>
      </c>
      <c r="J751" s="34" t="s">
        <v>6168</v>
      </c>
      <c r="K751" s="34" t="s">
        <v>822</v>
      </c>
      <c r="L751" s="34" t="s">
        <v>765</v>
      </c>
      <c r="M751" s="30">
        <v>161.4</v>
      </c>
      <c r="N751" s="283" t="s">
        <v>721</v>
      </c>
    </row>
    <row r="752" spans="1:14" s="32" customFormat="1" ht="14.25" customHeight="1">
      <c r="A752" s="3" t="s">
        <v>641</v>
      </c>
      <c r="B752" s="36" t="s">
        <v>3353</v>
      </c>
      <c r="C752" s="214">
        <v>4058075541825</v>
      </c>
      <c r="D752" s="214"/>
      <c r="E752" s="215"/>
      <c r="F752" s="214"/>
      <c r="G752" s="66" t="str">
        <f>HYPERLINK("https://ledvance.com/pt/product-datasheet/141867/35957","Ficha de Produto")</f>
        <v>Ficha de Produto</v>
      </c>
      <c r="H752" s="34">
        <v>6</v>
      </c>
      <c r="I752" s="34" t="s">
        <v>873</v>
      </c>
      <c r="J752" s="34" t="s">
        <v>6168</v>
      </c>
      <c r="K752" s="34" t="s">
        <v>822</v>
      </c>
      <c r="L752" s="34" t="s">
        <v>765</v>
      </c>
      <c r="M752" s="30">
        <v>161.4</v>
      </c>
      <c r="N752" s="283" t="s">
        <v>721</v>
      </c>
    </row>
    <row r="753" spans="1:14" s="32" customFormat="1" ht="14.25" customHeight="1">
      <c r="A753" s="3" t="s">
        <v>641</v>
      </c>
      <c r="B753" s="36" t="s">
        <v>3354</v>
      </c>
      <c r="C753" s="214">
        <v>4058075541849</v>
      </c>
      <c r="D753" s="214"/>
      <c r="E753" s="215"/>
      <c r="F753" s="214"/>
      <c r="G753" s="66" t="str">
        <f>HYPERLINK("https://ledvance.com/pt/product-datasheet/141867/35960","Ficha de Produto")</f>
        <v>Ficha de Produto</v>
      </c>
      <c r="H753" s="34">
        <v>6</v>
      </c>
      <c r="I753" s="34" t="s">
        <v>864</v>
      </c>
      <c r="J753" s="34" t="s">
        <v>6185</v>
      </c>
      <c r="K753" s="34" t="s">
        <v>822</v>
      </c>
      <c r="L753" s="34" t="s">
        <v>765</v>
      </c>
      <c r="M753" s="30">
        <v>201</v>
      </c>
      <c r="N753" s="283" t="s">
        <v>721</v>
      </c>
    </row>
    <row r="754" spans="1:14" s="32" customFormat="1" ht="14.25" customHeight="1">
      <c r="A754" s="3" t="s">
        <v>641</v>
      </c>
      <c r="B754" s="36" t="s">
        <v>3355</v>
      </c>
      <c r="C754" s="214">
        <v>4058075541863</v>
      </c>
      <c r="D754" s="214"/>
      <c r="E754" s="215"/>
      <c r="F754" s="214"/>
      <c r="G754" s="66" t="str">
        <f>HYPERLINK("https://ledvance.com/pt/product-datasheet/141867/35963","Ficha de Produto")</f>
        <v>Ficha de Produto</v>
      </c>
      <c r="H754" s="34">
        <v>6</v>
      </c>
      <c r="I754" s="34" t="s">
        <v>864</v>
      </c>
      <c r="J754" s="34" t="s">
        <v>6185</v>
      </c>
      <c r="K754" s="34" t="s">
        <v>822</v>
      </c>
      <c r="L754" s="34" t="s">
        <v>765</v>
      </c>
      <c r="M754" s="30">
        <v>201</v>
      </c>
      <c r="N754" s="283" t="s">
        <v>721</v>
      </c>
    </row>
    <row r="755" spans="1:14" s="32" customFormat="1" ht="14.25" customHeight="1">
      <c r="A755" s="8" t="s">
        <v>641</v>
      </c>
      <c r="B755" s="227" t="s">
        <v>3357</v>
      </c>
      <c r="C755" s="7"/>
      <c r="D755" s="7"/>
      <c r="E755" s="7"/>
      <c r="F755" s="7"/>
      <c r="G755" s="68"/>
      <c r="H755" s="7"/>
      <c r="I755" s="7"/>
      <c r="J755" s="7"/>
      <c r="K755" s="7"/>
      <c r="L755" s="7"/>
      <c r="M755" s="7"/>
      <c r="N755" s="284"/>
    </row>
    <row r="756" spans="1:14" s="32" customFormat="1" ht="14.25" customHeight="1">
      <c r="A756" s="3" t="s">
        <v>641</v>
      </c>
      <c r="B756" s="36" t="s">
        <v>3360</v>
      </c>
      <c r="C756" s="214">
        <v>4058075541320</v>
      </c>
      <c r="D756" s="214"/>
      <c r="E756" s="215"/>
      <c r="F756" s="214"/>
      <c r="G756" s="66" t="str">
        <f>HYPERLINK("https://ledvance.com/pt/product-datasheet/141868/134297","Ficha de Produto")</f>
        <v>Ficha de Produto</v>
      </c>
      <c r="H756" s="34">
        <v>6</v>
      </c>
      <c r="I756" s="34" t="s">
        <v>767</v>
      </c>
      <c r="J756" s="34" t="s">
        <v>6115</v>
      </c>
      <c r="K756" s="34" t="s">
        <v>822</v>
      </c>
      <c r="L756" s="34" t="s">
        <v>793</v>
      </c>
      <c r="M756" s="30">
        <v>208.2</v>
      </c>
      <c r="N756" s="283" t="s">
        <v>721</v>
      </c>
    </row>
    <row r="757" spans="1:14" s="32" customFormat="1" ht="14.25" customHeight="1">
      <c r="A757" s="3" t="s">
        <v>641</v>
      </c>
      <c r="B757" s="36" t="s">
        <v>3361</v>
      </c>
      <c r="C757" s="214">
        <v>4058075541344</v>
      </c>
      <c r="D757" s="214"/>
      <c r="E757" s="215"/>
      <c r="F757" s="214"/>
      <c r="G757" s="66" t="str">
        <f>HYPERLINK("https://ledvance.com/pt/product-datasheet/141868/135056","Ficha de Produto")</f>
        <v>Ficha de Produto</v>
      </c>
      <c r="H757" s="34">
        <v>6</v>
      </c>
      <c r="I757" s="34" t="s">
        <v>767</v>
      </c>
      <c r="J757" s="34" t="s">
        <v>6115</v>
      </c>
      <c r="K757" s="34" t="s">
        <v>822</v>
      </c>
      <c r="L757" s="34" t="s">
        <v>793</v>
      </c>
      <c r="M757" s="30">
        <v>208.2</v>
      </c>
      <c r="N757" s="283" t="s">
        <v>721</v>
      </c>
    </row>
    <row r="758" spans="1:14" s="32" customFormat="1" ht="14.25" customHeight="1">
      <c r="A758" s="3" t="s">
        <v>641</v>
      </c>
      <c r="B758" s="36" t="s">
        <v>3362</v>
      </c>
      <c r="C758" s="214">
        <v>4058075541368</v>
      </c>
      <c r="D758" s="214"/>
      <c r="E758" s="215"/>
      <c r="F758" s="214"/>
      <c r="G758" s="66" t="str">
        <f>HYPERLINK("https://ledvance.com/pt/product-datasheet/141868/135059","Ficha de Produto")</f>
        <v>Ficha de Produto</v>
      </c>
      <c r="H758" s="34">
        <v>6</v>
      </c>
      <c r="I758" s="34" t="s">
        <v>815</v>
      </c>
      <c r="J758" s="34" t="s">
        <v>6170</v>
      </c>
      <c r="K758" s="34" t="s">
        <v>822</v>
      </c>
      <c r="L758" s="34" t="s">
        <v>793</v>
      </c>
      <c r="M758" s="30">
        <v>216.8</v>
      </c>
      <c r="N758" s="283" t="s">
        <v>721</v>
      </c>
    </row>
    <row r="759" spans="1:14" s="32" customFormat="1" ht="14.25" customHeight="1">
      <c r="A759" s="3" t="s">
        <v>641</v>
      </c>
      <c r="B759" s="36" t="s">
        <v>3363</v>
      </c>
      <c r="C759" s="214">
        <v>4058075541382</v>
      </c>
      <c r="D759" s="214"/>
      <c r="E759" s="215"/>
      <c r="F759" s="214"/>
      <c r="G759" s="66" t="str">
        <f>HYPERLINK("https://ledvance.com/pt/product-datasheet/141868/134300","Ficha de Produto")</f>
        <v>Ficha de Produto</v>
      </c>
      <c r="H759" s="34">
        <v>6</v>
      </c>
      <c r="I759" s="34" t="s">
        <v>880</v>
      </c>
      <c r="J759" s="34" t="s">
        <v>6170</v>
      </c>
      <c r="K759" s="34" t="s">
        <v>822</v>
      </c>
      <c r="L759" s="34" t="s">
        <v>793</v>
      </c>
      <c r="M759" s="30">
        <v>216.8</v>
      </c>
      <c r="N759" s="283" t="s">
        <v>721</v>
      </c>
    </row>
    <row r="760" spans="1:14" s="32" customFormat="1" ht="14.25" customHeight="1">
      <c r="A760" s="3" t="s">
        <v>641</v>
      </c>
      <c r="B760" s="36" t="s">
        <v>3364</v>
      </c>
      <c r="C760" s="214">
        <v>4058075541405</v>
      </c>
      <c r="D760" s="214"/>
      <c r="E760" s="215"/>
      <c r="F760" s="214"/>
      <c r="G760" s="66" t="str">
        <f>HYPERLINK("https://ledvance.com/pt/product-datasheet/141868/134303","Ficha de Produto")</f>
        <v>Ficha de Produto</v>
      </c>
      <c r="H760" s="34">
        <v>6</v>
      </c>
      <c r="I760" s="34" t="s">
        <v>880</v>
      </c>
      <c r="J760" s="34" t="s">
        <v>6170</v>
      </c>
      <c r="K760" s="34" t="s">
        <v>822</v>
      </c>
      <c r="L760" s="34" t="s">
        <v>793</v>
      </c>
      <c r="M760" s="30">
        <v>216.8</v>
      </c>
      <c r="N760" s="283" t="s">
        <v>721</v>
      </c>
    </row>
    <row r="761" spans="1:14" s="32" customFormat="1" ht="14.25" customHeight="1">
      <c r="A761" s="3" t="s">
        <v>641</v>
      </c>
      <c r="B761" s="36" t="s">
        <v>3365</v>
      </c>
      <c r="C761" s="214">
        <v>4058075541429</v>
      </c>
      <c r="D761" s="214"/>
      <c r="E761" s="215"/>
      <c r="F761" s="214"/>
      <c r="G761" s="66" t="str">
        <f>HYPERLINK("https://ledvance.com/pt/product-datasheet/141868/134230","Ficha de Produto")</f>
        <v>Ficha de Produto</v>
      </c>
      <c r="H761" s="34">
        <v>6</v>
      </c>
      <c r="I761" s="34" t="s">
        <v>848</v>
      </c>
      <c r="J761" s="34" t="s">
        <v>6184</v>
      </c>
      <c r="K761" s="34" t="s">
        <v>822</v>
      </c>
      <c r="L761" s="34" t="s">
        <v>793</v>
      </c>
      <c r="M761" s="30">
        <v>222.9</v>
      </c>
      <c r="N761" s="283" t="s">
        <v>721</v>
      </c>
    </row>
    <row r="762" spans="1:14" s="32" customFormat="1" ht="14.25" customHeight="1">
      <c r="A762" s="3" t="s">
        <v>641</v>
      </c>
      <c r="B762" s="36" t="s">
        <v>3366</v>
      </c>
      <c r="C762" s="214">
        <v>4058075541443</v>
      </c>
      <c r="D762" s="214"/>
      <c r="E762" s="215"/>
      <c r="F762" s="214"/>
      <c r="G762" s="66" t="str">
        <f>HYPERLINK("https://ledvance.com/pt/product-datasheet/141868/135062","Ficha de Produto")</f>
        <v>Ficha de Produto</v>
      </c>
      <c r="H762" s="34">
        <v>6</v>
      </c>
      <c r="I762" s="34" t="s">
        <v>848</v>
      </c>
      <c r="J762" s="34" t="s">
        <v>6184</v>
      </c>
      <c r="K762" s="34" t="s">
        <v>822</v>
      </c>
      <c r="L762" s="34" t="s">
        <v>793</v>
      </c>
      <c r="M762" s="30">
        <v>222.9</v>
      </c>
      <c r="N762" s="283" t="s">
        <v>721</v>
      </c>
    </row>
    <row r="763" spans="1:14" s="32" customFormat="1" ht="14.25" customHeight="1">
      <c r="A763" s="3" t="s">
        <v>641</v>
      </c>
      <c r="B763" s="36" t="s">
        <v>3367</v>
      </c>
      <c r="C763" s="214">
        <v>4058075541467</v>
      </c>
      <c r="D763" s="214"/>
      <c r="E763" s="215"/>
      <c r="F763" s="214"/>
      <c r="G763" s="66" t="str">
        <f>HYPERLINK("https://ledvance.com/pt/product-datasheet/141868/135065","Ficha de Produto")</f>
        <v>Ficha de Produto</v>
      </c>
      <c r="H763" s="34">
        <v>6</v>
      </c>
      <c r="I763" s="34" t="s">
        <v>882</v>
      </c>
      <c r="J763" s="34" t="s">
        <v>6168</v>
      </c>
      <c r="K763" s="34" t="s">
        <v>822</v>
      </c>
      <c r="L763" s="34" t="s">
        <v>793</v>
      </c>
      <c r="M763" s="30">
        <v>247.1</v>
      </c>
      <c r="N763" s="283" t="s">
        <v>721</v>
      </c>
    </row>
    <row r="764" spans="1:14" s="32" customFormat="1" ht="14.25" customHeight="1">
      <c r="A764" s="3" t="s">
        <v>641</v>
      </c>
      <c r="B764" s="36" t="s">
        <v>3368</v>
      </c>
      <c r="C764" s="214">
        <v>4058075541481</v>
      </c>
      <c r="D764" s="214"/>
      <c r="E764" s="215"/>
      <c r="F764" s="214"/>
      <c r="G764" s="66" t="str">
        <f>HYPERLINK("https://ledvance.com/pt/product-datasheet/141868/134233","Ficha de Produto")</f>
        <v>Ficha de Produto</v>
      </c>
      <c r="H764" s="34">
        <v>6</v>
      </c>
      <c r="I764" s="34" t="s">
        <v>873</v>
      </c>
      <c r="J764" s="34" t="s">
        <v>6168</v>
      </c>
      <c r="K764" s="34" t="s">
        <v>822</v>
      </c>
      <c r="L764" s="34" t="s">
        <v>793</v>
      </c>
      <c r="M764" s="30">
        <v>247.1</v>
      </c>
      <c r="N764" s="283" t="s">
        <v>721</v>
      </c>
    </row>
    <row r="765" spans="1:14" s="32" customFormat="1" ht="14.25" customHeight="1">
      <c r="A765" s="3" t="s">
        <v>641</v>
      </c>
      <c r="B765" s="36" t="s">
        <v>3369</v>
      </c>
      <c r="C765" s="214">
        <v>4058075541504</v>
      </c>
      <c r="D765" s="214"/>
      <c r="E765" s="215"/>
      <c r="F765" s="214"/>
      <c r="G765" s="66" t="str">
        <f>HYPERLINK("https://ledvance.com/pt/product-datasheet/141868/134236","Ficha de Produto")</f>
        <v>Ficha de Produto</v>
      </c>
      <c r="H765" s="34">
        <v>6</v>
      </c>
      <c r="I765" s="34" t="s">
        <v>873</v>
      </c>
      <c r="J765" s="34" t="s">
        <v>6168</v>
      </c>
      <c r="K765" s="34" t="s">
        <v>822</v>
      </c>
      <c r="L765" s="34" t="s">
        <v>793</v>
      </c>
      <c r="M765" s="30">
        <v>247.1</v>
      </c>
      <c r="N765" s="283" t="s">
        <v>721</v>
      </c>
    </row>
    <row r="766" spans="1:14" s="32" customFormat="1" ht="14.25" customHeight="1">
      <c r="A766" s="3" t="s">
        <v>641</v>
      </c>
      <c r="B766" s="36" t="s">
        <v>3370</v>
      </c>
      <c r="C766" s="214">
        <v>4058075541528</v>
      </c>
      <c r="D766" s="214"/>
      <c r="E766" s="215"/>
      <c r="F766" s="214"/>
      <c r="G766" s="66" t="str">
        <f>HYPERLINK("https://ledvance.com/pt/product-datasheet/141868/135068","Ficha de Produto")</f>
        <v>Ficha de Produto</v>
      </c>
      <c r="H766" s="34">
        <v>6</v>
      </c>
      <c r="I766" s="34" t="s">
        <v>864</v>
      </c>
      <c r="J766" s="34" t="s">
        <v>6185</v>
      </c>
      <c r="K766" s="34" t="s">
        <v>822</v>
      </c>
      <c r="L766" s="34" t="s">
        <v>793</v>
      </c>
      <c r="M766" s="30">
        <v>287.60000000000002</v>
      </c>
      <c r="N766" s="283" t="s">
        <v>721</v>
      </c>
    </row>
    <row r="767" spans="1:14" s="32" customFormat="1" ht="14.25" customHeight="1">
      <c r="A767" s="3" t="s">
        <v>641</v>
      </c>
      <c r="B767" s="36" t="s">
        <v>3371</v>
      </c>
      <c r="C767" s="214">
        <v>4058075541542</v>
      </c>
      <c r="D767" s="214"/>
      <c r="E767" s="215"/>
      <c r="F767" s="214"/>
      <c r="G767" s="66" t="str">
        <f>HYPERLINK("https://ledvance.com/pt/product-datasheet/141868/135071","Ficha de Produto")</f>
        <v>Ficha de Produto</v>
      </c>
      <c r="H767" s="34">
        <v>6</v>
      </c>
      <c r="I767" s="34" t="s">
        <v>864</v>
      </c>
      <c r="J767" s="34" t="s">
        <v>6185</v>
      </c>
      <c r="K767" s="34" t="s">
        <v>822</v>
      </c>
      <c r="L767" s="34" t="s">
        <v>793</v>
      </c>
      <c r="M767" s="30">
        <v>287.60000000000002</v>
      </c>
      <c r="N767" s="283" t="s">
        <v>721</v>
      </c>
    </row>
    <row r="768" spans="1:14" s="32" customFormat="1" ht="14.25" customHeight="1">
      <c r="A768" s="3" t="s">
        <v>641</v>
      </c>
      <c r="B768" s="36" t="s">
        <v>3372</v>
      </c>
      <c r="C768" s="214">
        <v>4058075541566</v>
      </c>
      <c r="D768" s="214"/>
      <c r="E768" s="215"/>
      <c r="F768" s="214"/>
      <c r="G768" s="66" t="str">
        <f>HYPERLINK("https://ledvance.com/pt/product-datasheet/141868/135074","Ficha de Produto")</f>
        <v>Ficha de Produto</v>
      </c>
      <c r="H768" s="34">
        <v>6</v>
      </c>
      <c r="I768" s="34" t="s">
        <v>6186</v>
      </c>
      <c r="J768" s="34" t="s">
        <v>6187</v>
      </c>
      <c r="K768" s="34" t="s">
        <v>822</v>
      </c>
      <c r="L768" s="34" t="s">
        <v>793</v>
      </c>
      <c r="M768" s="30">
        <v>320</v>
      </c>
      <c r="N768" s="283" t="s">
        <v>721</v>
      </c>
    </row>
    <row r="769" spans="1:1024 1026:2048 2050:3072 3074:4096 4098:5120 5122:6144 6146:7168 7170:8192 8194:9216 9218:10240 10242:11264 11266:12288 12290:13312 13314:14336 14338:15360 15362:16266" s="32" customFormat="1" ht="14.25" customHeight="1">
      <c r="A769" s="3" t="s">
        <v>641</v>
      </c>
      <c r="B769" s="36" t="s">
        <v>3373</v>
      </c>
      <c r="C769" s="214">
        <v>4058075541580</v>
      </c>
      <c r="D769" s="214"/>
      <c r="E769" s="215"/>
      <c r="F769" s="214"/>
      <c r="G769" s="66" t="str">
        <f>HYPERLINK("https://ledvance.com/pt/product-datasheet/141868/135077","Ficha de Produto")</f>
        <v>Ficha de Produto</v>
      </c>
      <c r="H769" s="34">
        <v>6</v>
      </c>
      <c r="I769" s="34" t="s">
        <v>6186</v>
      </c>
      <c r="J769" s="34" t="s">
        <v>6187</v>
      </c>
      <c r="K769" s="34" t="s">
        <v>822</v>
      </c>
      <c r="L769" s="34" t="s">
        <v>793</v>
      </c>
      <c r="M769" s="30">
        <v>320</v>
      </c>
      <c r="N769" s="283" t="s">
        <v>721</v>
      </c>
    </row>
    <row r="770" spans="1:1024 1026:2048 2050:3072 3074:4096 4098:5120 5122:6144 6146:7168 7170:8192 8194:9216 9218:10240 10242:11264 11266:12288 12290:13312 13314:14336 14338:15360 15362:16266" s="32" customFormat="1" ht="14.25" customHeight="1">
      <c r="A770" s="8" t="s">
        <v>641</v>
      </c>
      <c r="B770" s="227" t="s">
        <v>679</v>
      </c>
      <c r="C770" s="7"/>
      <c r="D770" s="7"/>
      <c r="E770" s="7"/>
      <c r="F770" s="7"/>
      <c r="G770" s="68"/>
      <c r="H770" s="7"/>
      <c r="I770" s="7"/>
      <c r="J770" s="7"/>
      <c r="K770" s="7"/>
      <c r="L770" s="7"/>
      <c r="M770" s="7"/>
      <c r="N770" s="284"/>
    </row>
    <row r="771" spans="1:1024 1026:2048 2050:3072 3074:4096 4098:5120 5122:6144 6146:7168 7170:8192 8194:9216 9218:10240 10242:11264 11266:12288 12290:13312 13314:14336 14338:15360 15362:16266" s="32" customFormat="1" ht="14.25" customHeight="1">
      <c r="A771" s="3" t="s">
        <v>641</v>
      </c>
      <c r="B771" s="36" t="s">
        <v>3358</v>
      </c>
      <c r="C771" s="214">
        <v>4058075541924</v>
      </c>
      <c r="D771" s="214"/>
      <c r="E771" s="215"/>
      <c r="F771" s="214"/>
      <c r="G771" s="66" t="str">
        <f>HYPERLINK("https://ledvance.com/pt/product-datasheet/141866/47403","Ficha de Produto")</f>
        <v>Ficha de Produto</v>
      </c>
      <c r="H771" s="34">
        <v>6</v>
      </c>
      <c r="I771" s="34" t="s">
        <v>880</v>
      </c>
      <c r="J771" s="34" t="s">
        <v>6170</v>
      </c>
      <c r="K771" s="34" t="s">
        <v>822</v>
      </c>
      <c r="L771" s="34" t="s">
        <v>765</v>
      </c>
      <c r="M771" s="30">
        <v>97.8</v>
      </c>
      <c r="N771" s="283" t="s">
        <v>721</v>
      </c>
    </row>
    <row r="772" spans="1:1024 1026:2048 2050:3072 3074:4096 4098:5120 5122:6144 6146:7168 7170:8192 8194:9216 9218:10240 10242:11264 11266:12288 12290:13312 13314:14336 14338:15360 15362:16266" s="32" customFormat="1" ht="14.25" customHeight="1">
      <c r="A772" s="3" t="s">
        <v>641</v>
      </c>
      <c r="B772" s="36" t="s">
        <v>3359</v>
      </c>
      <c r="C772" s="214">
        <v>4058075541948</v>
      </c>
      <c r="D772" s="214"/>
      <c r="E772" s="215"/>
      <c r="F772" s="214"/>
      <c r="G772" s="66" t="str">
        <f>HYPERLINK("https://ledvance.com/pt/product-datasheet/141866/123252","Ficha de Produto")</f>
        <v>Ficha de Produto</v>
      </c>
      <c r="H772" s="34">
        <v>6</v>
      </c>
      <c r="I772" s="34" t="s">
        <v>873</v>
      </c>
      <c r="J772" s="34" t="s">
        <v>6168</v>
      </c>
      <c r="K772" s="34" t="s">
        <v>822</v>
      </c>
      <c r="L772" s="34" t="s">
        <v>765</v>
      </c>
      <c r="M772" s="30">
        <v>101.6</v>
      </c>
      <c r="N772" s="283" t="s">
        <v>721</v>
      </c>
    </row>
    <row r="773" spans="1:1024 1026:2048 2050:3072 3074:4096 4098:5120 5122:6144 6146:7168 7170:8192 8194:9216 9218:10240 10242:11264 11266:12288 12290:13312 13314:14336 14338:15360 15362:16266" s="32" customFormat="1" ht="14.25" customHeight="1">
      <c r="A773" s="8" t="s">
        <v>641</v>
      </c>
      <c r="B773" s="227" t="s">
        <v>3377</v>
      </c>
      <c r="C773" s="7"/>
      <c r="D773" s="7"/>
      <c r="E773" s="7"/>
      <c r="F773" s="7"/>
      <c r="G773" s="68" t="s">
        <v>6505</v>
      </c>
      <c r="H773" s="7"/>
      <c r="I773" s="7"/>
      <c r="J773" s="7"/>
      <c r="K773" s="7"/>
      <c r="L773" s="7"/>
      <c r="M773" s="7"/>
      <c r="N773" s="284"/>
    </row>
    <row r="774" spans="1:1024 1026:2048 2050:3072 3074:4096 4098:5120 5122:6144 6146:7168 7170:8192 8194:9216 9218:10240 10242:11264 11266:12288 12290:13312 13314:14336 14338:15360 15362:16266" s="28" customFormat="1" ht="14.25" customHeight="1">
      <c r="A774" s="3" t="s">
        <v>641</v>
      </c>
      <c r="B774" s="36" t="s">
        <v>3152</v>
      </c>
      <c r="C774" s="218">
        <v>4058075836068</v>
      </c>
      <c r="E774" s="46"/>
      <c r="F774" s="221" t="s">
        <v>2019</v>
      </c>
      <c r="G774" s="66" t="str">
        <f>HYPERLINK("https://ledvance.com/pt/product-datasheet/158132/287838","Ficha de Produto")</f>
        <v>Ficha de Produto</v>
      </c>
      <c r="I774" s="34" t="s">
        <v>767</v>
      </c>
      <c r="J774" s="34" t="s">
        <v>6115</v>
      </c>
      <c r="K774" s="34" t="s">
        <v>822</v>
      </c>
      <c r="L774" s="34" t="s">
        <v>765</v>
      </c>
      <c r="M774" s="30">
        <v>100</v>
      </c>
      <c r="N774" s="283" t="s">
        <v>721</v>
      </c>
      <c r="O774" s="46"/>
      <c r="R774" s="46"/>
      <c r="T774" s="46"/>
      <c r="V774" s="46"/>
      <c r="X774" s="46"/>
      <c r="Z774" s="46"/>
      <c r="AB774" s="46"/>
      <c r="AD774" s="46"/>
      <c r="AF774" s="46"/>
      <c r="AH774" s="46"/>
      <c r="AJ774" s="46"/>
      <c r="AL774" s="46"/>
      <c r="AN774" s="46"/>
      <c r="AP774" s="46"/>
      <c r="AR774" s="46"/>
      <c r="AT774" s="46"/>
      <c r="AV774" s="46"/>
      <c r="AX774" s="46"/>
      <c r="AZ774" s="46"/>
      <c r="BB774" s="46"/>
      <c r="BD774" s="46"/>
      <c r="BF774" s="46"/>
      <c r="BH774" s="46"/>
      <c r="BJ774" s="46"/>
      <c r="BL774" s="46"/>
      <c r="BN774" s="46"/>
      <c r="BP774" s="46"/>
      <c r="BR774" s="46"/>
      <c r="BT774" s="46"/>
      <c r="BV774" s="46"/>
      <c r="BX774" s="46"/>
      <c r="BZ774" s="46"/>
      <c r="CB774" s="46"/>
      <c r="CD774" s="46"/>
      <c r="CF774" s="46"/>
      <c r="CH774" s="46"/>
      <c r="CJ774" s="46"/>
      <c r="CL774" s="46"/>
      <c r="CN774" s="46"/>
      <c r="CP774" s="46"/>
      <c r="CR774" s="46"/>
      <c r="CT774" s="46"/>
      <c r="CV774" s="46"/>
      <c r="CX774" s="46"/>
      <c r="CZ774" s="46"/>
      <c r="DB774" s="46"/>
      <c r="DD774" s="46"/>
      <c r="DF774" s="46"/>
      <c r="DH774" s="46"/>
      <c r="DJ774" s="46"/>
      <c r="DL774" s="46"/>
      <c r="DN774" s="46"/>
      <c r="DP774" s="46"/>
      <c r="DR774" s="46"/>
      <c r="DT774" s="46"/>
      <c r="DV774" s="46"/>
      <c r="DX774" s="46"/>
      <c r="DZ774" s="46"/>
      <c r="EB774" s="46"/>
      <c r="ED774" s="46"/>
      <c r="EF774" s="46"/>
      <c r="EH774" s="46"/>
      <c r="EJ774" s="46"/>
      <c r="EL774" s="46"/>
      <c r="EN774" s="46"/>
      <c r="EP774" s="46"/>
      <c r="ER774" s="46"/>
      <c r="ET774" s="46"/>
      <c r="EV774" s="46"/>
      <c r="EX774" s="46"/>
      <c r="EZ774" s="46"/>
      <c r="FB774" s="46"/>
      <c r="FD774" s="46"/>
      <c r="FF774" s="46"/>
      <c r="FH774" s="46"/>
      <c r="FJ774" s="46"/>
      <c r="FL774" s="46"/>
      <c r="FN774" s="46"/>
      <c r="FP774" s="46"/>
      <c r="FR774" s="46"/>
      <c r="FT774" s="46"/>
      <c r="FV774" s="46"/>
      <c r="FX774" s="46"/>
      <c r="FZ774" s="46"/>
      <c r="GB774" s="46"/>
      <c r="GD774" s="46"/>
      <c r="GF774" s="46"/>
      <c r="GH774" s="46"/>
      <c r="GJ774" s="46"/>
      <c r="GL774" s="46"/>
      <c r="GN774" s="46"/>
      <c r="GP774" s="46"/>
      <c r="GR774" s="46"/>
      <c r="GT774" s="46"/>
      <c r="GV774" s="46"/>
      <c r="GX774" s="46"/>
      <c r="GZ774" s="46"/>
      <c r="HB774" s="46"/>
      <c r="HD774" s="46"/>
      <c r="HF774" s="46"/>
      <c r="HH774" s="46"/>
      <c r="HJ774" s="46"/>
      <c r="HL774" s="46"/>
      <c r="HN774" s="46"/>
      <c r="HP774" s="46"/>
      <c r="HR774" s="46"/>
      <c r="HT774" s="46"/>
      <c r="HV774" s="46"/>
      <c r="HX774" s="46"/>
      <c r="HZ774" s="46"/>
      <c r="IB774" s="46"/>
      <c r="ID774" s="46"/>
      <c r="IF774" s="46"/>
      <c r="IH774" s="46"/>
      <c r="IJ774" s="46"/>
      <c r="IL774" s="46"/>
      <c r="IN774" s="46"/>
      <c r="IP774" s="46"/>
      <c r="IR774" s="46"/>
      <c r="IT774" s="46"/>
      <c r="IV774" s="46"/>
      <c r="IX774" s="46"/>
      <c r="IZ774" s="46"/>
      <c r="JB774" s="46"/>
      <c r="JD774" s="46"/>
      <c r="JF774" s="46"/>
      <c r="JH774" s="46"/>
      <c r="JJ774" s="46"/>
      <c r="JL774" s="46"/>
      <c r="JN774" s="46"/>
      <c r="JP774" s="46"/>
      <c r="JR774" s="46"/>
      <c r="JT774" s="46"/>
      <c r="JV774" s="46"/>
      <c r="JX774" s="46"/>
      <c r="JZ774" s="46"/>
      <c r="KB774" s="46"/>
      <c r="KD774" s="46"/>
      <c r="KF774" s="46"/>
      <c r="KH774" s="46"/>
      <c r="KJ774" s="46"/>
      <c r="KL774" s="46"/>
      <c r="KN774" s="46"/>
      <c r="KP774" s="46"/>
      <c r="KR774" s="46"/>
      <c r="KT774" s="46"/>
      <c r="KV774" s="46"/>
      <c r="KX774" s="46"/>
      <c r="KZ774" s="46"/>
      <c r="LB774" s="46"/>
      <c r="LD774" s="46"/>
      <c r="LF774" s="46"/>
      <c r="LH774" s="46"/>
      <c r="LJ774" s="46"/>
      <c r="LL774" s="46"/>
      <c r="LN774" s="46"/>
      <c r="LP774" s="46"/>
      <c r="LR774" s="46"/>
      <c r="LT774" s="46"/>
      <c r="LV774" s="46"/>
      <c r="LX774" s="46"/>
      <c r="LZ774" s="46"/>
      <c r="MB774" s="46"/>
      <c r="MD774" s="46"/>
      <c r="MF774" s="46"/>
      <c r="MH774" s="46"/>
      <c r="MJ774" s="46"/>
      <c r="ML774" s="46"/>
      <c r="MN774" s="46"/>
      <c r="MP774" s="46"/>
      <c r="MR774" s="46"/>
      <c r="MT774" s="46"/>
      <c r="MV774" s="46"/>
      <c r="MX774" s="46"/>
      <c r="MZ774" s="46"/>
      <c r="NB774" s="46"/>
      <c r="ND774" s="46"/>
      <c r="NF774" s="46"/>
      <c r="NH774" s="46"/>
      <c r="NJ774" s="46"/>
      <c r="NL774" s="46"/>
      <c r="NN774" s="46"/>
      <c r="NP774" s="46"/>
      <c r="NR774" s="46"/>
      <c r="NT774" s="46"/>
      <c r="NV774" s="46"/>
      <c r="NX774" s="46"/>
      <c r="NZ774" s="46"/>
      <c r="OB774" s="46"/>
      <c r="OD774" s="46"/>
      <c r="OF774" s="46"/>
      <c r="OH774" s="46"/>
      <c r="OJ774" s="46"/>
      <c r="OL774" s="46"/>
      <c r="ON774" s="46"/>
      <c r="OP774" s="46"/>
      <c r="OR774" s="46"/>
      <c r="OT774" s="46"/>
      <c r="OV774" s="46"/>
      <c r="OX774" s="46"/>
      <c r="OZ774" s="46"/>
      <c r="PB774" s="46"/>
      <c r="PD774" s="46"/>
      <c r="PF774" s="46"/>
      <c r="PH774" s="46"/>
      <c r="PJ774" s="46"/>
      <c r="PL774" s="46"/>
      <c r="PN774" s="46"/>
      <c r="PP774" s="46"/>
      <c r="PR774" s="46"/>
      <c r="PT774" s="46"/>
      <c r="PV774" s="46"/>
      <c r="PX774" s="46"/>
      <c r="PZ774" s="46"/>
      <c r="QB774" s="46"/>
      <c r="QD774" s="46"/>
      <c r="QF774" s="46"/>
      <c r="QH774" s="46"/>
      <c r="QJ774" s="46"/>
      <c r="QL774" s="46"/>
      <c r="QN774" s="46"/>
      <c r="QP774" s="46"/>
      <c r="QR774" s="46"/>
      <c r="QT774" s="46"/>
      <c r="QV774" s="46"/>
      <c r="QX774" s="46"/>
      <c r="QZ774" s="46"/>
      <c r="RB774" s="46"/>
      <c r="RD774" s="46"/>
      <c r="RF774" s="46"/>
      <c r="RH774" s="46"/>
      <c r="RJ774" s="46"/>
      <c r="RL774" s="46"/>
      <c r="RN774" s="46"/>
      <c r="RP774" s="46"/>
      <c r="RR774" s="46"/>
      <c r="RT774" s="46"/>
      <c r="RV774" s="46"/>
      <c r="RX774" s="46"/>
      <c r="RZ774" s="46"/>
      <c r="SB774" s="46"/>
      <c r="SD774" s="46"/>
      <c r="SF774" s="46"/>
      <c r="SH774" s="46"/>
      <c r="SJ774" s="46"/>
      <c r="SL774" s="46"/>
      <c r="SN774" s="46"/>
      <c r="SP774" s="46"/>
      <c r="SR774" s="46"/>
      <c r="ST774" s="46"/>
      <c r="SV774" s="46"/>
      <c r="SX774" s="46"/>
      <c r="SZ774" s="46"/>
      <c r="TB774" s="46"/>
      <c r="TD774" s="46"/>
      <c r="TF774" s="46"/>
      <c r="TH774" s="46"/>
      <c r="TJ774" s="46"/>
      <c r="TL774" s="46"/>
      <c r="TN774" s="46"/>
      <c r="TP774" s="46"/>
      <c r="TR774" s="46"/>
      <c r="TT774" s="46"/>
      <c r="TV774" s="46"/>
      <c r="TX774" s="46"/>
      <c r="TZ774" s="46"/>
      <c r="UB774" s="46"/>
      <c r="UD774" s="46"/>
      <c r="UF774" s="46"/>
      <c r="UH774" s="46"/>
      <c r="UJ774" s="46"/>
      <c r="UL774" s="46"/>
      <c r="UN774" s="46"/>
      <c r="UP774" s="46"/>
      <c r="UR774" s="46"/>
      <c r="UT774" s="46"/>
      <c r="UV774" s="46"/>
      <c r="UX774" s="46"/>
      <c r="UZ774" s="46"/>
      <c r="VB774" s="46"/>
      <c r="VD774" s="46"/>
      <c r="VF774" s="46"/>
      <c r="VH774" s="46"/>
      <c r="VJ774" s="46"/>
      <c r="VL774" s="46"/>
      <c r="VN774" s="46"/>
      <c r="VP774" s="46"/>
      <c r="VR774" s="46"/>
      <c r="VT774" s="46"/>
      <c r="VV774" s="46"/>
      <c r="VX774" s="46"/>
      <c r="VZ774" s="46"/>
      <c r="WB774" s="46"/>
      <c r="WD774" s="46"/>
      <c r="WF774" s="46"/>
      <c r="WH774" s="46"/>
      <c r="WJ774" s="46"/>
      <c r="WL774" s="46"/>
      <c r="WN774" s="46"/>
      <c r="WP774" s="46"/>
      <c r="WR774" s="46"/>
      <c r="WT774" s="46"/>
      <c r="WV774" s="46"/>
      <c r="WX774" s="46"/>
      <c r="WZ774" s="46"/>
      <c r="XB774" s="46"/>
      <c r="XD774" s="46"/>
      <c r="XF774" s="46"/>
      <c r="XH774" s="46"/>
      <c r="XJ774" s="46"/>
      <c r="XL774" s="46"/>
      <c r="XN774" s="46"/>
      <c r="XP774" s="46"/>
      <c r="XR774" s="46"/>
      <c r="XT774" s="46"/>
      <c r="XV774" s="46"/>
      <c r="XX774" s="46"/>
      <c r="XZ774" s="46"/>
      <c r="YB774" s="46"/>
      <c r="YD774" s="46"/>
      <c r="YF774" s="46"/>
      <c r="YH774" s="46"/>
      <c r="YJ774" s="46"/>
      <c r="YL774" s="46"/>
      <c r="YN774" s="46"/>
      <c r="YP774" s="46"/>
      <c r="YR774" s="46"/>
      <c r="YT774" s="46"/>
      <c r="YV774" s="46"/>
      <c r="YX774" s="46"/>
      <c r="YZ774" s="46"/>
      <c r="ZB774" s="46"/>
      <c r="ZD774" s="46"/>
      <c r="ZF774" s="46"/>
      <c r="ZH774" s="46"/>
      <c r="ZJ774" s="46"/>
      <c r="ZL774" s="46"/>
      <c r="ZN774" s="46"/>
      <c r="ZP774" s="46"/>
      <c r="ZR774" s="46"/>
      <c r="ZT774" s="46"/>
      <c r="ZV774" s="46"/>
      <c r="ZX774" s="46"/>
      <c r="ZZ774" s="46"/>
      <c r="AAB774" s="46"/>
      <c r="AAD774" s="46"/>
      <c r="AAF774" s="46"/>
      <c r="AAH774" s="46"/>
      <c r="AAJ774" s="46"/>
      <c r="AAL774" s="46"/>
      <c r="AAN774" s="46"/>
      <c r="AAP774" s="46"/>
      <c r="AAR774" s="46"/>
      <c r="AAT774" s="46"/>
      <c r="AAV774" s="46"/>
      <c r="AAX774" s="46"/>
      <c r="AAZ774" s="46"/>
      <c r="ABB774" s="46"/>
      <c r="ABD774" s="46"/>
      <c r="ABF774" s="46"/>
      <c r="ABH774" s="46"/>
      <c r="ABJ774" s="46"/>
      <c r="ABL774" s="46"/>
      <c r="ABN774" s="46"/>
      <c r="ABP774" s="46"/>
      <c r="ABR774" s="46"/>
      <c r="ABT774" s="46"/>
      <c r="ABV774" s="46"/>
      <c r="ABX774" s="46"/>
      <c r="ABZ774" s="46"/>
      <c r="ACB774" s="46"/>
      <c r="ACD774" s="46"/>
      <c r="ACF774" s="46"/>
      <c r="ACH774" s="46"/>
      <c r="ACJ774" s="46"/>
      <c r="ACL774" s="46"/>
      <c r="ACN774" s="46"/>
      <c r="ACP774" s="46"/>
      <c r="ACR774" s="46"/>
      <c r="ACT774" s="46"/>
      <c r="ACV774" s="46"/>
      <c r="ACX774" s="46"/>
      <c r="ACZ774" s="46"/>
      <c r="ADB774" s="46"/>
      <c r="ADD774" s="46"/>
      <c r="ADF774" s="46"/>
      <c r="ADH774" s="46"/>
      <c r="ADJ774" s="46"/>
      <c r="ADL774" s="46"/>
      <c r="ADN774" s="46"/>
      <c r="ADP774" s="46"/>
      <c r="ADR774" s="46"/>
      <c r="ADT774" s="46"/>
      <c r="ADV774" s="46"/>
      <c r="ADX774" s="46"/>
      <c r="ADZ774" s="46"/>
      <c r="AEB774" s="46"/>
      <c r="AED774" s="46"/>
      <c r="AEF774" s="46"/>
      <c r="AEH774" s="46"/>
      <c r="AEJ774" s="46"/>
      <c r="AEL774" s="46"/>
      <c r="AEN774" s="46"/>
      <c r="AEP774" s="46"/>
      <c r="AER774" s="46"/>
      <c r="AET774" s="46"/>
      <c r="AEV774" s="46"/>
      <c r="AEX774" s="46"/>
      <c r="AEZ774" s="46"/>
      <c r="AFB774" s="46"/>
      <c r="AFD774" s="46"/>
      <c r="AFF774" s="46"/>
      <c r="AFH774" s="46"/>
      <c r="AFJ774" s="46"/>
      <c r="AFL774" s="46"/>
      <c r="AFN774" s="46"/>
      <c r="AFP774" s="46"/>
      <c r="AFR774" s="46"/>
      <c r="AFT774" s="46"/>
      <c r="AFV774" s="46"/>
      <c r="AFX774" s="46"/>
      <c r="AFZ774" s="46"/>
      <c r="AGB774" s="46"/>
      <c r="AGD774" s="46"/>
      <c r="AGF774" s="46"/>
      <c r="AGH774" s="46"/>
      <c r="AGJ774" s="46"/>
      <c r="AGL774" s="46"/>
      <c r="AGN774" s="46"/>
      <c r="AGP774" s="46"/>
      <c r="AGR774" s="46"/>
      <c r="AGT774" s="46"/>
      <c r="AGV774" s="46"/>
      <c r="AGX774" s="46"/>
      <c r="AGZ774" s="46"/>
      <c r="AHB774" s="46"/>
      <c r="AHD774" s="46"/>
      <c r="AHF774" s="46"/>
      <c r="AHH774" s="46"/>
      <c r="AHJ774" s="46"/>
      <c r="AHL774" s="46"/>
      <c r="AHN774" s="46"/>
      <c r="AHP774" s="46"/>
      <c r="AHR774" s="46"/>
      <c r="AHT774" s="46"/>
      <c r="AHV774" s="46"/>
      <c r="AHX774" s="46"/>
      <c r="AHZ774" s="46"/>
      <c r="AIB774" s="46"/>
      <c r="AID774" s="46"/>
      <c r="AIF774" s="46"/>
      <c r="AIH774" s="46"/>
      <c r="AIJ774" s="46"/>
      <c r="AIL774" s="46"/>
      <c r="AIN774" s="46"/>
      <c r="AIP774" s="46"/>
      <c r="AIR774" s="46"/>
      <c r="AIT774" s="46"/>
      <c r="AIV774" s="46"/>
      <c r="AIX774" s="46"/>
      <c r="AIZ774" s="46"/>
      <c r="AJB774" s="46"/>
      <c r="AJD774" s="46"/>
      <c r="AJF774" s="46"/>
      <c r="AJH774" s="46"/>
      <c r="AJJ774" s="46"/>
      <c r="AJL774" s="46"/>
      <c r="AJN774" s="46"/>
      <c r="AJP774" s="46"/>
      <c r="AJR774" s="46"/>
      <c r="AJT774" s="46"/>
      <c r="AJV774" s="46"/>
      <c r="AJX774" s="46"/>
      <c r="AJZ774" s="46"/>
      <c r="AKB774" s="46"/>
      <c r="AKD774" s="46"/>
      <c r="AKF774" s="46"/>
      <c r="AKH774" s="46"/>
      <c r="AKJ774" s="46"/>
      <c r="AKL774" s="46"/>
      <c r="AKN774" s="46"/>
      <c r="AKP774" s="46"/>
      <c r="AKR774" s="46"/>
      <c r="AKT774" s="46"/>
      <c r="AKV774" s="46"/>
      <c r="AKX774" s="46"/>
      <c r="AKZ774" s="46"/>
      <c r="ALB774" s="46"/>
      <c r="ALD774" s="46"/>
      <c r="ALF774" s="46"/>
      <c r="ALH774" s="46"/>
      <c r="ALJ774" s="46"/>
      <c r="ALL774" s="46"/>
      <c r="ALN774" s="46"/>
      <c r="ALP774" s="46"/>
      <c r="ALR774" s="46"/>
      <c r="ALT774" s="46"/>
      <c r="ALV774" s="46"/>
      <c r="ALX774" s="46"/>
      <c r="ALZ774" s="46"/>
      <c r="AMB774" s="46"/>
      <c r="AMD774" s="46"/>
      <c r="AMF774" s="46"/>
      <c r="AMH774" s="46"/>
      <c r="AMJ774" s="46"/>
      <c r="AML774" s="46"/>
      <c r="AMN774" s="46"/>
      <c r="AMP774" s="46"/>
      <c r="AMR774" s="46"/>
      <c r="AMT774" s="46"/>
      <c r="AMV774" s="46"/>
      <c r="AMX774" s="46"/>
      <c r="AMZ774" s="46"/>
      <c r="ANB774" s="46"/>
      <c r="AND774" s="46"/>
      <c r="ANF774" s="46"/>
      <c r="ANH774" s="46"/>
      <c r="ANJ774" s="46"/>
      <c r="ANL774" s="46"/>
      <c r="ANN774" s="46"/>
      <c r="ANP774" s="46"/>
      <c r="ANR774" s="46"/>
      <c r="ANT774" s="46"/>
      <c r="ANV774" s="46"/>
      <c r="ANX774" s="46"/>
      <c r="ANZ774" s="46"/>
      <c r="AOB774" s="46"/>
      <c r="AOD774" s="46"/>
      <c r="AOF774" s="46"/>
      <c r="AOH774" s="46"/>
      <c r="AOJ774" s="46"/>
      <c r="AOL774" s="46"/>
      <c r="AON774" s="46"/>
      <c r="AOP774" s="46"/>
      <c r="AOR774" s="46"/>
      <c r="AOT774" s="46"/>
      <c r="AOV774" s="46"/>
      <c r="AOX774" s="46"/>
      <c r="AOZ774" s="46"/>
      <c r="APB774" s="46"/>
      <c r="APD774" s="46"/>
      <c r="APF774" s="46"/>
      <c r="APH774" s="46"/>
      <c r="APJ774" s="46"/>
      <c r="APL774" s="46"/>
      <c r="APN774" s="46"/>
      <c r="APP774" s="46"/>
      <c r="APR774" s="46"/>
      <c r="APT774" s="46"/>
      <c r="APV774" s="46"/>
      <c r="APX774" s="46"/>
      <c r="APZ774" s="46"/>
      <c r="AQB774" s="46"/>
      <c r="AQD774" s="46"/>
      <c r="AQF774" s="46"/>
      <c r="AQH774" s="46"/>
      <c r="AQJ774" s="46"/>
      <c r="AQL774" s="46"/>
      <c r="AQN774" s="46"/>
      <c r="AQP774" s="46"/>
      <c r="AQR774" s="46"/>
      <c r="AQT774" s="46"/>
      <c r="AQV774" s="46"/>
      <c r="AQX774" s="46"/>
      <c r="AQZ774" s="46"/>
      <c r="ARB774" s="46"/>
      <c r="ARD774" s="46"/>
      <c r="ARF774" s="46"/>
      <c r="ARH774" s="46"/>
      <c r="ARJ774" s="46"/>
      <c r="ARL774" s="46"/>
      <c r="ARN774" s="46"/>
      <c r="ARP774" s="46"/>
      <c r="ARR774" s="46"/>
      <c r="ART774" s="46"/>
      <c r="ARV774" s="46"/>
      <c r="ARX774" s="46"/>
      <c r="ARZ774" s="46"/>
      <c r="ASB774" s="46"/>
      <c r="ASD774" s="46"/>
      <c r="ASF774" s="46"/>
      <c r="ASH774" s="46"/>
      <c r="ASJ774" s="46"/>
      <c r="ASL774" s="46"/>
      <c r="ASN774" s="46"/>
      <c r="ASP774" s="46"/>
      <c r="ASR774" s="46"/>
      <c r="AST774" s="46"/>
      <c r="ASV774" s="46"/>
      <c r="ASX774" s="46"/>
      <c r="ASZ774" s="46"/>
      <c r="ATB774" s="46"/>
      <c r="ATD774" s="46"/>
      <c r="ATF774" s="46"/>
      <c r="ATH774" s="46"/>
      <c r="ATJ774" s="46"/>
      <c r="ATL774" s="46"/>
      <c r="ATN774" s="46"/>
      <c r="ATP774" s="46"/>
      <c r="ATR774" s="46"/>
      <c r="ATT774" s="46"/>
      <c r="ATV774" s="46"/>
      <c r="ATX774" s="46"/>
      <c r="ATZ774" s="46"/>
      <c r="AUB774" s="46"/>
      <c r="AUD774" s="46"/>
      <c r="AUF774" s="46"/>
      <c r="AUH774" s="46"/>
      <c r="AUJ774" s="46"/>
      <c r="AUL774" s="46"/>
      <c r="AUN774" s="46"/>
      <c r="AUP774" s="46"/>
      <c r="AUR774" s="46"/>
      <c r="AUT774" s="46"/>
      <c r="AUV774" s="46"/>
      <c r="AUX774" s="46"/>
      <c r="AUZ774" s="46"/>
      <c r="AVB774" s="46"/>
      <c r="AVD774" s="46"/>
      <c r="AVF774" s="46"/>
      <c r="AVH774" s="46"/>
      <c r="AVJ774" s="46"/>
      <c r="AVL774" s="46"/>
      <c r="AVN774" s="46"/>
      <c r="AVP774" s="46"/>
      <c r="AVR774" s="46"/>
      <c r="AVT774" s="46"/>
      <c r="AVV774" s="46"/>
      <c r="AVX774" s="46"/>
      <c r="AVZ774" s="46"/>
      <c r="AWB774" s="46"/>
      <c r="AWD774" s="46"/>
      <c r="AWF774" s="46"/>
      <c r="AWH774" s="46"/>
      <c r="AWJ774" s="46"/>
      <c r="AWL774" s="46"/>
      <c r="AWN774" s="46"/>
      <c r="AWP774" s="46"/>
      <c r="AWR774" s="46"/>
      <c r="AWT774" s="46"/>
      <c r="AWV774" s="46"/>
      <c r="AWX774" s="46"/>
      <c r="AWZ774" s="46"/>
      <c r="AXB774" s="46"/>
      <c r="AXD774" s="46"/>
      <c r="AXF774" s="46"/>
      <c r="AXH774" s="46"/>
      <c r="AXJ774" s="46"/>
      <c r="AXL774" s="46"/>
      <c r="AXN774" s="46"/>
      <c r="AXP774" s="46"/>
      <c r="AXR774" s="46"/>
      <c r="AXT774" s="46"/>
      <c r="AXV774" s="46"/>
      <c r="AXX774" s="46"/>
      <c r="AXZ774" s="46"/>
      <c r="AYB774" s="46"/>
      <c r="AYD774" s="46"/>
      <c r="AYF774" s="46"/>
      <c r="AYH774" s="46"/>
      <c r="AYJ774" s="46"/>
      <c r="AYL774" s="46"/>
      <c r="AYN774" s="46"/>
      <c r="AYP774" s="46"/>
      <c r="AYR774" s="46"/>
      <c r="AYT774" s="46"/>
      <c r="AYV774" s="46"/>
      <c r="AYX774" s="46"/>
      <c r="AYZ774" s="46"/>
      <c r="AZB774" s="46"/>
      <c r="AZD774" s="46"/>
      <c r="AZF774" s="46"/>
      <c r="AZH774" s="46"/>
      <c r="AZJ774" s="46"/>
      <c r="AZL774" s="46"/>
      <c r="AZN774" s="46"/>
      <c r="AZP774" s="46"/>
      <c r="AZR774" s="46"/>
      <c r="AZT774" s="46"/>
      <c r="AZV774" s="46"/>
      <c r="AZX774" s="46"/>
      <c r="AZZ774" s="46"/>
      <c r="BAB774" s="46"/>
      <c r="BAD774" s="46"/>
      <c r="BAF774" s="46"/>
      <c r="BAH774" s="46"/>
      <c r="BAJ774" s="46"/>
      <c r="BAL774" s="46"/>
      <c r="BAN774" s="46"/>
      <c r="BAP774" s="46"/>
      <c r="BAR774" s="46"/>
      <c r="BAT774" s="46"/>
      <c r="BAV774" s="46"/>
      <c r="BAX774" s="46"/>
      <c r="BAZ774" s="46"/>
      <c r="BBB774" s="46"/>
      <c r="BBD774" s="46"/>
      <c r="BBF774" s="46"/>
      <c r="BBH774" s="46"/>
      <c r="BBJ774" s="46"/>
      <c r="BBL774" s="46"/>
      <c r="BBN774" s="46"/>
      <c r="BBP774" s="46"/>
      <c r="BBR774" s="46"/>
      <c r="BBT774" s="46"/>
      <c r="BBV774" s="46"/>
      <c r="BBX774" s="46"/>
      <c r="BBZ774" s="46"/>
      <c r="BCB774" s="46"/>
      <c r="BCD774" s="46"/>
      <c r="BCF774" s="46"/>
      <c r="BCH774" s="46"/>
      <c r="BCJ774" s="46"/>
      <c r="BCL774" s="46"/>
      <c r="BCN774" s="46"/>
      <c r="BCP774" s="46"/>
      <c r="BCR774" s="46"/>
      <c r="BCT774" s="46"/>
      <c r="BCV774" s="46"/>
      <c r="BCX774" s="46"/>
      <c r="BCZ774" s="46"/>
      <c r="BDB774" s="46"/>
      <c r="BDD774" s="46"/>
      <c r="BDF774" s="46"/>
      <c r="BDH774" s="46"/>
      <c r="BDJ774" s="46"/>
      <c r="BDL774" s="46"/>
      <c r="BDN774" s="46"/>
      <c r="BDP774" s="46"/>
      <c r="BDR774" s="46"/>
      <c r="BDT774" s="46"/>
      <c r="BDV774" s="46"/>
      <c r="BDX774" s="46"/>
      <c r="BDZ774" s="46"/>
      <c r="BEB774" s="46"/>
      <c r="BED774" s="46"/>
      <c r="BEF774" s="46"/>
      <c r="BEH774" s="46"/>
      <c r="BEJ774" s="46"/>
      <c r="BEL774" s="46"/>
      <c r="BEN774" s="46"/>
      <c r="BEP774" s="46"/>
      <c r="BER774" s="46"/>
      <c r="BET774" s="46"/>
      <c r="BEV774" s="46"/>
      <c r="BEX774" s="46"/>
      <c r="BEZ774" s="46"/>
      <c r="BFB774" s="46"/>
      <c r="BFD774" s="46"/>
      <c r="BFF774" s="46"/>
      <c r="BFH774" s="46"/>
      <c r="BFJ774" s="46"/>
      <c r="BFL774" s="46"/>
      <c r="BFN774" s="46"/>
      <c r="BFP774" s="46"/>
      <c r="BFR774" s="46"/>
      <c r="BFT774" s="46"/>
      <c r="BFV774" s="46"/>
      <c r="BFX774" s="46"/>
      <c r="BFZ774" s="46"/>
      <c r="BGB774" s="46"/>
      <c r="BGD774" s="46"/>
      <c r="BGF774" s="46"/>
      <c r="BGH774" s="46"/>
      <c r="BGJ774" s="46"/>
      <c r="BGL774" s="46"/>
      <c r="BGN774" s="46"/>
      <c r="BGP774" s="46"/>
      <c r="BGR774" s="46"/>
      <c r="BGT774" s="46"/>
      <c r="BGV774" s="46"/>
      <c r="BGX774" s="46"/>
      <c r="BGZ774" s="46"/>
      <c r="BHB774" s="46"/>
      <c r="BHD774" s="46"/>
      <c r="BHF774" s="46"/>
      <c r="BHH774" s="46"/>
      <c r="BHJ774" s="46"/>
      <c r="BHL774" s="46"/>
      <c r="BHN774" s="46"/>
      <c r="BHP774" s="46"/>
      <c r="BHR774" s="46"/>
      <c r="BHT774" s="46"/>
      <c r="BHV774" s="46"/>
      <c r="BHX774" s="46"/>
      <c r="BHZ774" s="46"/>
      <c r="BIB774" s="46"/>
      <c r="BID774" s="46"/>
      <c r="BIF774" s="46"/>
      <c r="BIH774" s="46"/>
      <c r="BIJ774" s="46"/>
      <c r="BIL774" s="46"/>
      <c r="BIN774" s="46"/>
      <c r="BIP774" s="46"/>
      <c r="BIR774" s="46"/>
      <c r="BIT774" s="46"/>
      <c r="BIV774" s="46"/>
      <c r="BIX774" s="46"/>
      <c r="BIZ774" s="46"/>
      <c r="BJB774" s="46"/>
      <c r="BJD774" s="46"/>
      <c r="BJF774" s="46"/>
      <c r="BJH774" s="46"/>
      <c r="BJJ774" s="46"/>
      <c r="BJL774" s="46"/>
      <c r="BJN774" s="46"/>
      <c r="BJP774" s="46"/>
      <c r="BJR774" s="46"/>
      <c r="BJT774" s="46"/>
      <c r="BJV774" s="46"/>
      <c r="BJX774" s="46"/>
      <c r="BJZ774" s="46"/>
      <c r="BKB774" s="46"/>
      <c r="BKD774" s="46"/>
      <c r="BKF774" s="46"/>
      <c r="BKH774" s="46"/>
      <c r="BKJ774" s="46"/>
      <c r="BKL774" s="46"/>
      <c r="BKN774" s="46"/>
      <c r="BKP774" s="46"/>
      <c r="BKR774" s="46"/>
      <c r="BKT774" s="46"/>
      <c r="BKV774" s="46"/>
      <c r="BKX774" s="46"/>
      <c r="BKZ774" s="46"/>
      <c r="BLB774" s="46"/>
      <c r="BLD774" s="46"/>
      <c r="BLF774" s="46"/>
      <c r="BLH774" s="46"/>
      <c r="BLJ774" s="46"/>
      <c r="BLL774" s="46"/>
      <c r="BLN774" s="46"/>
      <c r="BLP774" s="46"/>
      <c r="BLR774" s="46"/>
      <c r="BLT774" s="46"/>
      <c r="BLV774" s="46"/>
      <c r="BLX774" s="46"/>
      <c r="BLZ774" s="46"/>
      <c r="BMB774" s="46"/>
      <c r="BMD774" s="46"/>
      <c r="BMF774" s="46"/>
      <c r="BMH774" s="46"/>
      <c r="BMJ774" s="46"/>
      <c r="BML774" s="46"/>
      <c r="BMN774" s="46"/>
      <c r="BMP774" s="46"/>
      <c r="BMR774" s="46"/>
      <c r="BMT774" s="46"/>
      <c r="BMV774" s="46"/>
      <c r="BMX774" s="46"/>
      <c r="BMZ774" s="46"/>
      <c r="BNB774" s="46"/>
      <c r="BND774" s="46"/>
      <c r="BNF774" s="46"/>
      <c r="BNH774" s="46"/>
      <c r="BNJ774" s="46"/>
      <c r="BNL774" s="46"/>
      <c r="BNN774" s="46"/>
      <c r="BNP774" s="46"/>
      <c r="BNR774" s="46"/>
      <c r="BNT774" s="46"/>
      <c r="BNV774" s="46"/>
      <c r="BNX774" s="46"/>
      <c r="BNZ774" s="46"/>
      <c r="BOB774" s="46"/>
      <c r="BOD774" s="46"/>
      <c r="BOF774" s="46"/>
      <c r="BOH774" s="46"/>
      <c r="BOJ774" s="46"/>
      <c r="BOL774" s="46"/>
      <c r="BON774" s="46"/>
      <c r="BOP774" s="46"/>
      <c r="BOR774" s="46"/>
      <c r="BOT774" s="46"/>
      <c r="BOV774" s="46"/>
      <c r="BOX774" s="46"/>
      <c r="BOZ774" s="46"/>
      <c r="BPB774" s="46"/>
      <c r="BPD774" s="46"/>
      <c r="BPF774" s="46"/>
      <c r="BPH774" s="46"/>
      <c r="BPJ774" s="46"/>
      <c r="BPL774" s="46"/>
      <c r="BPN774" s="46"/>
      <c r="BPP774" s="46"/>
      <c r="BPR774" s="46"/>
      <c r="BPT774" s="46"/>
      <c r="BPV774" s="46"/>
      <c r="BPX774" s="46"/>
      <c r="BPZ774" s="46"/>
      <c r="BQB774" s="46"/>
      <c r="BQD774" s="46"/>
      <c r="BQF774" s="46"/>
      <c r="BQH774" s="46"/>
      <c r="BQJ774" s="46"/>
      <c r="BQL774" s="46"/>
      <c r="BQN774" s="46"/>
      <c r="BQP774" s="46"/>
      <c r="BQR774" s="46"/>
      <c r="BQT774" s="46"/>
      <c r="BQV774" s="46"/>
      <c r="BQX774" s="46"/>
      <c r="BQZ774" s="46"/>
      <c r="BRB774" s="46"/>
      <c r="BRD774" s="46"/>
      <c r="BRF774" s="46"/>
      <c r="BRH774" s="46"/>
      <c r="BRJ774" s="46"/>
      <c r="BRL774" s="46"/>
      <c r="BRN774" s="46"/>
      <c r="BRP774" s="46"/>
      <c r="BRR774" s="46"/>
      <c r="BRT774" s="46"/>
      <c r="BRV774" s="46"/>
      <c r="BRX774" s="46"/>
      <c r="BRZ774" s="46"/>
      <c r="BSB774" s="46"/>
      <c r="BSD774" s="46"/>
      <c r="BSF774" s="46"/>
      <c r="BSH774" s="46"/>
      <c r="BSJ774" s="46"/>
      <c r="BSL774" s="46"/>
      <c r="BSN774" s="46"/>
      <c r="BSP774" s="46"/>
      <c r="BSR774" s="46"/>
      <c r="BST774" s="46"/>
      <c r="BSV774" s="46"/>
      <c r="BSX774" s="46"/>
      <c r="BSZ774" s="46"/>
      <c r="BTB774" s="46"/>
      <c r="BTD774" s="46"/>
      <c r="BTF774" s="46"/>
      <c r="BTH774" s="46"/>
      <c r="BTJ774" s="46"/>
      <c r="BTL774" s="46"/>
      <c r="BTN774" s="46"/>
      <c r="BTP774" s="46"/>
      <c r="BTR774" s="46"/>
      <c r="BTT774" s="46"/>
      <c r="BTV774" s="46"/>
      <c r="BTX774" s="46"/>
      <c r="BTZ774" s="46"/>
      <c r="BUB774" s="46"/>
      <c r="BUD774" s="46"/>
      <c r="BUF774" s="46"/>
      <c r="BUH774" s="46"/>
      <c r="BUJ774" s="46"/>
      <c r="BUL774" s="46"/>
      <c r="BUN774" s="46"/>
      <c r="BUP774" s="46"/>
      <c r="BUR774" s="46"/>
      <c r="BUT774" s="46"/>
      <c r="BUV774" s="46"/>
      <c r="BUX774" s="46"/>
      <c r="BUZ774" s="46"/>
      <c r="BVB774" s="46"/>
      <c r="BVD774" s="46"/>
      <c r="BVF774" s="46"/>
      <c r="BVH774" s="46"/>
      <c r="BVJ774" s="46"/>
      <c r="BVL774" s="46"/>
      <c r="BVN774" s="46"/>
      <c r="BVP774" s="46"/>
      <c r="BVR774" s="46"/>
      <c r="BVT774" s="46"/>
      <c r="BVV774" s="46"/>
      <c r="BVX774" s="46"/>
      <c r="BVZ774" s="46"/>
      <c r="BWB774" s="46"/>
      <c r="BWD774" s="46"/>
      <c r="BWF774" s="46"/>
      <c r="BWH774" s="46"/>
      <c r="BWJ774" s="46"/>
      <c r="BWL774" s="46"/>
      <c r="BWN774" s="46"/>
      <c r="BWP774" s="46"/>
      <c r="BWR774" s="46"/>
      <c r="BWT774" s="46"/>
      <c r="BWV774" s="46"/>
      <c r="BWX774" s="46"/>
      <c r="BWZ774" s="46"/>
      <c r="BXB774" s="46"/>
      <c r="BXD774" s="46"/>
      <c r="BXF774" s="46"/>
      <c r="BXH774" s="46"/>
      <c r="BXJ774" s="46"/>
      <c r="BXL774" s="46"/>
      <c r="BXN774" s="46"/>
      <c r="BXP774" s="46"/>
      <c r="BXR774" s="46"/>
      <c r="BXT774" s="46"/>
      <c r="BXV774" s="46"/>
      <c r="BXX774" s="46"/>
      <c r="BXZ774" s="46"/>
      <c r="BYB774" s="46"/>
      <c r="BYD774" s="46"/>
      <c r="BYF774" s="46"/>
      <c r="BYH774" s="46"/>
      <c r="BYJ774" s="46"/>
      <c r="BYL774" s="46"/>
      <c r="BYN774" s="46"/>
      <c r="BYP774" s="46"/>
      <c r="BYR774" s="46"/>
      <c r="BYT774" s="46"/>
      <c r="BYV774" s="46"/>
      <c r="BYX774" s="46"/>
      <c r="BYZ774" s="46"/>
      <c r="BZB774" s="46"/>
      <c r="BZD774" s="46"/>
      <c r="BZF774" s="46"/>
      <c r="BZH774" s="46"/>
      <c r="BZJ774" s="46"/>
      <c r="BZL774" s="46"/>
      <c r="BZN774" s="46"/>
      <c r="BZP774" s="46"/>
      <c r="BZR774" s="46"/>
      <c r="BZT774" s="46"/>
      <c r="BZV774" s="46"/>
      <c r="BZX774" s="46"/>
      <c r="BZZ774" s="46"/>
      <c r="CAB774" s="46"/>
      <c r="CAD774" s="46"/>
      <c r="CAF774" s="46"/>
      <c r="CAH774" s="46"/>
      <c r="CAJ774" s="46"/>
      <c r="CAL774" s="46"/>
      <c r="CAN774" s="46"/>
      <c r="CAP774" s="46"/>
      <c r="CAR774" s="46"/>
      <c r="CAT774" s="46"/>
      <c r="CAV774" s="46"/>
      <c r="CAX774" s="46"/>
      <c r="CAZ774" s="46"/>
      <c r="CBB774" s="46"/>
      <c r="CBD774" s="46"/>
      <c r="CBF774" s="46"/>
      <c r="CBH774" s="46"/>
      <c r="CBJ774" s="46"/>
      <c r="CBL774" s="46"/>
      <c r="CBN774" s="46"/>
      <c r="CBP774" s="46"/>
      <c r="CBR774" s="46"/>
      <c r="CBT774" s="46"/>
      <c r="CBV774" s="46"/>
      <c r="CBX774" s="46"/>
      <c r="CBZ774" s="46"/>
      <c r="CCB774" s="46"/>
      <c r="CCD774" s="46"/>
      <c r="CCF774" s="46"/>
      <c r="CCH774" s="46"/>
      <c r="CCJ774" s="46"/>
      <c r="CCL774" s="46"/>
      <c r="CCN774" s="46"/>
      <c r="CCP774" s="46"/>
      <c r="CCR774" s="46"/>
      <c r="CCT774" s="46"/>
      <c r="CCV774" s="46"/>
      <c r="CCX774" s="46"/>
      <c r="CCZ774" s="46"/>
      <c r="CDB774" s="46"/>
      <c r="CDD774" s="46"/>
      <c r="CDF774" s="46"/>
      <c r="CDH774" s="46"/>
      <c r="CDJ774" s="46"/>
      <c r="CDL774" s="46"/>
      <c r="CDN774" s="46"/>
      <c r="CDP774" s="46"/>
      <c r="CDR774" s="46"/>
      <c r="CDT774" s="46"/>
      <c r="CDV774" s="46"/>
      <c r="CDX774" s="46"/>
      <c r="CDZ774" s="46"/>
      <c r="CEB774" s="46"/>
      <c r="CED774" s="46"/>
      <c r="CEF774" s="46"/>
      <c r="CEH774" s="46"/>
      <c r="CEJ774" s="46"/>
      <c r="CEL774" s="46"/>
      <c r="CEN774" s="46"/>
      <c r="CEP774" s="46"/>
      <c r="CER774" s="46"/>
      <c r="CET774" s="46"/>
      <c r="CEV774" s="46"/>
      <c r="CEX774" s="46"/>
      <c r="CEZ774" s="46"/>
      <c r="CFB774" s="46"/>
      <c r="CFD774" s="46"/>
      <c r="CFF774" s="46"/>
      <c r="CFH774" s="46"/>
      <c r="CFJ774" s="46"/>
      <c r="CFL774" s="46"/>
      <c r="CFN774" s="46"/>
      <c r="CFP774" s="46"/>
      <c r="CFR774" s="46"/>
      <c r="CFT774" s="46"/>
      <c r="CFV774" s="46"/>
      <c r="CFX774" s="46"/>
      <c r="CFZ774" s="46"/>
      <c r="CGB774" s="46"/>
      <c r="CGD774" s="46"/>
      <c r="CGF774" s="46"/>
      <c r="CGH774" s="46"/>
      <c r="CGJ774" s="46"/>
      <c r="CGL774" s="46"/>
      <c r="CGN774" s="46"/>
      <c r="CGP774" s="46"/>
      <c r="CGR774" s="46"/>
      <c r="CGT774" s="46"/>
      <c r="CGV774" s="46"/>
      <c r="CGX774" s="46"/>
      <c r="CGZ774" s="46"/>
      <c r="CHB774" s="46"/>
      <c r="CHD774" s="46"/>
      <c r="CHF774" s="46"/>
      <c r="CHH774" s="46"/>
      <c r="CHJ774" s="46"/>
      <c r="CHL774" s="46"/>
      <c r="CHN774" s="46"/>
      <c r="CHP774" s="46"/>
      <c r="CHR774" s="46"/>
      <c r="CHT774" s="46"/>
      <c r="CHV774" s="46"/>
      <c r="CHX774" s="46"/>
      <c r="CHZ774" s="46"/>
      <c r="CIB774" s="46"/>
      <c r="CID774" s="46"/>
      <c r="CIF774" s="46"/>
      <c r="CIH774" s="46"/>
      <c r="CIJ774" s="46"/>
      <c r="CIL774" s="46"/>
      <c r="CIN774" s="46"/>
      <c r="CIP774" s="46"/>
      <c r="CIR774" s="46"/>
      <c r="CIT774" s="46"/>
      <c r="CIV774" s="46"/>
      <c r="CIX774" s="46"/>
      <c r="CIZ774" s="46"/>
      <c r="CJB774" s="46"/>
      <c r="CJD774" s="46"/>
      <c r="CJF774" s="46"/>
      <c r="CJH774" s="46"/>
      <c r="CJJ774" s="46"/>
      <c r="CJL774" s="46"/>
      <c r="CJN774" s="46"/>
      <c r="CJP774" s="46"/>
      <c r="CJR774" s="46"/>
      <c r="CJT774" s="46"/>
      <c r="CJV774" s="46"/>
      <c r="CJX774" s="46"/>
      <c r="CJZ774" s="46"/>
      <c r="CKB774" s="46"/>
      <c r="CKD774" s="46"/>
      <c r="CKF774" s="46"/>
      <c r="CKH774" s="46"/>
      <c r="CKJ774" s="46"/>
      <c r="CKL774" s="46"/>
      <c r="CKN774" s="46"/>
      <c r="CKP774" s="46"/>
      <c r="CKR774" s="46"/>
      <c r="CKT774" s="46"/>
      <c r="CKV774" s="46"/>
      <c r="CKX774" s="46"/>
      <c r="CKZ774" s="46"/>
      <c r="CLB774" s="46"/>
      <c r="CLD774" s="46"/>
      <c r="CLF774" s="46"/>
      <c r="CLH774" s="46"/>
      <c r="CLJ774" s="46"/>
      <c r="CLL774" s="46"/>
      <c r="CLN774" s="46"/>
      <c r="CLP774" s="46"/>
      <c r="CLR774" s="46"/>
      <c r="CLT774" s="46"/>
      <c r="CLV774" s="46"/>
      <c r="CLX774" s="46"/>
      <c r="CLZ774" s="46"/>
      <c r="CMB774" s="46"/>
      <c r="CMD774" s="46"/>
      <c r="CMF774" s="46"/>
      <c r="CMH774" s="46"/>
      <c r="CMJ774" s="46"/>
      <c r="CML774" s="46"/>
      <c r="CMN774" s="46"/>
      <c r="CMP774" s="46"/>
      <c r="CMR774" s="46"/>
      <c r="CMT774" s="46"/>
      <c r="CMV774" s="46"/>
      <c r="CMX774" s="46"/>
      <c r="CMZ774" s="46"/>
      <c r="CNB774" s="46"/>
      <c r="CND774" s="46"/>
      <c r="CNF774" s="46"/>
      <c r="CNH774" s="46"/>
      <c r="CNJ774" s="46"/>
      <c r="CNL774" s="46"/>
      <c r="CNN774" s="46"/>
      <c r="CNP774" s="46"/>
      <c r="CNR774" s="46"/>
      <c r="CNT774" s="46"/>
      <c r="CNV774" s="46"/>
      <c r="CNX774" s="46"/>
      <c r="CNZ774" s="46"/>
      <c r="COB774" s="46"/>
      <c r="COD774" s="46"/>
      <c r="COF774" s="46"/>
      <c r="COH774" s="46"/>
      <c r="COJ774" s="46"/>
      <c r="COL774" s="46"/>
      <c r="CON774" s="46"/>
      <c r="COP774" s="46"/>
      <c r="COR774" s="46"/>
      <c r="COT774" s="46"/>
      <c r="COV774" s="46"/>
      <c r="COX774" s="46"/>
      <c r="COZ774" s="46"/>
      <c r="CPB774" s="46"/>
      <c r="CPD774" s="46"/>
      <c r="CPF774" s="46"/>
      <c r="CPH774" s="46"/>
      <c r="CPJ774" s="46"/>
      <c r="CPL774" s="46"/>
      <c r="CPN774" s="46"/>
      <c r="CPP774" s="46"/>
      <c r="CPR774" s="46"/>
      <c r="CPT774" s="46"/>
      <c r="CPV774" s="46"/>
      <c r="CPX774" s="46"/>
      <c r="CPZ774" s="46"/>
      <c r="CQB774" s="46"/>
      <c r="CQD774" s="46"/>
      <c r="CQF774" s="46"/>
      <c r="CQH774" s="46"/>
      <c r="CQJ774" s="46"/>
      <c r="CQL774" s="46"/>
      <c r="CQN774" s="46"/>
      <c r="CQP774" s="46"/>
      <c r="CQR774" s="46"/>
      <c r="CQT774" s="46"/>
      <c r="CQV774" s="46"/>
      <c r="CQX774" s="46"/>
      <c r="CQZ774" s="46"/>
      <c r="CRB774" s="46"/>
      <c r="CRD774" s="46"/>
      <c r="CRF774" s="46"/>
      <c r="CRH774" s="46"/>
      <c r="CRJ774" s="46"/>
      <c r="CRL774" s="46"/>
      <c r="CRN774" s="46"/>
      <c r="CRP774" s="46"/>
      <c r="CRR774" s="46"/>
      <c r="CRT774" s="46"/>
      <c r="CRV774" s="46"/>
      <c r="CRX774" s="46"/>
      <c r="CRZ774" s="46"/>
      <c r="CSB774" s="46"/>
      <c r="CSD774" s="46"/>
      <c r="CSF774" s="46"/>
      <c r="CSH774" s="46"/>
      <c r="CSJ774" s="46"/>
      <c r="CSL774" s="46"/>
      <c r="CSN774" s="46"/>
      <c r="CSP774" s="46"/>
      <c r="CSR774" s="46"/>
      <c r="CST774" s="46"/>
      <c r="CSV774" s="46"/>
      <c r="CSX774" s="46"/>
      <c r="CSZ774" s="46"/>
      <c r="CTB774" s="46"/>
      <c r="CTD774" s="46"/>
      <c r="CTF774" s="46"/>
      <c r="CTH774" s="46"/>
      <c r="CTJ774" s="46"/>
      <c r="CTL774" s="46"/>
      <c r="CTN774" s="46"/>
      <c r="CTP774" s="46"/>
      <c r="CTR774" s="46"/>
      <c r="CTT774" s="46"/>
      <c r="CTV774" s="46"/>
      <c r="CTX774" s="46"/>
      <c r="CTZ774" s="46"/>
      <c r="CUB774" s="46"/>
      <c r="CUD774" s="46"/>
      <c r="CUF774" s="46"/>
      <c r="CUH774" s="46"/>
      <c r="CUJ774" s="46"/>
      <c r="CUL774" s="46"/>
      <c r="CUN774" s="46"/>
      <c r="CUP774" s="46"/>
      <c r="CUR774" s="46"/>
      <c r="CUT774" s="46"/>
      <c r="CUV774" s="46"/>
      <c r="CUX774" s="46"/>
      <c r="CUZ774" s="46"/>
      <c r="CVB774" s="46"/>
      <c r="CVD774" s="46"/>
      <c r="CVF774" s="46"/>
      <c r="CVH774" s="46"/>
      <c r="CVJ774" s="46"/>
      <c r="CVL774" s="46"/>
      <c r="CVN774" s="46"/>
      <c r="CVP774" s="46"/>
      <c r="CVR774" s="46"/>
      <c r="CVT774" s="46"/>
      <c r="CVV774" s="46"/>
      <c r="CVX774" s="46"/>
      <c r="CVZ774" s="46"/>
      <c r="CWB774" s="46"/>
      <c r="CWD774" s="46"/>
      <c r="CWF774" s="46"/>
      <c r="CWH774" s="46"/>
      <c r="CWJ774" s="46"/>
      <c r="CWL774" s="46"/>
      <c r="CWN774" s="46"/>
      <c r="CWP774" s="46"/>
      <c r="CWR774" s="46"/>
      <c r="CWT774" s="46"/>
      <c r="CWV774" s="46"/>
      <c r="CWX774" s="46"/>
      <c r="CWZ774" s="46"/>
      <c r="CXB774" s="46"/>
      <c r="CXD774" s="46"/>
      <c r="CXF774" s="46"/>
      <c r="CXH774" s="46"/>
      <c r="CXJ774" s="46"/>
      <c r="CXL774" s="46"/>
      <c r="CXN774" s="46"/>
      <c r="CXP774" s="46"/>
      <c r="CXR774" s="46"/>
      <c r="CXT774" s="46"/>
      <c r="CXV774" s="46"/>
      <c r="CXX774" s="46"/>
      <c r="CXZ774" s="46"/>
      <c r="CYB774" s="46"/>
      <c r="CYD774" s="46"/>
      <c r="CYF774" s="46"/>
      <c r="CYH774" s="46"/>
      <c r="CYJ774" s="46"/>
      <c r="CYL774" s="46"/>
      <c r="CYN774" s="46"/>
      <c r="CYP774" s="46"/>
      <c r="CYR774" s="46"/>
      <c r="CYT774" s="46"/>
      <c r="CYV774" s="46"/>
      <c r="CYX774" s="46"/>
      <c r="CYZ774" s="46"/>
      <c r="CZB774" s="46"/>
      <c r="CZD774" s="46"/>
      <c r="CZF774" s="46"/>
      <c r="CZH774" s="46"/>
      <c r="CZJ774" s="46"/>
      <c r="CZL774" s="46"/>
      <c r="CZN774" s="46"/>
      <c r="CZP774" s="46"/>
      <c r="CZR774" s="46"/>
      <c r="CZT774" s="46"/>
      <c r="CZV774" s="46"/>
      <c r="CZX774" s="46"/>
      <c r="CZZ774" s="46"/>
      <c r="DAB774" s="46"/>
      <c r="DAD774" s="46"/>
      <c r="DAF774" s="46"/>
      <c r="DAH774" s="46"/>
      <c r="DAJ774" s="46"/>
      <c r="DAL774" s="46"/>
      <c r="DAN774" s="46"/>
      <c r="DAP774" s="46"/>
      <c r="DAR774" s="46"/>
      <c r="DAT774" s="46"/>
      <c r="DAV774" s="46"/>
      <c r="DAX774" s="46"/>
      <c r="DAZ774" s="46"/>
      <c r="DBB774" s="46"/>
      <c r="DBD774" s="46"/>
      <c r="DBF774" s="46"/>
      <c r="DBH774" s="46"/>
      <c r="DBJ774" s="46"/>
      <c r="DBL774" s="46"/>
      <c r="DBN774" s="46"/>
      <c r="DBP774" s="46"/>
      <c r="DBR774" s="46"/>
      <c r="DBT774" s="46"/>
      <c r="DBV774" s="46"/>
      <c r="DBX774" s="46"/>
      <c r="DBZ774" s="46"/>
      <c r="DCB774" s="46"/>
      <c r="DCD774" s="46"/>
      <c r="DCF774" s="46"/>
      <c r="DCH774" s="46"/>
      <c r="DCJ774" s="46"/>
      <c r="DCL774" s="46"/>
      <c r="DCN774" s="46"/>
      <c r="DCP774" s="46"/>
      <c r="DCR774" s="46"/>
      <c r="DCT774" s="46"/>
      <c r="DCV774" s="46"/>
      <c r="DCX774" s="46"/>
      <c r="DCZ774" s="46"/>
      <c r="DDB774" s="46"/>
      <c r="DDD774" s="46"/>
      <c r="DDF774" s="46"/>
      <c r="DDH774" s="46"/>
      <c r="DDJ774" s="46"/>
      <c r="DDL774" s="46"/>
      <c r="DDN774" s="46"/>
      <c r="DDP774" s="46"/>
      <c r="DDR774" s="46"/>
      <c r="DDT774" s="46"/>
      <c r="DDV774" s="46"/>
      <c r="DDX774" s="46"/>
      <c r="DDZ774" s="46"/>
      <c r="DEB774" s="46"/>
      <c r="DED774" s="46"/>
      <c r="DEF774" s="46"/>
      <c r="DEH774" s="46"/>
      <c r="DEJ774" s="46"/>
      <c r="DEL774" s="46"/>
      <c r="DEN774" s="46"/>
      <c r="DEP774" s="46"/>
      <c r="DER774" s="46"/>
      <c r="DET774" s="46"/>
      <c r="DEV774" s="46"/>
      <c r="DEX774" s="46"/>
      <c r="DEZ774" s="46"/>
      <c r="DFB774" s="46"/>
      <c r="DFD774" s="46"/>
      <c r="DFF774" s="46"/>
      <c r="DFH774" s="46"/>
      <c r="DFJ774" s="46"/>
      <c r="DFL774" s="46"/>
      <c r="DFN774" s="46"/>
      <c r="DFP774" s="46"/>
      <c r="DFR774" s="46"/>
      <c r="DFT774" s="46"/>
      <c r="DFV774" s="46"/>
      <c r="DFX774" s="46"/>
      <c r="DFZ774" s="46"/>
      <c r="DGB774" s="46"/>
      <c r="DGD774" s="46"/>
      <c r="DGF774" s="46"/>
      <c r="DGH774" s="46"/>
      <c r="DGJ774" s="46"/>
      <c r="DGL774" s="46"/>
      <c r="DGN774" s="46"/>
      <c r="DGP774" s="46"/>
      <c r="DGR774" s="46"/>
      <c r="DGT774" s="46"/>
      <c r="DGV774" s="46"/>
      <c r="DGX774" s="46"/>
      <c r="DGZ774" s="46"/>
      <c r="DHB774" s="46"/>
      <c r="DHD774" s="46"/>
      <c r="DHF774" s="46"/>
      <c r="DHH774" s="46"/>
      <c r="DHJ774" s="46"/>
      <c r="DHL774" s="46"/>
      <c r="DHN774" s="46"/>
      <c r="DHP774" s="46"/>
      <c r="DHR774" s="46"/>
      <c r="DHT774" s="46"/>
      <c r="DHV774" s="46"/>
      <c r="DHX774" s="46"/>
      <c r="DHZ774" s="46"/>
      <c r="DIB774" s="46"/>
      <c r="DID774" s="46"/>
      <c r="DIF774" s="46"/>
      <c r="DIH774" s="46"/>
      <c r="DIJ774" s="46"/>
      <c r="DIL774" s="46"/>
      <c r="DIN774" s="46"/>
      <c r="DIP774" s="46"/>
      <c r="DIR774" s="46"/>
      <c r="DIT774" s="46"/>
      <c r="DIV774" s="46"/>
      <c r="DIX774" s="46"/>
      <c r="DIZ774" s="46"/>
      <c r="DJB774" s="46"/>
      <c r="DJD774" s="46"/>
      <c r="DJF774" s="46"/>
      <c r="DJH774" s="46"/>
      <c r="DJJ774" s="46"/>
      <c r="DJL774" s="46"/>
      <c r="DJN774" s="46"/>
      <c r="DJP774" s="46"/>
      <c r="DJR774" s="46"/>
      <c r="DJT774" s="46"/>
      <c r="DJV774" s="46"/>
      <c r="DJX774" s="46"/>
      <c r="DJZ774" s="46"/>
      <c r="DKB774" s="46"/>
      <c r="DKD774" s="46"/>
      <c r="DKF774" s="46"/>
      <c r="DKH774" s="46"/>
      <c r="DKJ774" s="46"/>
      <c r="DKL774" s="46"/>
      <c r="DKN774" s="46"/>
      <c r="DKP774" s="46"/>
      <c r="DKR774" s="46"/>
      <c r="DKT774" s="46"/>
      <c r="DKV774" s="46"/>
      <c r="DKX774" s="46"/>
      <c r="DKZ774" s="46"/>
      <c r="DLB774" s="46"/>
      <c r="DLD774" s="46"/>
      <c r="DLF774" s="46"/>
      <c r="DLH774" s="46"/>
      <c r="DLJ774" s="46"/>
      <c r="DLL774" s="46"/>
      <c r="DLN774" s="46"/>
      <c r="DLP774" s="46"/>
      <c r="DLR774" s="46"/>
      <c r="DLT774" s="46"/>
      <c r="DLV774" s="46"/>
      <c r="DLX774" s="46"/>
      <c r="DLZ774" s="46"/>
      <c r="DMB774" s="46"/>
      <c r="DMD774" s="46"/>
      <c r="DMF774" s="46"/>
      <c r="DMH774" s="46"/>
      <c r="DMJ774" s="46"/>
      <c r="DML774" s="46"/>
      <c r="DMN774" s="46"/>
      <c r="DMP774" s="46"/>
      <c r="DMR774" s="46"/>
      <c r="DMT774" s="46"/>
      <c r="DMV774" s="46"/>
      <c r="DMX774" s="46"/>
      <c r="DMZ774" s="46"/>
      <c r="DNB774" s="46"/>
      <c r="DND774" s="46"/>
      <c r="DNF774" s="46"/>
      <c r="DNH774" s="46"/>
      <c r="DNJ774" s="46"/>
      <c r="DNL774" s="46"/>
      <c r="DNN774" s="46"/>
      <c r="DNP774" s="46"/>
      <c r="DNR774" s="46"/>
      <c r="DNT774" s="46"/>
      <c r="DNV774" s="46"/>
      <c r="DNX774" s="46"/>
      <c r="DNZ774" s="46"/>
      <c r="DOB774" s="46"/>
      <c r="DOD774" s="46"/>
      <c r="DOF774" s="46"/>
      <c r="DOH774" s="46"/>
      <c r="DOJ774" s="46"/>
      <c r="DOL774" s="46"/>
      <c r="DON774" s="46"/>
      <c r="DOP774" s="46"/>
      <c r="DOR774" s="46"/>
      <c r="DOT774" s="46"/>
      <c r="DOV774" s="46"/>
      <c r="DOX774" s="46"/>
      <c r="DOZ774" s="46"/>
      <c r="DPB774" s="46"/>
      <c r="DPD774" s="46"/>
      <c r="DPF774" s="46"/>
      <c r="DPH774" s="46"/>
      <c r="DPJ774" s="46"/>
      <c r="DPL774" s="46"/>
      <c r="DPN774" s="46"/>
      <c r="DPP774" s="46"/>
      <c r="DPR774" s="46"/>
      <c r="DPT774" s="46"/>
      <c r="DPV774" s="46"/>
      <c r="DPX774" s="46"/>
      <c r="DPZ774" s="46"/>
      <c r="DQB774" s="46"/>
      <c r="DQD774" s="46"/>
      <c r="DQF774" s="46"/>
      <c r="DQH774" s="46"/>
      <c r="DQJ774" s="46"/>
      <c r="DQL774" s="46"/>
      <c r="DQN774" s="46"/>
      <c r="DQP774" s="46"/>
      <c r="DQR774" s="46"/>
      <c r="DQT774" s="46"/>
      <c r="DQV774" s="46"/>
      <c r="DQX774" s="46"/>
      <c r="DQZ774" s="46"/>
      <c r="DRB774" s="46"/>
      <c r="DRD774" s="46"/>
      <c r="DRF774" s="46"/>
      <c r="DRH774" s="46"/>
      <c r="DRJ774" s="46"/>
      <c r="DRL774" s="46"/>
      <c r="DRN774" s="46"/>
      <c r="DRP774" s="46"/>
      <c r="DRR774" s="46"/>
      <c r="DRT774" s="46"/>
      <c r="DRV774" s="46"/>
      <c r="DRX774" s="46"/>
      <c r="DRZ774" s="46"/>
      <c r="DSB774" s="46"/>
      <c r="DSD774" s="46"/>
      <c r="DSF774" s="46"/>
      <c r="DSH774" s="46"/>
      <c r="DSJ774" s="46"/>
      <c r="DSL774" s="46"/>
      <c r="DSN774" s="46"/>
      <c r="DSP774" s="46"/>
      <c r="DSR774" s="46"/>
      <c r="DST774" s="46"/>
      <c r="DSV774" s="46"/>
      <c r="DSX774" s="46"/>
      <c r="DSZ774" s="46"/>
      <c r="DTB774" s="46"/>
      <c r="DTD774" s="46"/>
      <c r="DTF774" s="46"/>
      <c r="DTH774" s="46"/>
      <c r="DTJ774" s="46"/>
      <c r="DTL774" s="46"/>
      <c r="DTN774" s="46"/>
      <c r="DTP774" s="46"/>
      <c r="DTR774" s="46"/>
      <c r="DTT774" s="46"/>
      <c r="DTV774" s="46"/>
      <c r="DTX774" s="46"/>
      <c r="DTZ774" s="46"/>
      <c r="DUB774" s="46"/>
      <c r="DUD774" s="46"/>
      <c r="DUF774" s="46"/>
      <c r="DUH774" s="46"/>
      <c r="DUJ774" s="46"/>
      <c r="DUL774" s="46"/>
      <c r="DUN774" s="46"/>
      <c r="DUP774" s="46"/>
      <c r="DUR774" s="46"/>
      <c r="DUT774" s="46"/>
      <c r="DUV774" s="46"/>
      <c r="DUX774" s="46"/>
      <c r="DUZ774" s="46"/>
      <c r="DVB774" s="46"/>
      <c r="DVD774" s="46"/>
      <c r="DVF774" s="46"/>
      <c r="DVH774" s="46"/>
      <c r="DVJ774" s="46"/>
      <c r="DVL774" s="46"/>
      <c r="DVN774" s="46"/>
      <c r="DVP774" s="46"/>
      <c r="DVR774" s="46"/>
      <c r="DVT774" s="46"/>
      <c r="DVV774" s="46"/>
      <c r="DVX774" s="46"/>
      <c r="DVZ774" s="46"/>
      <c r="DWB774" s="46"/>
      <c r="DWD774" s="46"/>
      <c r="DWF774" s="46"/>
      <c r="DWH774" s="46"/>
      <c r="DWJ774" s="46"/>
      <c r="DWL774" s="46"/>
      <c r="DWN774" s="46"/>
      <c r="DWP774" s="46"/>
      <c r="DWR774" s="46"/>
      <c r="DWT774" s="46"/>
      <c r="DWV774" s="46"/>
      <c r="DWX774" s="46"/>
      <c r="DWZ774" s="46"/>
      <c r="DXB774" s="46"/>
      <c r="DXD774" s="46"/>
      <c r="DXF774" s="46"/>
      <c r="DXH774" s="46"/>
      <c r="DXJ774" s="46"/>
      <c r="DXL774" s="46"/>
      <c r="DXN774" s="46"/>
      <c r="DXP774" s="46"/>
      <c r="DXR774" s="46"/>
      <c r="DXT774" s="46"/>
      <c r="DXV774" s="46"/>
      <c r="DXX774" s="46"/>
      <c r="DXZ774" s="46"/>
      <c r="DYB774" s="46"/>
      <c r="DYD774" s="46"/>
      <c r="DYF774" s="46"/>
      <c r="DYH774" s="46"/>
      <c r="DYJ774" s="46"/>
      <c r="DYL774" s="46"/>
      <c r="DYN774" s="46"/>
      <c r="DYP774" s="46"/>
      <c r="DYR774" s="46"/>
      <c r="DYT774" s="46"/>
      <c r="DYV774" s="46"/>
      <c r="DYX774" s="46"/>
      <c r="DYZ774" s="46"/>
      <c r="DZB774" s="46"/>
      <c r="DZD774" s="46"/>
      <c r="DZF774" s="46"/>
      <c r="DZH774" s="46"/>
      <c r="DZJ774" s="46"/>
      <c r="DZL774" s="46"/>
      <c r="DZN774" s="46"/>
      <c r="DZP774" s="46"/>
      <c r="DZR774" s="46"/>
      <c r="DZT774" s="46"/>
      <c r="DZV774" s="46"/>
      <c r="DZX774" s="46"/>
      <c r="DZZ774" s="46"/>
      <c r="EAB774" s="46"/>
      <c r="EAD774" s="46"/>
      <c r="EAF774" s="46"/>
      <c r="EAH774" s="46"/>
      <c r="EAJ774" s="46"/>
      <c r="EAL774" s="46"/>
      <c r="EAN774" s="46"/>
      <c r="EAP774" s="46"/>
      <c r="EAR774" s="46"/>
      <c r="EAT774" s="46"/>
      <c r="EAV774" s="46"/>
      <c r="EAX774" s="46"/>
      <c r="EAZ774" s="46"/>
      <c r="EBB774" s="46"/>
      <c r="EBD774" s="46"/>
      <c r="EBF774" s="46"/>
      <c r="EBH774" s="46"/>
      <c r="EBJ774" s="46"/>
      <c r="EBL774" s="46"/>
      <c r="EBN774" s="46"/>
      <c r="EBP774" s="46"/>
      <c r="EBR774" s="46"/>
      <c r="EBT774" s="46"/>
      <c r="EBV774" s="46"/>
      <c r="EBX774" s="46"/>
      <c r="EBZ774" s="46"/>
      <c r="ECB774" s="46"/>
      <c r="ECD774" s="46"/>
      <c r="ECF774" s="46"/>
      <c r="ECH774" s="46"/>
      <c r="ECJ774" s="46"/>
      <c r="ECL774" s="46"/>
      <c r="ECN774" s="46"/>
      <c r="ECP774" s="46"/>
      <c r="ECR774" s="46"/>
      <c r="ECT774" s="46"/>
      <c r="ECV774" s="46"/>
      <c r="ECX774" s="46"/>
      <c r="ECZ774" s="46"/>
      <c r="EDB774" s="46"/>
      <c r="EDD774" s="46"/>
      <c r="EDF774" s="46"/>
      <c r="EDH774" s="46"/>
      <c r="EDJ774" s="46"/>
      <c r="EDL774" s="46"/>
      <c r="EDN774" s="46"/>
      <c r="EDP774" s="46"/>
      <c r="EDR774" s="46"/>
      <c r="EDT774" s="46"/>
      <c r="EDV774" s="46"/>
      <c r="EDX774" s="46"/>
      <c r="EDZ774" s="46"/>
      <c r="EEB774" s="46"/>
      <c r="EED774" s="46"/>
      <c r="EEF774" s="46"/>
      <c r="EEH774" s="46"/>
      <c r="EEJ774" s="46"/>
      <c r="EEL774" s="46"/>
      <c r="EEN774" s="46"/>
      <c r="EEP774" s="46"/>
      <c r="EER774" s="46"/>
      <c r="EET774" s="46"/>
      <c r="EEV774" s="46"/>
      <c r="EEX774" s="46"/>
      <c r="EEZ774" s="46"/>
      <c r="EFB774" s="46"/>
      <c r="EFD774" s="46"/>
      <c r="EFF774" s="46"/>
      <c r="EFH774" s="46"/>
      <c r="EFJ774" s="46"/>
      <c r="EFL774" s="46"/>
      <c r="EFN774" s="46"/>
      <c r="EFP774" s="46"/>
      <c r="EFR774" s="46"/>
      <c r="EFT774" s="46"/>
      <c r="EFV774" s="46"/>
      <c r="EFX774" s="46"/>
      <c r="EFZ774" s="46"/>
      <c r="EGB774" s="46"/>
      <c r="EGD774" s="46"/>
      <c r="EGF774" s="46"/>
      <c r="EGH774" s="46"/>
      <c r="EGJ774" s="46"/>
      <c r="EGL774" s="46"/>
      <c r="EGN774" s="46"/>
      <c r="EGP774" s="46"/>
      <c r="EGR774" s="46"/>
      <c r="EGT774" s="46"/>
      <c r="EGV774" s="46"/>
      <c r="EGX774" s="46"/>
      <c r="EGZ774" s="46"/>
      <c r="EHB774" s="46"/>
      <c r="EHD774" s="46"/>
      <c r="EHF774" s="46"/>
      <c r="EHH774" s="46"/>
      <c r="EHJ774" s="46"/>
      <c r="EHL774" s="46"/>
      <c r="EHN774" s="46"/>
      <c r="EHP774" s="46"/>
      <c r="EHR774" s="46"/>
      <c r="EHT774" s="46"/>
      <c r="EHV774" s="46"/>
      <c r="EHX774" s="46"/>
      <c r="EHZ774" s="46"/>
      <c r="EIB774" s="46"/>
      <c r="EID774" s="46"/>
      <c r="EIF774" s="46"/>
      <c r="EIH774" s="46"/>
      <c r="EIJ774" s="46"/>
      <c r="EIL774" s="46"/>
      <c r="EIN774" s="46"/>
      <c r="EIP774" s="46"/>
      <c r="EIR774" s="46"/>
      <c r="EIT774" s="46"/>
      <c r="EIV774" s="46"/>
      <c r="EIX774" s="46"/>
      <c r="EIZ774" s="46"/>
      <c r="EJB774" s="46"/>
      <c r="EJD774" s="46"/>
      <c r="EJF774" s="46"/>
      <c r="EJH774" s="46"/>
      <c r="EJJ774" s="46"/>
      <c r="EJL774" s="46"/>
      <c r="EJN774" s="46"/>
      <c r="EJP774" s="46"/>
      <c r="EJR774" s="46"/>
      <c r="EJT774" s="46"/>
      <c r="EJV774" s="46"/>
      <c r="EJX774" s="46"/>
      <c r="EJZ774" s="46"/>
      <c r="EKB774" s="46"/>
      <c r="EKD774" s="46"/>
      <c r="EKF774" s="46"/>
      <c r="EKH774" s="46"/>
      <c r="EKJ774" s="46"/>
      <c r="EKL774" s="46"/>
      <c r="EKN774" s="46"/>
      <c r="EKP774" s="46"/>
      <c r="EKR774" s="46"/>
      <c r="EKT774" s="46"/>
      <c r="EKV774" s="46"/>
      <c r="EKX774" s="46"/>
      <c r="EKZ774" s="46"/>
      <c r="ELB774" s="46"/>
      <c r="ELD774" s="46"/>
      <c r="ELF774" s="46"/>
      <c r="ELH774" s="46"/>
      <c r="ELJ774" s="46"/>
      <c r="ELL774" s="46"/>
      <c r="ELN774" s="46"/>
      <c r="ELP774" s="46"/>
      <c r="ELR774" s="46"/>
      <c r="ELT774" s="46"/>
      <c r="ELV774" s="46"/>
      <c r="ELX774" s="46"/>
      <c r="ELZ774" s="46"/>
      <c r="EMB774" s="46"/>
      <c r="EMD774" s="46"/>
      <c r="EMF774" s="46"/>
      <c r="EMH774" s="46"/>
      <c r="EMJ774" s="46"/>
      <c r="EML774" s="46"/>
      <c r="EMN774" s="46"/>
      <c r="EMP774" s="46"/>
      <c r="EMR774" s="46"/>
      <c r="EMT774" s="46"/>
      <c r="EMV774" s="46"/>
      <c r="EMX774" s="46"/>
      <c r="EMZ774" s="46"/>
      <c r="ENB774" s="46"/>
      <c r="END774" s="46"/>
      <c r="ENF774" s="46"/>
      <c r="ENH774" s="46"/>
      <c r="ENJ774" s="46"/>
      <c r="ENL774" s="46"/>
      <c r="ENN774" s="46"/>
      <c r="ENP774" s="46"/>
      <c r="ENR774" s="46"/>
      <c r="ENT774" s="46"/>
      <c r="ENV774" s="46"/>
      <c r="ENX774" s="46"/>
      <c r="ENZ774" s="46"/>
      <c r="EOB774" s="46"/>
      <c r="EOD774" s="46"/>
      <c r="EOF774" s="46"/>
      <c r="EOH774" s="46"/>
      <c r="EOJ774" s="46"/>
      <c r="EOL774" s="46"/>
      <c r="EON774" s="46"/>
      <c r="EOP774" s="46"/>
      <c r="EOR774" s="46"/>
      <c r="EOT774" s="46"/>
      <c r="EOV774" s="46"/>
      <c r="EOX774" s="46"/>
      <c r="EOZ774" s="46"/>
      <c r="EPB774" s="46"/>
      <c r="EPD774" s="46"/>
      <c r="EPF774" s="46"/>
      <c r="EPH774" s="46"/>
      <c r="EPJ774" s="46"/>
      <c r="EPL774" s="46"/>
      <c r="EPN774" s="46"/>
      <c r="EPP774" s="46"/>
      <c r="EPR774" s="46"/>
      <c r="EPT774" s="46"/>
      <c r="EPV774" s="46"/>
      <c r="EPX774" s="46"/>
      <c r="EPZ774" s="46"/>
      <c r="EQB774" s="46"/>
      <c r="EQD774" s="46"/>
      <c r="EQF774" s="46"/>
      <c r="EQH774" s="46"/>
      <c r="EQJ774" s="46"/>
      <c r="EQL774" s="46"/>
      <c r="EQN774" s="46"/>
      <c r="EQP774" s="46"/>
      <c r="EQR774" s="46"/>
      <c r="EQT774" s="46"/>
      <c r="EQV774" s="46"/>
      <c r="EQX774" s="46"/>
      <c r="EQZ774" s="46"/>
      <c r="ERB774" s="46"/>
      <c r="ERD774" s="46"/>
      <c r="ERF774" s="46"/>
      <c r="ERH774" s="46"/>
      <c r="ERJ774" s="46"/>
      <c r="ERL774" s="46"/>
      <c r="ERN774" s="46"/>
      <c r="ERP774" s="46"/>
      <c r="ERR774" s="46"/>
      <c r="ERT774" s="46"/>
      <c r="ERV774" s="46"/>
      <c r="ERX774" s="46"/>
      <c r="ERZ774" s="46"/>
      <c r="ESB774" s="46"/>
      <c r="ESD774" s="46"/>
      <c r="ESF774" s="46"/>
      <c r="ESH774" s="46"/>
      <c r="ESJ774" s="46"/>
      <c r="ESL774" s="46"/>
      <c r="ESN774" s="46"/>
      <c r="ESP774" s="46"/>
      <c r="ESR774" s="46"/>
      <c r="EST774" s="46"/>
      <c r="ESV774" s="46"/>
      <c r="ESX774" s="46"/>
      <c r="ESZ774" s="46"/>
      <c r="ETB774" s="46"/>
      <c r="ETD774" s="46"/>
      <c r="ETF774" s="46"/>
      <c r="ETH774" s="46"/>
      <c r="ETJ774" s="46"/>
      <c r="ETL774" s="46"/>
      <c r="ETN774" s="46"/>
      <c r="ETP774" s="46"/>
      <c r="ETR774" s="46"/>
      <c r="ETT774" s="46"/>
      <c r="ETV774" s="46"/>
      <c r="ETX774" s="46"/>
      <c r="ETZ774" s="46"/>
      <c r="EUB774" s="46"/>
      <c r="EUD774" s="46"/>
      <c r="EUF774" s="46"/>
      <c r="EUH774" s="46"/>
      <c r="EUJ774" s="46"/>
      <c r="EUL774" s="46"/>
      <c r="EUN774" s="46"/>
      <c r="EUP774" s="46"/>
      <c r="EUR774" s="46"/>
      <c r="EUT774" s="46"/>
      <c r="EUV774" s="46"/>
      <c r="EUX774" s="46"/>
      <c r="EUZ774" s="46"/>
      <c r="EVB774" s="46"/>
      <c r="EVD774" s="46"/>
      <c r="EVF774" s="46"/>
      <c r="EVH774" s="46"/>
      <c r="EVJ774" s="46"/>
      <c r="EVL774" s="46"/>
      <c r="EVN774" s="46"/>
      <c r="EVP774" s="46"/>
      <c r="EVR774" s="46"/>
      <c r="EVT774" s="46"/>
      <c r="EVV774" s="46"/>
      <c r="EVX774" s="46"/>
      <c r="EVZ774" s="46"/>
      <c r="EWB774" s="46"/>
      <c r="EWD774" s="46"/>
      <c r="EWF774" s="46"/>
      <c r="EWH774" s="46"/>
      <c r="EWJ774" s="46"/>
      <c r="EWL774" s="46"/>
      <c r="EWN774" s="46"/>
      <c r="EWP774" s="46"/>
      <c r="EWR774" s="46"/>
      <c r="EWT774" s="46"/>
      <c r="EWV774" s="46"/>
      <c r="EWX774" s="46"/>
      <c r="EWZ774" s="46"/>
      <c r="EXB774" s="46"/>
      <c r="EXD774" s="46"/>
      <c r="EXF774" s="46"/>
      <c r="EXH774" s="46"/>
      <c r="EXJ774" s="46"/>
      <c r="EXL774" s="46"/>
      <c r="EXN774" s="46"/>
      <c r="EXP774" s="46"/>
      <c r="EXR774" s="46"/>
      <c r="EXT774" s="46"/>
      <c r="EXV774" s="46"/>
      <c r="EXX774" s="46"/>
      <c r="EXZ774" s="46"/>
      <c r="EYB774" s="46"/>
      <c r="EYD774" s="46"/>
      <c r="EYF774" s="46"/>
      <c r="EYH774" s="46"/>
      <c r="EYJ774" s="46"/>
      <c r="EYL774" s="46"/>
      <c r="EYN774" s="46"/>
      <c r="EYP774" s="46"/>
      <c r="EYR774" s="46"/>
      <c r="EYT774" s="46"/>
      <c r="EYV774" s="46"/>
      <c r="EYX774" s="46"/>
      <c r="EYZ774" s="46"/>
      <c r="EZB774" s="46"/>
      <c r="EZD774" s="46"/>
      <c r="EZF774" s="46"/>
      <c r="EZH774" s="46"/>
      <c r="EZJ774" s="46"/>
      <c r="EZL774" s="46"/>
      <c r="EZN774" s="46"/>
      <c r="EZP774" s="46"/>
      <c r="EZR774" s="46"/>
      <c r="EZT774" s="46"/>
      <c r="EZV774" s="46"/>
      <c r="EZX774" s="46"/>
      <c r="EZZ774" s="46"/>
      <c r="FAB774" s="46"/>
      <c r="FAD774" s="46"/>
      <c r="FAF774" s="46"/>
      <c r="FAH774" s="46"/>
      <c r="FAJ774" s="46"/>
      <c r="FAL774" s="46"/>
      <c r="FAN774" s="46"/>
      <c r="FAP774" s="46"/>
      <c r="FAR774" s="46"/>
      <c r="FAT774" s="46"/>
      <c r="FAV774" s="46"/>
      <c r="FAX774" s="46"/>
      <c r="FAZ774" s="46"/>
      <c r="FBB774" s="46"/>
      <c r="FBD774" s="46"/>
      <c r="FBF774" s="46"/>
      <c r="FBH774" s="46"/>
      <c r="FBJ774" s="46"/>
      <c r="FBL774" s="46"/>
      <c r="FBN774" s="46"/>
      <c r="FBP774" s="46"/>
      <c r="FBR774" s="46"/>
      <c r="FBT774" s="46"/>
      <c r="FBV774" s="46"/>
      <c r="FBX774" s="46"/>
      <c r="FBZ774" s="46"/>
      <c r="FCB774" s="46"/>
      <c r="FCD774" s="46"/>
      <c r="FCF774" s="46"/>
      <c r="FCH774" s="46"/>
      <c r="FCJ774" s="46"/>
      <c r="FCL774" s="46"/>
      <c r="FCN774" s="46"/>
      <c r="FCP774" s="46"/>
      <c r="FCR774" s="46"/>
      <c r="FCT774" s="46"/>
      <c r="FCV774" s="46"/>
      <c r="FCX774" s="46"/>
      <c r="FCZ774" s="46"/>
      <c r="FDB774" s="46"/>
      <c r="FDD774" s="46"/>
      <c r="FDF774" s="46"/>
      <c r="FDH774" s="46"/>
      <c r="FDJ774" s="46"/>
      <c r="FDL774" s="46"/>
      <c r="FDN774" s="46"/>
      <c r="FDP774" s="46"/>
      <c r="FDR774" s="46"/>
      <c r="FDT774" s="46"/>
      <c r="FDV774" s="46"/>
      <c r="FDX774" s="46"/>
      <c r="FDZ774" s="46"/>
      <c r="FEB774" s="46"/>
      <c r="FED774" s="46"/>
      <c r="FEF774" s="46"/>
      <c r="FEH774" s="46"/>
      <c r="FEJ774" s="46"/>
      <c r="FEL774" s="46"/>
      <c r="FEN774" s="46"/>
      <c r="FEP774" s="46"/>
      <c r="FER774" s="46"/>
      <c r="FET774" s="46"/>
      <c r="FEV774" s="46"/>
      <c r="FEX774" s="46"/>
      <c r="FEZ774" s="46"/>
      <c r="FFB774" s="46"/>
      <c r="FFD774" s="46"/>
      <c r="FFF774" s="46"/>
      <c r="FFH774" s="46"/>
      <c r="FFJ774" s="46"/>
      <c r="FFL774" s="46"/>
      <c r="FFN774" s="46"/>
      <c r="FFP774" s="46"/>
      <c r="FFR774" s="46"/>
      <c r="FFT774" s="46"/>
      <c r="FFV774" s="46"/>
      <c r="FFX774" s="46"/>
      <c r="FFZ774" s="46"/>
      <c r="FGB774" s="46"/>
      <c r="FGD774" s="46"/>
      <c r="FGF774" s="46"/>
      <c r="FGH774" s="46"/>
      <c r="FGJ774" s="46"/>
      <c r="FGL774" s="46"/>
      <c r="FGN774" s="46"/>
      <c r="FGP774" s="46"/>
      <c r="FGR774" s="46"/>
      <c r="FGT774" s="46"/>
      <c r="FGV774" s="46"/>
      <c r="FGX774" s="46"/>
      <c r="FGZ774" s="46"/>
      <c r="FHB774" s="46"/>
      <c r="FHD774" s="46"/>
      <c r="FHF774" s="46"/>
      <c r="FHH774" s="46"/>
      <c r="FHJ774" s="46"/>
      <c r="FHL774" s="46"/>
      <c r="FHN774" s="46"/>
      <c r="FHP774" s="46"/>
      <c r="FHR774" s="46"/>
      <c r="FHT774" s="46"/>
      <c r="FHV774" s="46"/>
      <c r="FHX774" s="46"/>
      <c r="FHZ774" s="46"/>
      <c r="FIB774" s="46"/>
      <c r="FID774" s="46"/>
      <c r="FIF774" s="46"/>
      <c r="FIH774" s="46"/>
      <c r="FIJ774" s="46"/>
      <c r="FIL774" s="46"/>
      <c r="FIN774" s="46"/>
      <c r="FIP774" s="46"/>
      <c r="FIR774" s="46"/>
      <c r="FIT774" s="46"/>
      <c r="FIV774" s="46"/>
      <c r="FIX774" s="46"/>
      <c r="FIZ774" s="46"/>
      <c r="FJB774" s="46"/>
      <c r="FJD774" s="46"/>
      <c r="FJF774" s="46"/>
      <c r="FJH774" s="46"/>
      <c r="FJJ774" s="46"/>
      <c r="FJL774" s="46"/>
      <c r="FJN774" s="46"/>
      <c r="FJP774" s="46"/>
      <c r="FJR774" s="46"/>
      <c r="FJT774" s="46"/>
      <c r="FJV774" s="46"/>
      <c r="FJX774" s="46"/>
      <c r="FJZ774" s="46"/>
      <c r="FKB774" s="46"/>
      <c r="FKD774" s="46"/>
      <c r="FKF774" s="46"/>
      <c r="FKH774" s="46"/>
      <c r="FKJ774" s="46"/>
      <c r="FKL774" s="46"/>
      <c r="FKN774" s="46"/>
      <c r="FKP774" s="46"/>
      <c r="FKR774" s="46"/>
      <c r="FKT774" s="46"/>
      <c r="FKV774" s="46"/>
      <c r="FKX774" s="46"/>
      <c r="FKZ774" s="46"/>
      <c r="FLB774" s="46"/>
      <c r="FLD774" s="46"/>
      <c r="FLF774" s="46"/>
      <c r="FLH774" s="46"/>
      <c r="FLJ774" s="46"/>
      <c r="FLL774" s="46"/>
      <c r="FLN774" s="46"/>
      <c r="FLP774" s="46"/>
      <c r="FLR774" s="46"/>
      <c r="FLT774" s="46"/>
      <c r="FLV774" s="46"/>
      <c r="FLX774" s="46"/>
      <c r="FLZ774" s="46"/>
      <c r="FMB774" s="46"/>
      <c r="FMD774" s="46"/>
      <c r="FMF774" s="46"/>
      <c r="FMH774" s="46"/>
      <c r="FMJ774" s="46"/>
      <c r="FML774" s="46"/>
      <c r="FMN774" s="46"/>
      <c r="FMP774" s="46"/>
      <c r="FMR774" s="46"/>
      <c r="FMT774" s="46"/>
      <c r="FMV774" s="46"/>
      <c r="FMX774" s="46"/>
      <c r="FMZ774" s="46"/>
      <c r="FNB774" s="46"/>
      <c r="FND774" s="46"/>
      <c r="FNF774" s="46"/>
      <c r="FNH774" s="46"/>
      <c r="FNJ774" s="46"/>
      <c r="FNL774" s="46"/>
      <c r="FNN774" s="46"/>
      <c r="FNP774" s="46"/>
      <c r="FNR774" s="46"/>
      <c r="FNT774" s="46"/>
      <c r="FNV774" s="46"/>
      <c r="FNX774" s="46"/>
      <c r="FNZ774" s="46"/>
      <c r="FOB774" s="46"/>
      <c r="FOD774" s="46"/>
      <c r="FOF774" s="46"/>
      <c r="FOH774" s="46"/>
      <c r="FOJ774" s="46"/>
      <c r="FOL774" s="46"/>
      <c r="FON774" s="46"/>
      <c r="FOP774" s="46"/>
      <c r="FOR774" s="46"/>
      <c r="FOT774" s="46"/>
      <c r="FOV774" s="46"/>
      <c r="FOX774" s="46"/>
      <c r="FOZ774" s="46"/>
      <c r="FPB774" s="46"/>
      <c r="FPD774" s="46"/>
      <c r="FPF774" s="46"/>
      <c r="FPH774" s="46"/>
      <c r="FPJ774" s="46"/>
      <c r="FPL774" s="46"/>
      <c r="FPN774" s="46"/>
      <c r="FPP774" s="46"/>
      <c r="FPR774" s="46"/>
      <c r="FPT774" s="46"/>
      <c r="FPV774" s="46"/>
      <c r="FPX774" s="46"/>
      <c r="FPZ774" s="46"/>
      <c r="FQB774" s="46"/>
      <c r="FQD774" s="46"/>
      <c r="FQF774" s="46"/>
      <c r="FQH774" s="46"/>
      <c r="FQJ774" s="46"/>
      <c r="FQL774" s="46"/>
      <c r="FQN774" s="46"/>
      <c r="FQP774" s="46"/>
      <c r="FQR774" s="46"/>
      <c r="FQT774" s="46"/>
      <c r="FQV774" s="46"/>
      <c r="FQX774" s="46"/>
      <c r="FQZ774" s="46"/>
      <c r="FRB774" s="46"/>
      <c r="FRD774" s="46"/>
      <c r="FRF774" s="46"/>
      <c r="FRH774" s="46"/>
      <c r="FRJ774" s="46"/>
      <c r="FRL774" s="46"/>
      <c r="FRN774" s="46"/>
      <c r="FRP774" s="46"/>
      <c r="FRR774" s="46"/>
      <c r="FRT774" s="46"/>
      <c r="FRV774" s="46"/>
      <c r="FRX774" s="46"/>
      <c r="FRZ774" s="46"/>
      <c r="FSB774" s="46"/>
      <c r="FSD774" s="46"/>
      <c r="FSF774" s="46"/>
      <c r="FSH774" s="46"/>
      <c r="FSJ774" s="46"/>
      <c r="FSL774" s="46"/>
      <c r="FSN774" s="46"/>
      <c r="FSP774" s="46"/>
      <c r="FSR774" s="46"/>
      <c r="FST774" s="46"/>
      <c r="FSV774" s="46"/>
      <c r="FSX774" s="46"/>
      <c r="FSZ774" s="46"/>
      <c r="FTB774" s="46"/>
      <c r="FTD774" s="46"/>
      <c r="FTF774" s="46"/>
      <c r="FTH774" s="46"/>
      <c r="FTJ774" s="46"/>
      <c r="FTL774" s="46"/>
      <c r="FTN774" s="46"/>
      <c r="FTP774" s="46"/>
      <c r="FTR774" s="46"/>
      <c r="FTT774" s="46"/>
      <c r="FTV774" s="46"/>
      <c r="FTX774" s="46"/>
      <c r="FTZ774" s="46"/>
      <c r="FUB774" s="46"/>
      <c r="FUD774" s="46"/>
      <c r="FUF774" s="46"/>
      <c r="FUH774" s="46"/>
      <c r="FUJ774" s="46"/>
      <c r="FUL774" s="46"/>
      <c r="FUN774" s="46"/>
      <c r="FUP774" s="46"/>
      <c r="FUR774" s="46"/>
      <c r="FUT774" s="46"/>
      <c r="FUV774" s="46"/>
      <c r="FUX774" s="46"/>
      <c r="FUZ774" s="46"/>
      <c r="FVB774" s="46"/>
      <c r="FVD774" s="46"/>
      <c r="FVF774" s="46"/>
      <c r="FVH774" s="46"/>
      <c r="FVJ774" s="46"/>
      <c r="FVL774" s="46"/>
      <c r="FVN774" s="46"/>
      <c r="FVP774" s="46"/>
      <c r="FVR774" s="46"/>
      <c r="FVT774" s="46"/>
      <c r="FVV774" s="46"/>
      <c r="FVX774" s="46"/>
      <c r="FVZ774" s="46"/>
      <c r="FWB774" s="46"/>
      <c r="FWD774" s="46"/>
      <c r="FWF774" s="46"/>
      <c r="FWH774" s="46"/>
      <c r="FWJ774" s="46"/>
      <c r="FWL774" s="46"/>
      <c r="FWN774" s="46"/>
      <c r="FWP774" s="46"/>
      <c r="FWR774" s="46"/>
      <c r="FWT774" s="46"/>
      <c r="FWV774" s="46"/>
      <c r="FWX774" s="46"/>
      <c r="FWZ774" s="46"/>
      <c r="FXB774" s="46"/>
      <c r="FXD774" s="46"/>
      <c r="FXF774" s="46"/>
      <c r="FXH774" s="46"/>
      <c r="FXJ774" s="46"/>
      <c r="FXL774" s="46"/>
      <c r="FXN774" s="46"/>
      <c r="FXP774" s="46"/>
      <c r="FXR774" s="46"/>
      <c r="FXT774" s="46"/>
      <c r="FXV774" s="46"/>
      <c r="FXX774" s="46"/>
      <c r="FXZ774" s="46"/>
      <c r="FYB774" s="46"/>
      <c r="FYD774" s="46"/>
      <c r="FYF774" s="46"/>
      <c r="FYH774" s="46"/>
      <c r="FYJ774" s="46"/>
      <c r="FYL774" s="46"/>
      <c r="FYN774" s="46"/>
      <c r="FYP774" s="46"/>
      <c r="FYR774" s="46"/>
      <c r="FYT774" s="46"/>
      <c r="FYV774" s="46"/>
      <c r="FYX774" s="46"/>
      <c r="FYZ774" s="46"/>
      <c r="FZB774" s="46"/>
      <c r="FZD774" s="46"/>
      <c r="FZF774" s="46"/>
      <c r="FZH774" s="46"/>
      <c r="FZJ774" s="46"/>
      <c r="FZL774" s="46"/>
      <c r="FZN774" s="46"/>
      <c r="FZP774" s="46"/>
      <c r="FZR774" s="46"/>
      <c r="FZT774" s="46"/>
      <c r="FZV774" s="46"/>
      <c r="FZX774" s="46"/>
      <c r="FZZ774" s="46"/>
      <c r="GAB774" s="46"/>
      <c r="GAD774" s="46"/>
      <c r="GAF774" s="46"/>
      <c r="GAH774" s="46"/>
      <c r="GAJ774" s="46"/>
      <c r="GAL774" s="46"/>
      <c r="GAN774" s="46"/>
      <c r="GAP774" s="46"/>
      <c r="GAR774" s="46"/>
      <c r="GAT774" s="46"/>
      <c r="GAV774" s="46"/>
      <c r="GAX774" s="46"/>
      <c r="GAZ774" s="46"/>
      <c r="GBB774" s="46"/>
      <c r="GBD774" s="46"/>
      <c r="GBF774" s="46"/>
      <c r="GBH774" s="46"/>
      <c r="GBJ774" s="46"/>
      <c r="GBL774" s="46"/>
      <c r="GBN774" s="46"/>
      <c r="GBP774" s="46"/>
      <c r="GBR774" s="46"/>
      <c r="GBT774" s="46"/>
      <c r="GBV774" s="46"/>
      <c r="GBX774" s="46"/>
      <c r="GBZ774" s="46"/>
      <c r="GCB774" s="46"/>
      <c r="GCD774" s="46"/>
      <c r="GCF774" s="46"/>
      <c r="GCH774" s="46"/>
      <c r="GCJ774" s="46"/>
      <c r="GCL774" s="46"/>
      <c r="GCN774" s="46"/>
      <c r="GCP774" s="46"/>
      <c r="GCR774" s="46"/>
      <c r="GCT774" s="46"/>
      <c r="GCV774" s="46"/>
      <c r="GCX774" s="46"/>
      <c r="GCZ774" s="46"/>
      <c r="GDB774" s="46"/>
      <c r="GDD774" s="46"/>
      <c r="GDF774" s="46"/>
      <c r="GDH774" s="46"/>
      <c r="GDJ774" s="46"/>
      <c r="GDL774" s="46"/>
      <c r="GDN774" s="46"/>
      <c r="GDP774" s="46"/>
      <c r="GDR774" s="46"/>
      <c r="GDT774" s="46"/>
      <c r="GDV774" s="46"/>
      <c r="GDX774" s="46"/>
      <c r="GDZ774" s="46"/>
      <c r="GEB774" s="46"/>
      <c r="GED774" s="46"/>
      <c r="GEF774" s="46"/>
      <c r="GEH774" s="46"/>
      <c r="GEJ774" s="46"/>
      <c r="GEL774" s="46"/>
      <c r="GEN774" s="46"/>
      <c r="GEP774" s="46"/>
      <c r="GER774" s="46"/>
      <c r="GET774" s="46"/>
      <c r="GEV774" s="46"/>
      <c r="GEX774" s="46"/>
      <c r="GEZ774" s="46"/>
      <c r="GFB774" s="46"/>
      <c r="GFD774" s="46"/>
      <c r="GFF774" s="46"/>
      <c r="GFH774" s="46"/>
      <c r="GFJ774" s="46"/>
      <c r="GFL774" s="46"/>
      <c r="GFN774" s="46"/>
      <c r="GFP774" s="46"/>
      <c r="GFR774" s="46"/>
      <c r="GFT774" s="46"/>
      <c r="GFV774" s="46"/>
      <c r="GFX774" s="46"/>
      <c r="GFZ774" s="46"/>
      <c r="GGB774" s="46"/>
      <c r="GGD774" s="46"/>
      <c r="GGF774" s="46"/>
      <c r="GGH774" s="46"/>
      <c r="GGJ774" s="46"/>
      <c r="GGL774" s="46"/>
      <c r="GGN774" s="46"/>
      <c r="GGP774" s="46"/>
      <c r="GGR774" s="46"/>
      <c r="GGT774" s="46"/>
      <c r="GGV774" s="46"/>
      <c r="GGX774" s="46"/>
      <c r="GGZ774" s="46"/>
      <c r="GHB774" s="46"/>
      <c r="GHD774" s="46"/>
      <c r="GHF774" s="46"/>
      <c r="GHH774" s="46"/>
      <c r="GHJ774" s="46"/>
      <c r="GHL774" s="46"/>
      <c r="GHN774" s="46"/>
      <c r="GHP774" s="46"/>
      <c r="GHR774" s="46"/>
      <c r="GHT774" s="46"/>
      <c r="GHV774" s="46"/>
      <c r="GHX774" s="46"/>
      <c r="GHZ774" s="46"/>
      <c r="GIB774" s="46"/>
      <c r="GID774" s="46"/>
      <c r="GIF774" s="46"/>
      <c r="GIH774" s="46"/>
      <c r="GIJ774" s="46"/>
      <c r="GIL774" s="46"/>
      <c r="GIN774" s="46"/>
      <c r="GIP774" s="46"/>
      <c r="GIR774" s="46"/>
      <c r="GIT774" s="46"/>
      <c r="GIV774" s="46"/>
      <c r="GIX774" s="46"/>
      <c r="GIZ774" s="46"/>
      <c r="GJB774" s="46"/>
      <c r="GJD774" s="46"/>
      <c r="GJF774" s="46"/>
      <c r="GJH774" s="46"/>
      <c r="GJJ774" s="46"/>
      <c r="GJL774" s="46"/>
      <c r="GJN774" s="46"/>
      <c r="GJP774" s="46"/>
      <c r="GJR774" s="46"/>
      <c r="GJT774" s="46"/>
      <c r="GJV774" s="46"/>
      <c r="GJX774" s="46"/>
      <c r="GJZ774" s="46"/>
      <c r="GKB774" s="46"/>
      <c r="GKD774" s="46"/>
      <c r="GKF774" s="46"/>
      <c r="GKH774" s="46"/>
      <c r="GKJ774" s="46"/>
      <c r="GKL774" s="46"/>
      <c r="GKN774" s="46"/>
      <c r="GKP774" s="46"/>
      <c r="GKR774" s="46"/>
      <c r="GKT774" s="46"/>
      <c r="GKV774" s="46"/>
      <c r="GKX774" s="46"/>
      <c r="GKZ774" s="46"/>
      <c r="GLB774" s="46"/>
      <c r="GLD774" s="46"/>
      <c r="GLF774" s="46"/>
      <c r="GLH774" s="46"/>
      <c r="GLJ774" s="46"/>
      <c r="GLL774" s="46"/>
      <c r="GLN774" s="46"/>
      <c r="GLP774" s="46"/>
      <c r="GLR774" s="46"/>
      <c r="GLT774" s="46"/>
      <c r="GLV774" s="46"/>
      <c r="GLX774" s="46"/>
      <c r="GLZ774" s="46"/>
      <c r="GMB774" s="46"/>
      <c r="GMD774" s="46"/>
      <c r="GMF774" s="46"/>
      <c r="GMH774" s="46"/>
      <c r="GMJ774" s="46"/>
      <c r="GML774" s="46"/>
      <c r="GMN774" s="46"/>
      <c r="GMP774" s="46"/>
      <c r="GMR774" s="46"/>
      <c r="GMT774" s="46"/>
      <c r="GMV774" s="46"/>
      <c r="GMX774" s="46"/>
      <c r="GMZ774" s="46"/>
      <c r="GNB774" s="46"/>
      <c r="GND774" s="46"/>
      <c r="GNF774" s="46"/>
      <c r="GNH774" s="46"/>
      <c r="GNJ774" s="46"/>
      <c r="GNL774" s="46"/>
      <c r="GNN774" s="46"/>
      <c r="GNP774" s="46"/>
      <c r="GNR774" s="46"/>
      <c r="GNT774" s="46"/>
      <c r="GNV774" s="46"/>
      <c r="GNX774" s="46"/>
      <c r="GNZ774" s="46"/>
      <c r="GOB774" s="46"/>
      <c r="GOD774" s="46"/>
      <c r="GOF774" s="46"/>
      <c r="GOH774" s="46"/>
      <c r="GOJ774" s="46"/>
      <c r="GOL774" s="46"/>
      <c r="GON774" s="46"/>
      <c r="GOP774" s="46"/>
      <c r="GOR774" s="46"/>
      <c r="GOT774" s="46"/>
      <c r="GOV774" s="46"/>
      <c r="GOX774" s="46"/>
      <c r="GOZ774" s="46"/>
      <c r="GPB774" s="46"/>
      <c r="GPD774" s="46"/>
      <c r="GPF774" s="46"/>
      <c r="GPH774" s="46"/>
      <c r="GPJ774" s="46"/>
      <c r="GPL774" s="46"/>
      <c r="GPN774" s="46"/>
      <c r="GPP774" s="46"/>
      <c r="GPR774" s="46"/>
      <c r="GPT774" s="46"/>
      <c r="GPV774" s="46"/>
      <c r="GPX774" s="46"/>
      <c r="GPZ774" s="46"/>
      <c r="GQB774" s="46"/>
      <c r="GQD774" s="46"/>
      <c r="GQF774" s="46"/>
      <c r="GQH774" s="46"/>
      <c r="GQJ774" s="46"/>
      <c r="GQL774" s="46"/>
      <c r="GQN774" s="46"/>
      <c r="GQP774" s="46"/>
      <c r="GQR774" s="46"/>
      <c r="GQT774" s="46"/>
      <c r="GQV774" s="46"/>
      <c r="GQX774" s="46"/>
      <c r="GQZ774" s="46"/>
      <c r="GRB774" s="46"/>
      <c r="GRD774" s="46"/>
      <c r="GRF774" s="46"/>
      <c r="GRH774" s="46"/>
      <c r="GRJ774" s="46"/>
      <c r="GRL774" s="46"/>
      <c r="GRN774" s="46"/>
      <c r="GRP774" s="46"/>
      <c r="GRR774" s="46"/>
      <c r="GRT774" s="46"/>
      <c r="GRV774" s="46"/>
      <c r="GRX774" s="46"/>
      <c r="GRZ774" s="46"/>
      <c r="GSB774" s="46"/>
      <c r="GSD774" s="46"/>
      <c r="GSF774" s="46"/>
      <c r="GSH774" s="46"/>
      <c r="GSJ774" s="46"/>
      <c r="GSL774" s="46"/>
      <c r="GSN774" s="46"/>
      <c r="GSP774" s="46"/>
      <c r="GSR774" s="46"/>
      <c r="GST774" s="46"/>
      <c r="GSV774" s="46"/>
      <c r="GSX774" s="46"/>
      <c r="GSZ774" s="46"/>
      <c r="GTB774" s="46"/>
      <c r="GTD774" s="46"/>
      <c r="GTF774" s="46"/>
      <c r="GTH774" s="46"/>
      <c r="GTJ774" s="46"/>
      <c r="GTL774" s="46"/>
      <c r="GTN774" s="46"/>
      <c r="GTP774" s="46"/>
      <c r="GTR774" s="46"/>
      <c r="GTT774" s="46"/>
      <c r="GTV774" s="46"/>
      <c r="GTX774" s="46"/>
      <c r="GTZ774" s="46"/>
      <c r="GUB774" s="46"/>
      <c r="GUD774" s="46"/>
      <c r="GUF774" s="46"/>
      <c r="GUH774" s="46"/>
      <c r="GUJ774" s="46"/>
      <c r="GUL774" s="46"/>
      <c r="GUN774" s="46"/>
      <c r="GUP774" s="46"/>
      <c r="GUR774" s="46"/>
      <c r="GUT774" s="46"/>
      <c r="GUV774" s="46"/>
      <c r="GUX774" s="46"/>
      <c r="GUZ774" s="46"/>
      <c r="GVB774" s="46"/>
      <c r="GVD774" s="46"/>
      <c r="GVF774" s="46"/>
      <c r="GVH774" s="46"/>
      <c r="GVJ774" s="46"/>
      <c r="GVL774" s="46"/>
      <c r="GVN774" s="46"/>
      <c r="GVP774" s="46"/>
      <c r="GVR774" s="46"/>
      <c r="GVT774" s="46"/>
      <c r="GVV774" s="46"/>
      <c r="GVX774" s="46"/>
      <c r="GVZ774" s="46"/>
      <c r="GWB774" s="46"/>
      <c r="GWD774" s="46"/>
      <c r="GWF774" s="46"/>
      <c r="GWH774" s="46"/>
      <c r="GWJ774" s="46"/>
      <c r="GWL774" s="46"/>
      <c r="GWN774" s="46"/>
      <c r="GWP774" s="46"/>
      <c r="GWR774" s="46"/>
      <c r="GWT774" s="46"/>
      <c r="GWV774" s="46"/>
      <c r="GWX774" s="46"/>
      <c r="GWZ774" s="46"/>
      <c r="GXB774" s="46"/>
      <c r="GXD774" s="46"/>
      <c r="GXF774" s="46"/>
      <c r="GXH774" s="46"/>
      <c r="GXJ774" s="46"/>
      <c r="GXL774" s="46"/>
      <c r="GXN774" s="46"/>
      <c r="GXP774" s="46"/>
      <c r="GXR774" s="46"/>
      <c r="GXT774" s="46"/>
      <c r="GXV774" s="46"/>
      <c r="GXX774" s="46"/>
      <c r="GXZ774" s="46"/>
      <c r="GYB774" s="46"/>
      <c r="GYD774" s="46"/>
      <c r="GYF774" s="46"/>
      <c r="GYH774" s="46"/>
      <c r="GYJ774" s="46"/>
      <c r="GYL774" s="46"/>
      <c r="GYN774" s="46"/>
      <c r="GYP774" s="46"/>
      <c r="GYR774" s="46"/>
      <c r="GYT774" s="46"/>
      <c r="GYV774" s="46"/>
      <c r="GYX774" s="46"/>
      <c r="GYZ774" s="46"/>
      <c r="GZB774" s="46"/>
      <c r="GZD774" s="46"/>
      <c r="GZF774" s="46"/>
      <c r="GZH774" s="46"/>
      <c r="GZJ774" s="46"/>
      <c r="GZL774" s="46"/>
      <c r="GZN774" s="46"/>
      <c r="GZP774" s="46"/>
      <c r="GZR774" s="46"/>
      <c r="GZT774" s="46"/>
      <c r="GZV774" s="46"/>
      <c r="GZX774" s="46"/>
      <c r="GZZ774" s="46"/>
      <c r="HAB774" s="46"/>
      <c r="HAD774" s="46"/>
      <c r="HAF774" s="46"/>
      <c r="HAH774" s="46"/>
      <c r="HAJ774" s="46"/>
      <c r="HAL774" s="46"/>
      <c r="HAN774" s="46"/>
      <c r="HAP774" s="46"/>
      <c r="HAR774" s="46"/>
      <c r="HAT774" s="46"/>
      <c r="HAV774" s="46"/>
      <c r="HAX774" s="46"/>
      <c r="HAZ774" s="46"/>
      <c r="HBB774" s="46"/>
      <c r="HBD774" s="46"/>
      <c r="HBF774" s="46"/>
      <c r="HBH774" s="46"/>
      <c r="HBJ774" s="46"/>
      <c r="HBL774" s="46"/>
      <c r="HBN774" s="46"/>
      <c r="HBP774" s="46"/>
      <c r="HBR774" s="46"/>
      <c r="HBT774" s="46"/>
      <c r="HBV774" s="46"/>
      <c r="HBX774" s="46"/>
      <c r="HBZ774" s="46"/>
      <c r="HCB774" s="46"/>
      <c r="HCD774" s="46"/>
      <c r="HCF774" s="46"/>
      <c r="HCH774" s="46"/>
      <c r="HCJ774" s="46"/>
      <c r="HCL774" s="46"/>
      <c r="HCN774" s="46"/>
      <c r="HCP774" s="46"/>
      <c r="HCR774" s="46"/>
      <c r="HCT774" s="46"/>
      <c r="HCV774" s="46"/>
      <c r="HCX774" s="46"/>
      <c r="HCZ774" s="46"/>
      <c r="HDB774" s="46"/>
      <c r="HDD774" s="46"/>
      <c r="HDF774" s="46"/>
      <c r="HDH774" s="46"/>
      <c r="HDJ774" s="46"/>
      <c r="HDL774" s="46"/>
      <c r="HDN774" s="46"/>
      <c r="HDP774" s="46"/>
      <c r="HDR774" s="46"/>
      <c r="HDT774" s="46"/>
      <c r="HDV774" s="46"/>
      <c r="HDX774" s="46"/>
      <c r="HDZ774" s="46"/>
      <c r="HEB774" s="46"/>
      <c r="HED774" s="46"/>
      <c r="HEF774" s="46"/>
      <c r="HEH774" s="46"/>
      <c r="HEJ774" s="46"/>
      <c r="HEL774" s="46"/>
      <c r="HEN774" s="46"/>
      <c r="HEP774" s="46"/>
      <c r="HER774" s="46"/>
      <c r="HET774" s="46"/>
      <c r="HEV774" s="46"/>
      <c r="HEX774" s="46"/>
      <c r="HEZ774" s="46"/>
      <c r="HFB774" s="46"/>
      <c r="HFD774" s="46"/>
      <c r="HFF774" s="46"/>
      <c r="HFH774" s="46"/>
      <c r="HFJ774" s="46"/>
      <c r="HFL774" s="46"/>
      <c r="HFN774" s="46"/>
      <c r="HFP774" s="46"/>
      <c r="HFR774" s="46"/>
      <c r="HFT774" s="46"/>
      <c r="HFV774" s="46"/>
      <c r="HFX774" s="46"/>
      <c r="HFZ774" s="46"/>
      <c r="HGB774" s="46"/>
      <c r="HGD774" s="46"/>
      <c r="HGF774" s="46"/>
      <c r="HGH774" s="46"/>
      <c r="HGJ774" s="46"/>
      <c r="HGL774" s="46"/>
      <c r="HGN774" s="46"/>
      <c r="HGP774" s="46"/>
      <c r="HGR774" s="46"/>
      <c r="HGT774" s="46"/>
      <c r="HGV774" s="46"/>
      <c r="HGX774" s="46"/>
      <c r="HGZ774" s="46"/>
      <c r="HHB774" s="46"/>
      <c r="HHD774" s="46"/>
      <c r="HHF774" s="46"/>
      <c r="HHH774" s="46"/>
      <c r="HHJ774" s="46"/>
      <c r="HHL774" s="46"/>
      <c r="HHN774" s="46"/>
      <c r="HHP774" s="46"/>
      <c r="HHR774" s="46"/>
      <c r="HHT774" s="46"/>
      <c r="HHV774" s="46"/>
      <c r="HHX774" s="46"/>
      <c r="HHZ774" s="46"/>
      <c r="HIB774" s="46"/>
      <c r="HID774" s="46"/>
      <c r="HIF774" s="46"/>
      <c r="HIH774" s="46"/>
      <c r="HIJ774" s="46"/>
      <c r="HIL774" s="46"/>
      <c r="HIN774" s="46"/>
      <c r="HIP774" s="46"/>
      <c r="HIR774" s="46"/>
      <c r="HIT774" s="46"/>
      <c r="HIV774" s="46"/>
      <c r="HIX774" s="46"/>
      <c r="HIZ774" s="46"/>
      <c r="HJB774" s="46"/>
      <c r="HJD774" s="46"/>
      <c r="HJF774" s="46"/>
      <c r="HJH774" s="46"/>
      <c r="HJJ774" s="46"/>
      <c r="HJL774" s="46"/>
      <c r="HJN774" s="46"/>
      <c r="HJP774" s="46"/>
      <c r="HJR774" s="46"/>
      <c r="HJT774" s="46"/>
      <c r="HJV774" s="46"/>
      <c r="HJX774" s="46"/>
      <c r="HJZ774" s="46"/>
      <c r="HKB774" s="46"/>
      <c r="HKD774" s="46"/>
      <c r="HKF774" s="46"/>
      <c r="HKH774" s="46"/>
      <c r="HKJ774" s="46"/>
      <c r="HKL774" s="46"/>
      <c r="HKN774" s="46"/>
      <c r="HKP774" s="46"/>
      <c r="HKR774" s="46"/>
      <c r="HKT774" s="46"/>
      <c r="HKV774" s="46"/>
      <c r="HKX774" s="46"/>
      <c r="HKZ774" s="46"/>
      <c r="HLB774" s="46"/>
      <c r="HLD774" s="46"/>
      <c r="HLF774" s="46"/>
      <c r="HLH774" s="46"/>
      <c r="HLJ774" s="46"/>
      <c r="HLL774" s="46"/>
      <c r="HLN774" s="46"/>
      <c r="HLP774" s="46"/>
      <c r="HLR774" s="46"/>
      <c r="HLT774" s="46"/>
      <c r="HLV774" s="46"/>
      <c r="HLX774" s="46"/>
      <c r="HLZ774" s="46"/>
      <c r="HMB774" s="46"/>
      <c r="HMD774" s="46"/>
      <c r="HMF774" s="46"/>
      <c r="HMH774" s="46"/>
      <c r="HMJ774" s="46"/>
      <c r="HML774" s="46"/>
      <c r="HMN774" s="46"/>
      <c r="HMP774" s="46"/>
      <c r="HMR774" s="46"/>
      <c r="HMT774" s="46"/>
      <c r="HMV774" s="46"/>
      <c r="HMX774" s="46"/>
      <c r="HMZ774" s="46"/>
      <c r="HNB774" s="46"/>
      <c r="HND774" s="46"/>
      <c r="HNF774" s="46"/>
      <c r="HNH774" s="46"/>
      <c r="HNJ774" s="46"/>
      <c r="HNL774" s="46"/>
      <c r="HNN774" s="46"/>
      <c r="HNP774" s="46"/>
      <c r="HNR774" s="46"/>
      <c r="HNT774" s="46"/>
      <c r="HNV774" s="46"/>
      <c r="HNX774" s="46"/>
      <c r="HNZ774" s="46"/>
      <c r="HOB774" s="46"/>
      <c r="HOD774" s="46"/>
      <c r="HOF774" s="46"/>
      <c r="HOH774" s="46"/>
      <c r="HOJ774" s="46"/>
      <c r="HOL774" s="46"/>
      <c r="HON774" s="46"/>
      <c r="HOP774" s="46"/>
      <c r="HOR774" s="46"/>
      <c r="HOT774" s="46"/>
      <c r="HOV774" s="46"/>
      <c r="HOX774" s="46"/>
      <c r="HOZ774" s="46"/>
      <c r="HPB774" s="46"/>
      <c r="HPD774" s="46"/>
      <c r="HPF774" s="46"/>
      <c r="HPH774" s="46"/>
      <c r="HPJ774" s="46"/>
      <c r="HPL774" s="46"/>
      <c r="HPN774" s="46"/>
      <c r="HPP774" s="46"/>
      <c r="HPR774" s="46"/>
      <c r="HPT774" s="46"/>
      <c r="HPV774" s="46"/>
      <c r="HPX774" s="46"/>
      <c r="HPZ774" s="46"/>
      <c r="HQB774" s="46"/>
      <c r="HQD774" s="46"/>
      <c r="HQF774" s="46"/>
      <c r="HQH774" s="46"/>
      <c r="HQJ774" s="46"/>
      <c r="HQL774" s="46"/>
      <c r="HQN774" s="46"/>
      <c r="HQP774" s="46"/>
      <c r="HQR774" s="46"/>
      <c r="HQT774" s="46"/>
      <c r="HQV774" s="46"/>
      <c r="HQX774" s="46"/>
      <c r="HQZ774" s="46"/>
      <c r="HRB774" s="46"/>
      <c r="HRD774" s="46"/>
      <c r="HRF774" s="46"/>
      <c r="HRH774" s="46"/>
      <c r="HRJ774" s="46"/>
      <c r="HRL774" s="46"/>
      <c r="HRN774" s="46"/>
      <c r="HRP774" s="46"/>
      <c r="HRR774" s="46"/>
      <c r="HRT774" s="46"/>
      <c r="HRV774" s="46"/>
      <c r="HRX774" s="46"/>
      <c r="HRZ774" s="46"/>
      <c r="HSB774" s="46"/>
      <c r="HSD774" s="46"/>
      <c r="HSF774" s="46"/>
      <c r="HSH774" s="46"/>
      <c r="HSJ774" s="46"/>
      <c r="HSL774" s="46"/>
      <c r="HSN774" s="46"/>
      <c r="HSP774" s="46"/>
      <c r="HSR774" s="46"/>
      <c r="HST774" s="46"/>
      <c r="HSV774" s="46"/>
      <c r="HSX774" s="46"/>
      <c r="HSZ774" s="46"/>
      <c r="HTB774" s="46"/>
      <c r="HTD774" s="46"/>
      <c r="HTF774" s="46"/>
      <c r="HTH774" s="46"/>
      <c r="HTJ774" s="46"/>
      <c r="HTL774" s="46"/>
      <c r="HTN774" s="46"/>
      <c r="HTP774" s="46"/>
      <c r="HTR774" s="46"/>
      <c r="HTT774" s="46"/>
      <c r="HTV774" s="46"/>
      <c r="HTX774" s="46"/>
      <c r="HTZ774" s="46"/>
      <c r="HUB774" s="46"/>
      <c r="HUD774" s="46"/>
      <c r="HUF774" s="46"/>
      <c r="HUH774" s="46"/>
      <c r="HUJ774" s="46"/>
      <c r="HUL774" s="46"/>
      <c r="HUN774" s="46"/>
      <c r="HUP774" s="46"/>
      <c r="HUR774" s="46"/>
      <c r="HUT774" s="46"/>
      <c r="HUV774" s="46"/>
      <c r="HUX774" s="46"/>
      <c r="HUZ774" s="46"/>
      <c r="HVB774" s="46"/>
      <c r="HVD774" s="46"/>
      <c r="HVF774" s="46"/>
      <c r="HVH774" s="46"/>
      <c r="HVJ774" s="46"/>
      <c r="HVL774" s="46"/>
      <c r="HVN774" s="46"/>
      <c r="HVP774" s="46"/>
      <c r="HVR774" s="46"/>
      <c r="HVT774" s="46"/>
      <c r="HVV774" s="46"/>
      <c r="HVX774" s="46"/>
      <c r="HVZ774" s="46"/>
      <c r="HWB774" s="46"/>
      <c r="HWD774" s="46"/>
      <c r="HWF774" s="46"/>
      <c r="HWH774" s="46"/>
      <c r="HWJ774" s="46"/>
      <c r="HWL774" s="46"/>
      <c r="HWN774" s="46"/>
      <c r="HWP774" s="46"/>
      <c r="HWR774" s="46"/>
      <c r="HWT774" s="46"/>
      <c r="HWV774" s="46"/>
      <c r="HWX774" s="46"/>
      <c r="HWZ774" s="46"/>
      <c r="HXB774" s="46"/>
      <c r="HXD774" s="46"/>
      <c r="HXF774" s="46"/>
      <c r="HXH774" s="46"/>
      <c r="HXJ774" s="46"/>
      <c r="HXL774" s="46"/>
      <c r="HXN774" s="46"/>
      <c r="HXP774" s="46"/>
      <c r="HXR774" s="46"/>
      <c r="HXT774" s="46"/>
      <c r="HXV774" s="46"/>
      <c r="HXX774" s="46"/>
      <c r="HXZ774" s="46"/>
      <c r="HYB774" s="46"/>
      <c r="HYD774" s="46"/>
      <c r="HYF774" s="46"/>
      <c r="HYH774" s="46"/>
      <c r="HYJ774" s="46"/>
      <c r="HYL774" s="46"/>
      <c r="HYN774" s="46"/>
      <c r="HYP774" s="46"/>
      <c r="HYR774" s="46"/>
      <c r="HYT774" s="46"/>
      <c r="HYV774" s="46"/>
      <c r="HYX774" s="46"/>
      <c r="HYZ774" s="46"/>
      <c r="HZB774" s="46"/>
      <c r="HZD774" s="46"/>
      <c r="HZF774" s="46"/>
      <c r="HZH774" s="46"/>
      <c r="HZJ774" s="46"/>
      <c r="HZL774" s="46"/>
      <c r="HZN774" s="46"/>
      <c r="HZP774" s="46"/>
      <c r="HZR774" s="46"/>
      <c r="HZT774" s="46"/>
      <c r="HZV774" s="46"/>
      <c r="HZX774" s="46"/>
      <c r="HZZ774" s="46"/>
      <c r="IAB774" s="46"/>
      <c r="IAD774" s="46"/>
      <c r="IAF774" s="46"/>
      <c r="IAH774" s="46"/>
      <c r="IAJ774" s="46"/>
      <c r="IAL774" s="46"/>
      <c r="IAN774" s="46"/>
      <c r="IAP774" s="46"/>
      <c r="IAR774" s="46"/>
      <c r="IAT774" s="46"/>
      <c r="IAV774" s="46"/>
      <c r="IAX774" s="46"/>
      <c r="IAZ774" s="46"/>
      <c r="IBB774" s="46"/>
      <c r="IBD774" s="46"/>
      <c r="IBF774" s="46"/>
      <c r="IBH774" s="46"/>
      <c r="IBJ774" s="46"/>
      <c r="IBL774" s="46"/>
      <c r="IBN774" s="46"/>
      <c r="IBP774" s="46"/>
      <c r="IBR774" s="46"/>
      <c r="IBT774" s="46"/>
      <c r="IBV774" s="46"/>
      <c r="IBX774" s="46"/>
      <c r="IBZ774" s="46"/>
      <c r="ICB774" s="46"/>
      <c r="ICD774" s="46"/>
      <c r="ICF774" s="46"/>
      <c r="ICH774" s="46"/>
      <c r="ICJ774" s="46"/>
      <c r="ICL774" s="46"/>
      <c r="ICN774" s="46"/>
      <c r="ICP774" s="46"/>
      <c r="ICR774" s="46"/>
      <c r="ICT774" s="46"/>
      <c r="ICV774" s="46"/>
      <c r="ICX774" s="46"/>
      <c r="ICZ774" s="46"/>
      <c r="IDB774" s="46"/>
      <c r="IDD774" s="46"/>
      <c r="IDF774" s="46"/>
      <c r="IDH774" s="46"/>
      <c r="IDJ774" s="46"/>
      <c r="IDL774" s="46"/>
      <c r="IDN774" s="46"/>
      <c r="IDP774" s="46"/>
      <c r="IDR774" s="46"/>
      <c r="IDT774" s="46"/>
      <c r="IDV774" s="46"/>
      <c r="IDX774" s="46"/>
      <c r="IDZ774" s="46"/>
      <c r="IEB774" s="46"/>
      <c r="IED774" s="46"/>
      <c r="IEF774" s="46"/>
      <c r="IEH774" s="46"/>
      <c r="IEJ774" s="46"/>
      <c r="IEL774" s="46"/>
      <c r="IEN774" s="46"/>
      <c r="IEP774" s="46"/>
      <c r="IER774" s="46"/>
      <c r="IET774" s="46"/>
      <c r="IEV774" s="46"/>
      <c r="IEX774" s="46"/>
      <c r="IEZ774" s="46"/>
      <c r="IFB774" s="46"/>
      <c r="IFD774" s="46"/>
      <c r="IFF774" s="46"/>
      <c r="IFH774" s="46"/>
      <c r="IFJ774" s="46"/>
      <c r="IFL774" s="46"/>
      <c r="IFN774" s="46"/>
      <c r="IFP774" s="46"/>
      <c r="IFR774" s="46"/>
      <c r="IFT774" s="46"/>
      <c r="IFV774" s="46"/>
      <c r="IFX774" s="46"/>
      <c r="IFZ774" s="46"/>
      <c r="IGB774" s="46"/>
      <c r="IGD774" s="46"/>
      <c r="IGF774" s="46"/>
      <c r="IGH774" s="46"/>
      <c r="IGJ774" s="46"/>
      <c r="IGL774" s="46"/>
      <c r="IGN774" s="46"/>
      <c r="IGP774" s="46"/>
      <c r="IGR774" s="46"/>
      <c r="IGT774" s="46"/>
      <c r="IGV774" s="46"/>
      <c r="IGX774" s="46"/>
      <c r="IGZ774" s="46"/>
      <c r="IHB774" s="46"/>
      <c r="IHD774" s="46"/>
      <c r="IHF774" s="46"/>
      <c r="IHH774" s="46"/>
      <c r="IHJ774" s="46"/>
      <c r="IHL774" s="46"/>
      <c r="IHN774" s="46"/>
      <c r="IHP774" s="46"/>
      <c r="IHR774" s="46"/>
      <c r="IHT774" s="46"/>
      <c r="IHV774" s="46"/>
      <c r="IHX774" s="46"/>
      <c r="IHZ774" s="46"/>
      <c r="IIB774" s="46"/>
      <c r="IID774" s="46"/>
      <c r="IIF774" s="46"/>
      <c r="IIH774" s="46"/>
      <c r="IIJ774" s="46"/>
      <c r="IIL774" s="46"/>
      <c r="IIN774" s="46"/>
      <c r="IIP774" s="46"/>
      <c r="IIR774" s="46"/>
      <c r="IIT774" s="46"/>
      <c r="IIV774" s="46"/>
      <c r="IIX774" s="46"/>
      <c r="IIZ774" s="46"/>
      <c r="IJB774" s="46"/>
      <c r="IJD774" s="46"/>
      <c r="IJF774" s="46"/>
      <c r="IJH774" s="46"/>
      <c r="IJJ774" s="46"/>
      <c r="IJL774" s="46"/>
      <c r="IJN774" s="46"/>
      <c r="IJP774" s="46"/>
      <c r="IJR774" s="46"/>
      <c r="IJT774" s="46"/>
      <c r="IJV774" s="46"/>
      <c r="IJX774" s="46"/>
      <c r="IJZ774" s="46"/>
      <c r="IKB774" s="46"/>
      <c r="IKD774" s="46"/>
      <c r="IKF774" s="46"/>
      <c r="IKH774" s="46"/>
      <c r="IKJ774" s="46"/>
      <c r="IKL774" s="46"/>
      <c r="IKN774" s="46"/>
      <c r="IKP774" s="46"/>
      <c r="IKR774" s="46"/>
      <c r="IKT774" s="46"/>
      <c r="IKV774" s="46"/>
      <c r="IKX774" s="46"/>
      <c r="IKZ774" s="46"/>
      <c r="ILB774" s="46"/>
      <c r="ILD774" s="46"/>
      <c r="ILF774" s="46"/>
      <c r="ILH774" s="46"/>
      <c r="ILJ774" s="46"/>
      <c r="ILL774" s="46"/>
      <c r="ILN774" s="46"/>
      <c r="ILP774" s="46"/>
      <c r="ILR774" s="46"/>
      <c r="ILT774" s="46"/>
      <c r="ILV774" s="46"/>
      <c r="ILX774" s="46"/>
      <c r="ILZ774" s="46"/>
      <c r="IMB774" s="46"/>
      <c r="IMD774" s="46"/>
      <c r="IMF774" s="46"/>
      <c r="IMH774" s="46"/>
      <c r="IMJ774" s="46"/>
      <c r="IML774" s="46"/>
      <c r="IMN774" s="46"/>
      <c r="IMP774" s="46"/>
      <c r="IMR774" s="46"/>
      <c r="IMT774" s="46"/>
      <c r="IMV774" s="46"/>
      <c r="IMX774" s="46"/>
      <c r="IMZ774" s="46"/>
      <c r="INB774" s="46"/>
      <c r="IND774" s="46"/>
      <c r="INF774" s="46"/>
      <c r="INH774" s="46"/>
      <c r="INJ774" s="46"/>
      <c r="INL774" s="46"/>
      <c r="INN774" s="46"/>
      <c r="INP774" s="46"/>
      <c r="INR774" s="46"/>
      <c r="INT774" s="46"/>
      <c r="INV774" s="46"/>
      <c r="INX774" s="46"/>
      <c r="INZ774" s="46"/>
      <c r="IOB774" s="46"/>
      <c r="IOD774" s="46"/>
      <c r="IOF774" s="46"/>
      <c r="IOH774" s="46"/>
      <c r="IOJ774" s="46"/>
      <c r="IOL774" s="46"/>
      <c r="ION774" s="46"/>
      <c r="IOP774" s="46"/>
      <c r="IOR774" s="46"/>
      <c r="IOT774" s="46"/>
      <c r="IOV774" s="46"/>
      <c r="IOX774" s="46"/>
      <c r="IOZ774" s="46"/>
      <c r="IPB774" s="46"/>
      <c r="IPD774" s="46"/>
      <c r="IPF774" s="46"/>
      <c r="IPH774" s="46"/>
      <c r="IPJ774" s="46"/>
      <c r="IPL774" s="46"/>
      <c r="IPN774" s="46"/>
      <c r="IPP774" s="46"/>
      <c r="IPR774" s="46"/>
      <c r="IPT774" s="46"/>
      <c r="IPV774" s="46"/>
      <c r="IPX774" s="46"/>
      <c r="IPZ774" s="46"/>
      <c r="IQB774" s="46"/>
      <c r="IQD774" s="46"/>
      <c r="IQF774" s="46"/>
      <c r="IQH774" s="46"/>
      <c r="IQJ774" s="46"/>
      <c r="IQL774" s="46"/>
      <c r="IQN774" s="46"/>
      <c r="IQP774" s="46"/>
      <c r="IQR774" s="46"/>
      <c r="IQT774" s="46"/>
      <c r="IQV774" s="46"/>
      <c r="IQX774" s="46"/>
      <c r="IQZ774" s="46"/>
      <c r="IRB774" s="46"/>
      <c r="IRD774" s="46"/>
      <c r="IRF774" s="46"/>
      <c r="IRH774" s="46"/>
      <c r="IRJ774" s="46"/>
      <c r="IRL774" s="46"/>
      <c r="IRN774" s="46"/>
      <c r="IRP774" s="46"/>
      <c r="IRR774" s="46"/>
      <c r="IRT774" s="46"/>
      <c r="IRV774" s="46"/>
      <c r="IRX774" s="46"/>
      <c r="IRZ774" s="46"/>
      <c r="ISB774" s="46"/>
      <c r="ISD774" s="46"/>
      <c r="ISF774" s="46"/>
      <c r="ISH774" s="46"/>
      <c r="ISJ774" s="46"/>
      <c r="ISL774" s="46"/>
      <c r="ISN774" s="46"/>
      <c r="ISP774" s="46"/>
      <c r="ISR774" s="46"/>
      <c r="IST774" s="46"/>
      <c r="ISV774" s="46"/>
      <c r="ISX774" s="46"/>
      <c r="ISZ774" s="46"/>
      <c r="ITB774" s="46"/>
      <c r="ITD774" s="46"/>
      <c r="ITF774" s="46"/>
      <c r="ITH774" s="46"/>
      <c r="ITJ774" s="46"/>
      <c r="ITL774" s="46"/>
      <c r="ITN774" s="46"/>
      <c r="ITP774" s="46"/>
      <c r="ITR774" s="46"/>
      <c r="ITT774" s="46"/>
      <c r="ITV774" s="46"/>
      <c r="ITX774" s="46"/>
      <c r="ITZ774" s="46"/>
      <c r="IUB774" s="46"/>
      <c r="IUD774" s="46"/>
      <c r="IUF774" s="46"/>
      <c r="IUH774" s="46"/>
      <c r="IUJ774" s="46"/>
      <c r="IUL774" s="46"/>
      <c r="IUN774" s="46"/>
      <c r="IUP774" s="46"/>
      <c r="IUR774" s="46"/>
      <c r="IUT774" s="46"/>
      <c r="IUV774" s="46"/>
      <c r="IUX774" s="46"/>
      <c r="IUZ774" s="46"/>
      <c r="IVB774" s="46"/>
      <c r="IVD774" s="46"/>
      <c r="IVF774" s="46"/>
      <c r="IVH774" s="46"/>
      <c r="IVJ774" s="46"/>
      <c r="IVL774" s="46"/>
      <c r="IVN774" s="46"/>
      <c r="IVP774" s="46"/>
      <c r="IVR774" s="46"/>
      <c r="IVT774" s="46"/>
      <c r="IVV774" s="46"/>
      <c r="IVX774" s="46"/>
      <c r="IVZ774" s="46"/>
      <c r="IWB774" s="46"/>
      <c r="IWD774" s="46"/>
      <c r="IWF774" s="46"/>
      <c r="IWH774" s="46"/>
      <c r="IWJ774" s="46"/>
      <c r="IWL774" s="46"/>
      <c r="IWN774" s="46"/>
      <c r="IWP774" s="46"/>
      <c r="IWR774" s="46"/>
      <c r="IWT774" s="46"/>
      <c r="IWV774" s="46"/>
      <c r="IWX774" s="46"/>
      <c r="IWZ774" s="46"/>
      <c r="IXB774" s="46"/>
      <c r="IXD774" s="46"/>
      <c r="IXF774" s="46"/>
      <c r="IXH774" s="46"/>
      <c r="IXJ774" s="46"/>
      <c r="IXL774" s="46"/>
      <c r="IXN774" s="46"/>
      <c r="IXP774" s="46"/>
      <c r="IXR774" s="46"/>
      <c r="IXT774" s="46"/>
      <c r="IXV774" s="46"/>
      <c r="IXX774" s="46"/>
      <c r="IXZ774" s="46"/>
      <c r="IYB774" s="46"/>
      <c r="IYD774" s="46"/>
      <c r="IYF774" s="46"/>
      <c r="IYH774" s="46"/>
      <c r="IYJ774" s="46"/>
      <c r="IYL774" s="46"/>
      <c r="IYN774" s="46"/>
      <c r="IYP774" s="46"/>
      <c r="IYR774" s="46"/>
      <c r="IYT774" s="46"/>
      <c r="IYV774" s="46"/>
      <c r="IYX774" s="46"/>
      <c r="IYZ774" s="46"/>
      <c r="IZB774" s="46"/>
      <c r="IZD774" s="46"/>
      <c r="IZF774" s="46"/>
      <c r="IZH774" s="46"/>
      <c r="IZJ774" s="46"/>
      <c r="IZL774" s="46"/>
      <c r="IZN774" s="46"/>
      <c r="IZP774" s="46"/>
      <c r="IZR774" s="46"/>
      <c r="IZT774" s="46"/>
      <c r="IZV774" s="46"/>
      <c r="IZX774" s="46"/>
      <c r="IZZ774" s="46"/>
      <c r="JAB774" s="46"/>
      <c r="JAD774" s="46"/>
      <c r="JAF774" s="46"/>
      <c r="JAH774" s="46"/>
      <c r="JAJ774" s="46"/>
      <c r="JAL774" s="46"/>
      <c r="JAN774" s="46"/>
      <c r="JAP774" s="46"/>
      <c r="JAR774" s="46"/>
      <c r="JAT774" s="46"/>
      <c r="JAV774" s="46"/>
      <c r="JAX774" s="46"/>
      <c r="JAZ774" s="46"/>
      <c r="JBB774" s="46"/>
      <c r="JBD774" s="46"/>
      <c r="JBF774" s="46"/>
      <c r="JBH774" s="46"/>
      <c r="JBJ774" s="46"/>
      <c r="JBL774" s="46"/>
      <c r="JBN774" s="46"/>
      <c r="JBP774" s="46"/>
      <c r="JBR774" s="46"/>
      <c r="JBT774" s="46"/>
      <c r="JBV774" s="46"/>
      <c r="JBX774" s="46"/>
      <c r="JBZ774" s="46"/>
      <c r="JCB774" s="46"/>
      <c r="JCD774" s="46"/>
      <c r="JCF774" s="46"/>
      <c r="JCH774" s="46"/>
      <c r="JCJ774" s="46"/>
      <c r="JCL774" s="46"/>
      <c r="JCN774" s="46"/>
      <c r="JCP774" s="46"/>
      <c r="JCR774" s="46"/>
      <c r="JCT774" s="46"/>
      <c r="JCV774" s="46"/>
      <c r="JCX774" s="46"/>
      <c r="JCZ774" s="46"/>
      <c r="JDB774" s="46"/>
      <c r="JDD774" s="46"/>
      <c r="JDF774" s="46"/>
      <c r="JDH774" s="46"/>
      <c r="JDJ774" s="46"/>
      <c r="JDL774" s="46"/>
      <c r="JDN774" s="46"/>
      <c r="JDP774" s="46"/>
      <c r="JDR774" s="46"/>
      <c r="JDT774" s="46"/>
      <c r="JDV774" s="46"/>
      <c r="JDX774" s="46"/>
      <c r="JDZ774" s="46"/>
      <c r="JEB774" s="46"/>
      <c r="JED774" s="46"/>
      <c r="JEF774" s="46"/>
      <c r="JEH774" s="46"/>
      <c r="JEJ774" s="46"/>
      <c r="JEL774" s="46"/>
      <c r="JEN774" s="46"/>
      <c r="JEP774" s="46"/>
      <c r="JER774" s="46"/>
      <c r="JET774" s="46"/>
      <c r="JEV774" s="46"/>
      <c r="JEX774" s="46"/>
      <c r="JEZ774" s="46"/>
      <c r="JFB774" s="46"/>
      <c r="JFD774" s="46"/>
      <c r="JFF774" s="46"/>
      <c r="JFH774" s="46"/>
      <c r="JFJ774" s="46"/>
      <c r="JFL774" s="46"/>
      <c r="JFN774" s="46"/>
      <c r="JFP774" s="46"/>
      <c r="JFR774" s="46"/>
      <c r="JFT774" s="46"/>
      <c r="JFV774" s="46"/>
      <c r="JFX774" s="46"/>
      <c r="JFZ774" s="46"/>
      <c r="JGB774" s="46"/>
      <c r="JGD774" s="46"/>
      <c r="JGF774" s="46"/>
      <c r="JGH774" s="46"/>
      <c r="JGJ774" s="46"/>
      <c r="JGL774" s="46"/>
      <c r="JGN774" s="46"/>
      <c r="JGP774" s="46"/>
      <c r="JGR774" s="46"/>
      <c r="JGT774" s="46"/>
      <c r="JGV774" s="46"/>
      <c r="JGX774" s="46"/>
      <c r="JGZ774" s="46"/>
      <c r="JHB774" s="46"/>
      <c r="JHD774" s="46"/>
      <c r="JHF774" s="46"/>
      <c r="JHH774" s="46"/>
      <c r="JHJ774" s="46"/>
      <c r="JHL774" s="46"/>
      <c r="JHN774" s="46"/>
      <c r="JHP774" s="46"/>
      <c r="JHR774" s="46"/>
      <c r="JHT774" s="46"/>
      <c r="JHV774" s="46"/>
      <c r="JHX774" s="46"/>
      <c r="JHZ774" s="46"/>
      <c r="JIB774" s="46"/>
      <c r="JID774" s="46"/>
      <c r="JIF774" s="46"/>
      <c r="JIH774" s="46"/>
      <c r="JIJ774" s="46"/>
      <c r="JIL774" s="46"/>
      <c r="JIN774" s="46"/>
      <c r="JIP774" s="46"/>
      <c r="JIR774" s="46"/>
      <c r="JIT774" s="46"/>
      <c r="JIV774" s="46"/>
      <c r="JIX774" s="46"/>
      <c r="JIZ774" s="46"/>
      <c r="JJB774" s="46"/>
      <c r="JJD774" s="46"/>
      <c r="JJF774" s="46"/>
      <c r="JJH774" s="46"/>
      <c r="JJJ774" s="46"/>
      <c r="JJL774" s="46"/>
      <c r="JJN774" s="46"/>
      <c r="JJP774" s="46"/>
      <c r="JJR774" s="46"/>
      <c r="JJT774" s="46"/>
      <c r="JJV774" s="46"/>
      <c r="JJX774" s="46"/>
      <c r="JJZ774" s="46"/>
      <c r="JKB774" s="46"/>
      <c r="JKD774" s="46"/>
      <c r="JKF774" s="46"/>
      <c r="JKH774" s="46"/>
      <c r="JKJ774" s="46"/>
      <c r="JKL774" s="46"/>
      <c r="JKN774" s="46"/>
      <c r="JKP774" s="46"/>
      <c r="JKR774" s="46"/>
      <c r="JKT774" s="46"/>
      <c r="JKV774" s="46"/>
      <c r="JKX774" s="46"/>
      <c r="JKZ774" s="46"/>
      <c r="JLB774" s="46"/>
      <c r="JLD774" s="46"/>
      <c r="JLF774" s="46"/>
      <c r="JLH774" s="46"/>
      <c r="JLJ774" s="46"/>
      <c r="JLL774" s="46"/>
      <c r="JLN774" s="46"/>
      <c r="JLP774" s="46"/>
      <c r="JLR774" s="46"/>
      <c r="JLT774" s="46"/>
      <c r="JLV774" s="46"/>
      <c r="JLX774" s="46"/>
      <c r="JLZ774" s="46"/>
      <c r="JMB774" s="46"/>
      <c r="JMD774" s="46"/>
      <c r="JMF774" s="46"/>
      <c r="JMH774" s="46"/>
      <c r="JMJ774" s="46"/>
      <c r="JML774" s="46"/>
      <c r="JMN774" s="46"/>
      <c r="JMP774" s="46"/>
      <c r="JMR774" s="46"/>
      <c r="JMT774" s="46"/>
      <c r="JMV774" s="46"/>
      <c r="JMX774" s="46"/>
      <c r="JMZ774" s="46"/>
      <c r="JNB774" s="46"/>
      <c r="JND774" s="46"/>
      <c r="JNF774" s="46"/>
      <c r="JNH774" s="46"/>
      <c r="JNJ774" s="46"/>
      <c r="JNL774" s="46"/>
      <c r="JNN774" s="46"/>
      <c r="JNP774" s="46"/>
      <c r="JNR774" s="46"/>
      <c r="JNT774" s="46"/>
      <c r="JNV774" s="46"/>
      <c r="JNX774" s="46"/>
      <c r="JNZ774" s="46"/>
      <c r="JOB774" s="46"/>
      <c r="JOD774" s="46"/>
      <c r="JOF774" s="46"/>
      <c r="JOH774" s="46"/>
      <c r="JOJ774" s="46"/>
      <c r="JOL774" s="46"/>
      <c r="JON774" s="46"/>
      <c r="JOP774" s="46"/>
      <c r="JOR774" s="46"/>
      <c r="JOT774" s="46"/>
      <c r="JOV774" s="46"/>
      <c r="JOX774" s="46"/>
      <c r="JOZ774" s="46"/>
      <c r="JPB774" s="46"/>
      <c r="JPD774" s="46"/>
      <c r="JPF774" s="46"/>
      <c r="JPH774" s="46"/>
      <c r="JPJ774" s="46"/>
      <c r="JPL774" s="46"/>
      <c r="JPN774" s="46"/>
      <c r="JPP774" s="46"/>
      <c r="JPR774" s="46"/>
      <c r="JPT774" s="46"/>
      <c r="JPV774" s="46"/>
      <c r="JPX774" s="46"/>
      <c r="JPZ774" s="46"/>
      <c r="JQB774" s="46"/>
      <c r="JQD774" s="46"/>
      <c r="JQF774" s="46"/>
      <c r="JQH774" s="46"/>
      <c r="JQJ774" s="46"/>
      <c r="JQL774" s="46"/>
      <c r="JQN774" s="46"/>
      <c r="JQP774" s="46"/>
      <c r="JQR774" s="46"/>
      <c r="JQT774" s="46"/>
      <c r="JQV774" s="46"/>
      <c r="JQX774" s="46"/>
      <c r="JQZ774" s="46"/>
      <c r="JRB774" s="46"/>
      <c r="JRD774" s="46"/>
      <c r="JRF774" s="46"/>
      <c r="JRH774" s="46"/>
      <c r="JRJ774" s="46"/>
      <c r="JRL774" s="46"/>
      <c r="JRN774" s="46"/>
      <c r="JRP774" s="46"/>
      <c r="JRR774" s="46"/>
      <c r="JRT774" s="46"/>
      <c r="JRV774" s="46"/>
      <c r="JRX774" s="46"/>
      <c r="JRZ774" s="46"/>
      <c r="JSB774" s="46"/>
      <c r="JSD774" s="46"/>
      <c r="JSF774" s="46"/>
      <c r="JSH774" s="46"/>
      <c r="JSJ774" s="46"/>
      <c r="JSL774" s="46"/>
      <c r="JSN774" s="46"/>
      <c r="JSP774" s="46"/>
      <c r="JSR774" s="46"/>
      <c r="JST774" s="46"/>
      <c r="JSV774" s="46"/>
      <c r="JSX774" s="46"/>
      <c r="JSZ774" s="46"/>
      <c r="JTB774" s="46"/>
      <c r="JTD774" s="46"/>
      <c r="JTF774" s="46"/>
      <c r="JTH774" s="46"/>
      <c r="JTJ774" s="46"/>
      <c r="JTL774" s="46"/>
      <c r="JTN774" s="46"/>
      <c r="JTP774" s="46"/>
      <c r="JTR774" s="46"/>
      <c r="JTT774" s="46"/>
      <c r="JTV774" s="46"/>
      <c r="JTX774" s="46"/>
      <c r="JTZ774" s="46"/>
      <c r="JUB774" s="46"/>
      <c r="JUD774" s="46"/>
      <c r="JUF774" s="46"/>
      <c r="JUH774" s="46"/>
      <c r="JUJ774" s="46"/>
      <c r="JUL774" s="46"/>
      <c r="JUN774" s="46"/>
      <c r="JUP774" s="46"/>
      <c r="JUR774" s="46"/>
      <c r="JUT774" s="46"/>
      <c r="JUV774" s="46"/>
      <c r="JUX774" s="46"/>
      <c r="JUZ774" s="46"/>
      <c r="JVB774" s="46"/>
      <c r="JVD774" s="46"/>
      <c r="JVF774" s="46"/>
      <c r="JVH774" s="46"/>
      <c r="JVJ774" s="46"/>
      <c r="JVL774" s="46"/>
      <c r="JVN774" s="46"/>
      <c r="JVP774" s="46"/>
      <c r="JVR774" s="46"/>
      <c r="JVT774" s="46"/>
      <c r="JVV774" s="46"/>
      <c r="JVX774" s="46"/>
      <c r="JVZ774" s="46"/>
      <c r="JWB774" s="46"/>
      <c r="JWD774" s="46"/>
      <c r="JWF774" s="46"/>
      <c r="JWH774" s="46"/>
      <c r="JWJ774" s="46"/>
      <c r="JWL774" s="46"/>
      <c r="JWN774" s="46"/>
      <c r="JWP774" s="46"/>
      <c r="JWR774" s="46"/>
      <c r="JWT774" s="46"/>
      <c r="JWV774" s="46"/>
      <c r="JWX774" s="46"/>
      <c r="JWZ774" s="46"/>
      <c r="JXB774" s="46"/>
      <c r="JXD774" s="46"/>
      <c r="JXF774" s="46"/>
      <c r="JXH774" s="46"/>
      <c r="JXJ774" s="46"/>
      <c r="JXL774" s="46"/>
      <c r="JXN774" s="46"/>
      <c r="JXP774" s="46"/>
      <c r="JXR774" s="46"/>
      <c r="JXT774" s="46"/>
      <c r="JXV774" s="46"/>
      <c r="JXX774" s="46"/>
      <c r="JXZ774" s="46"/>
      <c r="JYB774" s="46"/>
      <c r="JYD774" s="46"/>
      <c r="JYF774" s="46"/>
      <c r="JYH774" s="46"/>
      <c r="JYJ774" s="46"/>
      <c r="JYL774" s="46"/>
      <c r="JYN774" s="46"/>
      <c r="JYP774" s="46"/>
      <c r="JYR774" s="46"/>
      <c r="JYT774" s="46"/>
      <c r="JYV774" s="46"/>
      <c r="JYX774" s="46"/>
      <c r="JYZ774" s="46"/>
      <c r="JZB774" s="46"/>
      <c r="JZD774" s="46"/>
      <c r="JZF774" s="46"/>
      <c r="JZH774" s="46"/>
      <c r="JZJ774" s="46"/>
      <c r="JZL774" s="46"/>
      <c r="JZN774" s="46"/>
      <c r="JZP774" s="46"/>
      <c r="JZR774" s="46"/>
      <c r="JZT774" s="46"/>
      <c r="JZV774" s="46"/>
      <c r="JZX774" s="46"/>
      <c r="JZZ774" s="46"/>
      <c r="KAB774" s="46"/>
      <c r="KAD774" s="46"/>
      <c r="KAF774" s="46"/>
      <c r="KAH774" s="46"/>
      <c r="KAJ774" s="46"/>
      <c r="KAL774" s="46"/>
      <c r="KAN774" s="46"/>
      <c r="KAP774" s="46"/>
      <c r="KAR774" s="46"/>
      <c r="KAT774" s="46"/>
      <c r="KAV774" s="46"/>
      <c r="KAX774" s="46"/>
      <c r="KAZ774" s="46"/>
      <c r="KBB774" s="46"/>
      <c r="KBD774" s="46"/>
      <c r="KBF774" s="46"/>
      <c r="KBH774" s="46"/>
      <c r="KBJ774" s="46"/>
      <c r="KBL774" s="46"/>
      <c r="KBN774" s="46"/>
      <c r="KBP774" s="46"/>
      <c r="KBR774" s="46"/>
      <c r="KBT774" s="46"/>
      <c r="KBV774" s="46"/>
      <c r="KBX774" s="46"/>
      <c r="KBZ774" s="46"/>
      <c r="KCB774" s="46"/>
      <c r="KCD774" s="46"/>
      <c r="KCF774" s="46"/>
      <c r="KCH774" s="46"/>
      <c r="KCJ774" s="46"/>
      <c r="KCL774" s="46"/>
      <c r="KCN774" s="46"/>
      <c r="KCP774" s="46"/>
      <c r="KCR774" s="46"/>
      <c r="KCT774" s="46"/>
      <c r="KCV774" s="46"/>
      <c r="KCX774" s="46"/>
      <c r="KCZ774" s="46"/>
      <c r="KDB774" s="46"/>
      <c r="KDD774" s="46"/>
      <c r="KDF774" s="46"/>
      <c r="KDH774" s="46"/>
      <c r="KDJ774" s="46"/>
      <c r="KDL774" s="46"/>
      <c r="KDN774" s="46"/>
      <c r="KDP774" s="46"/>
      <c r="KDR774" s="46"/>
      <c r="KDT774" s="46"/>
      <c r="KDV774" s="46"/>
      <c r="KDX774" s="46"/>
      <c r="KDZ774" s="46"/>
      <c r="KEB774" s="46"/>
      <c r="KED774" s="46"/>
      <c r="KEF774" s="46"/>
      <c r="KEH774" s="46"/>
      <c r="KEJ774" s="46"/>
      <c r="KEL774" s="46"/>
      <c r="KEN774" s="46"/>
      <c r="KEP774" s="46"/>
      <c r="KER774" s="46"/>
      <c r="KET774" s="46"/>
      <c r="KEV774" s="46"/>
      <c r="KEX774" s="46"/>
      <c r="KEZ774" s="46"/>
      <c r="KFB774" s="46"/>
      <c r="KFD774" s="46"/>
      <c r="KFF774" s="46"/>
      <c r="KFH774" s="46"/>
      <c r="KFJ774" s="46"/>
      <c r="KFL774" s="46"/>
      <c r="KFN774" s="46"/>
      <c r="KFP774" s="46"/>
      <c r="KFR774" s="46"/>
      <c r="KFT774" s="46"/>
      <c r="KFV774" s="46"/>
      <c r="KFX774" s="46"/>
      <c r="KFZ774" s="46"/>
      <c r="KGB774" s="46"/>
      <c r="KGD774" s="46"/>
      <c r="KGF774" s="46"/>
      <c r="KGH774" s="46"/>
      <c r="KGJ774" s="46"/>
      <c r="KGL774" s="46"/>
      <c r="KGN774" s="46"/>
      <c r="KGP774" s="46"/>
      <c r="KGR774" s="46"/>
      <c r="KGT774" s="46"/>
      <c r="KGV774" s="46"/>
      <c r="KGX774" s="46"/>
      <c r="KGZ774" s="46"/>
      <c r="KHB774" s="46"/>
      <c r="KHD774" s="46"/>
      <c r="KHF774" s="46"/>
      <c r="KHH774" s="46"/>
      <c r="KHJ774" s="46"/>
      <c r="KHL774" s="46"/>
      <c r="KHN774" s="46"/>
      <c r="KHP774" s="46"/>
      <c r="KHR774" s="46"/>
      <c r="KHT774" s="46"/>
      <c r="KHV774" s="46"/>
      <c r="KHX774" s="46"/>
      <c r="KHZ774" s="46"/>
      <c r="KIB774" s="46"/>
      <c r="KID774" s="46"/>
      <c r="KIF774" s="46"/>
      <c r="KIH774" s="46"/>
      <c r="KIJ774" s="46"/>
      <c r="KIL774" s="46"/>
      <c r="KIN774" s="46"/>
      <c r="KIP774" s="46"/>
      <c r="KIR774" s="46"/>
      <c r="KIT774" s="46"/>
      <c r="KIV774" s="46"/>
      <c r="KIX774" s="46"/>
      <c r="KIZ774" s="46"/>
      <c r="KJB774" s="46"/>
      <c r="KJD774" s="46"/>
      <c r="KJF774" s="46"/>
      <c r="KJH774" s="46"/>
      <c r="KJJ774" s="46"/>
      <c r="KJL774" s="46"/>
      <c r="KJN774" s="46"/>
      <c r="KJP774" s="46"/>
      <c r="KJR774" s="46"/>
      <c r="KJT774" s="46"/>
      <c r="KJV774" s="46"/>
      <c r="KJX774" s="46"/>
      <c r="KJZ774" s="46"/>
      <c r="KKB774" s="46"/>
      <c r="KKD774" s="46"/>
      <c r="KKF774" s="46"/>
      <c r="KKH774" s="46"/>
      <c r="KKJ774" s="46"/>
      <c r="KKL774" s="46"/>
      <c r="KKN774" s="46"/>
      <c r="KKP774" s="46"/>
      <c r="KKR774" s="46"/>
      <c r="KKT774" s="46"/>
      <c r="KKV774" s="46"/>
      <c r="KKX774" s="46"/>
      <c r="KKZ774" s="46"/>
      <c r="KLB774" s="46"/>
      <c r="KLD774" s="46"/>
      <c r="KLF774" s="46"/>
      <c r="KLH774" s="46"/>
      <c r="KLJ774" s="46"/>
      <c r="KLL774" s="46"/>
      <c r="KLN774" s="46"/>
      <c r="KLP774" s="46"/>
      <c r="KLR774" s="46"/>
      <c r="KLT774" s="46"/>
      <c r="KLV774" s="46"/>
      <c r="KLX774" s="46"/>
      <c r="KLZ774" s="46"/>
      <c r="KMB774" s="46"/>
      <c r="KMD774" s="46"/>
      <c r="KMF774" s="46"/>
      <c r="KMH774" s="46"/>
      <c r="KMJ774" s="46"/>
      <c r="KML774" s="46"/>
      <c r="KMN774" s="46"/>
      <c r="KMP774" s="46"/>
      <c r="KMR774" s="46"/>
      <c r="KMT774" s="46"/>
      <c r="KMV774" s="46"/>
      <c r="KMX774" s="46"/>
      <c r="KMZ774" s="46"/>
      <c r="KNB774" s="46"/>
      <c r="KND774" s="46"/>
      <c r="KNF774" s="46"/>
      <c r="KNH774" s="46"/>
      <c r="KNJ774" s="46"/>
      <c r="KNL774" s="46"/>
      <c r="KNN774" s="46"/>
      <c r="KNP774" s="46"/>
      <c r="KNR774" s="46"/>
      <c r="KNT774" s="46"/>
      <c r="KNV774" s="46"/>
      <c r="KNX774" s="46"/>
      <c r="KNZ774" s="46"/>
      <c r="KOB774" s="46"/>
      <c r="KOD774" s="46"/>
      <c r="KOF774" s="46"/>
      <c r="KOH774" s="46"/>
      <c r="KOJ774" s="46"/>
      <c r="KOL774" s="46"/>
      <c r="KON774" s="46"/>
      <c r="KOP774" s="46"/>
      <c r="KOR774" s="46"/>
      <c r="KOT774" s="46"/>
      <c r="KOV774" s="46"/>
      <c r="KOX774" s="46"/>
      <c r="KOZ774" s="46"/>
      <c r="KPB774" s="46"/>
      <c r="KPD774" s="46"/>
      <c r="KPF774" s="46"/>
      <c r="KPH774" s="46"/>
      <c r="KPJ774" s="46"/>
      <c r="KPL774" s="46"/>
      <c r="KPN774" s="46"/>
      <c r="KPP774" s="46"/>
      <c r="KPR774" s="46"/>
      <c r="KPT774" s="46"/>
      <c r="KPV774" s="46"/>
      <c r="KPX774" s="46"/>
      <c r="KPZ774" s="46"/>
      <c r="KQB774" s="46"/>
      <c r="KQD774" s="46"/>
      <c r="KQF774" s="46"/>
      <c r="KQH774" s="46"/>
      <c r="KQJ774" s="46"/>
      <c r="KQL774" s="46"/>
      <c r="KQN774" s="46"/>
      <c r="KQP774" s="46"/>
      <c r="KQR774" s="46"/>
      <c r="KQT774" s="46"/>
      <c r="KQV774" s="46"/>
      <c r="KQX774" s="46"/>
      <c r="KQZ774" s="46"/>
      <c r="KRB774" s="46"/>
      <c r="KRD774" s="46"/>
      <c r="KRF774" s="46"/>
      <c r="KRH774" s="46"/>
      <c r="KRJ774" s="46"/>
      <c r="KRL774" s="46"/>
      <c r="KRN774" s="46"/>
      <c r="KRP774" s="46"/>
      <c r="KRR774" s="46"/>
      <c r="KRT774" s="46"/>
      <c r="KRV774" s="46"/>
      <c r="KRX774" s="46"/>
      <c r="KRZ774" s="46"/>
      <c r="KSB774" s="46"/>
      <c r="KSD774" s="46"/>
      <c r="KSF774" s="46"/>
      <c r="KSH774" s="46"/>
      <c r="KSJ774" s="46"/>
      <c r="KSL774" s="46"/>
      <c r="KSN774" s="46"/>
      <c r="KSP774" s="46"/>
      <c r="KSR774" s="46"/>
      <c r="KST774" s="46"/>
      <c r="KSV774" s="46"/>
      <c r="KSX774" s="46"/>
      <c r="KSZ774" s="46"/>
      <c r="KTB774" s="46"/>
      <c r="KTD774" s="46"/>
      <c r="KTF774" s="46"/>
      <c r="KTH774" s="46"/>
      <c r="KTJ774" s="46"/>
      <c r="KTL774" s="46"/>
      <c r="KTN774" s="46"/>
      <c r="KTP774" s="46"/>
      <c r="KTR774" s="46"/>
      <c r="KTT774" s="46"/>
      <c r="KTV774" s="46"/>
      <c r="KTX774" s="46"/>
      <c r="KTZ774" s="46"/>
      <c r="KUB774" s="46"/>
      <c r="KUD774" s="46"/>
      <c r="KUF774" s="46"/>
      <c r="KUH774" s="46"/>
      <c r="KUJ774" s="46"/>
      <c r="KUL774" s="46"/>
      <c r="KUN774" s="46"/>
      <c r="KUP774" s="46"/>
      <c r="KUR774" s="46"/>
      <c r="KUT774" s="46"/>
      <c r="KUV774" s="46"/>
      <c r="KUX774" s="46"/>
      <c r="KUZ774" s="46"/>
      <c r="KVB774" s="46"/>
      <c r="KVD774" s="46"/>
      <c r="KVF774" s="46"/>
      <c r="KVH774" s="46"/>
      <c r="KVJ774" s="46"/>
      <c r="KVL774" s="46"/>
      <c r="KVN774" s="46"/>
      <c r="KVP774" s="46"/>
      <c r="KVR774" s="46"/>
      <c r="KVT774" s="46"/>
      <c r="KVV774" s="46"/>
      <c r="KVX774" s="46"/>
      <c r="KVZ774" s="46"/>
      <c r="KWB774" s="46"/>
      <c r="KWD774" s="46"/>
      <c r="KWF774" s="46"/>
      <c r="KWH774" s="46"/>
      <c r="KWJ774" s="46"/>
      <c r="KWL774" s="46"/>
      <c r="KWN774" s="46"/>
      <c r="KWP774" s="46"/>
      <c r="KWR774" s="46"/>
      <c r="KWT774" s="46"/>
      <c r="KWV774" s="46"/>
      <c r="KWX774" s="46"/>
      <c r="KWZ774" s="46"/>
      <c r="KXB774" s="46"/>
      <c r="KXD774" s="46"/>
      <c r="KXF774" s="46"/>
      <c r="KXH774" s="46"/>
      <c r="KXJ774" s="46"/>
      <c r="KXL774" s="46"/>
      <c r="KXN774" s="46"/>
      <c r="KXP774" s="46"/>
      <c r="KXR774" s="46"/>
      <c r="KXT774" s="46"/>
      <c r="KXV774" s="46"/>
      <c r="KXX774" s="46"/>
      <c r="KXZ774" s="46"/>
      <c r="KYB774" s="46"/>
      <c r="KYD774" s="46"/>
      <c r="KYF774" s="46"/>
      <c r="KYH774" s="46"/>
      <c r="KYJ774" s="46"/>
      <c r="KYL774" s="46"/>
      <c r="KYN774" s="46"/>
      <c r="KYP774" s="46"/>
      <c r="KYR774" s="46"/>
      <c r="KYT774" s="46"/>
      <c r="KYV774" s="46"/>
      <c r="KYX774" s="46"/>
      <c r="KYZ774" s="46"/>
      <c r="KZB774" s="46"/>
      <c r="KZD774" s="46"/>
      <c r="KZF774" s="46"/>
      <c r="KZH774" s="46"/>
      <c r="KZJ774" s="46"/>
      <c r="KZL774" s="46"/>
      <c r="KZN774" s="46"/>
      <c r="KZP774" s="46"/>
      <c r="KZR774" s="46"/>
      <c r="KZT774" s="46"/>
      <c r="KZV774" s="46"/>
      <c r="KZX774" s="46"/>
      <c r="KZZ774" s="46"/>
      <c r="LAB774" s="46"/>
      <c r="LAD774" s="46"/>
      <c r="LAF774" s="46"/>
      <c r="LAH774" s="46"/>
      <c r="LAJ774" s="46"/>
      <c r="LAL774" s="46"/>
      <c r="LAN774" s="46"/>
      <c r="LAP774" s="46"/>
      <c r="LAR774" s="46"/>
      <c r="LAT774" s="46"/>
      <c r="LAV774" s="46"/>
      <c r="LAX774" s="46"/>
      <c r="LAZ774" s="46"/>
      <c r="LBB774" s="46"/>
      <c r="LBD774" s="46"/>
      <c r="LBF774" s="46"/>
      <c r="LBH774" s="46"/>
      <c r="LBJ774" s="46"/>
      <c r="LBL774" s="46"/>
      <c r="LBN774" s="46"/>
      <c r="LBP774" s="46"/>
      <c r="LBR774" s="46"/>
      <c r="LBT774" s="46"/>
      <c r="LBV774" s="46"/>
      <c r="LBX774" s="46"/>
      <c r="LBZ774" s="46"/>
      <c r="LCB774" s="46"/>
      <c r="LCD774" s="46"/>
      <c r="LCF774" s="46"/>
      <c r="LCH774" s="46"/>
      <c r="LCJ774" s="46"/>
      <c r="LCL774" s="46"/>
      <c r="LCN774" s="46"/>
      <c r="LCP774" s="46"/>
      <c r="LCR774" s="46"/>
      <c r="LCT774" s="46"/>
      <c r="LCV774" s="46"/>
      <c r="LCX774" s="46"/>
      <c r="LCZ774" s="46"/>
      <c r="LDB774" s="46"/>
      <c r="LDD774" s="46"/>
      <c r="LDF774" s="46"/>
      <c r="LDH774" s="46"/>
      <c r="LDJ774" s="46"/>
      <c r="LDL774" s="46"/>
      <c r="LDN774" s="46"/>
      <c r="LDP774" s="46"/>
      <c r="LDR774" s="46"/>
      <c r="LDT774" s="46"/>
      <c r="LDV774" s="46"/>
      <c r="LDX774" s="46"/>
      <c r="LDZ774" s="46"/>
      <c r="LEB774" s="46"/>
      <c r="LED774" s="46"/>
      <c r="LEF774" s="46"/>
      <c r="LEH774" s="46"/>
      <c r="LEJ774" s="46"/>
      <c r="LEL774" s="46"/>
      <c r="LEN774" s="46"/>
      <c r="LEP774" s="46"/>
      <c r="LER774" s="46"/>
      <c r="LET774" s="46"/>
      <c r="LEV774" s="46"/>
      <c r="LEX774" s="46"/>
      <c r="LEZ774" s="46"/>
      <c r="LFB774" s="46"/>
      <c r="LFD774" s="46"/>
      <c r="LFF774" s="46"/>
      <c r="LFH774" s="46"/>
      <c r="LFJ774" s="46"/>
      <c r="LFL774" s="46"/>
      <c r="LFN774" s="46"/>
      <c r="LFP774" s="46"/>
      <c r="LFR774" s="46"/>
      <c r="LFT774" s="46"/>
      <c r="LFV774" s="46"/>
      <c r="LFX774" s="46"/>
      <c r="LFZ774" s="46"/>
      <c r="LGB774" s="46"/>
      <c r="LGD774" s="46"/>
      <c r="LGF774" s="46"/>
      <c r="LGH774" s="46"/>
      <c r="LGJ774" s="46"/>
      <c r="LGL774" s="46"/>
      <c r="LGN774" s="46"/>
      <c r="LGP774" s="46"/>
      <c r="LGR774" s="46"/>
      <c r="LGT774" s="46"/>
      <c r="LGV774" s="46"/>
      <c r="LGX774" s="46"/>
      <c r="LGZ774" s="46"/>
      <c r="LHB774" s="46"/>
      <c r="LHD774" s="46"/>
      <c r="LHF774" s="46"/>
      <c r="LHH774" s="46"/>
      <c r="LHJ774" s="46"/>
      <c r="LHL774" s="46"/>
      <c r="LHN774" s="46"/>
      <c r="LHP774" s="46"/>
      <c r="LHR774" s="46"/>
      <c r="LHT774" s="46"/>
      <c r="LHV774" s="46"/>
      <c r="LHX774" s="46"/>
      <c r="LHZ774" s="46"/>
      <c r="LIB774" s="46"/>
      <c r="LID774" s="46"/>
      <c r="LIF774" s="46"/>
      <c r="LIH774" s="46"/>
      <c r="LIJ774" s="46"/>
      <c r="LIL774" s="46"/>
      <c r="LIN774" s="46"/>
      <c r="LIP774" s="46"/>
      <c r="LIR774" s="46"/>
      <c r="LIT774" s="46"/>
      <c r="LIV774" s="46"/>
      <c r="LIX774" s="46"/>
      <c r="LIZ774" s="46"/>
      <c r="LJB774" s="46"/>
      <c r="LJD774" s="46"/>
      <c r="LJF774" s="46"/>
      <c r="LJH774" s="46"/>
      <c r="LJJ774" s="46"/>
      <c r="LJL774" s="46"/>
      <c r="LJN774" s="46"/>
      <c r="LJP774" s="46"/>
      <c r="LJR774" s="46"/>
      <c r="LJT774" s="46"/>
      <c r="LJV774" s="46"/>
      <c r="LJX774" s="46"/>
      <c r="LJZ774" s="46"/>
      <c r="LKB774" s="46"/>
      <c r="LKD774" s="46"/>
      <c r="LKF774" s="46"/>
      <c r="LKH774" s="46"/>
      <c r="LKJ774" s="46"/>
      <c r="LKL774" s="46"/>
      <c r="LKN774" s="46"/>
      <c r="LKP774" s="46"/>
      <c r="LKR774" s="46"/>
      <c r="LKT774" s="46"/>
      <c r="LKV774" s="46"/>
      <c r="LKX774" s="46"/>
      <c r="LKZ774" s="46"/>
      <c r="LLB774" s="46"/>
      <c r="LLD774" s="46"/>
      <c r="LLF774" s="46"/>
      <c r="LLH774" s="46"/>
      <c r="LLJ774" s="46"/>
      <c r="LLL774" s="46"/>
      <c r="LLN774" s="46"/>
      <c r="LLP774" s="46"/>
      <c r="LLR774" s="46"/>
      <c r="LLT774" s="46"/>
      <c r="LLV774" s="46"/>
      <c r="LLX774" s="46"/>
      <c r="LLZ774" s="46"/>
      <c r="LMB774" s="46"/>
      <c r="LMD774" s="46"/>
      <c r="LMF774" s="46"/>
      <c r="LMH774" s="46"/>
      <c r="LMJ774" s="46"/>
      <c r="LML774" s="46"/>
      <c r="LMN774" s="46"/>
      <c r="LMP774" s="46"/>
      <c r="LMR774" s="46"/>
      <c r="LMT774" s="46"/>
      <c r="LMV774" s="46"/>
      <c r="LMX774" s="46"/>
      <c r="LMZ774" s="46"/>
      <c r="LNB774" s="46"/>
      <c r="LND774" s="46"/>
      <c r="LNF774" s="46"/>
      <c r="LNH774" s="46"/>
      <c r="LNJ774" s="46"/>
      <c r="LNL774" s="46"/>
      <c r="LNN774" s="46"/>
      <c r="LNP774" s="46"/>
      <c r="LNR774" s="46"/>
      <c r="LNT774" s="46"/>
      <c r="LNV774" s="46"/>
      <c r="LNX774" s="46"/>
      <c r="LNZ774" s="46"/>
      <c r="LOB774" s="46"/>
      <c r="LOD774" s="46"/>
      <c r="LOF774" s="46"/>
      <c r="LOH774" s="46"/>
      <c r="LOJ774" s="46"/>
      <c r="LOL774" s="46"/>
      <c r="LON774" s="46"/>
      <c r="LOP774" s="46"/>
      <c r="LOR774" s="46"/>
      <c r="LOT774" s="46"/>
      <c r="LOV774" s="46"/>
      <c r="LOX774" s="46"/>
      <c r="LOZ774" s="46"/>
      <c r="LPB774" s="46"/>
      <c r="LPD774" s="46"/>
      <c r="LPF774" s="46"/>
      <c r="LPH774" s="46"/>
      <c r="LPJ774" s="46"/>
      <c r="LPL774" s="46"/>
      <c r="LPN774" s="46"/>
      <c r="LPP774" s="46"/>
      <c r="LPR774" s="46"/>
      <c r="LPT774" s="46"/>
      <c r="LPV774" s="46"/>
      <c r="LPX774" s="46"/>
      <c r="LPZ774" s="46"/>
      <c r="LQB774" s="46"/>
      <c r="LQD774" s="46"/>
      <c r="LQF774" s="46"/>
      <c r="LQH774" s="46"/>
      <c r="LQJ774" s="46"/>
      <c r="LQL774" s="46"/>
      <c r="LQN774" s="46"/>
      <c r="LQP774" s="46"/>
      <c r="LQR774" s="46"/>
      <c r="LQT774" s="46"/>
      <c r="LQV774" s="46"/>
      <c r="LQX774" s="46"/>
      <c r="LQZ774" s="46"/>
      <c r="LRB774" s="46"/>
      <c r="LRD774" s="46"/>
      <c r="LRF774" s="46"/>
      <c r="LRH774" s="46"/>
      <c r="LRJ774" s="46"/>
      <c r="LRL774" s="46"/>
      <c r="LRN774" s="46"/>
      <c r="LRP774" s="46"/>
      <c r="LRR774" s="46"/>
      <c r="LRT774" s="46"/>
      <c r="LRV774" s="46"/>
      <c r="LRX774" s="46"/>
      <c r="LRZ774" s="46"/>
      <c r="LSB774" s="46"/>
      <c r="LSD774" s="46"/>
      <c r="LSF774" s="46"/>
      <c r="LSH774" s="46"/>
      <c r="LSJ774" s="46"/>
      <c r="LSL774" s="46"/>
      <c r="LSN774" s="46"/>
      <c r="LSP774" s="46"/>
      <c r="LSR774" s="46"/>
      <c r="LST774" s="46"/>
      <c r="LSV774" s="46"/>
      <c r="LSX774" s="46"/>
      <c r="LSZ774" s="46"/>
      <c r="LTB774" s="46"/>
      <c r="LTD774" s="46"/>
      <c r="LTF774" s="46"/>
      <c r="LTH774" s="46"/>
      <c r="LTJ774" s="46"/>
      <c r="LTL774" s="46"/>
      <c r="LTN774" s="46"/>
      <c r="LTP774" s="46"/>
      <c r="LTR774" s="46"/>
      <c r="LTT774" s="46"/>
      <c r="LTV774" s="46"/>
      <c r="LTX774" s="46"/>
      <c r="LTZ774" s="46"/>
      <c r="LUB774" s="46"/>
      <c r="LUD774" s="46"/>
      <c r="LUF774" s="46"/>
      <c r="LUH774" s="46"/>
      <c r="LUJ774" s="46"/>
      <c r="LUL774" s="46"/>
      <c r="LUN774" s="46"/>
      <c r="LUP774" s="46"/>
      <c r="LUR774" s="46"/>
      <c r="LUT774" s="46"/>
      <c r="LUV774" s="46"/>
      <c r="LUX774" s="46"/>
      <c r="LUZ774" s="46"/>
      <c r="LVB774" s="46"/>
      <c r="LVD774" s="46"/>
      <c r="LVF774" s="46"/>
      <c r="LVH774" s="46"/>
      <c r="LVJ774" s="46"/>
      <c r="LVL774" s="46"/>
      <c r="LVN774" s="46"/>
      <c r="LVP774" s="46"/>
      <c r="LVR774" s="46"/>
      <c r="LVT774" s="46"/>
      <c r="LVV774" s="46"/>
      <c r="LVX774" s="46"/>
      <c r="LVZ774" s="46"/>
      <c r="LWB774" s="46"/>
      <c r="LWD774" s="46"/>
      <c r="LWF774" s="46"/>
      <c r="LWH774" s="46"/>
      <c r="LWJ774" s="46"/>
      <c r="LWL774" s="46"/>
      <c r="LWN774" s="46"/>
      <c r="LWP774" s="46"/>
      <c r="LWR774" s="46"/>
      <c r="LWT774" s="46"/>
      <c r="LWV774" s="46"/>
      <c r="LWX774" s="46"/>
      <c r="LWZ774" s="46"/>
      <c r="LXB774" s="46"/>
      <c r="LXD774" s="46"/>
      <c r="LXF774" s="46"/>
      <c r="LXH774" s="46"/>
      <c r="LXJ774" s="46"/>
      <c r="LXL774" s="46"/>
      <c r="LXN774" s="46"/>
      <c r="LXP774" s="46"/>
      <c r="LXR774" s="46"/>
      <c r="LXT774" s="46"/>
      <c r="LXV774" s="46"/>
      <c r="LXX774" s="46"/>
      <c r="LXZ774" s="46"/>
      <c r="LYB774" s="46"/>
      <c r="LYD774" s="46"/>
      <c r="LYF774" s="46"/>
      <c r="LYH774" s="46"/>
      <c r="LYJ774" s="46"/>
      <c r="LYL774" s="46"/>
      <c r="LYN774" s="46"/>
      <c r="LYP774" s="46"/>
      <c r="LYR774" s="46"/>
      <c r="LYT774" s="46"/>
      <c r="LYV774" s="46"/>
      <c r="LYX774" s="46"/>
      <c r="LYZ774" s="46"/>
      <c r="LZB774" s="46"/>
      <c r="LZD774" s="46"/>
      <c r="LZF774" s="46"/>
      <c r="LZH774" s="46"/>
      <c r="LZJ774" s="46"/>
      <c r="LZL774" s="46"/>
      <c r="LZN774" s="46"/>
      <c r="LZP774" s="46"/>
      <c r="LZR774" s="46"/>
      <c r="LZT774" s="46"/>
      <c r="LZV774" s="46"/>
      <c r="LZX774" s="46"/>
      <c r="LZZ774" s="46"/>
      <c r="MAB774" s="46"/>
      <c r="MAD774" s="46"/>
      <c r="MAF774" s="46"/>
      <c r="MAH774" s="46"/>
      <c r="MAJ774" s="46"/>
      <c r="MAL774" s="46"/>
      <c r="MAN774" s="46"/>
      <c r="MAP774" s="46"/>
      <c r="MAR774" s="46"/>
      <c r="MAT774" s="46"/>
      <c r="MAV774" s="46"/>
      <c r="MAX774" s="46"/>
      <c r="MAZ774" s="46"/>
      <c r="MBB774" s="46"/>
      <c r="MBD774" s="46"/>
      <c r="MBF774" s="46"/>
      <c r="MBH774" s="46"/>
      <c r="MBJ774" s="46"/>
      <c r="MBL774" s="46"/>
      <c r="MBN774" s="46"/>
      <c r="MBP774" s="46"/>
      <c r="MBR774" s="46"/>
      <c r="MBT774" s="46"/>
      <c r="MBV774" s="46"/>
      <c r="MBX774" s="46"/>
      <c r="MBZ774" s="46"/>
      <c r="MCB774" s="46"/>
      <c r="MCD774" s="46"/>
      <c r="MCF774" s="46"/>
      <c r="MCH774" s="46"/>
      <c r="MCJ774" s="46"/>
      <c r="MCL774" s="46"/>
      <c r="MCN774" s="46"/>
      <c r="MCP774" s="46"/>
      <c r="MCR774" s="46"/>
      <c r="MCT774" s="46"/>
      <c r="MCV774" s="46"/>
      <c r="MCX774" s="46"/>
      <c r="MCZ774" s="46"/>
      <c r="MDB774" s="46"/>
      <c r="MDD774" s="46"/>
      <c r="MDF774" s="46"/>
      <c r="MDH774" s="46"/>
      <c r="MDJ774" s="46"/>
      <c r="MDL774" s="46"/>
      <c r="MDN774" s="46"/>
      <c r="MDP774" s="46"/>
      <c r="MDR774" s="46"/>
      <c r="MDT774" s="46"/>
      <c r="MDV774" s="46"/>
      <c r="MDX774" s="46"/>
      <c r="MDZ774" s="46"/>
      <c r="MEB774" s="46"/>
      <c r="MED774" s="46"/>
      <c r="MEF774" s="46"/>
      <c r="MEH774" s="46"/>
      <c r="MEJ774" s="46"/>
      <c r="MEL774" s="46"/>
      <c r="MEN774" s="46"/>
      <c r="MEP774" s="46"/>
      <c r="MER774" s="46"/>
      <c r="MET774" s="46"/>
      <c r="MEV774" s="46"/>
      <c r="MEX774" s="46"/>
      <c r="MEZ774" s="46"/>
      <c r="MFB774" s="46"/>
      <c r="MFD774" s="46"/>
      <c r="MFF774" s="46"/>
      <c r="MFH774" s="46"/>
      <c r="MFJ774" s="46"/>
      <c r="MFL774" s="46"/>
      <c r="MFN774" s="46"/>
      <c r="MFP774" s="46"/>
      <c r="MFR774" s="46"/>
      <c r="MFT774" s="46"/>
      <c r="MFV774" s="46"/>
      <c r="MFX774" s="46"/>
      <c r="MFZ774" s="46"/>
      <c r="MGB774" s="46"/>
      <c r="MGD774" s="46"/>
      <c r="MGF774" s="46"/>
      <c r="MGH774" s="46"/>
      <c r="MGJ774" s="46"/>
      <c r="MGL774" s="46"/>
      <c r="MGN774" s="46"/>
      <c r="MGP774" s="46"/>
      <c r="MGR774" s="46"/>
      <c r="MGT774" s="46"/>
      <c r="MGV774" s="46"/>
      <c r="MGX774" s="46"/>
      <c r="MGZ774" s="46"/>
      <c r="MHB774" s="46"/>
      <c r="MHD774" s="46"/>
      <c r="MHF774" s="46"/>
      <c r="MHH774" s="46"/>
      <c r="MHJ774" s="46"/>
      <c r="MHL774" s="46"/>
      <c r="MHN774" s="46"/>
      <c r="MHP774" s="46"/>
      <c r="MHR774" s="46"/>
      <c r="MHT774" s="46"/>
      <c r="MHV774" s="46"/>
      <c r="MHX774" s="46"/>
      <c r="MHZ774" s="46"/>
      <c r="MIB774" s="46"/>
      <c r="MID774" s="46"/>
      <c r="MIF774" s="46"/>
      <c r="MIH774" s="46"/>
      <c r="MIJ774" s="46"/>
      <c r="MIL774" s="46"/>
      <c r="MIN774" s="46"/>
      <c r="MIP774" s="46"/>
      <c r="MIR774" s="46"/>
      <c r="MIT774" s="46"/>
      <c r="MIV774" s="46"/>
      <c r="MIX774" s="46"/>
      <c r="MIZ774" s="46"/>
      <c r="MJB774" s="46"/>
      <c r="MJD774" s="46"/>
      <c r="MJF774" s="46"/>
      <c r="MJH774" s="46"/>
      <c r="MJJ774" s="46"/>
      <c r="MJL774" s="46"/>
      <c r="MJN774" s="46"/>
      <c r="MJP774" s="46"/>
      <c r="MJR774" s="46"/>
      <c r="MJT774" s="46"/>
      <c r="MJV774" s="46"/>
      <c r="MJX774" s="46"/>
      <c r="MJZ774" s="46"/>
      <c r="MKB774" s="46"/>
      <c r="MKD774" s="46"/>
      <c r="MKF774" s="46"/>
      <c r="MKH774" s="46"/>
      <c r="MKJ774" s="46"/>
      <c r="MKL774" s="46"/>
      <c r="MKN774" s="46"/>
      <c r="MKP774" s="46"/>
      <c r="MKR774" s="46"/>
      <c r="MKT774" s="46"/>
      <c r="MKV774" s="46"/>
      <c r="MKX774" s="46"/>
      <c r="MKZ774" s="46"/>
      <c r="MLB774" s="46"/>
      <c r="MLD774" s="46"/>
      <c r="MLF774" s="46"/>
      <c r="MLH774" s="46"/>
      <c r="MLJ774" s="46"/>
      <c r="MLL774" s="46"/>
      <c r="MLN774" s="46"/>
      <c r="MLP774" s="46"/>
      <c r="MLR774" s="46"/>
      <c r="MLT774" s="46"/>
      <c r="MLV774" s="46"/>
      <c r="MLX774" s="46"/>
      <c r="MLZ774" s="46"/>
      <c r="MMB774" s="46"/>
      <c r="MMD774" s="46"/>
      <c r="MMF774" s="46"/>
      <c r="MMH774" s="46"/>
      <c r="MMJ774" s="46"/>
      <c r="MML774" s="46"/>
      <c r="MMN774" s="46"/>
      <c r="MMP774" s="46"/>
      <c r="MMR774" s="46"/>
      <c r="MMT774" s="46"/>
      <c r="MMV774" s="46"/>
      <c r="MMX774" s="46"/>
      <c r="MMZ774" s="46"/>
      <c r="MNB774" s="46"/>
      <c r="MND774" s="46"/>
      <c r="MNF774" s="46"/>
      <c r="MNH774" s="46"/>
      <c r="MNJ774" s="46"/>
      <c r="MNL774" s="46"/>
      <c r="MNN774" s="46"/>
      <c r="MNP774" s="46"/>
      <c r="MNR774" s="46"/>
      <c r="MNT774" s="46"/>
      <c r="MNV774" s="46"/>
      <c r="MNX774" s="46"/>
      <c r="MNZ774" s="46"/>
      <c r="MOB774" s="46"/>
      <c r="MOD774" s="46"/>
      <c r="MOF774" s="46"/>
      <c r="MOH774" s="46"/>
      <c r="MOJ774" s="46"/>
      <c r="MOL774" s="46"/>
      <c r="MON774" s="46"/>
      <c r="MOP774" s="46"/>
      <c r="MOR774" s="46"/>
      <c r="MOT774" s="46"/>
      <c r="MOV774" s="46"/>
      <c r="MOX774" s="46"/>
      <c r="MOZ774" s="46"/>
      <c r="MPB774" s="46"/>
      <c r="MPD774" s="46"/>
      <c r="MPF774" s="46"/>
      <c r="MPH774" s="46"/>
      <c r="MPJ774" s="46"/>
      <c r="MPL774" s="46"/>
      <c r="MPN774" s="46"/>
      <c r="MPP774" s="46"/>
      <c r="MPR774" s="46"/>
      <c r="MPT774" s="46"/>
      <c r="MPV774" s="46"/>
      <c r="MPX774" s="46"/>
      <c r="MPZ774" s="46"/>
      <c r="MQB774" s="46"/>
      <c r="MQD774" s="46"/>
      <c r="MQF774" s="46"/>
      <c r="MQH774" s="46"/>
      <c r="MQJ774" s="46"/>
      <c r="MQL774" s="46"/>
      <c r="MQN774" s="46"/>
      <c r="MQP774" s="46"/>
      <c r="MQR774" s="46"/>
      <c r="MQT774" s="46"/>
      <c r="MQV774" s="46"/>
      <c r="MQX774" s="46"/>
      <c r="MQZ774" s="46"/>
      <c r="MRB774" s="46"/>
      <c r="MRD774" s="46"/>
      <c r="MRF774" s="46"/>
      <c r="MRH774" s="46"/>
      <c r="MRJ774" s="46"/>
      <c r="MRL774" s="46"/>
      <c r="MRN774" s="46"/>
      <c r="MRP774" s="46"/>
      <c r="MRR774" s="46"/>
      <c r="MRT774" s="46"/>
      <c r="MRV774" s="46"/>
      <c r="MRX774" s="46"/>
      <c r="MRZ774" s="46"/>
      <c r="MSB774" s="46"/>
      <c r="MSD774" s="46"/>
      <c r="MSF774" s="46"/>
      <c r="MSH774" s="46"/>
      <c r="MSJ774" s="46"/>
      <c r="MSL774" s="46"/>
      <c r="MSN774" s="46"/>
      <c r="MSP774" s="46"/>
      <c r="MSR774" s="46"/>
      <c r="MST774" s="46"/>
      <c r="MSV774" s="46"/>
      <c r="MSX774" s="46"/>
      <c r="MSZ774" s="46"/>
      <c r="MTB774" s="46"/>
      <c r="MTD774" s="46"/>
      <c r="MTF774" s="46"/>
      <c r="MTH774" s="46"/>
      <c r="MTJ774" s="46"/>
      <c r="MTL774" s="46"/>
      <c r="MTN774" s="46"/>
      <c r="MTP774" s="46"/>
      <c r="MTR774" s="46"/>
      <c r="MTT774" s="46"/>
      <c r="MTV774" s="46"/>
      <c r="MTX774" s="46"/>
      <c r="MTZ774" s="46"/>
      <c r="MUB774" s="46"/>
      <c r="MUD774" s="46"/>
      <c r="MUF774" s="46"/>
      <c r="MUH774" s="46"/>
      <c r="MUJ774" s="46"/>
      <c r="MUL774" s="46"/>
      <c r="MUN774" s="46"/>
      <c r="MUP774" s="46"/>
      <c r="MUR774" s="46"/>
      <c r="MUT774" s="46"/>
      <c r="MUV774" s="46"/>
      <c r="MUX774" s="46"/>
      <c r="MUZ774" s="46"/>
      <c r="MVB774" s="46"/>
      <c r="MVD774" s="46"/>
      <c r="MVF774" s="46"/>
      <c r="MVH774" s="46"/>
      <c r="MVJ774" s="46"/>
      <c r="MVL774" s="46"/>
      <c r="MVN774" s="46"/>
      <c r="MVP774" s="46"/>
      <c r="MVR774" s="46"/>
      <c r="MVT774" s="46"/>
      <c r="MVV774" s="46"/>
      <c r="MVX774" s="46"/>
      <c r="MVZ774" s="46"/>
      <c r="MWB774" s="46"/>
      <c r="MWD774" s="46"/>
      <c r="MWF774" s="46"/>
      <c r="MWH774" s="46"/>
      <c r="MWJ774" s="46"/>
      <c r="MWL774" s="46"/>
      <c r="MWN774" s="46"/>
      <c r="MWP774" s="46"/>
      <c r="MWR774" s="46"/>
      <c r="MWT774" s="46"/>
      <c r="MWV774" s="46"/>
      <c r="MWX774" s="46"/>
      <c r="MWZ774" s="46"/>
      <c r="MXB774" s="46"/>
      <c r="MXD774" s="46"/>
      <c r="MXF774" s="46"/>
      <c r="MXH774" s="46"/>
      <c r="MXJ774" s="46"/>
      <c r="MXL774" s="46"/>
      <c r="MXN774" s="46"/>
      <c r="MXP774" s="46"/>
      <c r="MXR774" s="46"/>
      <c r="MXT774" s="46"/>
      <c r="MXV774" s="46"/>
      <c r="MXX774" s="46"/>
      <c r="MXZ774" s="46"/>
      <c r="MYB774" s="46"/>
      <c r="MYD774" s="46"/>
      <c r="MYF774" s="46"/>
      <c r="MYH774" s="46"/>
      <c r="MYJ774" s="46"/>
      <c r="MYL774" s="46"/>
      <c r="MYN774" s="46"/>
      <c r="MYP774" s="46"/>
      <c r="MYR774" s="46"/>
      <c r="MYT774" s="46"/>
      <c r="MYV774" s="46"/>
      <c r="MYX774" s="46"/>
      <c r="MYZ774" s="46"/>
      <c r="MZB774" s="46"/>
      <c r="MZD774" s="46"/>
      <c r="MZF774" s="46"/>
      <c r="MZH774" s="46"/>
      <c r="MZJ774" s="46"/>
      <c r="MZL774" s="46"/>
      <c r="MZN774" s="46"/>
      <c r="MZP774" s="46"/>
      <c r="MZR774" s="46"/>
      <c r="MZT774" s="46"/>
      <c r="MZV774" s="46"/>
      <c r="MZX774" s="46"/>
      <c r="MZZ774" s="46"/>
      <c r="NAB774" s="46"/>
      <c r="NAD774" s="46"/>
      <c r="NAF774" s="46"/>
      <c r="NAH774" s="46"/>
      <c r="NAJ774" s="46"/>
      <c r="NAL774" s="46"/>
      <c r="NAN774" s="46"/>
      <c r="NAP774" s="46"/>
      <c r="NAR774" s="46"/>
      <c r="NAT774" s="46"/>
      <c r="NAV774" s="46"/>
      <c r="NAX774" s="46"/>
      <c r="NAZ774" s="46"/>
      <c r="NBB774" s="46"/>
      <c r="NBD774" s="46"/>
      <c r="NBF774" s="46"/>
      <c r="NBH774" s="46"/>
      <c r="NBJ774" s="46"/>
      <c r="NBL774" s="46"/>
      <c r="NBN774" s="46"/>
      <c r="NBP774" s="46"/>
      <c r="NBR774" s="46"/>
      <c r="NBT774" s="46"/>
      <c r="NBV774" s="46"/>
      <c r="NBX774" s="46"/>
      <c r="NBZ774" s="46"/>
      <c r="NCB774" s="46"/>
      <c r="NCD774" s="46"/>
      <c r="NCF774" s="46"/>
      <c r="NCH774" s="46"/>
      <c r="NCJ774" s="46"/>
      <c r="NCL774" s="46"/>
      <c r="NCN774" s="46"/>
      <c r="NCP774" s="46"/>
      <c r="NCR774" s="46"/>
      <c r="NCT774" s="46"/>
      <c r="NCV774" s="46"/>
      <c r="NCX774" s="46"/>
      <c r="NCZ774" s="46"/>
      <c r="NDB774" s="46"/>
      <c r="NDD774" s="46"/>
      <c r="NDF774" s="46"/>
      <c r="NDH774" s="46"/>
      <c r="NDJ774" s="46"/>
      <c r="NDL774" s="46"/>
      <c r="NDN774" s="46"/>
      <c r="NDP774" s="46"/>
      <c r="NDR774" s="46"/>
      <c r="NDT774" s="46"/>
      <c r="NDV774" s="46"/>
      <c r="NDX774" s="46"/>
      <c r="NDZ774" s="46"/>
      <c r="NEB774" s="46"/>
      <c r="NED774" s="46"/>
      <c r="NEF774" s="46"/>
      <c r="NEH774" s="46"/>
      <c r="NEJ774" s="46"/>
      <c r="NEL774" s="46"/>
      <c r="NEN774" s="46"/>
      <c r="NEP774" s="46"/>
      <c r="NER774" s="46"/>
      <c r="NET774" s="46"/>
      <c r="NEV774" s="46"/>
      <c r="NEX774" s="46"/>
      <c r="NEZ774" s="46"/>
      <c r="NFB774" s="46"/>
      <c r="NFD774" s="46"/>
      <c r="NFF774" s="46"/>
      <c r="NFH774" s="46"/>
      <c r="NFJ774" s="46"/>
      <c r="NFL774" s="46"/>
      <c r="NFN774" s="46"/>
      <c r="NFP774" s="46"/>
      <c r="NFR774" s="46"/>
      <c r="NFT774" s="46"/>
      <c r="NFV774" s="46"/>
      <c r="NFX774" s="46"/>
      <c r="NFZ774" s="46"/>
      <c r="NGB774" s="46"/>
      <c r="NGD774" s="46"/>
      <c r="NGF774" s="46"/>
      <c r="NGH774" s="46"/>
      <c r="NGJ774" s="46"/>
      <c r="NGL774" s="46"/>
      <c r="NGN774" s="46"/>
      <c r="NGP774" s="46"/>
      <c r="NGR774" s="46"/>
      <c r="NGT774" s="46"/>
      <c r="NGV774" s="46"/>
      <c r="NGX774" s="46"/>
      <c r="NGZ774" s="46"/>
      <c r="NHB774" s="46"/>
      <c r="NHD774" s="46"/>
      <c r="NHF774" s="46"/>
      <c r="NHH774" s="46"/>
      <c r="NHJ774" s="46"/>
      <c r="NHL774" s="46"/>
      <c r="NHN774" s="46"/>
      <c r="NHP774" s="46"/>
      <c r="NHR774" s="46"/>
      <c r="NHT774" s="46"/>
      <c r="NHV774" s="46"/>
      <c r="NHX774" s="46"/>
      <c r="NHZ774" s="46"/>
      <c r="NIB774" s="46"/>
      <c r="NID774" s="46"/>
      <c r="NIF774" s="46"/>
      <c r="NIH774" s="46"/>
      <c r="NIJ774" s="46"/>
      <c r="NIL774" s="46"/>
      <c r="NIN774" s="46"/>
      <c r="NIP774" s="46"/>
      <c r="NIR774" s="46"/>
      <c r="NIT774" s="46"/>
      <c r="NIV774" s="46"/>
      <c r="NIX774" s="46"/>
      <c r="NIZ774" s="46"/>
      <c r="NJB774" s="46"/>
      <c r="NJD774" s="46"/>
      <c r="NJF774" s="46"/>
      <c r="NJH774" s="46"/>
      <c r="NJJ774" s="46"/>
      <c r="NJL774" s="46"/>
      <c r="NJN774" s="46"/>
      <c r="NJP774" s="46"/>
      <c r="NJR774" s="46"/>
      <c r="NJT774" s="46"/>
      <c r="NJV774" s="46"/>
      <c r="NJX774" s="46"/>
      <c r="NJZ774" s="46"/>
      <c r="NKB774" s="46"/>
      <c r="NKD774" s="46"/>
      <c r="NKF774" s="46"/>
      <c r="NKH774" s="46"/>
      <c r="NKJ774" s="46"/>
      <c r="NKL774" s="46"/>
      <c r="NKN774" s="46"/>
      <c r="NKP774" s="46"/>
      <c r="NKR774" s="46"/>
      <c r="NKT774" s="46"/>
      <c r="NKV774" s="46"/>
      <c r="NKX774" s="46"/>
      <c r="NKZ774" s="46"/>
      <c r="NLB774" s="46"/>
      <c r="NLD774" s="46"/>
      <c r="NLF774" s="46"/>
      <c r="NLH774" s="46"/>
      <c r="NLJ774" s="46"/>
      <c r="NLL774" s="46"/>
      <c r="NLN774" s="46"/>
      <c r="NLP774" s="46"/>
      <c r="NLR774" s="46"/>
      <c r="NLT774" s="46"/>
      <c r="NLV774" s="46"/>
      <c r="NLX774" s="46"/>
      <c r="NLZ774" s="46"/>
      <c r="NMB774" s="46"/>
      <c r="NMD774" s="46"/>
      <c r="NMF774" s="46"/>
      <c r="NMH774" s="46"/>
      <c r="NMJ774" s="46"/>
      <c r="NML774" s="46"/>
      <c r="NMN774" s="46"/>
      <c r="NMP774" s="46"/>
      <c r="NMR774" s="46"/>
      <c r="NMT774" s="46"/>
      <c r="NMV774" s="46"/>
      <c r="NMX774" s="46"/>
      <c r="NMZ774" s="46"/>
      <c r="NNB774" s="46"/>
      <c r="NND774" s="46"/>
      <c r="NNF774" s="46"/>
      <c r="NNH774" s="46"/>
      <c r="NNJ774" s="46"/>
      <c r="NNL774" s="46"/>
      <c r="NNN774" s="46"/>
      <c r="NNP774" s="46"/>
      <c r="NNR774" s="46"/>
      <c r="NNT774" s="46"/>
      <c r="NNV774" s="46"/>
      <c r="NNX774" s="46"/>
      <c r="NNZ774" s="46"/>
      <c r="NOB774" s="46"/>
      <c r="NOD774" s="46"/>
      <c r="NOF774" s="46"/>
      <c r="NOH774" s="46"/>
      <c r="NOJ774" s="46"/>
      <c r="NOL774" s="46"/>
      <c r="NON774" s="46"/>
      <c r="NOP774" s="46"/>
      <c r="NOR774" s="46"/>
      <c r="NOT774" s="46"/>
      <c r="NOV774" s="46"/>
      <c r="NOX774" s="46"/>
      <c r="NOZ774" s="46"/>
      <c r="NPB774" s="46"/>
      <c r="NPD774" s="46"/>
      <c r="NPF774" s="46"/>
      <c r="NPH774" s="46"/>
      <c r="NPJ774" s="46"/>
      <c r="NPL774" s="46"/>
      <c r="NPN774" s="46"/>
      <c r="NPP774" s="46"/>
      <c r="NPR774" s="46"/>
      <c r="NPT774" s="46"/>
      <c r="NPV774" s="46"/>
      <c r="NPX774" s="46"/>
      <c r="NPZ774" s="46"/>
      <c r="NQB774" s="46"/>
      <c r="NQD774" s="46"/>
      <c r="NQF774" s="46"/>
      <c r="NQH774" s="46"/>
      <c r="NQJ774" s="46"/>
      <c r="NQL774" s="46"/>
      <c r="NQN774" s="46"/>
      <c r="NQP774" s="46"/>
      <c r="NQR774" s="46"/>
      <c r="NQT774" s="46"/>
      <c r="NQV774" s="46"/>
      <c r="NQX774" s="46"/>
      <c r="NQZ774" s="46"/>
      <c r="NRB774" s="46"/>
      <c r="NRD774" s="46"/>
      <c r="NRF774" s="46"/>
      <c r="NRH774" s="46"/>
      <c r="NRJ774" s="46"/>
      <c r="NRL774" s="46"/>
      <c r="NRN774" s="46"/>
      <c r="NRP774" s="46"/>
      <c r="NRR774" s="46"/>
      <c r="NRT774" s="46"/>
      <c r="NRV774" s="46"/>
      <c r="NRX774" s="46"/>
      <c r="NRZ774" s="46"/>
      <c r="NSB774" s="46"/>
      <c r="NSD774" s="46"/>
      <c r="NSF774" s="46"/>
      <c r="NSH774" s="46"/>
      <c r="NSJ774" s="46"/>
      <c r="NSL774" s="46"/>
      <c r="NSN774" s="46"/>
      <c r="NSP774" s="46"/>
      <c r="NSR774" s="46"/>
      <c r="NST774" s="46"/>
      <c r="NSV774" s="46"/>
      <c r="NSX774" s="46"/>
      <c r="NSZ774" s="46"/>
      <c r="NTB774" s="46"/>
      <c r="NTD774" s="46"/>
      <c r="NTF774" s="46"/>
      <c r="NTH774" s="46"/>
      <c r="NTJ774" s="46"/>
      <c r="NTL774" s="46"/>
      <c r="NTN774" s="46"/>
      <c r="NTP774" s="46"/>
      <c r="NTR774" s="46"/>
      <c r="NTT774" s="46"/>
      <c r="NTV774" s="46"/>
      <c r="NTX774" s="46"/>
      <c r="NTZ774" s="46"/>
      <c r="NUB774" s="46"/>
      <c r="NUD774" s="46"/>
      <c r="NUF774" s="46"/>
      <c r="NUH774" s="46"/>
      <c r="NUJ774" s="46"/>
      <c r="NUL774" s="46"/>
      <c r="NUN774" s="46"/>
      <c r="NUP774" s="46"/>
      <c r="NUR774" s="46"/>
      <c r="NUT774" s="46"/>
      <c r="NUV774" s="46"/>
      <c r="NUX774" s="46"/>
      <c r="NUZ774" s="46"/>
      <c r="NVB774" s="46"/>
      <c r="NVD774" s="46"/>
      <c r="NVF774" s="46"/>
      <c r="NVH774" s="46"/>
      <c r="NVJ774" s="46"/>
      <c r="NVL774" s="46"/>
      <c r="NVN774" s="46"/>
      <c r="NVP774" s="46"/>
      <c r="NVR774" s="46"/>
      <c r="NVT774" s="46"/>
      <c r="NVV774" s="46"/>
      <c r="NVX774" s="46"/>
      <c r="NVZ774" s="46"/>
      <c r="NWB774" s="46"/>
      <c r="NWD774" s="46"/>
      <c r="NWF774" s="46"/>
      <c r="NWH774" s="46"/>
      <c r="NWJ774" s="46"/>
      <c r="NWL774" s="46"/>
      <c r="NWN774" s="46"/>
      <c r="NWP774" s="46"/>
      <c r="NWR774" s="46"/>
      <c r="NWT774" s="46"/>
      <c r="NWV774" s="46"/>
      <c r="NWX774" s="46"/>
      <c r="NWZ774" s="46"/>
      <c r="NXB774" s="46"/>
      <c r="NXD774" s="46"/>
      <c r="NXF774" s="46"/>
      <c r="NXH774" s="46"/>
      <c r="NXJ774" s="46"/>
      <c r="NXL774" s="46"/>
      <c r="NXN774" s="46"/>
      <c r="NXP774" s="46"/>
      <c r="NXR774" s="46"/>
      <c r="NXT774" s="46"/>
      <c r="NXV774" s="46"/>
      <c r="NXX774" s="46"/>
      <c r="NXZ774" s="46"/>
      <c r="NYB774" s="46"/>
      <c r="NYD774" s="46"/>
      <c r="NYF774" s="46"/>
      <c r="NYH774" s="46"/>
      <c r="NYJ774" s="46"/>
      <c r="NYL774" s="46"/>
      <c r="NYN774" s="46"/>
      <c r="NYP774" s="46"/>
      <c r="NYR774" s="46"/>
      <c r="NYT774" s="46"/>
      <c r="NYV774" s="46"/>
      <c r="NYX774" s="46"/>
      <c r="NYZ774" s="46"/>
      <c r="NZB774" s="46"/>
      <c r="NZD774" s="46"/>
      <c r="NZF774" s="46"/>
      <c r="NZH774" s="46"/>
      <c r="NZJ774" s="46"/>
      <c r="NZL774" s="46"/>
      <c r="NZN774" s="46"/>
      <c r="NZP774" s="46"/>
      <c r="NZR774" s="46"/>
      <c r="NZT774" s="46"/>
      <c r="NZV774" s="46"/>
      <c r="NZX774" s="46"/>
      <c r="NZZ774" s="46"/>
      <c r="OAB774" s="46"/>
      <c r="OAD774" s="46"/>
      <c r="OAF774" s="46"/>
      <c r="OAH774" s="46"/>
      <c r="OAJ774" s="46"/>
      <c r="OAL774" s="46"/>
      <c r="OAN774" s="46"/>
      <c r="OAP774" s="46"/>
      <c r="OAR774" s="46"/>
      <c r="OAT774" s="46"/>
      <c r="OAV774" s="46"/>
      <c r="OAX774" s="46"/>
      <c r="OAZ774" s="46"/>
      <c r="OBB774" s="46"/>
      <c r="OBD774" s="46"/>
      <c r="OBF774" s="46"/>
      <c r="OBH774" s="46"/>
      <c r="OBJ774" s="46"/>
      <c r="OBL774" s="46"/>
      <c r="OBN774" s="46"/>
      <c r="OBP774" s="46"/>
      <c r="OBR774" s="46"/>
      <c r="OBT774" s="46"/>
      <c r="OBV774" s="46"/>
      <c r="OBX774" s="46"/>
      <c r="OBZ774" s="46"/>
      <c r="OCB774" s="46"/>
      <c r="OCD774" s="46"/>
      <c r="OCF774" s="46"/>
      <c r="OCH774" s="46"/>
      <c r="OCJ774" s="46"/>
      <c r="OCL774" s="46"/>
      <c r="OCN774" s="46"/>
      <c r="OCP774" s="46"/>
      <c r="OCR774" s="46"/>
      <c r="OCT774" s="46"/>
      <c r="OCV774" s="46"/>
      <c r="OCX774" s="46"/>
      <c r="OCZ774" s="46"/>
      <c r="ODB774" s="46"/>
      <c r="ODD774" s="46"/>
      <c r="ODF774" s="46"/>
      <c r="ODH774" s="46"/>
      <c r="ODJ774" s="46"/>
      <c r="ODL774" s="46"/>
      <c r="ODN774" s="46"/>
      <c r="ODP774" s="46"/>
      <c r="ODR774" s="46"/>
      <c r="ODT774" s="46"/>
      <c r="ODV774" s="46"/>
      <c r="ODX774" s="46"/>
      <c r="ODZ774" s="46"/>
      <c r="OEB774" s="46"/>
      <c r="OED774" s="46"/>
      <c r="OEF774" s="46"/>
      <c r="OEH774" s="46"/>
      <c r="OEJ774" s="46"/>
      <c r="OEL774" s="46"/>
      <c r="OEN774" s="46"/>
      <c r="OEP774" s="46"/>
      <c r="OER774" s="46"/>
      <c r="OET774" s="46"/>
      <c r="OEV774" s="46"/>
      <c r="OEX774" s="46"/>
      <c r="OEZ774" s="46"/>
      <c r="OFB774" s="46"/>
      <c r="OFD774" s="46"/>
      <c r="OFF774" s="46"/>
      <c r="OFH774" s="46"/>
      <c r="OFJ774" s="46"/>
      <c r="OFL774" s="46"/>
      <c r="OFN774" s="46"/>
      <c r="OFP774" s="46"/>
      <c r="OFR774" s="46"/>
      <c r="OFT774" s="46"/>
      <c r="OFV774" s="46"/>
      <c r="OFX774" s="46"/>
      <c r="OFZ774" s="46"/>
      <c r="OGB774" s="46"/>
      <c r="OGD774" s="46"/>
      <c r="OGF774" s="46"/>
      <c r="OGH774" s="46"/>
      <c r="OGJ774" s="46"/>
      <c r="OGL774" s="46"/>
      <c r="OGN774" s="46"/>
      <c r="OGP774" s="46"/>
      <c r="OGR774" s="46"/>
      <c r="OGT774" s="46"/>
      <c r="OGV774" s="46"/>
      <c r="OGX774" s="46"/>
      <c r="OGZ774" s="46"/>
      <c r="OHB774" s="46"/>
      <c r="OHD774" s="46"/>
      <c r="OHF774" s="46"/>
      <c r="OHH774" s="46"/>
      <c r="OHJ774" s="46"/>
      <c r="OHL774" s="46"/>
      <c r="OHN774" s="46"/>
      <c r="OHP774" s="46"/>
      <c r="OHR774" s="46"/>
      <c r="OHT774" s="46"/>
      <c r="OHV774" s="46"/>
      <c r="OHX774" s="46"/>
      <c r="OHZ774" s="46"/>
      <c r="OIB774" s="46"/>
      <c r="OID774" s="46"/>
      <c r="OIF774" s="46"/>
      <c r="OIH774" s="46"/>
      <c r="OIJ774" s="46"/>
      <c r="OIL774" s="46"/>
      <c r="OIN774" s="46"/>
      <c r="OIP774" s="46"/>
      <c r="OIR774" s="46"/>
      <c r="OIT774" s="46"/>
      <c r="OIV774" s="46"/>
      <c r="OIX774" s="46"/>
      <c r="OIZ774" s="46"/>
      <c r="OJB774" s="46"/>
      <c r="OJD774" s="46"/>
      <c r="OJF774" s="46"/>
      <c r="OJH774" s="46"/>
      <c r="OJJ774" s="46"/>
      <c r="OJL774" s="46"/>
      <c r="OJN774" s="46"/>
      <c r="OJP774" s="46"/>
      <c r="OJR774" s="46"/>
      <c r="OJT774" s="46"/>
      <c r="OJV774" s="46"/>
      <c r="OJX774" s="46"/>
      <c r="OJZ774" s="46"/>
      <c r="OKB774" s="46"/>
      <c r="OKD774" s="46"/>
      <c r="OKF774" s="46"/>
      <c r="OKH774" s="46"/>
      <c r="OKJ774" s="46"/>
      <c r="OKL774" s="46"/>
      <c r="OKN774" s="46"/>
      <c r="OKP774" s="46"/>
      <c r="OKR774" s="46"/>
      <c r="OKT774" s="46"/>
      <c r="OKV774" s="46"/>
      <c r="OKX774" s="46"/>
      <c r="OKZ774" s="46"/>
      <c r="OLB774" s="46"/>
      <c r="OLD774" s="46"/>
      <c r="OLF774" s="46"/>
      <c r="OLH774" s="46"/>
      <c r="OLJ774" s="46"/>
      <c r="OLL774" s="46"/>
      <c r="OLN774" s="46"/>
      <c r="OLP774" s="46"/>
      <c r="OLR774" s="46"/>
      <c r="OLT774" s="46"/>
      <c r="OLV774" s="46"/>
      <c r="OLX774" s="46"/>
      <c r="OLZ774" s="46"/>
      <c r="OMB774" s="46"/>
      <c r="OMD774" s="46"/>
      <c r="OMF774" s="46"/>
      <c r="OMH774" s="46"/>
      <c r="OMJ774" s="46"/>
      <c r="OML774" s="46"/>
      <c r="OMN774" s="46"/>
      <c r="OMP774" s="46"/>
      <c r="OMR774" s="46"/>
      <c r="OMT774" s="46"/>
      <c r="OMV774" s="46"/>
      <c r="OMX774" s="46"/>
      <c r="OMZ774" s="46"/>
      <c r="ONB774" s="46"/>
      <c r="OND774" s="46"/>
      <c r="ONF774" s="46"/>
      <c r="ONH774" s="46"/>
      <c r="ONJ774" s="46"/>
      <c r="ONL774" s="46"/>
      <c r="ONN774" s="46"/>
      <c r="ONP774" s="46"/>
      <c r="ONR774" s="46"/>
      <c r="ONT774" s="46"/>
      <c r="ONV774" s="46"/>
      <c r="ONX774" s="46"/>
      <c r="ONZ774" s="46"/>
      <c r="OOB774" s="46"/>
      <c r="OOD774" s="46"/>
      <c r="OOF774" s="46"/>
      <c r="OOH774" s="46"/>
      <c r="OOJ774" s="46"/>
      <c r="OOL774" s="46"/>
      <c r="OON774" s="46"/>
      <c r="OOP774" s="46"/>
      <c r="OOR774" s="46"/>
      <c r="OOT774" s="46"/>
      <c r="OOV774" s="46"/>
      <c r="OOX774" s="46"/>
      <c r="OOZ774" s="46"/>
      <c r="OPB774" s="46"/>
      <c r="OPD774" s="46"/>
      <c r="OPF774" s="46"/>
      <c r="OPH774" s="46"/>
      <c r="OPJ774" s="46"/>
      <c r="OPL774" s="46"/>
      <c r="OPN774" s="46"/>
      <c r="OPP774" s="46"/>
      <c r="OPR774" s="46"/>
      <c r="OPT774" s="46"/>
      <c r="OPV774" s="46"/>
      <c r="OPX774" s="46"/>
      <c r="OPZ774" s="46"/>
      <c r="OQB774" s="46"/>
      <c r="OQD774" s="46"/>
      <c r="OQF774" s="46"/>
      <c r="OQH774" s="46"/>
      <c r="OQJ774" s="46"/>
      <c r="OQL774" s="46"/>
      <c r="OQN774" s="46"/>
      <c r="OQP774" s="46"/>
      <c r="OQR774" s="46"/>
      <c r="OQT774" s="46"/>
      <c r="OQV774" s="46"/>
      <c r="OQX774" s="46"/>
      <c r="OQZ774" s="46"/>
      <c r="ORB774" s="46"/>
      <c r="ORD774" s="46"/>
      <c r="ORF774" s="46"/>
      <c r="ORH774" s="46"/>
      <c r="ORJ774" s="46"/>
      <c r="ORL774" s="46"/>
      <c r="ORN774" s="46"/>
      <c r="ORP774" s="46"/>
      <c r="ORR774" s="46"/>
      <c r="ORT774" s="46"/>
      <c r="ORV774" s="46"/>
      <c r="ORX774" s="46"/>
      <c r="ORZ774" s="46"/>
      <c r="OSB774" s="46"/>
      <c r="OSD774" s="46"/>
      <c r="OSF774" s="46"/>
      <c r="OSH774" s="46"/>
      <c r="OSJ774" s="46"/>
      <c r="OSL774" s="46"/>
      <c r="OSN774" s="46"/>
      <c r="OSP774" s="46"/>
      <c r="OSR774" s="46"/>
      <c r="OST774" s="46"/>
      <c r="OSV774" s="46"/>
      <c r="OSX774" s="46"/>
      <c r="OSZ774" s="46"/>
      <c r="OTB774" s="46"/>
      <c r="OTD774" s="46"/>
      <c r="OTF774" s="46"/>
      <c r="OTH774" s="46"/>
      <c r="OTJ774" s="46"/>
      <c r="OTL774" s="46"/>
      <c r="OTN774" s="46"/>
      <c r="OTP774" s="46"/>
      <c r="OTR774" s="46"/>
      <c r="OTT774" s="46"/>
      <c r="OTV774" s="46"/>
      <c r="OTX774" s="46"/>
      <c r="OTZ774" s="46"/>
      <c r="OUB774" s="46"/>
      <c r="OUD774" s="46"/>
      <c r="OUF774" s="46"/>
      <c r="OUH774" s="46"/>
      <c r="OUJ774" s="46"/>
      <c r="OUL774" s="46"/>
      <c r="OUN774" s="46"/>
      <c r="OUP774" s="46"/>
      <c r="OUR774" s="46"/>
      <c r="OUT774" s="46"/>
      <c r="OUV774" s="46"/>
      <c r="OUX774" s="46"/>
      <c r="OUZ774" s="46"/>
      <c r="OVB774" s="46"/>
      <c r="OVD774" s="46"/>
      <c r="OVF774" s="46"/>
      <c r="OVH774" s="46"/>
      <c r="OVJ774" s="46"/>
      <c r="OVL774" s="46"/>
      <c r="OVN774" s="46"/>
      <c r="OVP774" s="46"/>
      <c r="OVR774" s="46"/>
      <c r="OVT774" s="46"/>
      <c r="OVV774" s="46"/>
      <c r="OVX774" s="46"/>
      <c r="OVZ774" s="46"/>
      <c r="OWB774" s="46"/>
      <c r="OWD774" s="46"/>
      <c r="OWF774" s="46"/>
      <c r="OWH774" s="46"/>
      <c r="OWJ774" s="46"/>
      <c r="OWL774" s="46"/>
      <c r="OWN774" s="46"/>
      <c r="OWP774" s="46"/>
      <c r="OWR774" s="46"/>
      <c r="OWT774" s="46"/>
      <c r="OWV774" s="46"/>
      <c r="OWX774" s="46"/>
      <c r="OWZ774" s="46"/>
      <c r="OXB774" s="46"/>
      <c r="OXD774" s="46"/>
      <c r="OXF774" s="46"/>
      <c r="OXH774" s="46"/>
      <c r="OXJ774" s="46"/>
      <c r="OXL774" s="46"/>
      <c r="OXN774" s="46"/>
      <c r="OXP774" s="46"/>
      <c r="OXR774" s="46"/>
      <c r="OXT774" s="46"/>
      <c r="OXV774" s="46"/>
      <c r="OXX774" s="46"/>
      <c r="OXZ774" s="46"/>
      <c r="OYB774" s="46"/>
      <c r="OYD774" s="46"/>
      <c r="OYF774" s="46"/>
      <c r="OYH774" s="46"/>
      <c r="OYJ774" s="46"/>
      <c r="OYL774" s="46"/>
      <c r="OYN774" s="46"/>
      <c r="OYP774" s="46"/>
      <c r="OYR774" s="46"/>
      <c r="OYT774" s="46"/>
      <c r="OYV774" s="46"/>
      <c r="OYX774" s="46"/>
      <c r="OYZ774" s="46"/>
      <c r="OZB774" s="46"/>
      <c r="OZD774" s="46"/>
      <c r="OZF774" s="46"/>
      <c r="OZH774" s="46"/>
      <c r="OZJ774" s="46"/>
      <c r="OZL774" s="46"/>
      <c r="OZN774" s="46"/>
      <c r="OZP774" s="46"/>
      <c r="OZR774" s="46"/>
      <c r="OZT774" s="46"/>
      <c r="OZV774" s="46"/>
      <c r="OZX774" s="46"/>
      <c r="OZZ774" s="46"/>
      <c r="PAB774" s="46"/>
      <c r="PAD774" s="46"/>
      <c r="PAF774" s="46"/>
      <c r="PAH774" s="46"/>
      <c r="PAJ774" s="46"/>
      <c r="PAL774" s="46"/>
      <c r="PAN774" s="46"/>
      <c r="PAP774" s="46"/>
      <c r="PAR774" s="46"/>
      <c r="PAT774" s="46"/>
      <c r="PAV774" s="46"/>
      <c r="PAX774" s="46"/>
      <c r="PAZ774" s="46"/>
      <c r="PBB774" s="46"/>
      <c r="PBD774" s="46"/>
      <c r="PBF774" s="46"/>
      <c r="PBH774" s="46"/>
      <c r="PBJ774" s="46"/>
      <c r="PBL774" s="46"/>
      <c r="PBN774" s="46"/>
      <c r="PBP774" s="46"/>
      <c r="PBR774" s="46"/>
      <c r="PBT774" s="46"/>
      <c r="PBV774" s="46"/>
      <c r="PBX774" s="46"/>
      <c r="PBZ774" s="46"/>
      <c r="PCB774" s="46"/>
      <c r="PCD774" s="46"/>
      <c r="PCF774" s="46"/>
      <c r="PCH774" s="46"/>
      <c r="PCJ774" s="46"/>
      <c r="PCL774" s="46"/>
      <c r="PCN774" s="46"/>
      <c r="PCP774" s="46"/>
      <c r="PCR774" s="46"/>
      <c r="PCT774" s="46"/>
      <c r="PCV774" s="46"/>
      <c r="PCX774" s="46"/>
      <c r="PCZ774" s="46"/>
      <c r="PDB774" s="46"/>
      <c r="PDD774" s="46"/>
      <c r="PDF774" s="46"/>
      <c r="PDH774" s="46"/>
      <c r="PDJ774" s="46"/>
      <c r="PDL774" s="46"/>
      <c r="PDN774" s="46"/>
      <c r="PDP774" s="46"/>
      <c r="PDR774" s="46"/>
      <c r="PDT774" s="46"/>
      <c r="PDV774" s="46"/>
      <c r="PDX774" s="46"/>
      <c r="PDZ774" s="46"/>
      <c r="PEB774" s="46"/>
      <c r="PED774" s="46"/>
      <c r="PEF774" s="46"/>
      <c r="PEH774" s="46"/>
      <c r="PEJ774" s="46"/>
      <c r="PEL774" s="46"/>
      <c r="PEN774" s="46"/>
      <c r="PEP774" s="46"/>
      <c r="PER774" s="46"/>
      <c r="PET774" s="46"/>
      <c r="PEV774" s="46"/>
      <c r="PEX774" s="46"/>
      <c r="PEZ774" s="46"/>
      <c r="PFB774" s="46"/>
      <c r="PFD774" s="46"/>
      <c r="PFF774" s="46"/>
      <c r="PFH774" s="46"/>
      <c r="PFJ774" s="46"/>
      <c r="PFL774" s="46"/>
      <c r="PFN774" s="46"/>
      <c r="PFP774" s="46"/>
      <c r="PFR774" s="46"/>
      <c r="PFT774" s="46"/>
      <c r="PFV774" s="46"/>
      <c r="PFX774" s="46"/>
      <c r="PFZ774" s="46"/>
      <c r="PGB774" s="46"/>
      <c r="PGD774" s="46"/>
      <c r="PGF774" s="46"/>
      <c r="PGH774" s="46"/>
      <c r="PGJ774" s="46"/>
      <c r="PGL774" s="46"/>
      <c r="PGN774" s="46"/>
      <c r="PGP774" s="46"/>
      <c r="PGR774" s="46"/>
      <c r="PGT774" s="46"/>
      <c r="PGV774" s="46"/>
      <c r="PGX774" s="46"/>
      <c r="PGZ774" s="46"/>
      <c r="PHB774" s="46"/>
      <c r="PHD774" s="46"/>
      <c r="PHF774" s="46"/>
      <c r="PHH774" s="46"/>
      <c r="PHJ774" s="46"/>
      <c r="PHL774" s="46"/>
      <c r="PHN774" s="46"/>
      <c r="PHP774" s="46"/>
      <c r="PHR774" s="46"/>
      <c r="PHT774" s="46"/>
      <c r="PHV774" s="46"/>
      <c r="PHX774" s="46"/>
      <c r="PHZ774" s="46"/>
      <c r="PIB774" s="46"/>
      <c r="PID774" s="46"/>
      <c r="PIF774" s="46"/>
      <c r="PIH774" s="46"/>
      <c r="PIJ774" s="46"/>
      <c r="PIL774" s="46"/>
      <c r="PIN774" s="46"/>
      <c r="PIP774" s="46"/>
      <c r="PIR774" s="46"/>
      <c r="PIT774" s="46"/>
      <c r="PIV774" s="46"/>
      <c r="PIX774" s="46"/>
      <c r="PIZ774" s="46"/>
      <c r="PJB774" s="46"/>
      <c r="PJD774" s="46"/>
      <c r="PJF774" s="46"/>
      <c r="PJH774" s="46"/>
      <c r="PJJ774" s="46"/>
      <c r="PJL774" s="46"/>
      <c r="PJN774" s="46"/>
      <c r="PJP774" s="46"/>
      <c r="PJR774" s="46"/>
      <c r="PJT774" s="46"/>
      <c r="PJV774" s="46"/>
      <c r="PJX774" s="46"/>
      <c r="PJZ774" s="46"/>
      <c r="PKB774" s="46"/>
      <c r="PKD774" s="46"/>
      <c r="PKF774" s="46"/>
      <c r="PKH774" s="46"/>
      <c r="PKJ774" s="46"/>
      <c r="PKL774" s="46"/>
      <c r="PKN774" s="46"/>
      <c r="PKP774" s="46"/>
      <c r="PKR774" s="46"/>
      <c r="PKT774" s="46"/>
      <c r="PKV774" s="46"/>
      <c r="PKX774" s="46"/>
      <c r="PKZ774" s="46"/>
      <c r="PLB774" s="46"/>
      <c r="PLD774" s="46"/>
      <c r="PLF774" s="46"/>
      <c r="PLH774" s="46"/>
      <c r="PLJ774" s="46"/>
      <c r="PLL774" s="46"/>
      <c r="PLN774" s="46"/>
      <c r="PLP774" s="46"/>
      <c r="PLR774" s="46"/>
      <c r="PLT774" s="46"/>
      <c r="PLV774" s="46"/>
      <c r="PLX774" s="46"/>
      <c r="PLZ774" s="46"/>
      <c r="PMB774" s="46"/>
      <c r="PMD774" s="46"/>
      <c r="PMF774" s="46"/>
      <c r="PMH774" s="46"/>
      <c r="PMJ774" s="46"/>
      <c r="PML774" s="46"/>
      <c r="PMN774" s="46"/>
      <c r="PMP774" s="46"/>
      <c r="PMR774" s="46"/>
      <c r="PMT774" s="46"/>
      <c r="PMV774" s="46"/>
      <c r="PMX774" s="46"/>
      <c r="PMZ774" s="46"/>
      <c r="PNB774" s="46"/>
      <c r="PND774" s="46"/>
      <c r="PNF774" s="46"/>
      <c r="PNH774" s="46"/>
      <c r="PNJ774" s="46"/>
      <c r="PNL774" s="46"/>
      <c r="PNN774" s="46"/>
      <c r="PNP774" s="46"/>
      <c r="PNR774" s="46"/>
      <c r="PNT774" s="46"/>
      <c r="PNV774" s="46"/>
      <c r="PNX774" s="46"/>
      <c r="PNZ774" s="46"/>
      <c r="POB774" s="46"/>
      <c r="POD774" s="46"/>
      <c r="POF774" s="46"/>
      <c r="POH774" s="46"/>
      <c r="POJ774" s="46"/>
      <c r="POL774" s="46"/>
      <c r="PON774" s="46"/>
      <c r="POP774" s="46"/>
      <c r="POR774" s="46"/>
      <c r="POT774" s="46"/>
      <c r="POV774" s="46"/>
      <c r="POX774" s="46"/>
      <c r="POZ774" s="46"/>
      <c r="PPB774" s="46"/>
      <c r="PPD774" s="46"/>
      <c r="PPF774" s="46"/>
      <c r="PPH774" s="46"/>
      <c r="PPJ774" s="46"/>
      <c r="PPL774" s="46"/>
      <c r="PPN774" s="46"/>
      <c r="PPP774" s="46"/>
      <c r="PPR774" s="46"/>
      <c r="PPT774" s="46"/>
      <c r="PPV774" s="46"/>
      <c r="PPX774" s="46"/>
      <c r="PPZ774" s="46"/>
      <c r="PQB774" s="46"/>
      <c r="PQD774" s="46"/>
      <c r="PQF774" s="46"/>
      <c r="PQH774" s="46"/>
      <c r="PQJ774" s="46"/>
      <c r="PQL774" s="46"/>
      <c r="PQN774" s="46"/>
      <c r="PQP774" s="46"/>
      <c r="PQR774" s="46"/>
      <c r="PQT774" s="46"/>
      <c r="PQV774" s="46"/>
      <c r="PQX774" s="46"/>
      <c r="PQZ774" s="46"/>
      <c r="PRB774" s="46"/>
      <c r="PRD774" s="46"/>
      <c r="PRF774" s="46"/>
      <c r="PRH774" s="46"/>
      <c r="PRJ774" s="46"/>
      <c r="PRL774" s="46"/>
      <c r="PRN774" s="46"/>
      <c r="PRP774" s="46"/>
      <c r="PRR774" s="46"/>
      <c r="PRT774" s="46"/>
      <c r="PRV774" s="46"/>
      <c r="PRX774" s="46"/>
      <c r="PRZ774" s="46"/>
      <c r="PSB774" s="46"/>
      <c r="PSD774" s="46"/>
      <c r="PSF774" s="46"/>
      <c r="PSH774" s="46"/>
      <c r="PSJ774" s="46"/>
      <c r="PSL774" s="46"/>
      <c r="PSN774" s="46"/>
      <c r="PSP774" s="46"/>
      <c r="PSR774" s="46"/>
      <c r="PST774" s="46"/>
      <c r="PSV774" s="46"/>
      <c r="PSX774" s="46"/>
      <c r="PSZ774" s="46"/>
      <c r="PTB774" s="46"/>
      <c r="PTD774" s="46"/>
      <c r="PTF774" s="46"/>
      <c r="PTH774" s="46"/>
      <c r="PTJ774" s="46"/>
      <c r="PTL774" s="46"/>
      <c r="PTN774" s="46"/>
      <c r="PTP774" s="46"/>
      <c r="PTR774" s="46"/>
      <c r="PTT774" s="46"/>
      <c r="PTV774" s="46"/>
      <c r="PTX774" s="46"/>
      <c r="PTZ774" s="46"/>
      <c r="PUB774" s="46"/>
      <c r="PUD774" s="46"/>
      <c r="PUF774" s="46"/>
      <c r="PUH774" s="46"/>
      <c r="PUJ774" s="46"/>
      <c r="PUL774" s="46"/>
      <c r="PUN774" s="46"/>
      <c r="PUP774" s="46"/>
      <c r="PUR774" s="46"/>
      <c r="PUT774" s="46"/>
      <c r="PUV774" s="46"/>
      <c r="PUX774" s="46"/>
      <c r="PUZ774" s="46"/>
      <c r="PVB774" s="46"/>
      <c r="PVD774" s="46"/>
      <c r="PVF774" s="46"/>
      <c r="PVH774" s="46"/>
      <c r="PVJ774" s="46"/>
      <c r="PVL774" s="46"/>
      <c r="PVN774" s="46"/>
      <c r="PVP774" s="46"/>
      <c r="PVR774" s="46"/>
      <c r="PVT774" s="46"/>
      <c r="PVV774" s="46"/>
      <c r="PVX774" s="46"/>
      <c r="PVZ774" s="46"/>
      <c r="PWB774" s="46"/>
      <c r="PWD774" s="46"/>
      <c r="PWF774" s="46"/>
      <c r="PWH774" s="46"/>
      <c r="PWJ774" s="46"/>
      <c r="PWL774" s="46"/>
      <c r="PWN774" s="46"/>
      <c r="PWP774" s="46"/>
      <c r="PWR774" s="46"/>
      <c r="PWT774" s="46"/>
      <c r="PWV774" s="46"/>
      <c r="PWX774" s="46"/>
      <c r="PWZ774" s="46"/>
      <c r="PXB774" s="46"/>
      <c r="PXD774" s="46"/>
      <c r="PXF774" s="46"/>
      <c r="PXH774" s="46"/>
      <c r="PXJ774" s="46"/>
      <c r="PXL774" s="46"/>
      <c r="PXN774" s="46"/>
      <c r="PXP774" s="46"/>
      <c r="PXR774" s="46"/>
      <c r="PXT774" s="46"/>
      <c r="PXV774" s="46"/>
      <c r="PXX774" s="46"/>
      <c r="PXZ774" s="46"/>
      <c r="PYB774" s="46"/>
      <c r="PYD774" s="46"/>
      <c r="PYF774" s="46"/>
      <c r="PYH774" s="46"/>
      <c r="PYJ774" s="46"/>
      <c r="PYL774" s="46"/>
      <c r="PYN774" s="46"/>
      <c r="PYP774" s="46"/>
      <c r="PYR774" s="46"/>
      <c r="PYT774" s="46"/>
      <c r="PYV774" s="46"/>
      <c r="PYX774" s="46"/>
      <c r="PYZ774" s="46"/>
      <c r="PZB774" s="46"/>
      <c r="PZD774" s="46"/>
      <c r="PZF774" s="46"/>
      <c r="PZH774" s="46"/>
      <c r="PZJ774" s="46"/>
      <c r="PZL774" s="46"/>
      <c r="PZN774" s="46"/>
      <c r="PZP774" s="46"/>
      <c r="PZR774" s="46"/>
      <c r="PZT774" s="46"/>
      <c r="PZV774" s="46"/>
      <c r="PZX774" s="46"/>
      <c r="PZZ774" s="46"/>
      <c r="QAB774" s="46"/>
      <c r="QAD774" s="46"/>
      <c r="QAF774" s="46"/>
      <c r="QAH774" s="46"/>
      <c r="QAJ774" s="46"/>
      <c r="QAL774" s="46"/>
      <c r="QAN774" s="46"/>
      <c r="QAP774" s="46"/>
      <c r="QAR774" s="46"/>
      <c r="QAT774" s="46"/>
      <c r="QAV774" s="46"/>
      <c r="QAX774" s="46"/>
      <c r="QAZ774" s="46"/>
      <c r="QBB774" s="46"/>
      <c r="QBD774" s="46"/>
      <c r="QBF774" s="46"/>
      <c r="QBH774" s="46"/>
      <c r="QBJ774" s="46"/>
      <c r="QBL774" s="46"/>
      <c r="QBN774" s="46"/>
      <c r="QBP774" s="46"/>
      <c r="QBR774" s="46"/>
      <c r="QBT774" s="46"/>
      <c r="QBV774" s="46"/>
      <c r="QBX774" s="46"/>
      <c r="QBZ774" s="46"/>
      <c r="QCB774" s="46"/>
      <c r="QCD774" s="46"/>
      <c r="QCF774" s="46"/>
      <c r="QCH774" s="46"/>
      <c r="QCJ774" s="46"/>
      <c r="QCL774" s="46"/>
      <c r="QCN774" s="46"/>
      <c r="QCP774" s="46"/>
      <c r="QCR774" s="46"/>
      <c r="QCT774" s="46"/>
      <c r="QCV774" s="46"/>
      <c r="QCX774" s="46"/>
      <c r="QCZ774" s="46"/>
      <c r="QDB774" s="46"/>
      <c r="QDD774" s="46"/>
      <c r="QDF774" s="46"/>
      <c r="QDH774" s="46"/>
      <c r="QDJ774" s="46"/>
      <c r="QDL774" s="46"/>
      <c r="QDN774" s="46"/>
      <c r="QDP774" s="46"/>
      <c r="QDR774" s="46"/>
      <c r="QDT774" s="46"/>
      <c r="QDV774" s="46"/>
      <c r="QDX774" s="46"/>
      <c r="QDZ774" s="46"/>
      <c r="QEB774" s="46"/>
      <c r="QED774" s="46"/>
      <c r="QEF774" s="46"/>
      <c r="QEH774" s="46"/>
      <c r="QEJ774" s="46"/>
      <c r="QEL774" s="46"/>
      <c r="QEN774" s="46"/>
      <c r="QEP774" s="46"/>
      <c r="QER774" s="46"/>
      <c r="QET774" s="46"/>
      <c r="QEV774" s="46"/>
      <c r="QEX774" s="46"/>
      <c r="QEZ774" s="46"/>
      <c r="QFB774" s="46"/>
      <c r="QFD774" s="46"/>
      <c r="QFF774" s="46"/>
      <c r="QFH774" s="46"/>
      <c r="QFJ774" s="46"/>
      <c r="QFL774" s="46"/>
      <c r="QFN774" s="46"/>
      <c r="QFP774" s="46"/>
      <c r="QFR774" s="46"/>
      <c r="QFT774" s="46"/>
      <c r="QFV774" s="46"/>
      <c r="QFX774" s="46"/>
      <c r="QFZ774" s="46"/>
      <c r="QGB774" s="46"/>
      <c r="QGD774" s="46"/>
      <c r="QGF774" s="46"/>
      <c r="QGH774" s="46"/>
      <c r="QGJ774" s="46"/>
      <c r="QGL774" s="46"/>
      <c r="QGN774" s="46"/>
      <c r="QGP774" s="46"/>
      <c r="QGR774" s="46"/>
      <c r="QGT774" s="46"/>
      <c r="QGV774" s="46"/>
      <c r="QGX774" s="46"/>
      <c r="QGZ774" s="46"/>
      <c r="QHB774" s="46"/>
      <c r="QHD774" s="46"/>
      <c r="QHF774" s="46"/>
      <c r="QHH774" s="46"/>
      <c r="QHJ774" s="46"/>
      <c r="QHL774" s="46"/>
      <c r="QHN774" s="46"/>
      <c r="QHP774" s="46"/>
      <c r="QHR774" s="46"/>
      <c r="QHT774" s="46"/>
      <c r="QHV774" s="46"/>
      <c r="QHX774" s="46"/>
      <c r="QHZ774" s="46"/>
      <c r="QIB774" s="46"/>
      <c r="QID774" s="46"/>
      <c r="QIF774" s="46"/>
      <c r="QIH774" s="46"/>
      <c r="QIJ774" s="46"/>
      <c r="QIL774" s="46"/>
      <c r="QIN774" s="46"/>
      <c r="QIP774" s="46"/>
      <c r="QIR774" s="46"/>
      <c r="QIT774" s="46"/>
      <c r="QIV774" s="46"/>
      <c r="QIX774" s="46"/>
      <c r="QIZ774" s="46"/>
      <c r="QJB774" s="46"/>
      <c r="QJD774" s="46"/>
      <c r="QJF774" s="46"/>
      <c r="QJH774" s="46"/>
      <c r="QJJ774" s="46"/>
      <c r="QJL774" s="46"/>
      <c r="QJN774" s="46"/>
      <c r="QJP774" s="46"/>
      <c r="QJR774" s="46"/>
      <c r="QJT774" s="46"/>
      <c r="QJV774" s="46"/>
      <c r="QJX774" s="46"/>
      <c r="QJZ774" s="46"/>
      <c r="QKB774" s="46"/>
      <c r="QKD774" s="46"/>
      <c r="QKF774" s="46"/>
      <c r="QKH774" s="46"/>
      <c r="QKJ774" s="46"/>
      <c r="QKL774" s="46"/>
      <c r="QKN774" s="46"/>
      <c r="QKP774" s="46"/>
      <c r="QKR774" s="46"/>
      <c r="QKT774" s="46"/>
      <c r="QKV774" s="46"/>
      <c r="QKX774" s="46"/>
      <c r="QKZ774" s="46"/>
      <c r="QLB774" s="46"/>
      <c r="QLD774" s="46"/>
      <c r="QLF774" s="46"/>
      <c r="QLH774" s="46"/>
      <c r="QLJ774" s="46"/>
      <c r="QLL774" s="46"/>
      <c r="QLN774" s="46"/>
      <c r="QLP774" s="46"/>
      <c r="QLR774" s="46"/>
      <c r="QLT774" s="46"/>
      <c r="QLV774" s="46"/>
      <c r="QLX774" s="46"/>
      <c r="QLZ774" s="46"/>
      <c r="QMB774" s="46"/>
      <c r="QMD774" s="46"/>
      <c r="QMF774" s="46"/>
      <c r="QMH774" s="46"/>
      <c r="QMJ774" s="46"/>
      <c r="QML774" s="46"/>
      <c r="QMN774" s="46"/>
      <c r="QMP774" s="46"/>
      <c r="QMR774" s="46"/>
      <c r="QMT774" s="46"/>
      <c r="QMV774" s="46"/>
      <c r="QMX774" s="46"/>
      <c r="QMZ774" s="46"/>
      <c r="QNB774" s="46"/>
      <c r="QND774" s="46"/>
      <c r="QNF774" s="46"/>
      <c r="QNH774" s="46"/>
      <c r="QNJ774" s="46"/>
      <c r="QNL774" s="46"/>
      <c r="QNN774" s="46"/>
      <c r="QNP774" s="46"/>
      <c r="QNR774" s="46"/>
      <c r="QNT774" s="46"/>
      <c r="QNV774" s="46"/>
      <c r="QNX774" s="46"/>
      <c r="QNZ774" s="46"/>
      <c r="QOB774" s="46"/>
      <c r="QOD774" s="46"/>
      <c r="QOF774" s="46"/>
      <c r="QOH774" s="46"/>
      <c r="QOJ774" s="46"/>
      <c r="QOL774" s="46"/>
      <c r="QON774" s="46"/>
      <c r="QOP774" s="46"/>
      <c r="QOR774" s="46"/>
      <c r="QOT774" s="46"/>
      <c r="QOV774" s="46"/>
      <c r="QOX774" s="46"/>
      <c r="QOZ774" s="46"/>
      <c r="QPB774" s="46"/>
      <c r="QPD774" s="46"/>
      <c r="QPF774" s="46"/>
      <c r="QPH774" s="46"/>
      <c r="QPJ774" s="46"/>
      <c r="QPL774" s="46"/>
      <c r="QPN774" s="46"/>
      <c r="QPP774" s="46"/>
      <c r="QPR774" s="46"/>
      <c r="QPT774" s="46"/>
      <c r="QPV774" s="46"/>
      <c r="QPX774" s="46"/>
      <c r="QPZ774" s="46"/>
      <c r="QQB774" s="46"/>
      <c r="QQD774" s="46"/>
      <c r="QQF774" s="46"/>
      <c r="QQH774" s="46"/>
      <c r="QQJ774" s="46"/>
      <c r="QQL774" s="46"/>
      <c r="QQN774" s="46"/>
      <c r="QQP774" s="46"/>
      <c r="QQR774" s="46"/>
      <c r="QQT774" s="46"/>
      <c r="QQV774" s="46"/>
      <c r="QQX774" s="46"/>
      <c r="QQZ774" s="46"/>
      <c r="QRB774" s="46"/>
      <c r="QRD774" s="46"/>
      <c r="QRF774" s="46"/>
      <c r="QRH774" s="46"/>
      <c r="QRJ774" s="46"/>
      <c r="QRL774" s="46"/>
      <c r="QRN774" s="46"/>
      <c r="QRP774" s="46"/>
      <c r="QRR774" s="46"/>
      <c r="QRT774" s="46"/>
      <c r="QRV774" s="46"/>
      <c r="QRX774" s="46"/>
      <c r="QRZ774" s="46"/>
      <c r="QSB774" s="46"/>
      <c r="QSD774" s="46"/>
      <c r="QSF774" s="46"/>
      <c r="QSH774" s="46"/>
      <c r="QSJ774" s="46"/>
      <c r="QSL774" s="46"/>
      <c r="QSN774" s="46"/>
      <c r="QSP774" s="46"/>
      <c r="QSR774" s="46"/>
      <c r="QST774" s="46"/>
      <c r="QSV774" s="46"/>
      <c r="QSX774" s="46"/>
      <c r="QSZ774" s="46"/>
      <c r="QTB774" s="46"/>
      <c r="QTD774" s="46"/>
      <c r="QTF774" s="46"/>
      <c r="QTH774" s="46"/>
      <c r="QTJ774" s="46"/>
      <c r="QTL774" s="46"/>
      <c r="QTN774" s="46"/>
      <c r="QTP774" s="46"/>
      <c r="QTR774" s="46"/>
      <c r="QTT774" s="46"/>
      <c r="QTV774" s="46"/>
      <c r="QTX774" s="46"/>
      <c r="QTZ774" s="46"/>
      <c r="QUB774" s="46"/>
      <c r="QUD774" s="46"/>
      <c r="QUF774" s="46"/>
      <c r="QUH774" s="46"/>
      <c r="QUJ774" s="46"/>
      <c r="QUL774" s="46"/>
      <c r="QUN774" s="46"/>
      <c r="QUP774" s="46"/>
      <c r="QUR774" s="46"/>
      <c r="QUT774" s="46"/>
      <c r="QUV774" s="46"/>
      <c r="QUX774" s="46"/>
      <c r="QUZ774" s="46"/>
      <c r="QVB774" s="46"/>
      <c r="QVD774" s="46"/>
      <c r="QVF774" s="46"/>
      <c r="QVH774" s="46"/>
      <c r="QVJ774" s="46"/>
      <c r="QVL774" s="46"/>
      <c r="QVN774" s="46"/>
      <c r="QVP774" s="46"/>
      <c r="QVR774" s="46"/>
      <c r="QVT774" s="46"/>
      <c r="QVV774" s="46"/>
      <c r="QVX774" s="46"/>
      <c r="QVZ774" s="46"/>
      <c r="QWB774" s="46"/>
      <c r="QWD774" s="46"/>
      <c r="QWF774" s="46"/>
      <c r="QWH774" s="46"/>
      <c r="QWJ774" s="46"/>
      <c r="QWL774" s="46"/>
      <c r="QWN774" s="46"/>
      <c r="QWP774" s="46"/>
      <c r="QWR774" s="46"/>
      <c r="QWT774" s="46"/>
      <c r="QWV774" s="46"/>
      <c r="QWX774" s="46"/>
      <c r="QWZ774" s="46"/>
      <c r="QXB774" s="46"/>
      <c r="QXD774" s="46"/>
      <c r="QXF774" s="46"/>
      <c r="QXH774" s="46"/>
      <c r="QXJ774" s="46"/>
      <c r="QXL774" s="46"/>
      <c r="QXN774" s="46"/>
      <c r="QXP774" s="46"/>
      <c r="QXR774" s="46"/>
      <c r="QXT774" s="46"/>
      <c r="QXV774" s="46"/>
      <c r="QXX774" s="46"/>
      <c r="QXZ774" s="46"/>
      <c r="QYB774" s="46"/>
      <c r="QYD774" s="46"/>
      <c r="QYF774" s="46"/>
      <c r="QYH774" s="46"/>
      <c r="QYJ774" s="46"/>
      <c r="QYL774" s="46"/>
      <c r="QYN774" s="46"/>
      <c r="QYP774" s="46"/>
      <c r="QYR774" s="46"/>
      <c r="QYT774" s="46"/>
      <c r="QYV774" s="46"/>
      <c r="QYX774" s="46"/>
      <c r="QYZ774" s="46"/>
      <c r="QZB774" s="46"/>
      <c r="QZD774" s="46"/>
      <c r="QZF774" s="46"/>
      <c r="QZH774" s="46"/>
      <c r="QZJ774" s="46"/>
      <c r="QZL774" s="46"/>
      <c r="QZN774" s="46"/>
      <c r="QZP774" s="46"/>
      <c r="QZR774" s="46"/>
      <c r="QZT774" s="46"/>
      <c r="QZV774" s="46"/>
      <c r="QZX774" s="46"/>
      <c r="QZZ774" s="46"/>
      <c r="RAB774" s="46"/>
      <c r="RAD774" s="46"/>
      <c r="RAF774" s="46"/>
      <c r="RAH774" s="46"/>
      <c r="RAJ774" s="46"/>
      <c r="RAL774" s="46"/>
      <c r="RAN774" s="46"/>
      <c r="RAP774" s="46"/>
      <c r="RAR774" s="46"/>
      <c r="RAT774" s="46"/>
      <c r="RAV774" s="46"/>
      <c r="RAX774" s="46"/>
      <c r="RAZ774" s="46"/>
      <c r="RBB774" s="46"/>
      <c r="RBD774" s="46"/>
      <c r="RBF774" s="46"/>
      <c r="RBH774" s="46"/>
      <c r="RBJ774" s="46"/>
      <c r="RBL774" s="46"/>
      <c r="RBN774" s="46"/>
      <c r="RBP774" s="46"/>
      <c r="RBR774" s="46"/>
      <c r="RBT774" s="46"/>
      <c r="RBV774" s="46"/>
      <c r="RBX774" s="46"/>
      <c r="RBZ774" s="46"/>
      <c r="RCB774" s="46"/>
      <c r="RCD774" s="46"/>
      <c r="RCF774" s="46"/>
      <c r="RCH774" s="46"/>
      <c r="RCJ774" s="46"/>
      <c r="RCL774" s="46"/>
      <c r="RCN774" s="46"/>
      <c r="RCP774" s="46"/>
      <c r="RCR774" s="46"/>
      <c r="RCT774" s="46"/>
      <c r="RCV774" s="46"/>
      <c r="RCX774" s="46"/>
      <c r="RCZ774" s="46"/>
      <c r="RDB774" s="46"/>
      <c r="RDD774" s="46"/>
      <c r="RDF774" s="46"/>
      <c r="RDH774" s="46"/>
      <c r="RDJ774" s="46"/>
      <c r="RDL774" s="46"/>
      <c r="RDN774" s="46"/>
      <c r="RDP774" s="46"/>
      <c r="RDR774" s="46"/>
      <c r="RDT774" s="46"/>
      <c r="RDV774" s="46"/>
      <c r="RDX774" s="46"/>
      <c r="RDZ774" s="46"/>
      <c r="REB774" s="46"/>
      <c r="RED774" s="46"/>
      <c r="REF774" s="46"/>
      <c r="REH774" s="46"/>
      <c r="REJ774" s="46"/>
      <c r="REL774" s="46"/>
      <c r="REN774" s="46"/>
      <c r="REP774" s="46"/>
      <c r="RER774" s="46"/>
      <c r="RET774" s="46"/>
      <c r="REV774" s="46"/>
      <c r="REX774" s="46"/>
      <c r="REZ774" s="46"/>
      <c r="RFB774" s="46"/>
      <c r="RFD774" s="46"/>
      <c r="RFF774" s="46"/>
      <c r="RFH774" s="46"/>
      <c r="RFJ774" s="46"/>
      <c r="RFL774" s="46"/>
      <c r="RFN774" s="46"/>
      <c r="RFP774" s="46"/>
      <c r="RFR774" s="46"/>
      <c r="RFT774" s="46"/>
      <c r="RFV774" s="46"/>
      <c r="RFX774" s="46"/>
      <c r="RFZ774" s="46"/>
      <c r="RGB774" s="46"/>
      <c r="RGD774" s="46"/>
      <c r="RGF774" s="46"/>
      <c r="RGH774" s="46"/>
      <c r="RGJ774" s="46"/>
      <c r="RGL774" s="46"/>
      <c r="RGN774" s="46"/>
      <c r="RGP774" s="46"/>
      <c r="RGR774" s="46"/>
      <c r="RGT774" s="46"/>
      <c r="RGV774" s="46"/>
      <c r="RGX774" s="46"/>
      <c r="RGZ774" s="46"/>
      <c r="RHB774" s="46"/>
      <c r="RHD774" s="46"/>
      <c r="RHF774" s="46"/>
      <c r="RHH774" s="46"/>
      <c r="RHJ774" s="46"/>
      <c r="RHL774" s="46"/>
      <c r="RHN774" s="46"/>
      <c r="RHP774" s="46"/>
      <c r="RHR774" s="46"/>
      <c r="RHT774" s="46"/>
      <c r="RHV774" s="46"/>
      <c r="RHX774" s="46"/>
      <c r="RHZ774" s="46"/>
      <c r="RIB774" s="46"/>
      <c r="RID774" s="46"/>
      <c r="RIF774" s="46"/>
      <c r="RIH774" s="46"/>
      <c r="RIJ774" s="46"/>
      <c r="RIL774" s="46"/>
      <c r="RIN774" s="46"/>
      <c r="RIP774" s="46"/>
      <c r="RIR774" s="46"/>
      <c r="RIT774" s="46"/>
      <c r="RIV774" s="46"/>
      <c r="RIX774" s="46"/>
      <c r="RIZ774" s="46"/>
      <c r="RJB774" s="46"/>
      <c r="RJD774" s="46"/>
      <c r="RJF774" s="46"/>
      <c r="RJH774" s="46"/>
      <c r="RJJ774" s="46"/>
      <c r="RJL774" s="46"/>
      <c r="RJN774" s="46"/>
      <c r="RJP774" s="46"/>
      <c r="RJR774" s="46"/>
      <c r="RJT774" s="46"/>
      <c r="RJV774" s="46"/>
      <c r="RJX774" s="46"/>
      <c r="RJZ774" s="46"/>
      <c r="RKB774" s="46"/>
      <c r="RKD774" s="46"/>
      <c r="RKF774" s="46"/>
      <c r="RKH774" s="46"/>
      <c r="RKJ774" s="46"/>
      <c r="RKL774" s="46"/>
      <c r="RKN774" s="46"/>
      <c r="RKP774" s="46"/>
      <c r="RKR774" s="46"/>
      <c r="RKT774" s="46"/>
      <c r="RKV774" s="46"/>
      <c r="RKX774" s="46"/>
      <c r="RKZ774" s="46"/>
      <c r="RLB774" s="46"/>
      <c r="RLD774" s="46"/>
      <c r="RLF774" s="46"/>
      <c r="RLH774" s="46"/>
      <c r="RLJ774" s="46"/>
      <c r="RLL774" s="46"/>
      <c r="RLN774" s="46"/>
      <c r="RLP774" s="46"/>
      <c r="RLR774" s="46"/>
      <c r="RLT774" s="46"/>
      <c r="RLV774" s="46"/>
      <c r="RLX774" s="46"/>
      <c r="RLZ774" s="46"/>
      <c r="RMB774" s="46"/>
      <c r="RMD774" s="46"/>
      <c r="RMF774" s="46"/>
      <c r="RMH774" s="46"/>
      <c r="RMJ774" s="46"/>
      <c r="RML774" s="46"/>
      <c r="RMN774" s="46"/>
      <c r="RMP774" s="46"/>
      <c r="RMR774" s="46"/>
      <c r="RMT774" s="46"/>
      <c r="RMV774" s="46"/>
      <c r="RMX774" s="46"/>
      <c r="RMZ774" s="46"/>
      <c r="RNB774" s="46"/>
      <c r="RND774" s="46"/>
      <c r="RNF774" s="46"/>
      <c r="RNH774" s="46"/>
      <c r="RNJ774" s="46"/>
      <c r="RNL774" s="46"/>
      <c r="RNN774" s="46"/>
      <c r="RNP774" s="46"/>
      <c r="RNR774" s="46"/>
      <c r="RNT774" s="46"/>
      <c r="RNV774" s="46"/>
      <c r="RNX774" s="46"/>
      <c r="RNZ774" s="46"/>
      <c r="ROB774" s="46"/>
      <c r="ROD774" s="46"/>
      <c r="ROF774" s="46"/>
      <c r="ROH774" s="46"/>
      <c r="ROJ774" s="46"/>
      <c r="ROL774" s="46"/>
      <c r="RON774" s="46"/>
      <c r="ROP774" s="46"/>
      <c r="ROR774" s="46"/>
      <c r="ROT774" s="46"/>
      <c r="ROV774" s="46"/>
      <c r="ROX774" s="46"/>
      <c r="ROZ774" s="46"/>
      <c r="RPB774" s="46"/>
      <c r="RPD774" s="46"/>
      <c r="RPF774" s="46"/>
      <c r="RPH774" s="46"/>
      <c r="RPJ774" s="46"/>
      <c r="RPL774" s="46"/>
      <c r="RPN774" s="46"/>
      <c r="RPP774" s="46"/>
      <c r="RPR774" s="46"/>
      <c r="RPT774" s="46"/>
      <c r="RPV774" s="46"/>
      <c r="RPX774" s="46"/>
      <c r="RPZ774" s="46"/>
      <c r="RQB774" s="46"/>
      <c r="RQD774" s="46"/>
      <c r="RQF774" s="46"/>
      <c r="RQH774" s="46"/>
      <c r="RQJ774" s="46"/>
      <c r="RQL774" s="46"/>
      <c r="RQN774" s="46"/>
      <c r="RQP774" s="46"/>
      <c r="RQR774" s="46"/>
      <c r="RQT774" s="46"/>
      <c r="RQV774" s="46"/>
      <c r="RQX774" s="46"/>
      <c r="RQZ774" s="46"/>
      <c r="RRB774" s="46"/>
      <c r="RRD774" s="46"/>
      <c r="RRF774" s="46"/>
      <c r="RRH774" s="46"/>
      <c r="RRJ774" s="46"/>
      <c r="RRL774" s="46"/>
      <c r="RRN774" s="46"/>
      <c r="RRP774" s="46"/>
      <c r="RRR774" s="46"/>
      <c r="RRT774" s="46"/>
      <c r="RRV774" s="46"/>
      <c r="RRX774" s="46"/>
      <c r="RRZ774" s="46"/>
      <c r="RSB774" s="46"/>
      <c r="RSD774" s="46"/>
      <c r="RSF774" s="46"/>
      <c r="RSH774" s="46"/>
      <c r="RSJ774" s="46"/>
      <c r="RSL774" s="46"/>
      <c r="RSN774" s="46"/>
      <c r="RSP774" s="46"/>
      <c r="RSR774" s="46"/>
      <c r="RST774" s="46"/>
      <c r="RSV774" s="46"/>
      <c r="RSX774" s="46"/>
      <c r="RSZ774" s="46"/>
      <c r="RTB774" s="46"/>
      <c r="RTD774" s="46"/>
      <c r="RTF774" s="46"/>
      <c r="RTH774" s="46"/>
      <c r="RTJ774" s="46"/>
      <c r="RTL774" s="46"/>
      <c r="RTN774" s="46"/>
      <c r="RTP774" s="46"/>
      <c r="RTR774" s="46"/>
      <c r="RTT774" s="46"/>
      <c r="RTV774" s="46"/>
      <c r="RTX774" s="46"/>
      <c r="RTZ774" s="46"/>
      <c r="RUB774" s="46"/>
      <c r="RUD774" s="46"/>
      <c r="RUF774" s="46"/>
      <c r="RUH774" s="46"/>
      <c r="RUJ774" s="46"/>
      <c r="RUL774" s="46"/>
      <c r="RUN774" s="46"/>
      <c r="RUP774" s="46"/>
      <c r="RUR774" s="46"/>
      <c r="RUT774" s="46"/>
      <c r="RUV774" s="46"/>
      <c r="RUX774" s="46"/>
      <c r="RUZ774" s="46"/>
      <c r="RVB774" s="46"/>
      <c r="RVD774" s="46"/>
      <c r="RVF774" s="46"/>
      <c r="RVH774" s="46"/>
      <c r="RVJ774" s="46"/>
      <c r="RVL774" s="46"/>
      <c r="RVN774" s="46"/>
      <c r="RVP774" s="46"/>
      <c r="RVR774" s="46"/>
      <c r="RVT774" s="46"/>
      <c r="RVV774" s="46"/>
      <c r="RVX774" s="46"/>
      <c r="RVZ774" s="46"/>
      <c r="RWB774" s="46"/>
      <c r="RWD774" s="46"/>
      <c r="RWF774" s="46"/>
      <c r="RWH774" s="46"/>
      <c r="RWJ774" s="46"/>
      <c r="RWL774" s="46"/>
      <c r="RWN774" s="46"/>
      <c r="RWP774" s="46"/>
      <c r="RWR774" s="46"/>
      <c r="RWT774" s="46"/>
      <c r="RWV774" s="46"/>
      <c r="RWX774" s="46"/>
      <c r="RWZ774" s="46"/>
      <c r="RXB774" s="46"/>
      <c r="RXD774" s="46"/>
      <c r="RXF774" s="46"/>
      <c r="RXH774" s="46"/>
      <c r="RXJ774" s="46"/>
      <c r="RXL774" s="46"/>
      <c r="RXN774" s="46"/>
      <c r="RXP774" s="46"/>
      <c r="RXR774" s="46"/>
      <c r="RXT774" s="46"/>
      <c r="RXV774" s="46"/>
      <c r="RXX774" s="46"/>
      <c r="RXZ774" s="46"/>
      <c r="RYB774" s="46"/>
      <c r="RYD774" s="46"/>
      <c r="RYF774" s="46"/>
      <c r="RYH774" s="46"/>
      <c r="RYJ774" s="46"/>
      <c r="RYL774" s="46"/>
      <c r="RYN774" s="46"/>
      <c r="RYP774" s="46"/>
      <c r="RYR774" s="46"/>
      <c r="RYT774" s="46"/>
      <c r="RYV774" s="46"/>
      <c r="RYX774" s="46"/>
      <c r="RYZ774" s="46"/>
      <c r="RZB774" s="46"/>
      <c r="RZD774" s="46"/>
      <c r="RZF774" s="46"/>
      <c r="RZH774" s="46"/>
      <c r="RZJ774" s="46"/>
      <c r="RZL774" s="46"/>
      <c r="RZN774" s="46"/>
      <c r="RZP774" s="46"/>
      <c r="RZR774" s="46"/>
      <c r="RZT774" s="46"/>
      <c r="RZV774" s="46"/>
      <c r="RZX774" s="46"/>
      <c r="RZZ774" s="46"/>
      <c r="SAB774" s="46"/>
      <c r="SAD774" s="46"/>
      <c r="SAF774" s="46"/>
      <c r="SAH774" s="46"/>
      <c r="SAJ774" s="46"/>
      <c r="SAL774" s="46"/>
      <c r="SAN774" s="46"/>
      <c r="SAP774" s="46"/>
      <c r="SAR774" s="46"/>
      <c r="SAT774" s="46"/>
      <c r="SAV774" s="46"/>
      <c r="SAX774" s="46"/>
      <c r="SAZ774" s="46"/>
      <c r="SBB774" s="46"/>
      <c r="SBD774" s="46"/>
      <c r="SBF774" s="46"/>
      <c r="SBH774" s="46"/>
      <c r="SBJ774" s="46"/>
      <c r="SBL774" s="46"/>
      <c r="SBN774" s="46"/>
      <c r="SBP774" s="46"/>
      <c r="SBR774" s="46"/>
      <c r="SBT774" s="46"/>
      <c r="SBV774" s="46"/>
      <c r="SBX774" s="46"/>
      <c r="SBZ774" s="46"/>
      <c r="SCB774" s="46"/>
      <c r="SCD774" s="46"/>
      <c r="SCF774" s="46"/>
      <c r="SCH774" s="46"/>
      <c r="SCJ774" s="46"/>
      <c r="SCL774" s="46"/>
      <c r="SCN774" s="46"/>
      <c r="SCP774" s="46"/>
      <c r="SCR774" s="46"/>
      <c r="SCT774" s="46"/>
      <c r="SCV774" s="46"/>
      <c r="SCX774" s="46"/>
      <c r="SCZ774" s="46"/>
      <c r="SDB774" s="46"/>
      <c r="SDD774" s="46"/>
      <c r="SDF774" s="46"/>
      <c r="SDH774" s="46"/>
      <c r="SDJ774" s="46"/>
      <c r="SDL774" s="46"/>
      <c r="SDN774" s="46"/>
      <c r="SDP774" s="46"/>
      <c r="SDR774" s="46"/>
      <c r="SDT774" s="46"/>
      <c r="SDV774" s="46"/>
      <c r="SDX774" s="46"/>
      <c r="SDZ774" s="46"/>
      <c r="SEB774" s="46"/>
      <c r="SED774" s="46"/>
      <c r="SEF774" s="46"/>
      <c r="SEH774" s="46"/>
      <c r="SEJ774" s="46"/>
      <c r="SEL774" s="46"/>
      <c r="SEN774" s="46"/>
      <c r="SEP774" s="46"/>
      <c r="SER774" s="46"/>
      <c r="SET774" s="46"/>
      <c r="SEV774" s="46"/>
      <c r="SEX774" s="46"/>
      <c r="SEZ774" s="46"/>
      <c r="SFB774" s="46"/>
      <c r="SFD774" s="46"/>
      <c r="SFF774" s="46"/>
      <c r="SFH774" s="46"/>
      <c r="SFJ774" s="46"/>
      <c r="SFL774" s="46"/>
      <c r="SFN774" s="46"/>
      <c r="SFP774" s="46"/>
      <c r="SFR774" s="46"/>
      <c r="SFT774" s="46"/>
      <c r="SFV774" s="46"/>
      <c r="SFX774" s="46"/>
      <c r="SFZ774" s="46"/>
      <c r="SGB774" s="46"/>
      <c r="SGD774" s="46"/>
      <c r="SGF774" s="46"/>
      <c r="SGH774" s="46"/>
      <c r="SGJ774" s="46"/>
      <c r="SGL774" s="46"/>
      <c r="SGN774" s="46"/>
      <c r="SGP774" s="46"/>
      <c r="SGR774" s="46"/>
      <c r="SGT774" s="46"/>
      <c r="SGV774" s="46"/>
      <c r="SGX774" s="46"/>
      <c r="SGZ774" s="46"/>
      <c r="SHB774" s="46"/>
      <c r="SHD774" s="46"/>
      <c r="SHF774" s="46"/>
      <c r="SHH774" s="46"/>
      <c r="SHJ774" s="46"/>
      <c r="SHL774" s="46"/>
      <c r="SHN774" s="46"/>
      <c r="SHP774" s="46"/>
      <c r="SHR774" s="46"/>
      <c r="SHT774" s="46"/>
      <c r="SHV774" s="46"/>
      <c r="SHX774" s="46"/>
      <c r="SHZ774" s="46"/>
      <c r="SIB774" s="46"/>
      <c r="SID774" s="46"/>
      <c r="SIF774" s="46"/>
      <c r="SIH774" s="46"/>
      <c r="SIJ774" s="46"/>
      <c r="SIL774" s="46"/>
      <c r="SIN774" s="46"/>
      <c r="SIP774" s="46"/>
      <c r="SIR774" s="46"/>
      <c r="SIT774" s="46"/>
      <c r="SIV774" s="46"/>
      <c r="SIX774" s="46"/>
      <c r="SIZ774" s="46"/>
      <c r="SJB774" s="46"/>
      <c r="SJD774" s="46"/>
      <c r="SJF774" s="46"/>
      <c r="SJH774" s="46"/>
      <c r="SJJ774" s="46"/>
      <c r="SJL774" s="46"/>
      <c r="SJN774" s="46"/>
      <c r="SJP774" s="46"/>
      <c r="SJR774" s="46"/>
      <c r="SJT774" s="46"/>
      <c r="SJV774" s="46"/>
      <c r="SJX774" s="46"/>
      <c r="SJZ774" s="46"/>
      <c r="SKB774" s="46"/>
      <c r="SKD774" s="46"/>
      <c r="SKF774" s="46"/>
      <c r="SKH774" s="46"/>
      <c r="SKJ774" s="46"/>
      <c r="SKL774" s="46"/>
      <c r="SKN774" s="46"/>
      <c r="SKP774" s="46"/>
      <c r="SKR774" s="46"/>
      <c r="SKT774" s="46"/>
      <c r="SKV774" s="46"/>
      <c r="SKX774" s="46"/>
      <c r="SKZ774" s="46"/>
      <c r="SLB774" s="46"/>
      <c r="SLD774" s="46"/>
      <c r="SLF774" s="46"/>
      <c r="SLH774" s="46"/>
      <c r="SLJ774" s="46"/>
      <c r="SLL774" s="46"/>
      <c r="SLN774" s="46"/>
      <c r="SLP774" s="46"/>
      <c r="SLR774" s="46"/>
      <c r="SLT774" s="46"/>
      <c r="SLV774" s="46"/>
      <c r="SLX774" s="46"/>
      <c r="SLZ774" s="46"/>
      <c r="SMB774" s="46"/>
      <c r="SMD774" s="46"/>
      <c r="SMF774" s="46"/>
      <c r="SMH774" s="46"/>
      <c r="SMJ774" s="46"/>
      <c r="SML774" s="46"/>
      <c r="SMN774" s="46"/>
      <c r="SMP774" s="46"/>
      <c r="SMR774" s="46"/>
      <c r="SMT774" s="46"/>
      <c r="SMV774" s="46"/>
      <c r="SMX774" s="46"/>
      <c r="SMZ774" s="46"/>
      <c r="SNB774" s="46"/>
      <c r="SND774" s="46"/>
      <c r="SNF774" s="46"/>
      <c r="SNH774" s="46"/>
      <c r="SNJ774" s="46"/>
      <c r="SNL774" s="46"/>
      <c r="SNN774" s="46"/>
      <c r="SNP774" s="46"/>
      <c r="SNR774" s="46"/>
      <c r="SNT774" s="46"/>
      <c r="SNV774" s="46"/>
      <c r="SNX774" s="46"/>
      <c r="SNZ774" s="46"/>
      <c r="SOB774" s="46"/>
      <c r="SOD774" s="46"/>
      <c r="SOF774" s="46"/>
      <c r="SOH774" s="46"/>
      <c r="SOJ774" s="46"/>
      <c r="SOL774" s="46"/>
      <c r="SON774" s="46"/>
      <c r="SOP774" s="46"/>
      <c r="SOR774" s="46"/>
      <c r="SOT774" s="46"/>
      <c r="SOV774" s="46"/>
      <c r="SOX774" s="46"/>
      <c r="SOZ774" s="46"/>
      <c r="SPB774" s="46"/>
      <c r="SPD774" s="46"/>
      <c r="SPF774" s="46"/>
      <c r="SPH774" s="46"/>
      <c r="SPJ774" s="46"/>
      <c r="SPL774" s="46"/>
      <c r="SPN774" s="46"/>
      <c r="SPP774" s="46"/>
      <c r="SPR774" s="46"/>
      <c r="SPT774" s="46"/>
      <c r="SPV774" s="46"/>
      <c r="SPX774" s="46"/>
      <c r="SPZ774" s="46"/>
      <c r="SQB774" s="46"/>
      <c r="SQD774" s="46"/>
      <c r="SQF774" s="46"/>
      <c r="SQH774" s="46"/>
      <c r="SQJ774" s="46"/>
      <c r="SQL774" s="46"/>
      <c r="SQN774" s="46"/>
      <c r="SQP774" s="46"/>
      <c r="SQR774" s="46"/>
      <c r="SQT774" s="46"/>
      <c r="SQV774" s="46"/>
      <c r="SQX774" s="46"/>
      <c r="SQZ774" s="46"/>
      <c r="SRB774" s="46"/>
      <c r="SRD774" s="46"/>
      <c r="SRF774" s="46"/>
      <c r="SRH774" s="46"/>
      <c r="SRJ774" s="46"/>
      <c r="SRL774" s="46"/>
      <c r="SRN774" s="46"/>
      <c r="SRP774" s="46"/>
      <c r="SRR774" s="46"/>
      <c r="SRT774" s="46"/>
      <c r="SRV774" s="46"/>
      <c r="SRX774" s="46"/>
      <c r="SRZ774" s="46"/>
      <c r="SSB774" s="46"/>
      <c r="SSD774" s="46"/>
      <c r="SSF774" s="46"/>
      <c r="SSH774" s="46"/>
      <c r="SSJ774" s="46"/>
      <c r="SSL774" s="46"/>
      <c r="SSN774" s="46"/>
      <c r="SSP774" s="46"/>
      <c r="SSR774" s="46"/>
      <c r="SST774" s="46"/>
      <c r="SSV774" s="46"/>
      <c r="SSX774" s="46"/>
      <c r="SSZ774" s="46"/>
      <c r="STB774" s="46"/>
      <c r="STD774" s="46"/>
      <c r="STF774" s="46"/>
      <c r="STH774" s="46"/>
      <c r="STJ774" s="46"/>
      <c r="STL774" s="46"/>
      <c r="STN774" s="46"/>
      <c r="STP774" s="46"/>
      <c r="STR774" s="46"/>
      <c r="STT774" s="46"/>
      <c r="STV774" s="46"/>
      <c r="STX774" s="46"/>
      <c r="STZ774" s="46"/>
      <c r="SUB774" s="46"/>
      <c r="SUD774" s="46"/>
      <c r="SUF774" s="46"/>
      <c r="SUH774" s="46"/>
      <c r="SUJ774" s="46"/>
      <c r="SUL774" s="46"/>
      <c r="SUN774" s="46"/>
      <c r="SUP774" s="46"/>
      <c r="SUR774" s="46"/>
      <c r="SUT774" s="46"/>
      <c r="SUV774" s="46"/>
      <c r="SUX774" s="46"/>
      <c r="SUZ774" s="46"/>
      <c r="SVB774" s="46"/>
      <c r="SVD774" s="46"/>
      <c r="SVF774" s="46"/>
      <c r="SVH774" s="46"/>
      <c r="SVJ774" s="46"/>
      <c r="SVL774" s="46"/>
      <c r="SVN774" s="46"/>
      <c r="SVP774" s="46"/>
      <c r="SVR774" s="46"/>
      <c r="SVT774" s="46"/>
      <c r="SVV774" s="46"/>
      <c r="SVX774" s="46"/>
      <c r="SVZ774" s="46"/>
      <c r="SWB774" s="46"/>
      <c r="SWD774" s="46"/>
      <c r="SWF774" s="46"/>
      <c r="SWH774" s="46"/>
      <c r="SWJ774" s="46"/>
      <c r="SWL774" s="46"/>
      <c r="SWN774" s="46"/>
      <c r="SWP774" s="46"/>
      <c r="SWR774" s="46"/>
      <c r="SWT774" s="46"/>
      <c r="SWV774" s="46"/>
      <c r="SWX774" s="46"/>
      <c r="SWZ774" s="46"/>
      <c r="SXB774" s="46"/>
      <c r="SXD774" s="46"/>
      <c r="SXF774" s="46"/>
      <c r="SXH774" s="46"/>
      <c r="SXJ774" s="46"/>
      <c r="SXL774" s="46"/>
      <c r="SXN774" s="46"/>
      <c r="SXP774" s="46"/>
      <c r="SXR774" s="46"/>
      <c r="SXT774" s="46"/>
      <c r="SXV774" s="46"/>
      <c r="SXX774" s="46"/>
      <c r="SXZ774" s="46"/>
      <c r="SYB774" s="46"/>
      <c r="SYD774" s="46"/>
      <c r="SYF774" s="46"/>
      <c r="SYH774" s="46"/>
      <c r="SYJ774" s="46"/>
      <c r="SYL774" s="46"/>
      <c r="SYN774" s="46"/>
      <c r="SYP774" s="46"/>
      <c r="SYR774" s="46"/>
      <c r="SYT774" s="46"/>
      <c r="SYV774" s="46"/>
      <c r="SYX774" s="46"/>
      <c r="SYZ774" s="46"/>
      <c r="SZB774" s="46"/>
      <c r="SZD774" s="46"/>
      <c r="SZF774" s="46"/>
      <c r="SZH774" s="46"/>
      <c r="SZJ774" s="46"/>
      <c r="SZL774" s="46"/>
      <c r="SZN774" s="46"/>
      <c r="SZP774" s="46"/>
      <c r="SZR774" s="46"/>
      <c r="SZT774" s="46"/>
      <c r="SZV774" s="46"/>
      <c r="SZX774" s="46"/>
      <c r="SZZ774" s="46"/>
      <c r="TAB774" s="46"/>
      <c r="TAD774" s="46"/>
      <c r="TAF774" s="46"/>
      <c r="TAH774" s="46"/>
      <c r="TAJ774" s="46"/>
      <c r="TAL774" s="46"/>
      <c r="TAN774" s="46"/>
      <c r="TAP774" s="46"/>
      <c r="TAR774" s="46"/>
      <c r="TAT774" s="46"/>
      <c r="TAV774" s="46"/>
      <c r="TAX774" s="46"/>
      <c r="TAZ774" s="46"/>
      <c r="TBB774" s="46"/>
      <c r="TBD774" s="46"/>
      <c r="TBF774" s="46"/>
      <c r="TBH774" s="46"/>
      <c r="TBJ774" s="46"/>
      <c r="TBL774" s="46"/>
      <c r="TBN774" s="46"/>
      <c r="TBP774" s="46"/>
      <c r="TBR774" s="46"/>
      <c r="TBT774" s="46"/>
      <c r="TBV774" s="46"/>
      <c r="TBX774" s="46"/>
      <c r="TBZ774" s="46"/>
      <c r="TCB774" s="46"/>
      <c r="TCD774" s="46"/>
      <c r="TCF774" s="46"/>
      <c r="TCH774" s="46"/>
      <c r="TCJ774" s="46"/>
      <c r="TCL774" s="46"/>
      <c r="TCN774" s="46"/>
      <c r="TCP774" s="46"/>
      <c r="TCR774" s="46"/>
      <c r="TCT774" s="46"/>
      <c r="TCV774" s="46"/>
      <c r="TCX774" s="46"/>
      <c r="TCZ774" s="46"/>
      <c r="TDB774" s="46"/>
      <c r="TDD774" s="46"/>
      <c r="TDF774" s="46"/>
      <c r="TDH774" s="46"/>
      <c r="TDJ774" s="46"/>
      <c r="TDL774" s="46"/>
      <c r="TDN774" s="46"/>
      <c r="TDP774" s="46"/>
      <c r="TDR774" s="46"/>
      <c r="TDT774" s="46"/>
      <c r="TDV774" s="46"/>
      <c r="TDX774" s="46"/>
      <c r="TDZ774" s="46"/>
      <c r="TEB774" s="46"/>
      <c r="TED774" s="46"/>
      <c r="TEF774" s="46"/>
      <c r="TEH774" s="46"/>
      <c r="TEJ774" s="46"/>
      <c r="TEL774" s="46"/>
      <c r="TEN774" s="46"/>
      <c r="TEP774" s="46"/>
      <c r="TER774" s="46"/>
      <c r="TET774" s="46"/>
      <c r="TEV774" s="46"/>
      <c r="TEX774" s="46"/>
      <c r="TEZ774" s="46"/>
      <c r="TFB774" s="46"/>
      <c r="TFD774" s="46"/>
      <c r="TFF774" s="46"/>
      <c r="TFH774" s="46"/>
      <c r="TFJ774" s="46"/>
      <c r="TFL774" s="46"/>
      <c r="TFN774" s="46"/>
      <c r="TFP774" s="46"/>
      <c r="TFR774" s="46"/>
      <c r="TFT774" s="46"/>
      <c r="TFV774" s="46"/>
      <c r="TFX774" s="46"/>
      <c r="TFZ774" s="46"/>
      <c r="TGB774" s="46"/>
      <c r="TGD774" s="46"/>
      <c r="TGF774" s="46"/>
      <c r="TGH774" s="46"/>
      <c r="TGJ774" s="46"/>
      <c r="TGL774" s="46"/>
      <c r="TGN774" s="46"/>
      <c r="TGP774" s="46"/>
      <c r="TGR774" s="46"/>
      <c r="TGT774" s="46"/>
      <c r="TGV774" s="46"/>
      <c r="TGX774" s="46"/>
      <c r="TGZ774" s="46"/>
      <c r="THB774" s="46"/>
      <c r="THD774" s="46"/>
      <c r="THF774" s="46"/>
      <c r="THH774" s="46"/>
      <c r="THJ774" s="46"/>
      <c r="THL774" s="46"/>
      <c r="THN774" s="46"/>
      <c r="THP774" s="46"/>
      <c r="THR774" s="46"/>
      <c r="THT774" s="46"/>
      <c r="THV774" s="46"/>
      <c r="THX774" s="46"/>
      <c r="THZ774" s="46"/>
      <c r="TIB774" s="46"/>
      <c r="TID774" s="46"/>
      <c r="TIF774" s="46"/>
      <c r="TIH774" s="46"/>
      <c r="TIJ774" s="46"/>
      <c r="TIL774" s="46"/>
      <c r="TIN774" s="46"/>
      <c r="TIP774" s="46"/>
      <c r="TIR774" s="46"/>
      <c r="TIT774" s="46"/>
      <c r="TIV774" s="46"/>
      <c r="TIX774" s="46"/>
      <c r="TIZ774" s="46"/>
      <c r="TJB774" s="46"/>
      <c r="TJD774" s="46"/>
      <c r="TJF774" s="46"/>
      <c r="TJH774" s="46"/>
      <c r="TJJ774" s="46"/>
      <c r="TJL774" s="46"/>
      <c r="TJN774" s="46"/>
      <c r="TJP774" s="46"/>
      <c r="TJR774" s="46"/>
      <c r="TJT774" s="46"/>
      <c r="TJV774" s="46"/>
      <c r="TJX774" s="46"/>
      <c r="TJZ774" s="46"/>
      <c r="TKB774" s="46"/>
      <c r="TKD774" s="46"/>
      <c r="TKF774" s="46"/>
      <c r="TKH774" s="46"/>
      <c r="TKJ774" s="46"/>
      <c r="TKL774" s="46"/>
      <c r="TKN774" s="46"/>
      <c r="TKP774" s="46"/>
      <c r="TKR774" s="46"/>
      <c r="TKT774" s="46"/>
      <c r="TKV774" s="46"/>
      <c r="TKX774" s="46"/>
      <c r="TKZ774" s="46"/>
      <c r="TLB774" s="46"/>
      <c r="TLD774" s="46"/>
      <c r="TLF774" s="46"/>
      <c r="TLH774" s="46"/>
      <c r="TLJ774" s="46"/>
      <c r="TLL774" s="46"/>
      <c r="TLN774" s="46"/>
      <c r="TLP774" s="46"/>
      <c r="TLR774" s="46"/>
      <c r="TLT774" s="46"/>
      <c r="TLV774" s="46"/>
      <c r="TLX774" s="46"/>
      <c r="TLZ774" s="46"/>
      <c r="TMB774" s="46"/>
      <c r="TMD774" s="46"/>
      <c r="TMF774" s="46"/>
      <c r="TMH774" s="46"/>
      <c r="TMJ774" s="46"/>
      <c r="TML774" s="46"/>
      <c r="TMN774" s="46"/>
      <c r="TMP774" s="46"/>
      <c r="TMR774" s="46"/>
      <c r="TMT774" s="46"/>
      <c r="TMV774" s="46"/>
      <c r="TMX774" s="46"/>
      <c r="TMZ774" s="46"/>
      <c r="TNB774" s="46"/>
      <c r="TND774" s="46"/>
      <c r="TNF774" s="46"/>
      <c r="TNH774" s="46"/>
      <c r="TNJ774" s="46"/>
      <c r="TNL774" s="46"/>
      <c r="TNN774" s="46"/>
      <c r="TNP774" s="46"/>
      <c r="TNR774" s="46"/>
      <c r="TNT774" s="46"/>
      <c r="TNV774" s="46"/>
      <c r="TNX774" s="46"/>
      <c r="TNZ774" s="46"/>
      <c r="TOB774" s="46"/>
      <c r="TOD774" s="46"/>
      <c r="TOF774" s="46"/>
      <c r="TOH774" s="46"/>
      <c r="TOJ774" s="46"/>
      <c r="TOL774" s="46"/>
      <c r="TON774" s="46"/>
      <c r="TOP774" s="46"/>
      <c r="TOR774" s="46"/>
      <c r="TOT774" s="46"/>
      <c r="TOV774" s="46"/>
      <c r="TOX774" s="46"/>
      <c r="TOZ774" s="46"/>
      <c r="TPB774" s="46"/>
      <c r="TPD774" s="46"/>
      <c r="TPF774" s="46"/>
      <c r="TPH774" s="46"/>
      <c r="TPJ774" s="46"/>
      <c r="TPL774" s="46"/>
      <c r="TPN774" s="46"/>
      <c r="TPP774" s="46"/>
      <c r="TPR774" s="46"/>
      <c r="TPT774" s="46"/>
      <c r="TPV774" s="46"/>
      <c r="TPX774" s="46"/>
      <c r="TPZ774" s="46"/>
      <c r="TQB774" s="46"/>
      <c r="TQD774" s="46"/>
      <c r="TQF774" s="46"/>
      <c r="TQH774" s="46"/>
      <c r="TQJ774" s="46"/>
      <c r="TQL774" s="46"/>
      <c r="TQN774" s="46"/>
      <c r="TQP774" s="46"/>
      <c r="TQR774" s="46"/>
      <c r="TQT774" s="46"/>
      <c r="TQV774" s="46"/>
      <c r="TQX774" s="46"/>
      <c r="TQZ774" s="46"/>
      <c r="TRB774" s="46"/>
      <c r="TRD774" s="46"/>
      <c r="TRF774" s="46"/>
      <c r="TRH774" s="46"/>
      <c r="TRJ774" s="46"/>
      <c r="TRL774" s="46"/>
      <c r="TRN774" s="46"/>
      <c r="TRP774" s="46"/>
      <c r="TRR774" s="46"/>
      <c r="TRT774" s="46"/>
      <c r="TRV774" s="46"/>
      <c r="TRX774" s="46"/>
      <c r="TRZ774" s="46"/>
      <c r="TSB774" s="46"/>
      <c r="TSD774" s="46"/>
      <c r="TSF774" s="46"/>
      <c r="TSH774" s="46"/>
      <c r="TSJ774" s="46"/>
      <c r="TSL774" s="46"/>
      <c r="TSN774" s="46"/>
      <c r="TSP774" s="46"/>
      <c r="TSR774" s="46"/>
      <c r="TST774" s="46"/>
      <c r="TSV774" s="46"/>
      <c r="TSX774" s="46"/>
      <c r="TSZ774" s="46"/>
      <c r="TTB774" s="46"/>
      <c r="TTD774" s="46"/>
      <c r="TTF774" s="46"/>
      <c r="TTH774" s="46"/>
      <c r="TTJ774" s="46"/>
      <c r="TTL774" s="46"/>
      <c r="TTN774" s="46"/>
      <c r="TTP774" s="46"/>
      <c r="TTR774" s="46"/>
      <c r="TTT774" s="46"/>
      <c r="TTV774" s="46"/>
      <c r="TTX774" s="46"/>
      <c r="TTZ774" s="46"/>
      <c r="TUB774" s="46"/>
      <c r="TUD774" s="46"/>
      <c r="TUF774" s="46"/>
      <c r="TUH774" s="46"/>
      <c r="TUJ774" s="46"/>
      <c r="TUL774" s="46"/>
      <c r="TUN774" s="46"/>
      <c r="TUP774" s="46"/>
      <c r="TUR774" s="46"/>
      <c r="TUT774" s="46"/>
      <c r="TUV774" s="46"/>
      <c r="TUX774" s="46"/>
      <c r="TUZ774" s="46"/>
      <c r="TVB774" s="46"/>
      <c r="TVD774" s="46"/>
      <c r="TVF774" s="46"/>
      <c r="TVH774" s="46"/>
      <c r="TVJ774" s="46"/>
      <c r="TVL774" s="46"/>
      <c r="TVN774" s="46"/>
      <c r="TVP774" s="46"/>
      <c r="TVR774" s="46"/>
      <c r="TVT774" s="46"/>
      <c r="TVV774" s="46"/>
      <c r="TVX774" s="46"/>
      <c r="TVZ774" s="46"/>
      <c r="TWB774" s="46"/>
      <c r="TWD774" s="46"/>
      <c r="TWF774" s="46"/>
      <c r="TWH774" s="46"/>
      <c r="TWJ774" s="46"/>
      <c r="TWL774" s="46"/>
      <c r="TWN774" s="46"/>
      <c r="TWP774" s="46"/>
      <c r="TWR774" s="46"/>
      <c r="TWT774" s="46"/>
      <c r="TWV774" s="46"/>
      <c r="TWX774" s="46"/>
      <c r="TWZ774" s="46"/>
      <c r="TXB774" s="46"/>
      <c r="TXD774" s="46"/>
      <c r="TXF774" s="46"/>
      <c r="TXH774" s="46"/>
      <c r="TXJ774" s="46"/>
      <c r="TXL774" s="46"/>
      <c r="TXN774" s="46"/>
      <c r="TXP774" s="46"/>
      <c r="TXR774" s="46"/>
      <c r="TXT774" s="46"/>
      <c r="TXV774" s="46"/>
      <c r="TXX774" s="46"/>
      <c r="TXZ774" s="46"/>
      <c r="TYB774" s="46"/>
      <c r="TYD774" s="46"/>
      <c r="TYF774" s="46"/>
      <c r="TYH774" s="46"/>
      <c r="TYJ774" s="46"/>
      <c r="TYL774" s="46"/>
      <c r="TYN774" s="46"/>
      <c r="TYP774" s="46"/>
      <c r="TYR774" s="46"/>
      <c r="TYT774" s="46"/>
      <c r="TYV774" s="46"/>
      <c r="TYX774" s="46"/>
      <c r="TYZ774" s="46"/>
      <c r="TZB774" s="46"/>
      <c r="TZD774" s="46"/>
      <c r="TZF774" s="46"/>
      <c r="TZH774" s="46"/>
      <c r="TZJ774" s="46"/>
      <c r="TZL774" s="46"/>
      <c r="TZN774" s="46"/>
      <c r="TZP774" s="46"/>
      <c r="TZR774" s="46"/>
      <c r="TZT774" s="46"/>
      <c r="TZV774" s="46"/>
      <c r="TZX774" s="46"/>
      <c r="TZZ774" s="46"/>
      <c r="UAB774" s="46"/>
      <c r="UAD774" s="46"/>
      <c r="UAF774" s="46"/>
      <c r="UAH774" s="46"/>
      <c r="UAJ774" s="46"/>
      <c r="UAL774" s="46"/>
      <c r="UAN774" s="46"/>
      <c r="UAP774" s="46"/>
      <c r="UAR774" s="46"/>
      <c r="UAT774" s="46"/>
      <c r="UAV774" s="46"/>
      <c r="UAX774" s="46"/>
      <c r="UAZ774" s="46"/>
      <c r="UBB774" s="46"/>
      <c r="UBD774" s="46"/>
      <c r="UBF774" s="46"/>
      <c r="UBH774" s="46"/>
      <c r="UBJ774" s="46"/>
      <c r="UBL774" s="46"/>
      <c r="UBN774" s="46"/>
      <c r="UBP774" s="46"/>
      <c r="UBR774" s="46"/>
      <c r="UBT774" s="46"/>
      <c r="UBV774" s="46"/>
      <c r="UBX774" s="46"/>
      <c r="UBZ774" s="46"/>
      <c r="UCB774" s="46"/>
      <c r="UCD774" s="46"/>
      <c r="UCF774" s="46"/>
      <c r="UCH774" s="46"/>
      <c r="UCJ774" s="46"/>
      <c r="UCL774" s="46"/>
      <c r="UCN774" s="46"/>
      <c r="UCP774" s="46"/>
      <c r="UCR774" s="46"/>
      <c r="UCT774" s="46"/>
      <c r="UCV774" s="46"/>
      <c r="UCX774" s="46"/>
      <c r="UCZ774" s="46"/>
      <c r="UDB774" s="46"/>
      <c r="UDD774" s="46"/>
      <c r="UDF774" s="46"/>
      <c r="UDH774" s="46"/>
      <c r="UDJ774" s="46"/>
      <c r="UDL774" s="46"/>
      <c r="UDN774" s="46"/>
      <c r="UDP774" s="46"/>
      <c r="UDR774" s="46"/>
      <c r="UDT774" s="46"/>
      <c r="UDV774" s="46"/>
      <c r="UDX774" s="46"/>
      <c r="UDZ774" s="46"/>
      <c r="UEB774" s="46"/>
      <c r="UED774" s="46"/>
      <c r="UEF774" s="46"/>
      <c r="UEH774" s="46"/>
      <c r="UEJ774" s="46"/>
      <c r="UEL774" s="46"/>
      <c r="UEN774" s="46"/>
      <c r="UEP774" s="46"/>
      <c r="UER774" s="46"/>
      <c r="UET774" s="46"/>
      <c r="UEV774" s="46"/>
      <c r="UEX774" s="46"/>
      <c r="UEZ774" s="46"/>
      <c r="UFB774" s="46"/>
      <c r="UFD774" s="46"/>
      <c r="UFF774" s="46"/>
      <c r="UFH774" s="46"/>
      <c r="UFJ774" s="46"/>
      <c r="UFL774" s="46"/>
      <c r="UFN774" s="46"/>
      <c r="UFP774" s="46"/>
      <c r="UFR774" s="46"/>
      <c r="UFT774" s="46"/>
      <c r="UFV774" s="46"/>
      <c r="UFX774" s="46"/>
      <c r="UFZ774" s="46"/>
      <c r="UGB774" s="46"/>
      <c r="UGD774" s="46"/>
      <c r="UGF774" s="46"/>
      <c r="UGH774" s="46"/>
      <c r="UGJ774" s="46"/>
      <c r="UGL774" s="46"/>
      <c r="UGN774" s="46"/>
      <c r="UGP774" s="46"/>
      <c r="UGR774" s="46"/>
      <c r="UGT774" s="46"/>
      <c r="UGV774" s="46"/>
      <c r="UGX774" s="46"/>
      <c r="UGZ774" s="46"/>
      <c r="UHB774" s="46"/>
      <c r="UHD774" s="46"/>
      <c r="UHF774" s="46"/>
      <c r="UHH774" s="46"/>
      <c r="UHJ774" s="46"/>
      <c r="UHL774" s="46"/>
      <c r="UHN774" s="46"/>
      <c r="UHP774" s="46"/>
      <c r="UHR774" s="46"/>
      <c r="UHT774" s="46"/>
      <c r="UHV774" s="46"/>
      <c r="UHX774" s="46"/>
      <c r="UHZ774" s="46"/>
      <c r="UIB774" s="46"/>
      <c r="UID774" s="46"/>
      <c r="UIF774" s="46"/>
      <c r="UIH774" s="46"/>
      <c r="UIJ774" s="46"/>
      <c r="UIL774" s="46"/>
      <c r="UIN774" s="46"/>
      <c r="UIP774" s="46"/>
      <c r="UIR774" s="46"/>
      <c r="UIT774" s="46"/>
      <c r="UIV774" s="46"/>
      <c r="UIX774" s="46"/>
      <c r="UIZ774" s="46"/>
      <c r="UJB774" s="46"/>
      <c r="UJD774" s="46"/>
      <c r="UJF774" s="46"/>
      <c r="UJH774" s="46"/>
      <c r="UJJ774" s="46"/>
      <c r="UJL774" s="46"/>
      <c r="UJN774" s="46"/>
      <c r="UJP774" s="46"/>
      <c r="UJR774" s="46"/>
      <c r="UJT774" s="46"/>
      <c r="UJV774" s="46"/>
      <c r="UJX774" s="46"/>
      <c r="UJZ774" s="46"/>
      <c r="UKB774" s="46"/>
      <c r="UKD774" s="46"/>
      <c r="UKF774" s="46"/>
      <c r="UKH774" s="46"/>
      <c r="UKJ774" s="46"/>
      <c r="UKL774" s="46"/>
      <c r="UKN774" s="46"/>
      <c r="UKP774" s="46"/>
      <c r="UKR774" s="46"/>
      <c r="UKT774" s="46"/>
      <c r="UKV774" s="46"/>
      <c r="UKX774" s="46"/>
      <c r="UKZ774" s="46"/>
      <c r="ULB774" s="46"/>
      <c r="ULD774" s="46"/>
      <c r="ULF774" s="46"/>
      <c r="ULH774" s="46"/>
      <c r="ULJ774" s="46"/>
      <c r="ULL774" s="46"/>
      <c r="ULN774" s="46"/>
      <c r="ULP774" s="46"/>
      <c r="ULR774" s="46"/>
      <c r="ULT774" s="46"/>
      <c r="ULV774" s="46"/>
      <c r="ULX774" s="46"/>
      <c r="ULZ774" s="46"/>
      <c r="UMB774" s="46"/>
      <c r="UMD774" s="46"/>
      <c r="UMF774" s="46"/>
      <c r="UMH774" s="46"/>
      <c r="UMJ774" s="46"/>
      <c r="UML774" s="46"/>
      <c r="UMN774" s="46"/>
      <c r="UMP774" s="46"/>
      <c r="UMR774" s="46"/>
      <c r="UMT774" s="46"/>
      <c r="UMV774" s="46"/>
      <c r="UMX774" s="46"/>
      <c r="UMZ774" s="46"/>
      <c r="UNB774" s="46"/>
      <c r="UND774" s="46"/>
      <c r="UNF774" s="46"/>
      <c r="UNH774" s="46"/>
      <c r="UNJ774" s="46"/>
      <c r="UNL774" s="46"/>
      <c r="UNN774" s="46"/>
      <c r="UNP774" s="46"/>
      <c r="UNR774" s="46"/>
      <c r="UNT774" s="46"/>
      <c r="UNV774" s="46"/>
      <c r="UNX774" s="46"/>
      <c r="UNZ774" s="46"/>
      <c r="UOB774" s="46"/>
      <c r="UOD774" s="46"/>
      <c r="UOF774" s="46"/>
      <c r="UOH774" s="46"/>
      <c r="UOJ774" s="46"/>
      <c r="UOL774" s="46"/>
      <c r="UON774" s="46"/>
      <c r="UOP774" s="46"/>
      <c r="UOR774" s="46"/>
      <c r="UOT774" s="46"/>
      <c r="UOV774" s="46"/>
      <c r="UOX774" s="46"/>
      <c r="UOZ774" s="46"/>
      <c r="UPB774" s="46"/>
      <c r="UPD774" s="46"/>
      <c r="UPF774" s="46"/>
      <c r="UPH774" s="46"/>
      <c r="UPJ774" s="46"/>
      <c r="UPL774" s="46"/>
      <c r="UPN774" s="46"/>
      <c r="UPP774" s="46"/>
      <c r="UPR774" s="46"/>
      <c r="UPT774" s="46"/>
      <c r="UPV774" s="46"/>
      <c r="UPX774" s="46"/>
      <c r="UPZ774" s="46"/>
      <c r="UQB774" s="46"/>
      <c r="UQD774" s="46"/>
      <c r="UQF774" s="46"/>
      <c r="UQH774" s="46"/>
      <c r="UQJ774" s="46"/>
      <c r="UQL774" s="46"/>
      <c r="UQN774" s="46"/>
      <c r="UQP774" s="46"/>
      <c r="UQR774" s="46"/>
      <c r="UQT774" s="46"/>
      <c r="UQV774" s="46"/>
      <c r="UQX774" s="46"/>
      <c r="UQZ774" s="46"/>
      <c r="URB774" s="46"/>
      <c r="URD774" s="46"/>
      <c r="URF774" s="46"/>
      <c r="URH774" s="46"/>
      <c r="URJ774" s="46"/>
      <c r="URL774" s="46"/>
      <c r="URN774" s="46"/>
      <c r="URP774" s="46"/>
      <c r="URR774" s="46"/>
      <c r="URT774" s="46"/>
      <c r="URV774" s="46"/>
      <c r="URX774" s="46"/>
      <c r="URZ774" s="46"/>
      <c r="USB774" s="46"/>
      <c r="USD774" s="46"/>
      <c r="USF774" s="46"/>
      <c r="USH774" s="46"/>
      <c r="USJ774" s="46"/>
      <c r="USL774" s="46"/>
      <c r="USN774" s="46"/>
      <c r="USP774" s="46"/>
      <c r="USR774" s="46"/>
      <c r="UST774" s="46"/>
      <c r="USV774" s="46"/>
      <c r="USX774" s="46"/>
      <c r="USZ774" s="46"/>
      <c r="UTB774" s="46"/>
      <c r="UTD774" s="46"/>
      <c r="UTF774" s="46"/>
      <c r="UTH774" s="46"/>
      <c r="UTJ774" s="46"/>
      <c r="UTL774" s="46"/>
      <c r="UTN774" s="46"/>
      <c r="UTP774" s="46"/>
      <c r="UTR774" s="46"/>
      <c r="UTT774" s="46"/>
      <c r="UTV774" s="46"/>
      <c r="UTX774" s="46"/>
      <c r="UTZ774" s="46"/>
      <c r="UUB774" s="46"/>
      <c r="UUD774" s="46"/>
      <c r="UUF774" s="46"/>
      <c r="UUH774" s="46"/>
      <c r="UUJ774" s="46"/>
      <c r="UUL774" s="46"/>
      <c r="UUN774" s="46"/>
      <c r="UUP774" s="46"/>
      <c r="UUR774" s="46"/>
      <c r="UUT774" s="46"/>
      <c r="UUV774" s="46"/>
      <c r="UUX774" s="46"/>
      <c r="UUZ774" s="46"/>
      <c r="UVB774" s="46"/>
      <c r="UVD774" s="46"/>
      <c r="UVF774" s="46"/>
      <c r="UVH774" s="46"/>
      <c r="UVJ774" s="46"/>
      <c r="UVL774" s="46"/>
      <c r="UVN774" s="46"/>
      <c r="UVP774" s="46"/>
      <c r="UVR774" s="46"/>
      <c r="UVT774" s="46"/>
      <c r="UVV774" s="46"/>
      <c r="UVX774" s="46"/>
      <c r="UVZ774" s="46"/>
      <c r="UWB774" s="46"/>
      <c r="UWD774" s="46"/>
      <c r="UWF774" s="46"/>
      <c r="UWH774" s="46"/>
      <c r="UWJ774" s="46"/>
      <c r="UWL774" s="46"/>
      <c r="UWN774" s="46"/>
      <c r="UWP774" s="46"/>
      <c r="UWR774" s="46"/>
      <c r="UWT774" s="46"/>
      <c r="UWV774" s="46"/>
      <c r="UWX774" s="46"/>
      <c r="UWZ774" s="46"/>
      <c r="UXB774" s="46"/>
      <c r="UXD774" s="46"/>
      <c r="UXF774" s="46"/>
      <c r="UXH774" s="46"/>
      <c r="UXJ774" s="46"/>
      <c r="UXL774" s="46"/>
      <c r="UXN774" s="46"/>
      <c r="UXP774" s="46"/>
      <c r="UXR774" s="46"/>
      <c r="UXT774" s="46"/>
      <c r="UXV774" s="46"/>
      <c r="UXX774" s="46"/>
      <c r="UXZ774" s="46"/>
      <c r="UYB774" s="46"/>
      <c r="UYD774" s="46"/>
      <c r="UYF774" s="46"/>
      <c r="UYH774" s="46"/>
      <c r="UYJ774" s="46"/>
      <c r="UYL774" s="46"/>
      <c r="UYN774" s="46"/>
      <c r="UYP774" s="46"/>
      <c r="UYR774" s="46"/>
      <c r="UYT774" s="46"/>
      <c r="UYV774" s="46"/>
      <c r="UYX774" s="46"/>
      <c r="UYZ774" s="46"/>
      <c r="UZB774" s="46"/>
      <c r="UZD774" s="46"/>
      <c r="UZF774" s="46"/>
      <c r="UZH774" s="46"/>
      <c r="UZJ774" s="46"/>
      <c r="UZL774" s="46"/>
      <c r="UZN774" s="46"/>
      <c r="UZP774" s="46"/>
      <c r="UZR774" s="46"/>
      <c r="UZT774" s="46"/>
      <c r="UZV774" s="46"/>
      <c r="UZX774" s="46"/>
      <c r="UZZ774" s="46"/>
      <c r="VAB774" s="46"/>
      <c r="VAD774" s="46"/>
      <c r="VAF774" s="46"/>
      <c r="VAH774" s="46"/>
      <c r="VAJ774" s="46"/>
      <c r="VAL774" s="46"/>
      <c r="VAN774" s="46"/>
      <c r="VAP774" s="46"/>
      <c r="VAR774" s="46"/>
      <c r="VAT774" s="46"/>
      <c r="VAV774" s="46"/>
      <c r="VAX774" s="46"/>
      <c r="VAZ774" s="46"/>
      <c r="VBB774" s="46"/>
      <c r="VBD774" s="46"/>
      <c r="VBF774" s="46"/>
      <c r="VBH774" s="46"/>
      <c r="VBJ774" s="46"/>
      <c r="VBL774" s="46"/>
      <c r="VBN774" s="46"/>
      <c r="VBP774" s="46"/>
      <c r="VBR774" s="46"/>
      <c r="VBT774" s="46"/>
      <c r="VBV774" s="46"/>
      <c r="VBX774" s="46"/>
      <c r="VBZ774" s="46"/>
      <c r="VCB774" s="46"/>
      <c r="VCD774" s="46"/>
      <c r="VCF774" s="46"/>
      <c r="VCH774" s="46"/>
      <c r="VCJ774" s="46"/>
      <c r="VCL774" s="46"/>
      <c r="VCN774" s="46"/>
      <c r="VCP774" s="46"/>
      <c r="VCR774" s="46"/>
      <c r="VCT774" s="46"/>
      <c r="VCV774" s="46"/>
      <c r="VCX774" s="46"/>
      <c r="VCZ774" s="46"/>
      <c r="VDB774" s="46"/>
      <c r="VDD774" s="46"/>
      <c r="VDF774" s="46"/>
      <c r="VDH774" s="46"/>
      <c r="VDJ774" s="46"/>
      <c r="VDL774" s="46"/>
      <c r="VDN774" s="46"/>
      <c r="VDP774" s="46"/>
      <c r="VDR774" s="46"/>
      <c r="VDT774" s="46"/>
      <c r="VDV774" s="46"/>
      <c r="VDX774" s="46"/>
      <c r="VDZ774" s="46"/>
      <c r="VEB774" s="46"/>
      <c r="VED774" s="46"/>
      <c r="VEF774" s="46"/>
      <c r="VEH774" s="46"/>
      <c r="VEJ774" s="46"/>
      <c r="VEL774" s="46"/>
      <c r="VEN774" s="46"/>
      <c r="VEP774" s="46"/>
      <c r="VER774" s="46"/>
      <c r="VET774" s="46"/>
      <c r="VEV774" s="46"/>
      <c r="VEX774" s="46"/>
      <c r="VEZ774" s="46"/>
      <c r="VFB774" s="46"/>
      <c r="VFD774" s="46"/>
      <c r="VFF774" s="46"/>
      <c r="VFH774" s="46"/>
      <c r="VFJ774" s="46"/>
      <c r="VFL774" s="46"/>
      <c r="VFN774" s="46"/>
      <c r="VFP774" s="46"/>
      <c r="VFR774" s="46"/>
      <c r="VFT774" s="46"/>
      <c r="VFV774" s="46"/>
      <c r="VFX774" s="46"/>
      <c r="VFZ774" s="46"/>
      <c r="VGB774" s="46"/>
      <c r="VGD774" s="46"/>
      <c r="VGF774" s="46"/>
      <c r="VGH774" s="46"/>
      <c r="VGJ774" s="46"/>
      <c r="VGL774" s="46"/>
      <c r="VGN774" s="46"/>
      <c r="VGP774" s="46"/>
      <c r="VGR774" s="46"/>
      <c r="VGT774" s="46"/>
      <c r="VGV774" s="46"/>
      <c r="VGX774" s="46"/>
      <c r="VGZ774" s="46"/>
      <c r="VHB774" s="46"/>
      <c r="VHD774" s="46"/>
      <c r="VHF774" s="46"/>
      <c r="VHH774" s="46"/>
      <c r="VHJ774" s="46"/>
      <c r="VHL774" s="46"/>
      <c r="VHN774" s="46"/>
      <c r="VHP774" s="46"/>
      <c r="VHR774" s="46"/>
      <c r="VHT774" s="46"/>
      <c r="VHV774" s="46"/>
      <c r="VHX774" s="46"/>
      <c r="VHZ774" s="46"/>
      <c r="VIB774" s="46"/>
      <c r="VID774" s="46"/>
      <c r="VIF774" s="46"/>
      <c r="VIH774" s="46"/>
      <c r="VIJ774" s="46"/>
      <c r="VIL774" s="46"/>
      <c r="VIN774" s="46"/>
      <c r="VIP774" s="46"/>
      <c r="VIR774" s="46"/>
      <c r="VIT774" s="46"/>
      <c r="VIV774" s="46"/>
      <c r="VIX774" s="46"/>
      <c r="VIZ774" s="46"/>
      <c r="VJB774" s="46"/>
      <c r="VJD774" s="46"/>
      <c r="VJF774" s="46"/>
      <c r="VJH774" s="46"/>
      <c r="VJJ774" s="46"/>
      <c r="VJL774" s="46"/>
      <c r="VJN774" s="46"/>
      <c r="VJP774" s="46"/>
      <c r="VJR774" s="46"/>
      <c r="VJT774" s="46"/>
      <c r="VJV774" s="46"/>
      <c r="VJX774" s="46"/>
      <c r="VJZ774" s="46"/>
      <c r="VKB774" s="46"/>
      <c r="VKD774" s="46"/>
      <c r="VKF774" s="46"/>
      <c r="VKH774" s="46"/>
      <c r="VKJ774" s="46"/>
      <c r="VKL774" s="46"/>
      <c r="VKN774" s="46"/>
      <c r="VKP774" s="46"/>
      <c r="VKR774" s="46"/>
      <c r="VKT774" s="46"/>
      <c r="VKV774" s="46"/>
      <c r="VKX774" s="46"/>
      <c r="VKZ774" s="46"/>
      <c r="VLB774" s="46"/>
      <c r="VLD774" s="46"/>
      <c r="VLF774" s="46"/>
      <c r="VLH774" s="46"/>
      <c r="VLJ774" s="46"/>
      <c r="VLL774" s="46"/>
      <c r="VLN774" s="46"/>
      <c r="VLP774" s="46"/>
      <c r="VLR774" s="46"/>
      <c r="VLT774" s="46"/>
      <c r="VLV774" s="46"/>
      <c r="VLX774" s="46"/>
      <c r="VLZ774" s="46"/>
      <c r="VMB774" s="46"/>
      <c r="VMD774" s="46"/>
      <c r="VMF774" s="46"/>
      <c r="VMH774" s="46"/>
      <c r="VMJ774" s="46"/>
      <c r="VML774" s="46"/>
      <c r="VMN774" s="46"/>
      <c r="VMP774" s="46"/>
      <c r="VMR774" s="46"/>
      <c r="VMT774" s="46"/>
      <c r="VMV774" s="46"/>
      <c r="VMX774" s="46"/>
      <c r="VMZ774" s="46"/>
      <c r="VNB774" s="46"/>
      <c r="VND774" s="46"/>
      <c r="VNF774" s="46"/>
      <c r="VNH774" s="46"/>
      <c r="VNJ774" s="46"/>
      <c r="VNL774" s="46"/>
      <c r="VNN774" s="46"/>
      <c r="VNP774" s="46"/>
      <c r="VNR774" s="46"/>
      <c r="VNT774" s="46"/>
      <c r="VNV774" s="46"/>
      <c r="VNX774" s="46"/>
      <c r="VNZ774" s="46"/>
      <c r="VOB774" s="46"/>
      <c r="VOD774" s="46"/>
      <c r="VOF774" s="46"/>
      <c r="VOH774" s="46"/>
      <c r="VOJ774" s="46"/>
      <c r="VOL774" s="46"/>
      <c r="VON774" s="46"/>
      <c r="VOP774" s="46"/>
      <c r="VOR774" s="46"/>
      <c r="VOT774" s="46"/>
      <c r="VOV774" s="46"/>
      <c r="VOX774" s="46"/>
      <c r="VOZ774" s="46"/>
      <c r="VPB774" s="46"/>
      <c r="VPD774" s="46"/>
      <c r="VPF774" s="46"/>
      <c r="VPH774" s="46"/>
      <c r="VPJ774" s="46"/>
      <c r="VPL774" s="46"/>
      <c r="VPN774" s="46"/>
      <c r="VPP774" s="46"/>
      <c r="VPR774" s="46"/>
      <c r="VPT774" s="46"/>
      <c r="VPV774" s="46"/>
      <c r="VPX774" s="46"/>
      <c r="VPZ774" s="46"/>
      <c r="VQB774" s="46"/>
      <c r="VQD774" s="46"/>
      <c r="VQF774" s="46"/>
      <c r="VQH774" s="46"/>
      <c r="VQJ774" s="46"/>
      <c r="VQL774" s="46"/>
      <c r="VQN774" s="46"/>
      <c r="VQP774" s="46"/>
      <c r="VQR774" s="46"/>
      <c r="VQT774" s="46"/>
      <c r="VQV774" s="46"/>
      <c r="VQX774" s="46"/>
      <c r="VQZ774" s="46"/>
      <c r="VRB774" s="46"/>
      <c r="VRD774" s="46"/>
      <c r="VRF774" s="46"/>
      <c r="VRH774" s="46"/>
      <c r="VRJ774" s="46"/>
      <c r="VRL774" s="46"/>
      <c r="VRN774" s="46"/>
      <c r="VRP774" s="46"/>
      <c r="VRR774" s="46"/>
      <c r="VRT774" s="46"/>
      <c r="VRV774" s="46"/>
      <c r="VRX774" s="46"/>
      <c r="VRZ774" s="46"/>
      <c r="VSB774" s="46"/>
      <c r="VSD774" s="46"/>
      <c r="VSF774" s="46"/>
      <c r="VSH774" s="46"/>
      <c r="VSJ774" s="46"/>
      <c r="VSL774" s="46"/>
      <c r="VSN774" s="46"/>
      <c r="VSP774" s="46"/>
      <c r="VSR774" s="46"/>
      <c r="VST774" s="46"/>
      <c r="VSV774" s="46"/>
      <c r="VSX774" s="46"/>
      <c r="VSZ774" s="46"/>
      <c r="VTB774" s="46"/>
      <c r="VTD774" s="46"/>
      <c r="VTF774" s="46"/>
      <c r="VTH774" s="46"/>
      <c r="VTJ774" s="46"/>
      <c r="VTL774" s="46"/>
      <c r="VTN774" s="46"/>
      <c r="VTP774" s="46"/>
      <c r="VTR774" s="46"/>
      <c r="VTT774" s="46"/>
      <c r="VTV774" s="46"/>
      <c r="VTX774" s="46"/>
      <c r="VTZ774" s="46"/>
      <c r="VUB774" s="46"/>
      <c r="VUD774" s="46"/>
      <c r="VUF774" s="46"/>
      <c r="VUH774" s="46"/>
      <c r="VUJ774" s="46"/>
      <c r="VUL774" s="46"/>
      <c r="VUN774" s="46"/>
      <c r="VUP774" s="46"/>
      <c r="VUR774" s="46"/>
      <c r="VUT774" s="46"/>
      <c r="VUV774" s="46"/>
      <c r="VUX774" s="46"/>
      <c r="VUZ774" s="46"/>
      <c r="VVB774" s="46"/>
      <c r="VVD774" s="46"/>
      <c r="VVF774" s="46"/>
      <c r="VVH774" s="46"/>
      <c r="VVJ774" s="46"/>
      <c r="VVL774" s="46"/>
      <c r="VVN774" s="46"/>
      <c r="VVP774" s="46"/>
      <c r="VVR774" s="46"/>
      <c r="VVT774" s="46"/>
      <c r="VVV774" s="46"/>
      <c r="VVX774" s="46"/>
      <c r="VVZ774" s="46"/>
      <c r="VWB774" s="46"/>
      <c r="VWD774" s="46"/>
      <c r="VWF774" s="46"/>
      <c r="VWH774" s="46"/>
      <c r="VWJ774" s="46"/>
      <c r="VWL774" s="46"/>
      <c r="VWN774" s="46"/>
      <c r="VWP774" s="46"/>
      <c r="VWR774" s="46"/>
      <c r="VWT774" s="46"/>
      <c r="VWV774" s="46"/>
      <c r="VWX774" s="46"/>
      <c r="VWZ774" s="46"/>
      <c r="VXB774" s="46"/>
      <c r="VXD774" s="46"/>
      <c r="VXF774" s="46"/>
      <c r="VXH774" s="46"/>
      <c r="VXJ774" s="46"/>
      <c r="VXL774" s="46"/>
      <c r="VXN774" s="46"/>
      <c r="VXP774" s="46"/>
      <c r="VXR774" s="46"/>
      <c r="VXT774" s="46"/>
      <c r="VXV774" s="46"/>
      <c r="VXX774" s="46"/>
      <c r="VXZ774" s="46"/>
      <c r="VYB774" s="46"/>
      <c r="VYD774" s="46"/>
      <c r="VYF774" s="46"/>
      <c r="VYH774" s="46"/>
      <c r="VYJ774" s="46"/>
      <c r="VYL774" s="46"/>
      <c r="VYN774" s="46"/>
      <c r="VYP774" s="46"/>
      <c r="VYR774" s="46"/>
      <c r="VYT774" s="46"/>
      <c r="VYV774" s="46"/>
      <c r="VYX774" s="46"/>
      <c r="VYZ774" s="46"/>
      <c r="VZB774" s="46"/>
      <c r="VZD774" s="46"/>
      <c r="VZF774" s="46"/>
      <c r="VZH774" s="46"/>
      <c r="VZJ774" s="46"/>
      <c r="VZL774" s="46"/>
      <c r="VZN774" s="46"/>
      <c r="VZP774" s="46"/>
      <c r="VZR774" s="46"/>
      <c r="VZT774" s="46"/>
      <c r="VZV774" s="46"/>
      <c r="VZX774" s="46"/>
      <c r="VZZ774" s="46"/>
      <c r="WAB774" s="46"/>
      <c r="WAD774" s="46"/>
      <c r="WAF774" s="46"/>
      <c r="WAH774" s="46"/>
      <c r="WAJ774" s="46"/>
      <c r="WAL774" s="46"/>
      <c r="WAN774" s="46"/>
      <c r="WAP774" s="46"/>
      <c r="WAR774" s="46"/>
      <c r="WAT774" s="46"/>
      <c r="WAV774" s="46"/>
      <c r="WAX774" s="46"/>
      <c r="WAZ774" s="46"/>
      <c r="WBB774" s="46"/>
      <c r="WBD774" s="46"/>
      <c r="WBF774" s="46"/>
      <c r="WBH774" s="46"/>
      <c r="WBJ774" s="46"/>
      <c r="WBL774" s="46"/>
      <c r="WBN774" s="46"/>
      <c r="WBP774" s="46"/>
      <c r="WBR774" s="46"/>
      <c r="WBT774" s="46"/>
      <c r="WBV774" s="46"/>
      <c r="WBX774" s="46"/>
      <c r="WBZ774" s="46"/>
      <c r="WCB774" s="46"/>
      <c r="WCD774" s="46"/>
      <c r="WCF774" s="46"/>
      <c r="WCH774" s="46"/>
      <c r="WCJ774" s="46"/>
      <c r="WCL774" s="46"/>
      <c r="WCN774" s="46"/>
      <c r="WCP774" s="46"/>
      <c r="WCR774" s="46"/>
      <c r="WCT774" s="46"/>
      <c r="WCV774" s="46"/>
      <c r="WCX774" s="46"/>
      <c r="WCZ774" s="46"/>
      <c r="WDB774" s="46"/>
      <c r="WDD774" s="46"/>
      <c r="WDF774" s="46"/>
      <c r="WDH774" s="46"/>
      <c r="WDJ774" s="46"/>
      <c r="WDL774" s="46"/>
      <c r="WDN774" s="46"/>
      <c r="WDP774" s="46"/>
      <c r="WDR774" s="46"/>
      <c r="WDT774" s="46"/>
      <c r="WDV774" s="46"/>
      <c r="WDX774" s="46"/>
      <c r="WDZ774" s="46"/>
      <c r="WEB774" s="46"/>
      <c r="WED774" s="46"/>
      <c r="WEF774" s="46"/>
      <c r="WEH774" s="46"/>
      <c r="WEJ774" s="46"/>
      <c r="WEL774" s="46"/>
      <c r="WEN774" s="46"/>
      <c r="WEP774" s="46"/>
      <c r="WER774" s="46"/>
      <c r="WET774" s="46"/>
      <c r="WEV774" s="46"/>
      <c r="WEX774" s="46"/>
      <c r="WEZ774" s="46"/>
      <c r="WFB774" s="46"/>
      <c r="WFD774" s="46"/>
      <c r="WFF774" s="46"/>
      <c r="WFH774" s="46"/>
      <c r="WFJ774" s="46"/>
      <c r="WFL774" s="46"/>
      <c r="WFN774" s="46"/>
      <c r="WFP774" s="46"/>
      <c r="WFR774" s="46"/>
      <c r="WFT774" s="46"/>
      <c r="WFV774" s="46"/>
      <c r="WFX774" s="46"/>
      <c r="WFZ774" s="46"/>
      <c r="WGB774" s="46"/>
      <c r="WGD774" s="46"/>
      <c r="WGF774" s="46"/>
      <c r="WGH774" s="46"/>
      <c r="WGJ774" s="46"/>
      <c r="WGL774" s="46"/>
      <c r="WGN774" s="46"/>
      <c r="WGP774" s="46"/>
      <c r="WGR774" s="46"/>
      <c r="WGT774" s="46"/>
      <c r="WGV774" s="46"/>
      <c r="WGX774" s="46"/>
      <c r="WGZ774" s="46"/>
      <c r="WHB774" s="46"/>
      <c r="WHD774" s="46"/>
      <c r="WHF774" s="46"/>
      <c r="WHH774" s="46"/>
      <c r="WHJ774" s="46"/>
      <c r="WHL774" s="46"/>
      <c r="WHN774" s="46"/>
      <c r="WHP774" s="46"/>
      <c r="WHR774" s="46"/>
      <c r="WHT774" s="46"/>
      <c r="WHV774" s="46"/>
      <c r="WHX774" s="46"/>
      <c r="WHZ774" s="46"/>
      <c r="WIB774" s="46"/>
      <c r="WID774" s="46"/>
      <c r="WIF774" s="46"/>
      <c r="WIH774" s="46"/>
      <c r="WIJ774" s="46"/>
      <c r="WIL774" s="46"/>
      <c r="WIN774" s="46"/>
      <c r="WIP774" s="46"/>
      <c r="WIR774" s="46"/>
      <c r="WIT774" s="46"/>
      <c r="WIV774" s="46"/>
      <c r="WIX774" s="46"/>
      <c r="WIZ774" s="46"/>
      <c r="WJB774" s="46"/>
      <c r="WJD774" s="46"/>
      <c r="WJF774" s="46"/>
      <c r="WJH774" s="46"/>
      <c r="WJJ774" s="46"/>
      <c r="WJL774" s="46"/>
      <c r="WJN774" s="46"/>
      <c r="WJP774" s="46"/>
      <c r="WJR774" s="46"/>
      <c r="WJT774" s="46"/>
      <c r="WJV774" s="46"/>
      <c r="WJX774" s="46"/>
      <c r="WJZ774" s="46"/>
      <c r="WKB774" s="46"/>
      <c r="WKD774" s="46"/>
      <c r="WKF774" s="46"/>
      <c r="WKH774" s="46"/>
      <c r="WKJ774" s="46"/>
      <c r="WKL774" s="46"/>
      <c r="WKN774" s="46"/>
      <c r="WKP774" s="46"/>
      <c r="WKR774" s="46"/>
      <c r="WKT774" s="46"/>
      <c r="WKV774" s="46"/>
      <c r="WKX774" s="46"/>
      <c r="WKZ774" s="46"/>
      <c r="WLB774" s="46"/>
      <c r="WLD774" s="46"/>
      <c r="WLF774" s="46"/>
      <c r="WLH774" s="46"/>
      <c r="WLJ774" s="46"/>
      <c r="WLL774" s="46"/>
      <c r="WLN774" s="46"/>
      <c r="WLP774" s="46"/>
      <c r="WLR774" s="46"/>
      <c r="WLT774" s="46"/>
      <c r="WLV774" s="46"/>
      <c r="WLX774" s="46"/>
      <c r="WLZ774" s="46"/>
      <c r="WMB774" s="46"/>
      <c r="WMD774" s="46"/>
      <c r="WMF774" s="46"/>
      <c r="WMH774" s="46"/>
      <c r="WMJ774" s="46"/>
      <c r="WML774" s="46"/>
      <c r="WMN774" s="46"/>
      <c r="WMP774" s="46"/>
      <c r="WMR774" s="46"/>
      <c r="WMT774" s="46"/>
      <c r="WMV774" s="46"/>
      <c r="WMX774" s="46"/>
      <c r="WMZ774" s="46"/>
      <c r="WNB774" s="46"/>
      <c r="WND774" s="46"/>
      <c r="WNF774" s="46"/>
      <c r="WNH774" s="46"/>
      <c r="WNJ774" s="46"/>
      <c r="WNL774" s="46"/>
      <c r="WNN774" s="46"/>
      <c r="WNP774" s="46"/>
      <c r="WNR774" s="46"/>
      <c r="WNT774" s="46"/>
      <c r="WNV774" s="46"/>
      <c r="WNX774" s="46"/>
      <c r="WNZ774" s="46"/>
      <c r="WOB774" s="46"/>
      <c r="WOD774" s="46"/>
      <c r="WOF774" s="46"/>
      <c r="WOH774" s="46"/>
      <c r="WOJ774" s="46"/>
      <c r="WOL774" s="46"/>
      <c r="WON774" s="46"/>
      <c r="WOP774" s="46"/>
      <c r="WOR774" s="46"/>
      <c r="WOT774" s="46"/>
      <c r="WOV774" s="46"/>
      <c r="WOX774" s="46"/>
      <c r="WOZ774" s="46"/>
      <c r="WPB774" s="46"/>
      <c r="WPD774" s="46"/>
      <c r="WPF774" s="46"/>
      <c r="WPH774" s="46"/>
      <c r="WPJ774" s="46"/>
      <c r="WPL774" s="46"/>
      <c r="WPN774" s="46"/>
      <c r="WPP774" s="46"/>
      <c r="WPR774" s="46"/>
      <c r="WPT774" s="46"/>
      <c r="WPV774" s="46"/>
      <c r="WPX774" s="46"/>
      <c r="WPZ774" s="46"/>
      <c r="WQB774" s="46"/>
      <c r="WQD774" s="46"/>
      <c r="WQF774" s="46"/>
      <c r="WQH774" s="46"/>
      <c r="WQJ774" s="46"/>
      <c r="WQL774" s="46"/>
      <c r="WQN774" s="46"/>
      <c r="WQP774" s="46"/>
      <c r="WQR774" s="46"/>
      <c r="WQT774" s="46"/>
      <c r="WQV774" s="46"/>
      <c r="WQX774" s="46"/>
      <c r="WQZ774" s="46"/>
      <c r="WRB774" s="46"/>
      <c r="WRD774" s="46"/>
      <c r="WRF774" s="46"/>
      <c r="WRH774" s="46"/>
      <c r="WRJ774" s="46"/>
      <c r="WRL774" s="46"/>
      <c r="WRN774" s="46"/>
      <c r="WRP774" s="46"/>
      <c r="WRR774" s="46"/>
      <c r="WRT774" s="46"/>
      <c r="WRV774" s="46"/>
      <c r="WRX774" s="46"/>
      <c r="WRZ774" s="46"/>
      <c r="WSB774" s="46"/>
      <c r="WSD774" s="46"/>
      <c r="WSF774" s="46"/>
      <c r="WSH774" s="46"/>
      <c r="WSJ774" s="46"/>
      <c r="WSL774" s="46"/>
      <c r="WSN774" s="46"/>
      <c r="WSP774" s="46"/>
      <c r="WSR774" s="46"/>
      <c r="WST774" s="46"/>
      <c r="WSV774" s="46"/>
      <c r="WSX774" s="46"/>
      <c r="WSZ774" s="46"/>
      <c r="WTB774" s="46"/>
      <c r="WTD774" s="46"/>
      <c r="WTF774" s="46"/>
      <c r="WTH774" s="46"/>
      <c r="WTJ774" s="46"/>
      <c r="WTL774" s="46"/>
      <c r="WTN774" s="46"/>
      <c r="WTP774" s="46"/>
      <c r="WTR774" s="46"/>
      <c r="WTT774" s="46"/>
      <c r="WTV774" s="46"/>
      <c r="WTX774" s="46"/>
      <c r="WTZ774" s="46"/>
      <c r="WUB774" s="46"/>
      <c r="WUD774" s="46"/>
      <c r="WUF774" s="46"/>
      <c r="WUH774" s="46"/>
      <c r="WUJ774" s="46"/>
      <c r="WUL774" s="46"/>
      <c r="WUN774" s="46"/>
      <c r="WUP774" s="46"/>
      <c r="WUR774" s="46"/>
      <c r="WUT774" s="46"/>
      <c r="WUV774" s="46"/>
      <c r="WUX774" s="46"/>
      <c r="WUZ774" s="46"/>
      <c r="WVB774" s="46"/>
      <c r="WVD774" s="46"/>
      <c r="WVF774" s="46"/>
      <c r="WVH774" s="46"/>
      <c r="WVJ774" s="46"/>
      <c r="WVL774" s="46"/>
      <c r="WVN774" s="46"/>
      <c r="WVP774" s="46"/>
      <c r="WVR774" s="46"/>
      <c r="WVT774" s="46"/>
      <c r="WVV774" s="46"/>
      <c r="WVX774" s="46"/>
      <c r="WVZ774" s="46"/>
      <c r="WWB774" s="46"/>
      <c r="WWD774" s="46"/>
      <c r="WWF774" s="46"/>
      <c r="WWH774" s="46"/>
      <c r="WWJ774" s="46"/>
      <c r="WWL774" s="46"/>
      <c r="WWN774" s="46"/>
      <c r="WWP774" s="46"/>
      <c r="WWR774" s="46"/>
      <c r="WWT774" s="46"/>
      <c r="WWV774" s="46"/>
      <c r="WWX774" s="46"/>
      <c r="WWZ774" s="46"/>
      <c r="WXB774" s="46"/>
      <c r="WXD774" s="46"/>
      <c r="WXF774" s="46"/>
      <c r="WXH774" s="46"/>
      <c r="WXJ774" s="46"/>
      <c r="WXL774" s="46"/>
      <c r="WXN774" s="46"/>
      <c r="WXP774" s="46"/>
      <c r="WXR774" s="46"/>
      <c r="WXT774" s="46"/>
      <c r="WXV774" s="46"/>
      <c r="WXX774" s="46"/>
      <c r="WXZ774" s="46"/>
      <c r="WYB774" s="46"/>
      <c r="WYD774" s="46"/>
      <c r="WYF774" s="46"/>
      <c r="WYH774" s="46"/>
      <c r="WYJ774" s="46"/>
      <c r="WYL774" s="46"/>
      <c r="WYN774" s="46"/>
      <c r="WYP774" s="46"/>
      <c r="WYR774" s="46"/>
      <c r="WYT774" s="46"/>
      <c r="WYV774" s="46"/>
      <c r="WYX774" s="46"/>
      <c r="WYZ774" s="46"/>
      <c r="WZB774" s="46"/>
      <c r="WZD774" s="46"/>
      <c r="WZF774" s="46"/>
      <c r="WZH774" s="46"/>
      <c r="WZJ774" s="46"/>
      <c r="WZL774" s="46"/>
      <c r="WZN774" s="46"/>
      <c r="WZP774" s="46"/>
      <c r="WZR774" s="46"/>
      <c r="WZT774" s="46"/>
      <c r="WZV774" s="46"/>
      <c r="WZX774" s="46"/>
      <c r="WZZ774" s="46"/>
      <c r="XAB774" s="46"/>
      <c r="XAD774" s="46"/>
      <c r="XAF774" s="46"/>
      <c r="XAH774" s="46"/>
      <c r="XAJ774" s="46"/>
      <c r="XAL774" s="46"/>
      <c r="XAN774" s="46"/>
      <c r="XAP774" s="46"/>
    </row>
    <row r="775" spans="1:1024 1026:2048 2050:3072 3074:4096 4098:5120 5122:6144 6146:7168 7170:8192 8194:9216 9218:10240 10242:11264 11266:12288 12290:13312 13314:14336 14338:15360 15362:16266" s="32" customFormat="1" ht="14.25" customHeight="1">
      <c r="A775" s="3" t="s">
        <v>641</v>
      </c>
      <c r="B775" s="36" t="s">
        <v>3374</v>
      </c>
      <c r="C775" s="214">
        <v>4058075541962</v>
      </c>
      <c r="D775" s="28"/>
      <c r="E775" s="215"/>
      <c r="F775" s="214"/>
      <c r="G775" s="66" t="str">
        <f>HYPERLINK("https://ledvance.com/pt/product-datasheet/158132/135080","Ficha de Produto")</f>
        <v>Ficha de Produto</v>
      </c>
      <c r="H775" s="34">
        <v>6</v>
      </c>
      <c r="I775" s="34" t="s">
        <v>880</v>
      </c>
      <c r="J775" s="34" t="s">
        <v>6170</v>
      </c>
      <c r="K775" s="34" t="s">
        <v>822</v>
      </c>
      <c r="L775" s="34" t="s">
        <v>765</v>
      </c>
      <c r="M775" s="30">
        <v>90.8</v>
      </c>
      <c r="N775" s="283" t="s">
        <v>721</v>
      </c>
    </row>
    <row r="776" spans="1:1024 1026:2048 2050:3072 3074:4096 4098:5120 5122:6144 6146:7168 7170:8192 8194:9216 9218:10240 10242:11264 11266:12288 12290:13312 13314:14336 14338:15360 15362:16266" ht="14.25" customHeight="1">
      <c r="A776" s="3" t="s">
        <v>641</v>
      </c>
      <c r="B776" s="36" t="s">
        <v>3153</v>
      </c>
      <c r="C776" s="218">
        <v>4058075836082</v>
      </c>
      <c r="D776" s="28"/>
      <c r="E776" s="229"/>
      <c r="F776" s="221" t="s">
        <v>2019</v>
      </c>
      <c r="G776" s="66" t="str">
        <f>HYPERLINK("https://ledvance.com/pt/product-datasheet/158132/287841","Ficha de Produto")</f>
        <v>Ficha de Produto</v>
      </c>
      <c r="H776" s="4"/>
      <c r="I776" s="34" t="s">
        <v>848</v>
      </c>
      <c r="J776" s="34" t="s">
        <v>6184</v>
      </c>
      <c r="K776" s="34" t="s">
        <v>822</v>
      </c>
      <c r="L776" s="34" t="s">
        <v>765</v>
      </c>
      <c r="M776" s="30">
        <v>107.5</v>
      </c>
      <c r="N776" s="283" t="s">
        <v>721</v>
      </c>
    </row>
    <row r="777" spans="1:1024 1026:2048 2050:3072 3074:4096 4098:5120 5122:6144 6146:7168 7170:8192 8194:9216 9218:10240 10242:11264 11266:12288 12290:13312 13314:14336 14338:15360 15362:16266" s="32" customFormat="1" ht="14.25" customHeight="1">
      <c r="A777" s="3" t="s">
        <v>641</v>
      </c>
      <c r="B777" s="36" t="s">
        <v>3375</v>
      </c>
      <c r="C777" s="214">
        <v>4058075541986</v>
      </c>
      <c r="D777" s="214"/>
      <c r="E777" s="215"/>
      <c r="F777" s="214"/>
      <c r="G777" s="66" t="str">
        <f>HYPERLINK("https://ledvance.com/pt/product-datasheet/158132/135083","Ficha de Produto")</f>
        <v>Ficha de Produto</v>
      </c>
      <c r="H777" s="34">
        <v>6</v>
      </c>
      <c r="I777" s="34" t="s">
        <v>873</v>
      </c>
      <c r="J777" s="34" t="s">
        <v>6168</v>
      </c>
      <c r="K777" s="34" t="s">
        <v>822</v>
      </c>
      <c r="L777" s="34" t="s">
        <v>765</v>
      </c>
      <c r="M777" s="30">
        <v>101</v>
      </c>
      <c r="N777" s="283" t="s">
        <v>721</v>
      </c>
    </row>
    <row r="778" spans="1:1024 1026:2048 2050:3072 3074:4096 4098:5120 5122:6144 6146:7168 7170:8192 8194:9216 9218:10240 10242:11264 11266:12288 12290:13312 13314:14336 14338:15360 15362:16266" s="32" customFormat="1" ht="14.25" customHeight="1">
      <c r="A778" s="3" t="s">
        <v>641</v>
      </c>
      <c r="B778" s="36" t="s">
        <v>3376</v>
      </c>
      <c r="C778" s="214">
        <v>4058075542006</v>
      </c>
      <c r="D778" s="214"/>
      <c r="E778" s="215"/>
      <c r="F778" s="214"/>
      <c r="G778" s="66" t="str">
        <f>HYPERLINK("https://ledvance.com/pt/product-datasheet/158132/135086","Ficha de Produto")</f>
        <v>Ficha de Produto</v>
      </c>
      <c r="H778" s="34">
        <v>6</v>
      </c>
      <c r="I778" s="34" t="s">
        <v>864</v>
      </c>
      <c r="J778" s="34" t="s">
        <v>6185</v>
      </c>
      <c r="K778" s="34" t="s">
        <v>822</v>
      </c>
      <c r="L778" s="34" t="s">
        <v>765</v>
      </c>
      <c r="M778" s="30">
        <v>141.69999999999999</v>
      </c>
      <c r="N778" s="283" t="s">
        <v>721</v>
      </c>
    </row>
    <row r="779" spans="1:1024 1026:2048 2050:3072 3074:4096 4098:5120 5122:6144 6146:7168 7170:8192 8194:9216 9218:10240 10242:11264 11266:12288 12290:13312 13314:14336 14338:15360 15362:16266" s="32" customFormat="1" ht="14.25" customHeight="1">
      <c r="A779" s="8" t="s">
        <v>641</v>
      </c>
      <c r="B779" s="227" t="s">
        <v>680</v>
      </c>
      <c r="C779" s="7"/>
      <c r="D779" s="7"/>
      <c r="E779" s="7"/>
      <c r="F779" s="7"/>
      <c r="G779" s="68"/>
      <c r="H779" s="7"/>
      <c r="I779" s="7"/>
      <c r="J779" s="7"/>
      <c r="K779" s="7"/>
      <c r="L779" s="7"/>
      <c r="M779" s="7"/>
      <c r="N779" s="284"/>
    </row>
    <row r="780" spans="1:1024 1026:2048 2050:3072 3074:4096 4098:5120 5122:6144 6146:7168 7170:8192 8194:9216 9218:10240 10242:11264 11266:12288 12290:13312 13314:14336 14338:15360 15362:16266" s="32" customFormat="1" ht="14.25" customHeight="1">
      <c r="A780" s="3" t="s">
        <v>641</v>
      </c>
      <c r="B780" s="36" t="s">
        <v>3378</v>
      </c>
      <c r="C780" s="214">
        <v>4058075300705</v>
      </c>
      <c r="D780" s="214"/>
      <c r="E780" s="215"/>
      <c r="F780" s="214"/>
      <c r="G780" s="66" t="str">
        <f>HYPERLINK("https://ledvance.com/pt/product-datasheet/8838/130248","Ficha de Produto")</f>
        <v>Ficha de Produto</v>
      </c>
      <c r="H780" s="34">
        <v>6</v>
      </c>
      <c r="I780" s="34" t="s">
        <v>885</v>
      </c>
      <c r="J780" s="34" t="s">
        <v>6188</v>
      </c>
      <c r="K780" s="34" t="s">
        <v>822</v>
      </c>
      <c r="L780" s="34" t="s">
        <v>793</v>
      </c>
      <c r="M780" s="30">
        <v>33.5</v>
      </c>
      <c r="N780" s="283" t="s">
        <v>721</v>
      </c>
    </row>
    <row r="781" spans="1:1024 1026:2048 2050:3072 3074:4096 4098:5120 5122:6144 6146:7168 7170:8192 8194:9216 9218:10240 10242:11264 11266:12288 12290:13312 13314:14336 14338:15360 15362:16266" s="32" customFormat="1" ht="14.25" customHeight="1">
      <c r="A781" s="3" t="s">
        <v>641</v>
      </c>
      <c r="B781" s="36" t="s">
        <v>3379</v>
      </c>
      <c r="C781" s="214">
        <v>4058075300743</v>
      </c>
      <c r="D781" s="214"/>
      <c r="E781" s="215"/>
      <c r="F781" s="214"/>
      <c r="G781" s="66" t="str">
        <f>HYPERLINK("https://ledvance.com/pt/product-datasheet/8838/130255","Ficha de Produto")</f>
        <v>Ficha de Produto</v>
      </c>
      <c r="H781" s="34">
        <v>6</v>
      </c>
      <c r="I781" s="34" t="s">
        <v>887</v>
      </c>
      <c r="J781" s="34" t="s">
        <v>6115</v>
      </c>
      <c r="K781" s="34" t="s">
        <v>822</v>
      </c>
      <c r="L781" s="34" t="s">
        <v>793</v>
      </c>
      <c r="M781" s="30">
        <v>39</v>
      </c>
      <c r="N781" s="283" t="s">
        <v>721</v>
      </c>
    </row>
    <row r="782" spans="1:1024 1026:2048 2050:3072 3074:4096 4098:5120 5122:6144 6146:7168 7170:8192 8194:9216 9218:10240 10242:11264 11266:12288 12290:13312 13314:14336 14338:15360 15362:16266" s="32" customFormat="1" ht="14.25" customHeight="1">
      <c r="A782" s="3" t="s">
        <v>641</v>
      </c>
      <c r="B782" s="36" t="s">
        <v>3380</v>
      </c>
      <c r="C782" s="214">
        <v>4058075300781</v>
      </c>
      <c r="D782" s="214"/>
      <c r="E782" s="215"/>
      <c r="F782" s="214"/>
      <c r="G782" s="66" t="str">
        <f>HYPERLINK("https://ledvance.com/pt/product-datasheet/8838/45053","Ficha de Produto")</f>
        <v>Ficha de Produto</v>
      </c>
      <c r="H782" s="34">
        <v>6</v>
      </c>
      <c r="I782" s="34" t="s">
        <v>767</v>
      </c>
      <c r="J782" s="34" t="s">
        <v>6116</v>
      </c>
      <c r="K782" s="34" t="s">
        <v>822</v>
      </c>
      <c r="L782" s="34" t="s">
        <v>793</v>
      </c>
      <c r="M782" s="30">
        <v>55.6</v>
      </c>
      <c r="N782" s="283" t="s">
        <v>721</v>
      </c>
    </row>
    <row r="783" spans="1:1024 1026:2048 2050:3072 3074:4096 4098:5120 5122:6144 6146:7168 7170:8192 8194:9216 9218:10240 10242:11264 11266:12288 12290:13312 13314:14336 14338:15360 15362:16266" s="32" customFormat="1" ht="14.25" customHeight="1">
      <c r="A783" s="3" t="s">
        <v>641</v>
      </c>
      <c r="B783" s="36" t="s">
        <v>3381</v>
      </c>
      <c r="C783" s="214">
        <v>4058075300828</v>
      </c>
      <c r="D783" s="214"/>
      <c r="E783" s="215"/>
      <c r="F783" s="214"/>
      <c r="G783" s="66" t="str">
        <f>HYPERLINK("https://ledvance.com/pt/product-datasheet/8838/45059","Ficha de Produto")</f>
        <v>Ficha de Produto</v>
      </c>
      <c r="H783" s="34">
        <v>6</v>
      </c>
      <c r="I783" s="34" t="s">
        <v>844</v>
      </c>
      <c r="J783" s="34" t="s">
        <v>6157</v>
      </c>
      <c r="K783" s="34" t="s">
        <v>822</v>
      </c>
      <c r="L783" s="34" t="s">
        <v>793</v>
      </c>
      <c r="M783" s="30">
        <v>68.7</v>
      </c>
      <c r="N783" s="283" t="s">
        <v>721</v>
      </c>
    </row>
    <row r="784" spans="1:1024 1026:2048 2050:3072 3074:4096 4098:5120 5122:6144 6146:7168 7170:8192 8194:9216 9218:10240 10242:11264 11266:12288 12290:13312 13314:14336 14338:15360 15362:16266" s="32" customFormat="1" ht="14.25" customHeight="1">
      <c r="A784" s="3" t="s">
        <v>641</v>
      </c>
      <c r="B784" s="36" t="s">
        <v>3382</v>
      </c>
      <c r="C784" s="214">
        <v>4058075300866</v>
      </c>
      <c r="D784" s="214"/>
      <c r="E784" s="215"/>
      <c r="F784" s="214"/>
      <c r="G784" s="66" t="str">
        <f>HYPERLINK("https://ledvance.com/pt/product-datasheet/8838/130262","Ficha de Produto")</f>
        <v>Ficha de Produto</v>
      </c>
      <c r="H784" s="34">
        <v>6</v>
      </c>
      <c r="I784" s="34" t="s">
        <v>832</v>
      </c>
      <c r="J784" s="34" t="s">
        <v>6121</v>
      </c>
      <c r="K784" s="34" t="s">
        <v>822</v>
      </c>
      <c r="L784" s="34" t="s">
        <v>793</v>
      </c>
      <c r="M784" s="30">
        <v>59</v>
      </c>
      <c r="N784" s="283" t="s">
        <v>721</v>
      </c>
    </row>
    <row r="785" spans="1:14" s="32" customFormat="1" ht="14.25" customHeight="1">
      <c r="A785" s="3" t="s">
        <v>641</v>
      </c>
      <c r="B785" s="36" t="s">
        <v>3383</v>
      </c>
      <c r="C785" s="214">
        <v>4058075300903</v>
      </c>
      <c r="D785" s="214"/>
      <c r="E785" s="215"/>
      <c r="F785" s="214"/>
      <c r="G785" s="66" t="str">
        <f>HYPERLINK("https://ledvance.com/pt/product-datasheet/8838/58201","Ficha de Produto")</f>
        <v>Ficha de Produto</v>
      </c>
      <c r="H785" s="34">
        <v>6</v>
      </c>
      <c r="I785" s="34" t="s">
        <v>889</v>
      </c>
      <c r="J785" s="34" t="s">
        <v>6171</v>
      </c>
      <c r="K785" s="34" t="s">
        <v>822</v>
      </c>
      <c r="L785" s="34" t="s">
        <v>793</v>
      </c>
      <c r="M785" s="30">
        <v>75.2</v>
      </c>
      <c r="N785" s="283" t="s">
        <v>721</v>
      </c>
    </row>
    <row r="786" spans="1:14" s="32" customFormat="1" ht="14.25" customHeight="1">
      <c r="A786" s="3" t="s">
        <v>641</v>
      </c>
      <c r="B786" s="36" t="s">
        <v>3384</v>
      </c>
      <c r="C786" s="214">
        <v>4058075300941</v>
      </c>
      <c r="D786" s="214"/>
      <c r="E786" s="215"/>
      <c r="F786" s="214"/>
      <c r="G786" s="66" t="str">
        <f>HYPERLINK("https://ledvance.com/pt/product-datasheet/8838/130272","Ficha de Produto")</f>
        <v>Ficha de Produto</v>
      </c>
      <c r="H786" s="34">
        <v>6</v>
      </c>
      <c r="I786" s="34" t="s">
        <v>847</v>
      </c>
      <c r="J786" s="34" t="s">
        <v>6189</v>
      </c>
      <c r="K786" s="34" t="s">
        <v>822</v>
      </c>
      <c r="L786" s="34" t="s">
        <v>793</v>
      </c>
      <c r="M786" s="30">
        <v>93.7</v>
      </c>
      <c r="N786" s="283" t="s">
        <v>721</v>
      </c>
    </row>
    <row r="787" spans="1:14" s="32" customFormat="1" ht="14.25" customHeight="1">
      <c r="A787" s="3" t="s">
        <v>641</v>
      </c>
      <c r="B787" s="36" t="s">
        <v>3385</v>
      </c>
      <c r="C787" s="214">
        <v>4058075300989</v>
      </c>
      <c r="D787" s="214"/>
      <c r="E787" s="215"/>
      <c r="F787" s="214"/>
      <c r="G787" s="66" t="str">
        <f>HYPERLINK("https://ledvance.com/pt/product-datasheet/8838/130279","Ficha de Produto")</f>
        <v>Ficha de Produto</v>
      </c>
      <c r="H787" s="34">
        <v>6</v>
      </c>
      <c r="I787" s="34" t="s">
        <v>6181</v>
      </c>
      <c r="J787" s="34" t="s">
        <v>6172</v>
      </c>
      <c r="K787" s="34" t="s">
        <v>822</v>
      </c>
      <c r="L787" s="34" t="s">
        <v>793</v>
      </c>
      <c r="M787" s="30">
        <v>114.3</v>
      </c>
      <c r="N787" s="283" t="s">
        <v>721</v>
      </c>
    </row>
    <row r="788" spans="1:14" s="32" customFormat="1" ht="14.25" customHeight="1">
      <c r="A788" s="8" t="s">
        <v>641</v>
      </c>
      <c r="B788" s="227" t="s">
        <v>1738</v>
      </c>
      <c r="C788" s="7"/>
      <c r="D788" s="7"/>
      <c r="E788" s="7"/>
      <c r="F788" s="7"/>
      <c r="G788" s="68"/>
      <c r="H788" s="7"/>
      <c r="I788" s="7"/>
      <c r="J788" s="7"/>
      <c r="K788" s="7"/>
      <c r="L788" s="7"/>
      <c r="M788" s="7"/>
      <c r="N788" s="284"/>
    </row>
    <row r="789" spans="1:14" s="32" customFormat="1" ht="14.25" customHeight="1">
      <c r="A789" s="3" t="s">
        <v>641</v>
      </c>
      <c r="B789" s="36" t="s">
        <v>1734</v>
      </c>
      <c r="C789" s="214">
        <v>4058075066458</v>
      </c>
      <c r="D789" s="214"/>
      <c r="E789" s="215"/>
      <c r="F789" s="214"/>
      <c r="G789" s="66" t="str">
        <f>HYPERLINK("https://ledvance.com/pt/product-datasheet/8836/130208","Ficha de Produto")</f>
        <v>Ficha de Produto</v>
      </c>
      <c r="H789" s="34">
        <v>9</v>
      </c>
      <c r="I789" s="34" t="s">
        <v>815</v>
      </c>
      <c r="J789" s="34" t="s">
        <v>6143</v>
      </c>
      <c r="K789" s="34" t="s">
        <v>822</v>
      </c>
      <c r="L789" s="34" t="s">
        <v>793</v>
      </c>
      <c r="M789" s="30">
        <v>42.5</v>
      </c>
      <c r="N789" s="283" t="s">
        <v>721</v>
      </c>
    </row>
    <row r="790" spans="1:14" s="32" customFormat="1" ht="14.25" customHeight="1">
      <c r="A790" s="3" t="s">
        <v>641</v>
      </c>
      <c r="B790" s="36" t="s">
        <v>1735</v>
      </c>
      <c r="C790" s="214">
        <v>4058075066472</v>
      </c>
      <c r="D790" s="214"/>
      <c r="E790" s="215"/>
      <c r="F790" s="214"/>
      <c r="G790" s="66" t="str">
        <f>HYPERLINK("https://ledvance.com/pt/product-datasheet/8836/130212","Ficha de Produto")</f>
        <v>Ficha de Produto</v>
      </c>
      <c r="H790" s="34">
        <v>9</v>
      </c>
      <c r="I790" s="34" t="s">
        <v>815</v>
      </c>
      <c r="J790" s="34" t="s">
        <v>6143</v>
      </c>
      <c r="K790" s="34" t="s">
        <v>822</v>
      </c>
      <c r="L790" s="34" t="s">
        <v>793</v>
      </c>
      <c r="M790" s="30">
        <v>42.5</v>
      </c>
      <c r="N790" s="283" t="s">
        <v>721</v>
      </c>
    </row>
    <row r="791" spans="1:14" s="32" customFormat="1" ht="14.25" customHeight="1">
      <c r="A791" s="3" t="s">
        <v>641</v>
      </c>
      <c r="B791" s="36" t="s">
        <v>1736</v>
      </c>
      <c r="C791" s="214">
        <v>4058075066496</v>
      </c>
      <c r="D791" s="214"/>
      <c r="E791" s="215"/>
      <c r="F791" s="214"/>
      <c r="G791" s="66" t="str">
        <f>HYPERLINK("https://ledvance.com/pt/product-datasheet/8836/130216","Ficha de Produto")</f>
        <v>Ficha de Produto</v>
      </c>
      <c r="H791" s="34">
        <v>6</v>
      </c>
      <c r="I791" s="34" t="s">
        <v>850</v>
      </c>
      <c r="J791" s="34" t="s">
        <v>6171</v>
      </c>
      <c r="K791" s="34" t="s">
        <v>822</v>
      </c>
      <c r="L791" s="34" t="s">
        <v>793</v>
      </c>
      <c r="M791" s="30">
        <v>50.2</v>
      </c>
      <c r="N791" s="283" t="s">
        <v>721</v>
      </c>
    </row>
    <row r="792" spans="1:14" s="32" customFormat="1" ht="14.25" customHeight="1">
      <c r="A792" s="3" t="s">
        <v>641</v>
      </c>
      <c r="B792" s="36" t="s">
        <v>1737</v>
      </c>
      <c r="C792" s="214">
        <v>4058075066519</v>
      </c>
      <c r="D792" s="214"/>
      <c r="E792" s="215"/>
      <c r="F792" s="214"/>
      <c r="G792" s="66" t="str">
        <f>HYPERLINK("https://ledvance.com/pt/product-datasheet/8836/130220","Ficha de Produto")</f>
        <v>Ficha de Produto</v>
      </c>
      <c r="H792" s="34">
        <v>6</v>
      </c>
      <c r="I792" s="34" t="s">
        <v>850</v>
      </c>
      <c r="J792" s="34" t="s">
        <v>6171</v>
      </c>
      <c r="K792" s="34" t="s">
        <v>822</v>
      </c>
      <c r="L792" s="34" t="s">
        <v>793</v>
      </c>
      <c r="M792" s="30">
        <v>50.2</v>
      </c>
      <c r="N792" s="283" t="s">
        <v>721</v>
      </c>
    </row>
    <row r="793" spans="1:14" s="32" customFormat="1" ht="14.25" customHeight="1">
      <c r="A793" s="8" t="s">
        <v>641</v>
      </c>
      <c r="B793" s="227" t="s">
        <v>681</v>
      </c>
      <c r="C793" s="7"/>
      <c r="D793" s="7"/>
      <c r="E793" s="7"/>
      <c r="F793" s="7"/>
      <c r="G793" s="68"/>
      <c r="H793" s="7"/>
      <c r="I793" s="7"/>
      <c r="J793" s="7"/>
      <c r="K793" s="7"/>
      <c r="L793" s="7"/>
      <c r="M793" s="7"/>
      <c r="N793" s="284"/>
    </row>
    <row r="794" spans="1:14" s="32" customFormat="1" ht="14.25" customHeight="1">
      <c r="A794" s="3" t="s">
        <v>641</v>
      </c>
      <c r="B794" s="36" t="s">
        <v>1791</v>
      </c>
      <c r="C794" s="10">
        <v>4099854080326</v>
      </c>
      <c r="D794" s="224">
        <v>4058075463820</v>
      </c>
      <c r="E794" s="225" t="s">
        <v>106</v>
      </c>
      <c r="F794" s="222" t="s">
        <v>2019</v>
      </c>
      <c r="G794" s="66" t="str">
        <f>HYPERLINK("https://ledvance.com/pt/product-datasheet/264971/242715","Ficha de Produto")</f>
        <v>Ficha de Produto</v>
      </c>
      <c r="H794" s="34">
        <v>9</v>
      </c>
      <c r="I794" s="34" t="s">
        <v>6190</v>
      </c>
      <c r="J794" s="34" t="s">
        <v>6113</v>
      </c>
      <c r="K794" s="34" t="s">
        <v>822</v>
      </c>
      <c r="L794" s="34" t="s">
        <v>765</v>
      </c>
      <c r="M794" s="30">
        <v>35</v>
      </c>
      <c r="N794" s="283" t="s">
        <v>721</v>
      </c>
    </row>
    <row r="795" spans="1:14" s="32" customFormat="1" ht="14.25" customHeight="1">
      <c r="A795" s="3" t="s">
        <v>641</v>
      </c>
      <c r="B795" s="36" t="s">
        <v>1792</v>
      </c>
      <c r="C795" s="10">
        <v>4099854080340</v>
      </c>
      <c r="D795" s="224">
        <v>4058075463844</v>
      </c>
      <c r="E795" s="225" t="s">
        <v>107</v>
      </c>
      <c r="F795" s="222" t="s">
        <v>2019</v>
      </c>
      <c r="G795" s="66" t="str">
        <f>HYPERLINK("https://ledvance.com/pt/product-datasheet/264971/242748","Ficha de Produto")</f>
        <v>Ficha de Produto</v>
      </c>
      <c r="H795" s="34">
        <v>9</v>
      </c>
      <c r="I795" s="34" t="s">
        <v>6190</v>
      </c>
      <c r="J795" s="34" t="s">
        <v>6113</v>
      </c>
      <c r="K795" s="34" t="s">
        <v>822</v>
      </c>
      <c r="L795" s="34" t="s">
        <v>765</v>
      </c>
      <c r="M795" s="30">
        <v>35</v>
      </c>
      <c r="N795" s="283" t="s">
        <v>721</v>
      </c>
    </row>
    <row r="796" spans="1:14" s="32" customFormat="1" ht="14.25" customHeight="1">
      <c r="A796" s="3" t="s">
        <v>641</v>
      </c>
      <c r="B796" s="36" t="s">
        <v>1793</v>
      </c>
      <c r="C796" s="10">
        <v>4099854080364</v>
      </c>
      <c r="D796" s="224">
        <v>4058075463868</v>
      </c>
      <c r="E796" s="225" t="s">
        <v>108</v>
      </c>
      <c r="F796" s="222" t="s">
        <v>2019</v>
      </c>
      <c r="G796" s="66" t="str">
        <f>HYPERLINK("https://ledvance.com/pt/product-datasheet/264971/242718","Ficha de Produto")</f>
        <v>Ficha de Produto</v>
      </c>
      <c r="H796" s="34">
        <v>6</v>
      </c>
      <c r="I796" s="34" t="s">
        <v>6191</v>
      </c>
      <c r="J796" s="34" t="s">
        <v>6138</v>
      </c>
      <c r="K796" s="34" t="s">
        <v>822</v>
      </c>
      <c r="L796" s="34" t="s">
        <v>765</v>
      </c>
      <c r="M796" s="30">
        <v>47.6</v>
      </c>
      <c r="N796" s="283" t="s">
        <v>721</v>
      </c>
    </row>
    <row r="797" spans="1:14" s="32" customFormat="1" ht="14.25" customHeight="1">
      <c r="A797" s="3" t="s">
        <v>641</v>
      </c>
      <c r="B797" s="36" t="s">
        <v>1794</v>
      </c>
      <c r="C797" s="10">
        <v>4099854080388</v>
      </c>
      <c r="D797" s="224">
        <v>4058075463882</v>
      </c>
      <c r="E797" s="225" t="s">
        <v>109</v>
      </c>
      <c r="F797" s="222" t="s">
        <v>2019</v>
      </c>
      <c r="G797" s="66" t="str">
        <f>HYPERLINK("https://ledvance.com/pt/product-datasheet/264971/242751","Ficha de Produto")</f>
        <v>Ficha de Produto</v>
      </c>
      <c r="H797" s="34">
        <v>6</v>
      </c>
      <c r="I797" s="34" t="s">
        <v>6191</v>
      </c>
      <c r="J797" s="34" t="s">
        <v>6138</v>
      </c>
      <c r="K797" s="34" t="s">
        <v>822</v>
      </c>
      <c r="L797" s="34" t="s">
        <v>765</v>
      </c>
      <c r="M797" s="30">
        <v>47.6</v>
      </c>
      <c r="N797" s="283" t="s">
        <v>721</v>
      </c>
    </row>
    <row r="798" spans="1:14" s="32" customFormat="1" ht="14.25" customHeight="1">
      <c r="A798" s="3" t="s">
        <v>641</v>
      </c>
      <c r="B798" s="36" t="s">
        <v>1795</v>
      </c>
      <c r="C798" s="10">
        <v>4099854080401</v>
      </c>
      <c r="D798" s="224">
        <v>4058075463905</v>
      </c>
      <c r="E798" s="225" t="s">
        <v>110</v>
      </c>
      <c r="F798" s="222" t="s">
        <v>2019</v>
      </c>
      <c r="G798" s="66" t="str">
        <f>HYPERLINK("https://ledvance.com/pt/product-datasheet/264971/242721","Ficha de Produto")</f>
        <v>Ficha de Produto</v>
      </c>
      <c r="H798" s="34">
        <v>6</v>
      </c>
      <c r="I798" s="34" t="s">
        <v>6192</v>
      </c>
      <c r="J798" s="34" t="s">
        <v>6159</v>
      </c>
      <c r="K798" s="34" t="s">
        <v>822</v>
      </c>
      <c r="L798" s="34" t="s">
        <v>765</v>
      </c>
      <c r="M798" s="30">
        <v>61.6</v>
      </c>
      <c r="N798" s="283" t="s">
        <v>721</v>
      </c>
    </row>
    <row r="799" spans="1:14" s="32" customFormat="1" ht="14.25" customHeight="1">
      <c r="A799" s="3" t="s">
        <v>641</v>
      </c>
      <c r="B799" s="36" t="s">
        <v>1796</v>
      </c>
      <c r="C799" s="10">
        <v>4099854080425</v>
      </c>
      <c r="D799" s="224">
        <v>4058075463929</v>
      </c>
      <c r="E799" s="225" t="s">
        <v>111</v>
      </c>
      <c r="F799" s="222" t="s">
        <v>2019</v>
      </c>
      <c r="G799" s="66" t="str">
        <f>HYPERLINK("https://ledvance.com/pt/product-datasheet/264971/242754","Ficha de Produto")</f>
        <v>Ficha de Produto</v>
      </c>
      <c r="H799" s="34">
        <v>6</v>
      </c>
      <c r="I799" s="34" t="s">
        <v>6192</v>
      </c>
      <c r="J799" s="34" t="s">
        <v>6159</v>
      </c>
      <c r="K799" s="34" t="s">
        <v>822</v>
      </c>
      <c r="L799" s="34" t="s">
        <v>765</v>
      </c>
      <c r="M799" s="30">
        <v>61.6</v>
      </c>
      <c r="N799" s="283" t="s">
        <v>721</v>
      </c>
    </row>
    <row r="800" spans="1:14" s="32" customFormat="1" ht="14.25" customHeight="1">
      <c r="A800" s="3" t="s">
        <v>641</v>
      </c>
      <c r="B800" s="36" t="s">
        <v>1801</v>
      </c>
      <c r="C800" s="10">
        <v>4099854080449</v>
      </c>
      <c r="D800" s="10"/>
      <c r="E800" s="10"/>
      <c r="F800" s="222" t="s">
        <v>2019</v>
      </c>
      <c r="G800" s="66" t="str">
        <f>HYPERLINK("https://ledvance.com/pt/product-datasheet/264973/242724","Ficha de Produto")</f>
        <v>Ficha de Produto</v>
      </c>
      <c r="H800" s="217" t="s">
        <v>1201</v>
      </c>
      <c r="I800" s="34" t="s">
        <v>6193</v>
      </c>
      <c r="J800" s="34" t="s">
        <v>6159</v>
      </c>
      <c r="K800" s="34" t="s">
        <v>822</v>
      </c>
      <c r="L800" s="34" t="s">
        <v>765</v>
      </c>
      <c r="M800" s="30">
        <v>84.3</v>
      </c>
      <c r="N800" s="283" t="s">
        <v>721</v>
      </c>
    </row>
    <row r="801" spans="1:14" s="32" customFormat="1" ht="14.25" customHeight="1">
      <c r="A801" s="3" t="s">
        <v>641</v>
      </c>
      <c r="B801" s="36" t="s">
        <v>1802</v>
      </c>
      <c r="C801" s="10">
        <v>4099854080463</v>
      </c>
      <c r="D801" s="10"/>
      <c r="E801" s="10"/>
      <c r="F801" s="222" t="s">
        <v>2019</v>
      </c>
      <c r="G801" s="66" t="str">
        <f>HYPERLINK("https://ledvance.com/pt/product-datasheet/264973/242757","Ficha de Produto")</f>
        <v>Ficha de Produto</v>
      </c>
      <c r="H801" s="217" t="s">
        <v>1201</v>
      </c>
      <c r="I801" s="34" t="s">
        <v>6193</v>
      </c>
      <c r="J801" s="34" t="s">
        <v>6159</v>
      </c>
      <c r="K801" s="34" t="s">
        <v>822</v>
      </c>
      <c r="L801" s="34" t="s">
        <v>765</v>
      </c>
      <c r="M801" s="30">
        <v>84.3</v>
      </c>
      <c r="N801" s="283" t="s">
        <v>721</v>
      </c>
    </row>
    <row r="802" spans="1:14" s="32" customFormat="1" ht="14.25" customHeight="1">
      <c r="A802" s="3" t="s">
        <v>641</v>
      </c>
      <c r="B802" s="36" t="s">
        <v>1803</v>
      </c>
      <c r="C802" s="10">
        <v>4099854080487</v>
      </c>
      <c r="D802" s="10"/>
      <c r="E802" s="10"/>
      <c r="F802" s="222" t="s">
        <v>2019</v>
      </c>
      <c r="G802" s="66" t="str">
        <f>HYPERLINK("https://ledvance.com/pt/product-datasheet/264972/242727","Ficha de Produto")</f>
        <v>Ficha de Produto</v>
      </c>
      <c r="H802" s="217" t="s">
        <v>1201</v>
      </c>
      <c r="I802" s="34" t="s">
        <v>6193</v>
      </c>
      <c r="J802" s="34" t="s">
        <v>6159</v>
      </c>
      <c r="K802" s="34" t="s">
        <v>822</v>
      </c>
      <c r="L802" s="34" t="s">
        <v>765</v>
      </c>
      <c r="M802" s="30">
        <v>84.3</v>
      </c>
      <c r="N802" s="283" t="s">
        <v>721</v>
      </c>
    </row>
    <row r="803" spans="1:14" s="32" customFormat="1" ht="14.25" customHeight="1">
      <c r="A803" s="3" t="s">
        <v>641</v>
      </c>
      <c r="B803" s="36" t="s">
        <v>1804</v>
      </c>
      <c r="C803" s="10">
        <v>4099854080500</v>
      </c>
      <c r="D803" s="10"/>
      <c r="E803" s="10"/>
      <c r="F803" s="222" t="s">
        <v>2019</v>
      </c>
      <c r="G803" s="66" t="str">
        <f>HYPERLINK("https://ledvance.com/pt/product-datasheet/264972/242760","Ficha de Produto")</f>
        <v>Ficha de Produto</v>
      </c>
      <c r="H803" s="217" t="s">
        <v>1201</v>
      </c>
      <c r="I803" s="34" t="s">
        <v>6193</v>
      </c>
      <c r="J803" s="34" t="s">
        <v>6159</v>
      </c>
      <c r="K803" s="34" t="s">
        <v>822</v>
      </c>
      <c r="L803" s="34" t="s">
        <v>765</v>
      </c>
      <c r="M803" s="30">
        <v>84.3</v>
      </c>
      <c r="N803" s="283" t="s">
        <v>721</v>
      </c>
    </row>
    <row r="804" spans="1:14" s="32" customFormat="1" ht="14.25" customHeight="1">
      <c r="A804" s="3" t="s">
        <v>641</v>
      </c>
      <c r="B804" s="36" t="s">
        <v>1797</v>
      </c>
      <c r="C804" s="10">
        <v>4099854080524</v>
      </c>
      <c r="D804" s="224">
        <v>4058075464025</v>
      </c>
      <c r="E804" s="225" t="s">
        <v>112</v>
      </c>
      <c r="F804" s="222" t="s">
        <v>2019</v>
      </c>
      <c r="G804" s="66" t="str">
        <f>HYPERLINK("https://ledvance.com/pt/product-datasheet/264971/242736","Ficha de Produto")</f>
        <v>Ficha de Produto</v>
      </c>
      <c r="H804" s="34">
        <v>6</v>
      </c>
      <c r="I804" s="34" t="s">
        <v>6194</v>
      </c>
      <c r="J804" s="34" t="s">
        <v>6195</v>
      </c>
      <c r="K804" s="34" t="s">
        <v>822</v>
      </c>
      <c r="L804" s="34" t="s">
        <v>765</v>
      </c>
      <c r="M804" s="30">
        <v>93</v>
      </c>
      <c r="N804" s="283" t="s">
        <v>721</v>
      </c>
    </row>
    <row r="805" spans="1:14" s="32" customFormat="1" ht="14.25" customHeight="1">
      <c r="A805" s="3" t="s">
        <v>641</v>
      </c>
      <c r="B805" s="36" t="s">
        <v>1798</v>
      </c>
      <c r="C805" s="10">
        <v>4099854080548</v>
      </c>
      <c r="D805" s="224">
        <v>4058075464049</v>
      </c>
      <c r="E805" s="225" t="s">
        <v>113</v>
      </c>
      <c r="F805" s="222" t="s">
        <v>2019</v>
      </c>
      <c r="G805" s="66" t="str">
        <f>HYPERLINK("https://ledvance.com/pt/product-datasheet/264971/242763","Ficha de Produto")</f>
        <v>Ficha de Produto</v>
      </c>
      <c r="H805" s="34">
        <v>6</v>
      </c>
      <c r="I805" s="34" t="s">
        <v>6194</v>
      </c>
      <c r="J805" s="34" t="s">
        <v>6195</v>
      </c>
      <c r="K805" s="34" t="s">
        <v>822</v>
      </c>
      <c r="L805" s="34" t="s">
        <v>765</v>
      </c>
      <c r="M805" s="30">
        <v>93</v>
      </c>
      <c r="N805" s="283" t="s">
        <v>721</v>
      </c>
    </row>
    <row r="806" spans="1:14" s="32" customFormat="1" ht="14.25" customHeight="1">
      <c r="A806" s="3" t="s">
        <v>641</v>
      </c>
      <c r="B806" s="36" t="s">
        <v>1805</v>
      </c>
      <c r="C806" s="10">
        <v>4099854080609</v>
      </c>
      <c r="D806" s="10"/>
      <c r="E806" s="10"/>
      <c r="F806" s="222" t="s">
        <v>2019</v>
      </c>
      <c r="G806" s="66" t="str">
        <f>HYPERLINK("https://ledvance.com/pt/product-datasheet/264972/242733","Ficha de Produto")</f>
        <v>Ficha de Produto</v>
      </c>
      <c r="H806" s="217" t="s">
        <v>1201</v>
      </c>
      <c r="I806" s="34" t="s">
        <v>6196</v>
      </c>
      <c r="J806" s="34" t="s">
        <v>6195</v>
      </c>
      <c r="K806" s="34" t="s">
        <v>822</v>
      </c>
      <c r="L806" s="34" t="s">
        <v>765</v>
      </c>
      <c r="M806" s="30">
        <v>112.2</v>
      </c>
      <c r="N806" s="283" t="s">
        <v>721</v>
      </c>
    </row>
    <row r="807" spans="1:14" s="32" customFormat="1" ht="14.25" customHeight="1">
      <c r="A807" s="3" t="s">
        <v>641</v>
      </c>
      <c r="B807" s="36" t="s">
        <v>1806</v>
      </c>
      <c r="C807" s="10">
        <v>4099854080630</v>
      </c>
      <c r="D807" s="10"/>
      <c r="E807" s="10"/>
      <c r="F807" s="222" t="s">
        <v>2019</v>
      </c>
      <c r="G807" s="66" t="str">
        <f>HYPERLINK("https://ledvance.com/pt/product-datasheet/264972/242769","Ficha de Produto")</f>
        <v>Ficha de Produto</v>
      </c>
      <c r="H807" s="217" t="s">
        <v>1201</v>
      </c>
      <c r="I807" s="34" t="s">
        <v>6196</v>
      </c>
      <c r="J807" s="34" t="s">
        <v>6195</v>
      </c>
      <c r="K807" s="34" t="s">
        <v>822</v>
      </c>
      <c r="L807" s="34" t="s">
        <v>765</v>
      </c>
      <c r="M807" s="30">
        <v>112.2</v>
      </c>
      <c r="N807" s="283" t="s">
        <v>721</v>
      </c>
    </row>
    <row r="808" spans="1:14" s="32" customFormat="1" ht="14.25" customHeight="1">
      <c r="A808" s="3" t="s">
        <v>641</v>
      </c>
      <c r="B808" s="36" t="s">
        <v>1807</v>
      </c>
      <c r="C808" s="10">
        <v>4099854080562</v>
      </c>
      <c r="D808" s="10"/>
      <c r="E808" s="10"/>
      <c r="F808" s="222" t="s">
        <v>2019</v>
      </c>
      <c r="G808" s="66" t="str">
        <f>HYPERLINK("https://ledvance.com/pt/product-datasheet/264973/242730","Ficha de Produto")</f>
        <v>Ficha de Produto</v>
      </c>
      <c r="H808" s="217" t="s">
        <v>1201</v>
      </c>
      <c r="I808" s="34" t="s">
        <v>6196</v>
      </c>
      <c r="J808" s="34" t="s">
        <v>6195</v>
      </c>
      <c r="K808" s="34" t="s">
        <v>822</v>
      </c>
      <c r="L808" s="34" t="s">
        <v>765</v>
      </c>
      <c r="M808" s="30">
        <v>112.2</v>
      </c>
      <c r="N808" s="283" t="s">
        <v>721</v>
      </c>
    </row>
    <row r="809" spans="1:14" s="32" customFormat="1" ht="14.25" customHeight="1">
      <c r="A809" s="3" t="s">
        <v>641</v>
      </c>
      <c r="B809" s="36" t="s">
        <v>1808</v>
      </c>
      <c r="C809" s="10">
        <v>4099854080586</v>
      </c>
      <c r="D809" s="10"/>
      <c r="E809" s="10"/>
      <c r="F809" s="222" t="s">
        <v>2019</v>
      </c>
      <c r="G809" s="66" t="str">
        <f>HYPERLINK("https://ledvance.com/pt/product-datasheet/264973/242766","Ficha de Produto")</f>
        <v>Ficha de Produto</v>
      </c>
      <c r="H809" s="217" t="s">
        <v>1201</v>
      </c>
      <c r="I809" s="34" t="s">
        <v>6196</v>
      </c>
      <c r="J809" s="34" t="s">
        <v>6195</v>
      </c>
      <c r="K809" s="34" t="s">
        <v>822</v>
      </c>
      <c r="L809" s="34" t="s">
        <v>765</v>
      </c>
      <c r="M809" s="30">
        <v>112.2</v>
      </c>
      <c r="N809" s="283" t="s">
        <v>721</v>
      </c>
    </row>
    <row r="810" spans="1:14" s="32" customFormat="1" ht="14.25" customHeight="1">
      <c r="A810" s="3" t="s">
        <v>641</v>
      </c>
      <c r="B810" s="36" t="s">
        <v>1799</v>
      </c>
      <c r="C810" s="10">
        <v>4099854080654</v>
      </c>
      <c r="D810" s="224">
        <v>4058075464063</v>
      </c>
      <c r="E810" s="225" t="s">
        <v>114</v>
      </c>
      <c r="F810" s="222" t="s">
        <v>2019</v>
      </c>
      <c r="G810" s="66" t="str">
        <f>HYPERLINK("https://ledvance.com/pt/product-datasheet/264971/242745","Ficha de Produto")</f>
        <v>Ficha de Produto</v>
      </c>
      <c r="H810" s="34">
        <v>6</v>
      </c>
      <c r="I810" s="34" t="s">
        <v>948</v>
      </c>
      <c r="J810" s="34" t="s">
        <v>6197</v>
      </c>
      <c r="K810" s="34" t="s">
        <v>822</v>
      </c>
      <c r="L810" s="34" t="s">
        <v>765</v>
      </c>
      <c r="M810" s="30">
        <v>108.7</v>
      </c>
      <c r="N810" s="283" t="s">
        <v>721</v>
      </c>
    </row>
    <row r="811" spans="1:14" s="32" customFormat="1" ht="14.25" customHeight="1">
      <c r="A811" s="3" t="s">
        <v>641</v>
      </c>
      <c r="B811" s="36" t="s">
        <v>1800</v>
      </c>
      <c r="C811" s="10">
        <v>4099854080692</v>
      </c>
      <c r="D811" s="224">
        <v>4058075464087</v>
      </c>
      <c r="E811" s="225" t="s">
        <v>115</v>
      </c>
      <c r="F811" s="222" t="s">
        <v>2019</v>
      </c>
      <c r="G811" s="66" t="str">
        <f>HYPERLINK("https://ledvance.com/pt/product-datasheet/264971/242772","Ficha de Produto")</f>
        <v>Ficha de Produto</v>
      </c>
      <c r="H811" s="34">
        <v>6</v>
      </c>
      <c r="I811" s="34" t="s">
        <v>948</v>
      </c>
      <c r="J811" s="34" t="s">
        <v>6197</v>
      </c>
      <c r="K811" s="34" t="s">
        <v>822</v>
      </c>
      <c r="L811" s="34" t="s">
        <v>765</v>
      </c>
      <c r="M811" s="30">
        <v>108.7</v>
      </c>
      <c r="N811" s="283" t="s">
        <v>721</v>
      </c>
    </row>
    <row r="812" spans="1:14" s="32" customFormat="1" ht="14.25" customHeight="1">
      <c r="A812" s="3" t="s">
        <v>641</v>
      </c>
      <c r="B812" s="36" t="s">
        <v>1809</v>
      </c>
      <c r="C812" s="10">
        <v>4099854080777</v>
      </c>
      <c r="D812" s="10"/>
      <c r="E812" s="10"/>
      <c r="F812" s="222" t="s">
        <v>2019</v>
      </c>
      <c r="G812" s="66" t="str">
        <f>HYPERLINK("https://ledvance.com/pt/product-datasheet/264972/242742","Ficha de Produto")</f>
        <v>Ficha de Produto</v>
      </c>
      <c r="H812" s="217" t="s">
        <v>1201</v>
      </c>
      <c r="I812" s="34" t="s">
        <v>1077</v>
      </c>
      <c r="J812" s="34" t="s">
        <v>6197</v>
      </c>
      <c r="K812" s="34" t="s">
        <v>822</v>
      </c>
      <c r="L812" s="34" t="s">
        <v>765</v>
      </c>
      <c r="M812" s="30">
        <v>133.19999999999999</v>
      </c>
      <c r="N812" s="283" t="s">
        <v>721</v>
      </c>
    </row>
    <row r="813" spans="1:14" s="32" customFormat="1" ht="14.25" customHeight="1">
      <c r="A813" s="3" t="s">
        <v>641</v>
      </c>
      <c r="B813" s="36" t="s">
        <v>1810</v>
      </c>
      <c r="C813" s="10">
        <v>4099854080791</v>
      </c>
      <c r="D813" s="10"/>
      <c r="E813" s="10"/>
      <c r="F813" s="222" t="s">
        <v>2019</v>
      </c>
      <c r="G813" s="66" t="str">
        <f>HYPERLINK("https://ledvance.com/pt/product-datasheet/264972/242778","Ficha de Produto")</f>
        <v>Ficha de Produto</v>
      </c>
      <c r="H813" s="217" t="s">
        <v>1201</v>
      </c>
      <c r="I813" s="34" t="s">
        <v>1077</v>
      </c>
      <c r="J813" s="34" t="s">
        <v>6197</v>
      </c>
      <c r="K813" s="34" t="s">
        <v>822</v>
      </c>
      <c r="L813" s="34" t="s">
        <v>765</v>
      </c>
      <c r="M813" s="30">
        <v>133.19999999999999</v>
      </c>
      <c r="N813" s="283" t="s">
        <v>721</v>
      </c>
    </row>
    <row r="814" spans="1:14" s="32" customFormat="1" ht="14.25" customHeight="1">
      <c r="A814" s="3" t="s">
        <v>641</v>
      </c>
      <c r="B814" s="36" t="s">
        <v>1811</v>
      </c>
      <c r="C814" s="10">
        <v>4099854080715</v>
      </c>
      <c r="D814" s="10"/>
      <c r="E814" s="10"/>
      <c r="F814" s="222" t="s">
        <v>2019</v>
      </c>
      <c r="G814" s="66" t="str">
        <f>HYPERLINK("https://ledvance.com/pt/product-datasheet/264973/242739","Ficha de Produto")</f>
        <v>Ficha de Produto</v>
      </c>
      <c r="H814" s="217" t="s">
        <v>1201</v>
      </c>
      <c r="I814" s="34" t="s">
        <v>1077</v>
      </c>
      <c r="J814" s="34" t="s">
        <v>6197</v>
      </c>
      <c r="K814" s="34" t="s">
        <v>822</v>
      </c>
      <c r="L814" s="34" t="s">
        <v>765</v>
      </c>
      <c r="M814" s="30">
        <v>133.19999999999999</v>
      </c>
      <c r="N814" s="283" t="s">
        <v>721</v>
      </c>
    </row>
    <row r="815" spans="1:14" s="32" customFormat="1" ht="14.25" customHeight="1">
      <c r="A815" s="3" t="s">
        <v>641</v>
      </c>
      <c r="B815" s="36" t="s">
        <v>1812</v>
      </c>
      <c r="C815" s="10">
        <v>4099854080739</v>
      </c>
      <c r="D815" s="10"/>
      <c r="E815" s="10"/>
      <c r="F815" s="222" t="s">
        <v>2019</v>
      </c>
      <c r="G815" s="66" t="str">
        <f>HYPERLINK("https://ledvance.com/pt/product-datasheet/264973/242775","Ficha de Produto")</f>
        <v>Ficha de Produto</v>
      </c>
      <c r="H815" s="217" t="s">
        <v>1201</v>
      </c>
      <c r="I815" s="34" t="s">
        <v>1077</v>
      </c>
      <c r="J815" s="34" t="s">
        <v>6197</v>
      </c>
      <c r="K815" s="34" t="s">
        <v>822</v>
      </c>
      <c r="L815" s="34" t="s">
        <v>765</v>
      </c>
      <c r="M815" s="30">
        <v>133.19999999999999</v>
      </c>
      <c r="N815" s="283" t="s">
        <v>721</v>
      </c>
    </row>
    <row r="816" spans="1:14" s="32" customFormat="1" ht="14.25" customHeight="1">
      <c r="A816" s="8" t="s">
        <v>641</v>
      </c>
      <c r="B816" s="227" t="s">
        <v>3399</v>
      </c>
      <c r="C816" s="7"/>
      <c r="D816" s="7"/>
      <c r="E816" s="7"/>
      <c r="F816" s="7"/>
      <c r="G816" s="68"/>
      <c r="H816" s="7"/>
      <c r="I816" s="7"/>
      <c r="J816" s="7"/>
      <c r="K816" s="7"/>
      <c r="L816" s="7"/>
      <c r="M816" s="7"/>
      <c r="N816" s="284"/>
    </row>
    <row r="817" spans="1:14" s="32" customFormat="1" ht="14.25" customHeight="1">
      <c r="A817" s="3" t="s">
        <v>641</v>
      </c>
      <c r="B817" s="271" t="s">
        <v>3400</v>
      </c>
      <c r="C817" s="218">
        <v>4099854118050</v>
      </c>
      <c r="D817" s="224">
        <v>4058075312395</v>
      </c>
      <c r="E817" s="225" t="s">
        <v>3388</v>
      </c>
      <c r="F817" s="219" t="s">
        <v>2019</v>
      </c>
      <c r="G817" s="66" t="str">
        <f>HYPERLINK("https://ledvance.com/pt/product-datasheet/271438/255211","Ficha de Produto")</f>
        <v>Ficha de Produto</v>
      </c>
      <c r="H817" s="34">
        <v>10</v>
      </c>
      <c r="I817" s="217" t="s">
        <v>1201</v>
      </c>
      <c r="J817" s="217" t="s">
        <v>1201</v>
      </c>
      <c r="K817" s="34" t="s">
        <v>822</v>
      </c>
      <c r="L817" s="34" t="s">
        <v>765</v>
      </c>
      <c r="M817" s="30">
        <v>16.600000000000001</v>
      </c>
      <c r="N817" s="283" t="s">
        <v>721</v>
      </c>
    </row>
    <row r="818" spans="1:14" s="32" customFormat="1" ht="14.25" customHeight="1">
      <c r="A818" s="3" t="s">
        <v>641</v>
      </c>
      <c r="B818" s="271" t="s">
        <v>3401</v>
      </c>
      <c r="C818" s="218">
        <v>4099854118074</v>
      </c>
      <c r="D818" s="224">
        <v>4058075312418</v>
      </c>
      <c r="E818" s="225" t="s">
        <v>3389</v>
      </c>
      <c r="F818" s="219" t="s">
        <v>2019</v>
      </c>
      <c r="G818" s="66" t="str">
        <f>HYPERLINK("https://ledvance.com/pt/product-datasheet/271438/255217","Ficha de Produto")</f>
        <v>Ficha de Produto</v>
      </c>
      <c r="H818" s="34">
        <v>6</v>
      </c>
      <c r="I818" s="217" t="s">
        <v>1201</v>
      </c>
      <c r="J818" s="217" t="s">
        <v>1201</v>
      </c>
      <c r="K818" s="34" t="s">
        <v>822</v>
      </c>
      <c r="L818" s="34" t="s">
        <v>765</v>
      </c>
      <c r="M818" s="30">
        <v>21.9</v>
      </c>
      <c r="N818" s="283" t="s">
        <v>721</v>
      </c>
    </row>
    <row r="819" spans="1:14" s="32" customFormat="1" ht="14.25" customHeight="1">
      <c r="A819" s="3" t="s">
        <v>641</v>
      </c>
      <c r="B819" s="271" t="s">
        <v>3402</v>
      </c>
      <c r="C819" s="218">
        <v>4099854118098</v>
      </c>
      <c r="D819" s="224">
        <v>4058075312432</v>
      </c>
      <c r="E819" s="225" t="s">
        <v>3390</v>
      </c>
      <c r="F819" s="219" t="s">
        <v>2019</v>
      </c>
      <c r="G819" s="66" t="str">
        <f>HYPERLINK("https://ledvance.com/pt/product-datasheet/271438/255223","Ficha de Produto")</f>
        <v>Ficha de Produto</v>
      </c>
      <c r="H819" s="34">
        <v>9</v>
      </c>
      <c r="I819" s="217" t="s">
        <v>1201</v>
      </c>
      <c r="J819" s="217" t="s">
        <v>1201</v>
      </c>
      <c r="K819" s="34" t="s">
        <v>822</v>
      </c>
      <c r="L819" s="34" t="s">
        <v>765</v>
      </c>
      <c r="M819" s="30">
        <v>23.5</v>
      </c>
      <c r="N819" s="283" t="s">
        <v>721</v>
      </c>
    </row>
    <row r="820" spans="1:14" s="32" customFormat="1" ht="14.25" customHeight="1">
      <c r="A820" s="3" t="s">
        <v>641</v>
      </c>
      <c r="B820" s="271" t="s">
        <v>3403</v>
      </c>
      <c r="C820" s="218">
        <v>4099854118111</v>
      </c>
      <c r="D820" s="224">
        <v>4058075312456</v>
      </c>
      <c r="E820" s="225" t="s">
        <v>3391</v>
      </c>
      <c r="F820" s="219" t="s">
        <v>2019</v>
      </c>
      <c r="G820" s="66" t="str">
        <f>HYPERLINK("https://ledvance.com/pt/product-datasheet/271438/255228","Ficha de Produto")</f>
        <v>Ficha de Produto</v>
      </c>
      <c r="H820" s="34">
        <v>6</v>
      </c>
      <c r="I820" s="217" t="s">
        <v>1201</v>
      </c>
      <c r="J820" s="217" t="s">
        <v>1201</v>
      </c>
      <c r="K820" s="34" t="s">
        <v>822</v>
      </c>
      <c r="L820" s="34" t="s">
        <v>765</v>
      </c>
      <c r="M820" s="30">
        <v>29.7</v>
      </c>
      <c r="N820" s="283" t="s">
        <v>721</v>
      </c>
    </row>
    <row r="821" spans="1:14" s="32" customFormat="1" ht="14.25" customHeight="1">
      <c r="A821" s="3" t="s">
        <v>641</v>
      </c>
      <c r="B821" s="271" t="s">
        <v>3404</v>
      </c>
      <c r="C821" s="218">
        <v>4099854118159</v>
      </c>
      <c r="D821" s="224">
        <v>4058075312470</v>
      </c>
      <c r="E821" s="225" t="s">
        <v>3392</v>
      </c>
      <c r="F821" s="219" t="s">
        <v>2019</v>
      </c>
      <c r="G821" s="66" t="str">
        <f>HYPERLINK("https://ledvance.com/pt/product-datasheet/271438/255233","Ficha de Produto")</f>
        <v>Ficha de Produto</v>
      </c>
      <c r="H821" s="34">
        <v>6</v>
      </c>
      <c r="I821" s="217" t="s">
        <v>1201</v>
      </c>
      <c r="J821" s="217" t="s">
        <v>1201</v>
      </c>
      <c r="K821" s="34" t="s">
        <v>822</v>
      </c>
      <c r="L821" s="34" t="s">
        <v>765</v>
      </c>
      <c r="M821" s="30">
        <v>28.2</v>
      </c>
      <c r="N821" s="283" t="s">
        <v>721</v>
      </c>
    </row>
    <row r="822" spans="1:14" s="32" customFormat="1" ht="14.25" customHeight="1">
      <c r="A822" s="3" t="s">
        <v>641</v>
      </c>
      <c r="B822" s="271" t="s">
        <v>3405</v>
      </c>
      <c r="C822" s="218">
        <v>4099854118210</v>
      </c>
      <c r="D822" s="224">
        <v>4058075312494</v>
      </c>
      <c r="E822" s="225" t="s">
        <v>3393</v>
      </c>
      <c r="F822" s="219" t="s">
        <v>2019</v>
      </c>
      <c r="G822" s="66" t="str">
        <f>HYPERLINK("https://ledvance.com/pt/product-datasheet/271438/255237","Ficha de Produto")</f>
        <v>Ficha de Produto</v>
      </c>
      <c r="H822" s="34">
        <v>6</v>
      </c>
      <c r="I822" s="217" t="s">
        <v>1201</v>
      </c>
      <c r="J822" s="217" t="s">
        <v>1201</v>
      </c>
      <c r="K822" s="34" t="s">
        <v>822</v>
      </c>
      <c r="L822" s="34" t="s">
        <v>765</v>
      </c>
      <c r="M822" s="30">
        <v>36.200000000000003</v>
      </c>
      <c r="N822" s="283" t="s">
        <v>721</v>
      </c>
    </row>
    <row r="823" spans="1:14" s="32" customFormat="1" ht="14.25" customHeight="1">
      <c r="A823" s="8" t="s">
        <v>641</v>
      </c>
      <c r="B823" s="227" t="s">
        <v>3386</v>
      </c>
      <c r="C823" s="7"/>
      <c r="D823" s="7"/>
      <c r="E823" s="7"/>
      <c r="F823" s="7"/>
      <c r="G823" s="68"/>
      <c r="H823" s="7"/>
      <c r="I823" s="7"/>
      <c r="J823" s="7"/>
      <c r="K823" s="7"/>
      <c r="L823" s="7"/>
      <c r="M823" s="7"/>
      <c r="N823" s="284"/>
    </row>
    <row r="824" spans="1:14" s="32" customFormat="1" ht="14.25" customHeight="1">
      <c r="A824" s="3" t="s">
        <v>641</v>
      </c>
      <c r="B824" s="271" t="s">
        <v>3406</v>
      </c>
      <c r="C824" s="218">
        <v>4099854146442</v>
      </c>
      <c r="D824" s="218"/>
      <c r="E824" s="218"/>
      <c r="F824" s="219" t="s">
        <v>2019</v>
      </c>
      <c r="G824" s="66" t="str">
        <f>HYPERLINK("https://ledvance.com/pt/product-datasheet/271439/261260","Ficha de Produto")</f>
        <v>Ficha de Produto</v>
      </c>
      <c r="H824" s="217" t="s">
        <v>1201</v>
      </c>
      <c r="I824" s="217" t="s">
        <v>1201</v>
      </c>
      <c r="J824" s="217" t="s">
        <v>1201</v>
      </c>
      <c r="K824" s="34" t="s">
        <v>822</v>
      </c>
      <c r="L824" s="34" t="s">
        <v>765</v>
      </c>
      <c r="M824" s="30">
        <v>108.7</v>
      </c>
      <c r="N824" s="283" t="s">
        <v>721</v>
      </c>
    </row>
    <row r="825" spans="1:14" s="32" customFormat="1" ht="14.25" customHeight="1">
      <c r="A825" s="3" t="s">
        <v>641</v>
      </c>
      <c r="B825" s="271" t="s">
        <v>3407</v>
      </c>
      <c r="C825" s="218">
        <v>4099854146466</v>
      </c>
      <c r="D825" s="218"/>
      <c r="E825" s="218"/>
      <c r="F825" s="219" t="s">
        <v>2019</v>
      </c>
      <c r="G825" s="66" t="str">
        <f>HYPERLINK("https://ledvance.com/pt/product-datasheet/271439/261263","Ficha de Produto")</f>
        <v>Ficha de Produto</v>
      </c>
      <c r="H825" s="217" t="s">
        <v>1201</v>
      </c>
      <c r="I825" s="217" t="s">
        <v>1201</v>
      </c>
      <c r="J825" s="217" t="s">
        <v>1201</v>
      </c>
      <c r="K825" s="34" t="s">
        <v>822</v>
      </c>
      <c r="L825" s="34" t="s">
        <v>765</v>
      </c>
      <c r="M825" s="30">
        <v>115.7</v>
      </c>
      <c r="N825" s="283" t="s">
        <v>721</v>
      </c>
    </row>
    <row r="826" spans="1:14" s="32" customFormat="1" ht="14.25" customHeight="1">
      <c r="A826" s="3" t="s">
        <v>641</v>
      </c>
      <c r="B826" s="271" t="s">
        <v>3408</v>
      </c>
      <c r="C826" s="218">
        <v>4099854146480</v>
      </c>
      <c r="D826" s="218"/>
      <c r="E826" s="218"/>
      <c r="F826" s="219" t="s">
        <v>2019</v>
      </c>
      <c r="G826" s="66" t="str">
        <f>HYPERLINK("https://ledvance.com/pt/product-datasheet/271439/261266","Ficha de Produto")</f>
        <v>Ficha de Produto</v>
      </c>
      <c r="H826" s="217" t="s">
        <v>1201</v>
      </c>
      <c r="I826" s="217" t="s">
        <v>1201</v>
      </c>
      <c r="J826" s="217" t="s">
        <v>1201</v>
      </c>
      <c r="K826" s="34" t="s">
        <v>822</v>
      </c>
      <c r="L826" s="34" t="s">
        <v>765</v>
      </c>
      <c r="M826" s="30">
        <v>114</v>
      </c>
      <c r="N826" s="283" t="s">
        <v>721</v>
      </c>
    </row>
    <row r="827" spans="1:14" s="32" customFormat="1" ht="14.25" customHeight="1">
      <c r="A827" s="3" t="s">
        <v>641</v>
      </c>
      <c r="B827" s="271" t="s">
        <v>3409</v>
      </c>
      <c r="C827" s="218">
        <v>4099854146503</v>
      </c>
      <c r="D827" s="218"/>
      <c r="E827" s="218"/>
      <c r="F827" s="219" t="s">
        <v>2019</v>
      </c>
      <c r="G827" s="66" t="str">
        <f>HYPERLINK("https://ledvance.com/pt/product-datasheet/271439/261269","Ficha de Produto")</f>
        <v>Ficha de Produto</v>
      </c>
      <c r="H827" s="217" t="s">
        <v>1201</v>
      </c>
      <c r="I827" s="217" t="s">
        <v>1201</v>
      </c>
      <c r="J827" s="217" t="s">
        <v>1201</v>
      </c>
      <c r="K827" s="34" t="s">
        <v>822</v>
      </c>
      <c r="L827" s="34" t="s">
        <v>765</v>
      </c>
      <c r="M827" s="30">
        <v>124.5</v>
      </c>
      <c r="N827" s="283" t="s">
        <v>721</v>
      </c>
    </row>
    <row r="828" spans="1:14" s="32" customFormat="1" ht="14.25" customHeight="1">
      <c r="A828" s="8" t="s">
        <v>641</v>
      </c>
      <c r="B828" s="227" t="s">
        <v>3387</v>
      </c>
      <c r="C828" s="7"/>
      <c r="D828" s="7"/>
      <c r="E828" s="7"/>
      <c r="F828" s="7"/>
      <c r="G828" s="68" t="s">
        <v>6505</v>
      </c>
      <c r="H828" s="7"/>
      <c r="I828" s="7"/>
      <c r="J828" s="7"/>
      <c r="K828" s="7"/>
      <c r="L828" s="7"/>
      <c r="M828" s="7"/>
      <c r="N828" s="284"/>
    </row>
    <row r="829" spans="1:14" s="32" customFormat="1" ht="14.25" customHeight="1">
      <c r="A829" s="3" t="s">
        <v>641</v>
      </c>
      <c r="B829" s="271" t="s">
        <v>3410</v>
      </c>
      <c r="C829" s="218">
        <v>4099854148880</v>
      </c>
      <c r="D829" s="218"/>
      <c r="E829" s="218"/>
      <c r="F829" s="219" t="s">
        <v>2019</v>
      </c>
      <c r="G829" s="66" t="str">
        <f>HYPERLINK("https://ledvance.com/pt/product-datasheet/271440/261894","Ficha de Produto")</f>
        <v>Ficha de Produto</v>
      </c>
      <c r="H829" s="217" t="s">
        <v>1201</v>
      </c>
      <c r="I829" s="217" t="s">
        <v>1201</v>
      </c>
      <c r="J829" s="217" t="s">
        <v>1201</v>
      </c>
      <c r="K829" s="34" t="s">
        <v>822</v>
      </c>
      <c r="L829" s="34" t="s">
        <v>793</v>
      </c>
      <c r="M829" s="30">
        <v>218.9</v>
      </c>
      <c r="N829" s="283" t="s">
        <v>721</v>
      </c>
    </row>
    <row r="830" spans="1:14" s="32" customFormat="1" ht="14.25" customHeight="1">
      <c r="A830" s="3" t="s">
        <v>641</v>
      </c>
      <c r="B830" s="271" t="s">
        <v>3411</v>
      </c>
      <c r="C830" s="218">
        <v>4099854148903</v>
      </c>
      <c r="D830" s="218"/>
      <c r="E830" s="218"/>
      <c r="F830" s="219" t="s">
        <v>2019</v>
      </c>
      <c r="G830" s="66" t="str">
        <f>HYPERLINK("https://ledvance.com/pt/product-datasheet/271440/261897","Ficha de Produto")</f>
        <v>Ficha de Produto</v>
      </c>
      <c r="H830" s="217" t="s">
        <v>1201</v>
      </c>
      <c r="I830" s="217" t="s">
        <v>1201</v>
      </c>
      <c r="J830" s="217" t="s">
        <v>1201</v>
      </c>
      <c r="K830" s="34" t="s">
        <v>822</v>
      </c>
      <c r="L830" s="34" t="s">
        <v>793</v>
      </c>
      <c r="M830" s="30">
        <v>226.4</v>
      </c>
      <c r="N830" s="283" t="s">
        <v>721</v>
      </c>
    </row>
    <row r="831" spans="1:14" s="32" customFormat="1" ht="14.25" customHeight="1">
      <c r="A831" s="3" t="s">
        <v>641</v>
      </c>
      <c r="B831" s="271" t="s">
        <v>3412</v>
      </c>
      <c r="C831" s="218">
        <v>4099854148927</v>
      </c>
      <c r="D831" s="218"/>
      <c r="E831" s="218"/>
      <c r="F831" s="219" t="s">
        <v>2019</v>
      </c>
      <c r="G831" s="66" t="str">
        <f>HYPERLINK("https://ledvance.com/pt/product-datasheet/271440/261900","Ficha de Produto")</f>
        <v>Ficha de Produto</v>
      </c>
      <c r="H831" s="217" t="s">
        <v>1201</v>
      </c>
      <c r="I831" s="217" t="s">
        <v>1201</v>
      </c>
      <c r="J831" s="217" t="s">
        <v>1201</v>
      </c>
      <c r="K831" s="34" t="s">
        <v>822</v>
      </c>
      <c r="L831" s="34" t="s">
        <v>793</v>
      </c>
      <c r="M831" s="30">
        <v>224.5</v>
      </c>
      <c r="N831" s="283" t="s">
        <v>721</v>
      </c>
    </row>
    <row r="832" spans="1:14" s="32" customFormat="1" ht="14.25" customHeight="1">
      <c r="A832" s="3" t="s">
        <v>641</v>
      </c>
      <c r="B832" s="271" t="s">
        <v>3413</v>
      </c>
      <c r="C832" s="218">
        <v>4099854148941</v>
      </c>
      <c r="D832" s="218"/>
      <c r="E832" s="218"/>
      <c r="F832" s="219" t="s">
        <v>2019</v>
      </c>
      <c r="G832" s="66" t="str">
        <f>HYPERLINK("https://ledvance.com/pt/product-datasheet/271440/261903","Ficha de Produto")</f>
        <v>Ficha de Produto</v>
      </c>
      <c r="H832" s="217" t="s">
        <v>1201</v>
      </c>
      <c r="I832" s="217" t="s">
        <v>1201</v>
      </c>
      <c r="J832" s="217" t="s">
        <v>1201</v>
      </c>
      <c r="K832" s="34" t="s">
        <v>822</v>
      </c>
      <c r="L832" s="34" t="s">
        <v>793</v>
      </c>
      <c r="M832" s="30">
        <v>235.6</v>
      </c>
      <c r="N832" s="283" t="s">
        <v>721</v>
      </c>
    </row>
    <row r="833" spans="1:14" s="32" customFormat="1" ht="14.25" customHeight="1">
      <c r="A833" s="8" t="s">
        <v>641</v>
      </c>
      <c r="B833" s="227" t="s">
        <v>3414</v>
      </c>
      <c r="C833" s="7"/>
      <c r="D833" s="7"/>
      <c r="E833" s="7"/>
      <c r="F833" s="7"/>
      <c r="G833" s="68" t="s">
        <v>6505</v>
      </c>
      <c r="H833" s="7"/>
      <c r="I833" s="7"/>
      <c r="J833" s="7"/>
      <c r="K833" s="7"/>
      <c r="L833" s="7"/>
      <c r="M833" s="7"/>
      <c r="N833" s="284"/>
    </row>
    <row r="834" spans="1:14" s="32" customFormat="1" ht="14.25" customHeight="1">
      <c r="A834" s="3" t="s">
        <v>641</v>
      </c>
      <c r="B834" s="36" t="s">
        <v>3419</v>
      </c>
      <c r="C834" s="214">
        <v>4058075543911</v>
      </c>
      <c r="D834" s="214"/>
      <c r="E834" s="215"/>
      <c r="F834" s="214"/>
      <c r="G834" s="66" t="str">
        <f>HYPERLINK("https://ledvance.com/pt/product-datasheet/141869/42954","Ficha de Produto")</f>
        <v>Ficha de Produto</v>
      </c>
      <c r="H834" s="34">
        <v>1</v>
      </c>
      <c r="I834" s="34" t="s">
        <v>893</v>
      </c>
      <c r="J834" s="34" t="s">
        <v>6198</v>
      </c>
      <c r="K834" s="34" t="s">
        <v>822</v>
      </c>
      <c r="L834" s="34" t="s">
        <v>765</v>
      </c>
      <c r="M834" s="30">
        <v>283</v>
      </c>
      <c r="N834" s="283" t="s">
        <v>721</v>
      </c>
    </row>
    <row r="835" spans="1:14" s="32" customFormat="1" ht="14.25" customHeight="1">
      <c r="A835" s="3" t="s">
        <v>641</v>
      </c>
      <c r="B835" s="36" t="s">
        <v>3420</v>
      </c>
      <c r="C835" s="214">
        <v>4058075543904</v>
      </c>
      <c r="D835" s="214"/>
      <c r="E835" s="215"/>
      <c r="F835" s="214"/>
      <c r="G835" s="66" t="str">
        <f>HYPERLINK("https://ledvance.com/pt/product-datasheet/141869/42952","Ficha de Produto")</f>
        <v>Ficha de Produto</v>
      </c>
      <c r="H835" s="34">
        <v>1</v>
      </c>
      <c r="I835" s="34" t="s">
        <v>893</v>
      </c>
      <c r="J835" s="34" t="s">
        <v>6198</v>
      </c>
      <c r="K835" s="34" t="s">
        <v>822</v>
      </c>
      <c r="L835" s="34" t="s">
        <v>765</v>
      </c>
      <c r="M835" s="30">
        <v>283</v>
      </c>
      <c r="N835" s="283" t="s">
        <v>721</v>
      </c>
    </row>
    <row r="836" spans="1:14" s="32" customFormat="1" ht="14.25" customHeight="1">
      <c r="A836" s="3" t="s">
        <v>641</v>
      </c>
      <c r="B836" s="36" t="s">
        <v>3421</v>
      </c>
      <c r="C836" s="214">
        <v>4058075543935</v>
      </c>
      <c r="D836" s="214"/>
      <c r="E836" s="215"/>
      <c r="F836" s="214"/>
      <c r="G836" s="66" t="str">
        <f>HYPERLINK("https://ledvance.com/pt/product-datasheet/141869/42958","Ficha de Produto")</f>
        <v>Ficha de Produto</v>
      </c>
      <c r="H836" s="34">
        <v>1</v>
      </c>
      <c r="I836" s="34" t="s">
        <v>894</v>
      </c>
      <c r="J836" s="34" t="s">
        <v>6199</v>
      </c>
      <c r="K836" s="34" t="s">
        <v>822</v>
      </c>
      <c r="L836" s="34" t="s">
        <v>765</v>
      </c>
      <c r="M836" s="30">
        <v>340.2</v>
      </c>
      <c r="N836" s="283" t="s">
        <v>721</v>
      </c>
    </row>
    <row r="837" spans="1:14" s="32" customFormat="1" ht="14.25" customHeight="1">
      <c r="A837" s="3" t="s">
        <v>641</v>
      </c>
      <c r="B837" s="36" t="s">
        <v>3422</v>
      </c>
      <c r="C837" s="214">
        <v>4058075543928</v>
      </c>
      <c r="D837" s="214"/>
      <c r="E837" s="215"/>
      <c r="F837" s="214"/>
      <c r="G837" s="66" t="str">
        <f>HYPERLINK("https://ledvance.com/pt/product-datasheet/141869/42956","Ficha de Produto")</f>
        <v>Ficha de Produto</v>
      </c>
      <c r="H837" s="34">
        <v>1</v>
      </c>
      <c r="I837" s="34" t="s">
        <v>894</v>
      </c>
      <c r="J837" s="34" t="s">
        <v>6199</v>
      </c>
      <c r="K837" s="34" t="s">
        <v>822</v>
      </c>
      <c r="L837" s="34" t="s">
        <v>765</v>
      </c>
      <c r="M837" s="30">
        <v>340.2</v>
      </c>
      <c r="N837" s="283" t="s">
        <v>721</v>
      </c>
    </row>
    <row r="838" spans="1:14" s="32" customFormat="1" ht="14.25" customHeight="1">
      <c r="A838" s="3" t="s">
        <v>641</v>
      </c>
      <c r="B838" s="36" t="s">
        <v>3423</v>
      </c>
      <c r="C838" s="214">
        <v>4058075543959</v>
      </c>
      <c r="D838" s="214"/>
      <c r="E838" s="215"/>
      <c r="F838" s="214"/>
      <c r="G838" s="66" t="str">
        <f>HYPERLINK("https://ledvance.com/pt/product-datasheet/141869/42962","Ficha de Produto")</f>
        <v>Ficha de Produto</v>
      </c>
      <c r="H838" s="34">
        <v>1</v>
      </c>
      <c r="I838" s="34" t="s">
        <v>895</v>
      </c>
      <c r="J838" s="34" t="s">
        <v>6200</v>
      </c>
      <c r="K838" s="34" t="s">
        <v>822</v>
      </c>
      <c r="L838" s="34" t="s">
        <v>765</v>
      </c>
      <c r="M838" s="30">
        <v>387.4</v>
      </c>
      <c r="N838" s="283" t="s">
        <v>721</v>
      </c>
    </row>
    <row r="839" spans="1:14" s="32" customFormat="1" ht="14.25" customHeight="1">
      <c r="A839" s="3" t="s">
        <v>641</v>
      </c>
      <c r="B839" s="36" t="s">
        <v>3424</v>
      </c>
      <c r="C839" s="214">
        <v>4058075543942</v>
      </c>
      <c r="D839" s="214"/>
      <c r="E839" s="215"/>
      <c r="F839" s="214"/>
      <c r="G839" s="66" t="str">
        <f>HYPERLINK("https://ledvance.com/pt/product-datasheet/141869/42960","Ficha de Produto")</f>
        <v>Ficha de Produto</v>
      </c>
      <c r="H839" s="34">
        <v>1</v>
      </c>
      <c r="I839" s="34" t="s">
        <v>895</v>
      </c>
      <c r="J839" s="34" t="s">
        <v>6200</v>
      </c>
      <c r="K839" s="34" t="s">
        <v>822</v>
      </c>
      <c r="L839" s="34" t="s">
        <v>765</v>
      </c>
      <c r="M839" s="30">
        <v>387.4</v>
      </c>
      <c r="N839" s="283" t="s">
        <v>721</v>
      </c>
    </row>
    <row r="840" spans="1:14" s="32" customFormat="1" ht="14.25" customHeight="1">
      <c r="A840" s="3" t="s">
        <v>641</v>
      </c>
      <c r="B840" s="36" t="s">
        <v>3425</v>
      </c>
      <c r="C840" s="214">
        <v>4058075543966</v>
      </c>
      <c r="D840" s="214"/>
      <c r="E840" s="215"/>
      <c r="F840" s="214"/>
      <c r="G840" s="66" t="str">
        <f>HYPERLINK("https://ledvance.com/pt/product-datasheet/141869/42964","Ficha de Produto")</f>
        <v>Ficha de Produto</v>
      </c>
      <c r="H840" s="34">
        <v>1</v>
      </c>
      <c r="I840" s="34" t="s">
        <v>896</v>
      </c>
      <c r="J840" s="34" t="s">
        <v>6201</v>
      </c>
      <c r="K840" s="34" t="s">
        <v>822</v>
      </c>
      <c r="L840" s="34" t="s">
        <v>765</v>
      </c>
      <c r="M840" s="30">
        <v>439.4</v>
      </c>
      <c r="N840" s="283" t="s">
        <v>721</v>
      </c>
    </row>
    <row r="841" spans="1:14" s="32" customFormat="1" ht="14.25" customHeight="1">
      <c r="A841" s="8" t="s">
        <v>641</v>
      </c>
      <c r="B841" s="227" t="s">
        <v>3415</v>
      </c>
      <c r="C841" s="7"/>
      <c r="D841" s="7"/>
      <c r="E841" s="7"/>
      <c r="F841" s="7"/>
      <c r="G841" s="68"/>
      <c r="H841" s="7"/>
      <c r="I841" s="7"/>
      <c r="J841" s="7"/>
      <c r="K841" s="7"/>
      <c r="L841" s="7"/>
      <c r="M841" s="7"/>
      <c r="N841" s="284"/>
    </row>
    <row r="842" spans="1:14" s="32" customFormat="1" ht="14.25" customHeight="1">
      <c r="A842" s="3" t="s">
        <v>641</v>
      </c>
      <c r="B842" s="36" t="s">
        <v>1190</v>
      </c>
      <c r="C842" s="214">
        <v>4058075692787</v>
      </c>
      <c r="D842" s="214"/>
      <c r="E842" s="215"/>
      <c r="F842" s="214"/>
      <c r="G842" s="66" t="str">
        <f>HYPERLINK("https://ledvance.com/pt/product-datasheet/188195/179296","Ficha de Produto")</f>
        <v>Ficha de Produto</v>
      </c>
      <c r="H842" s="34">
        <v>1</v>
      </c>
      <c r="I842" s="34" t="s">
        <v>893</v>
      </c>
      <c r="J842" s="34" t="s">
        <v>6202</v>
      </c>
      <c r="K842" s="34" t="s">
        <v>822</v>
      </c>
      <c r="L842" s="34" t="s">
        <v>765</v>
      </c>
      <c r="M842" s="30">
        <v>192.4</v>
      </c>
      <c r="N842" s="283" t="s">
        <v>721</v>
      </c>
    </row>
    <row r="843" spans="1:14" s="32" customFormat="1" ht="14.25" customHeight="1">
      <c r="A843" s="3" t="s">
        <v>641</v>
      </c>
      <c r="B843" s="36" t="s">
        <v>1191</v>
      </c>
      <c r="C843" s="214">
        <v>4058075692718</v>
      </c>
      <c r="D843" s="214"/>
      <c r="E843" s="215"/>
      <c r="F843" s="214"/>
      <c r="G843" s="66" t="str">
        <f>HYPERLINK("https://ledvance.com/pt/product-datasheet/188195/179294","Ficha de Produto")</f>
        <v>Ficha de Produto</v>
      </c>
      <c r="H843" s="34">
        <v>1</v>
      </c>
      <c r="I843" s="34" t="s">
        <v>893</v>
      </c>
      <c r="J843" s="34" t="s">
        <v>6202</v>
      </c>
      <c r="K843" s="34" t="s">
        <v>822</v>
      </c>
      <c r="L843" s="34" t="s">
        <v>765</v>
      </c>
      <c r="M843" s="30">
        <v>192.4</v>
      </c>
      <c r="N843" s="283" t="s">
        <v>721</v>
      </c>
    </row>
    <row r="844" spans="1:14" s="32" customFormat="1" ht="14.25" customHeight="1">
      <c r="A844" s="3" t="s">
        <v>641</v>
      </c>
      <c r="B844" s="36" t="s">
        <v>1192</v>
      </c>
      <c r="C844" s="214">
        <v>4058075692855</v>
      </c>
      <c r="D844" s="214"/>
      <c r="E844" s="215"/>
      <c r="F844" s="214"/>
      <c r="G844" s="66" t="str">
        <f>HYPERLINK("https://ledvance.com/pt/product-datasheet/188195/179310","Ficha de Produto")</f>
        <v>Ficha de Produto</v>
      </c>
      <c r="H844" s="34">
        <v>1</v>
      </c>
      <c r="I844" s="34" t="s">
        <v>893</v>
      </c>
      <c r="J844" s="34" t="s">
        <v>6202</v>
      </c>
      <c r="K844" s="34" t="s">
        <v>822</v>
      </c>
      <c r="L844" s="34" t="s">
        <v>765</v>
      </c>
      <c r="M844" s="30">
        <v>192.4</v>
      </c>
      <c r="N844" s="283" t="s">
        <v>721</v>
      </c>
    </row>
    <row r="845" spans="1:14" s="32" customFormat="1" ht="14.25" customHeight="1">
      <c r="A845" s="3" t="s">
        <v>641</v>
      </c>
      <c r="B845" s="36" t="s">
        <v>1193</v>
      </c>
      <c r="C845" s="214">
        <v>4058075692848</v>
      </c>
      <c r="D845" s="214"/>
      <c r="E845" s="215"/>
      <c r="F845" s="214"/>
      <c r="G845" s="66" t="str">
        <f>HYPERLINK("https://ledvance.com/pt/product-datasheet/188195/179308","Ficha de Produto")</f>
        <v>Ficha de Produto</v>
      </c>
      <c r="H845" s="34">
        <v>1</v>
      </c>
      <c r="I845" s="34" t="s">
        <v>893</v>
      </c>
      <c r="J845" s="34" t="s">
        <v>6202</v>
      </c>
      <c r="K845" s="34" t="s">
        <v>822</v>
      </c>
      <c r="L845" s="34" t="s">
        <v>765</v>
      </c>
      <c r="M845" s="30">
        <v>192.4</v>
      </c>
      <c r="N845" s="283" t="s">
        <v>721</v>
      </c>
    </row>
    <row r="846" spans="1:14" s="32" customFormat="1" ht="14.25" customHeight="1">
      <c r="A846" s="3" t="s">
        <v>641</v>
      </c>
      <c r="B846" s="36" t="s">
        <v>1194</v>
      </c>
      <c r="C846" s="214">
        <v>4058075692800</v>
      </c>
      <c r="D846" s="214"/>
      <c r="E846" s="215"/>
      <c r="F846" s="214"/>
      <c r="G846" s="66" t="str">
        <f>HYPERLINK("https://ledvance.com/pt/product-datasheet/188195/179300","Ficha de Produto")</f>
        <v>Ficha de Produto</v>
      </c>
      <c r="H846" s="34">
        <v>1</v>
      </c>
      <c r="I846" s="34" t="s">
        <v>894</v>
      </c>
      <c r="J846" s="34" t="s">
        <v>6203</v>
      </c>
      <c r="K846" s="34" t="s">
        <v>822</v>
      </c>
      <c r="L846" s="34" t="s">
        <v>765</v>
      </c>
      <c r="M846" s="30">
        <v>249.7</v>
      </c>
      <c r="N846" s="283" t="s">
        <v>721</v>
      </c>
    </row>
    <row r="847" spans="1:14" s="32" customFormat="1" ht="14.25" customHeight="1">
      <c r="A847" s="3" t="s">
        <v>641</v>
      </c>
      <c r="B847" s="36" t="s">
        <v>1195</v>
      </c>
      <c r="C847" s="214">
        <v>4058075692794</v>
      </c>
      <c r="D847" s="214"/>
      <c r="E847" s="215"/>
      <c r="F847" s="214"/>
      <c r="G847" s="66" t="str">
        <f>HYPERLINK("https://ledvance.com/pt/product-datasheet/188195/179298","Ficha de Produto")</f>
        <v>Ficha de Produto</v>
      </c>
      <c r="H847" s="34">
        <v>1</v>
      </c>
      <c r="I847" s="34" t="s">
        <v>894</v>
      </c>
      <c r="J847" s="34" t="s">
        <v>6203</v>
      </c>
      <c r="K847" s="34" t="s">
        <v>822</v>
      </c>
      <c r="L847" s="34" t="s">
        <v>765</v>
      </c>
      <c r="M847" s="30">
        <v>249.7</v>
      </c>
      <c r="N847" s="283" t="s">
        <v>721</v>
      </c>
    </row>
    <row r="848" spans="1:14" s="32" customFormat="1" ht="14.25" customHeight="1">
      <c r="A848" s="3" t="s">
        <v>641</v>
      </c>
      <c r="B848" s="36" t="s">
        <v>1542</v>
      </c>
      <c r="C848" s="214">
        <v>4058075764248</v>
      </c>
      <c r="D848" s="214"/>
      <c r="E848" s="215"/>
      <c r="F848" s="214"/>
      <c r="G848" s="66" t="str">
        <f>HYPERLINK("https://ledvance.com/pt/product-datasheet/188195/205337","Ficha de Produto")</f>
        <v>Ficha de Produto</v>
      </c>
      <c r="H848" s="34">
        <v>1</v>
      </c>
      <c r="I848" s="34" t="s">
        <v>894</v>
      </c>
      <c r="J848" s="34" t="s">
        <v>6203</v>
      </c>
      <c r="K848" s="34" t="s">
        <v>822</v>
      </c>
      <c r="L848" s="34" t="s">
        <v>765</v>
      </c>
      <c r="M848" s="30">
        <v>249.7</v>
      </c>
      <c r="N848" s="283" t="s">
        <v>721</v>
      </c>
    </row>
    <row r="849" spans="1:14" s="32" customFormat="1" ht="14.25" customHeight="1">
      <c r="A849" s="3" t="s">
        <v>641</v>
      </c>
      <c r="B849" s="36" t="s">
        <v>1196</v>
      </c>
      <c r="C849" s="214">
        <v>4058075692862</v>
      </c>
      <c r="D849" s="214"/>
      <c r="E849" s="215"/>
      <c r="F849" s="214"/>
      <c r="G849" s="66" t="str">
        <f>HYPERLINK("https://ledvance.com/pt/product-datasheet/188195/179312","Ficha de Produto")</f>
        <v>Ficha de Produto</v>
      </c>
      <c r="H849" s="34">
        <v>1</v>
      </c>
      <c r="I849" s="34" t="s">
        <v>894</v>
      </c>
      <c r="J849" s="34" t="s">
        <v>6203</v>
      </c>
      <c r="K849" s="34" t="s">
        <v>822</v>
      </c>
      <c r="L849" s="34" t="s">
        <v>765</v>
      </c>
      <c r="M849" s="30">
        <v>249.7</v>
      </c>
      <c r="N849" s="283" t="s">
        <v>721</v>
      </c>
    </row>
    <row r="850" spans="1:14" s="32" customFormat="1" ht="14.25" customHeight="1">
      <c r="A850" s="3" t="s">
        <v>641</v>
      </c>
      <c r="B850" s="36" t="s">
        <v>1178</v>
      </c>
      <c r="C850" s="214">
        <v>4058075692824</v>
      </c>
      <c r="D850" s="214"/>
      <c r="E850" s="215"/>
      <c r="F850" s="214"/>
      <c r="G850" s="66" t="str">
        <f>HYPERLINK("https://ledvance.com/pt/product-datasheet/188195/179304","Ficha de Produto")</f>
        <v>Ficha de Produto</v>
      </c>
      <c r="H850" s="34">
        <v>1</v>
      </c>
      <c r="I850" s="34" t="s">
        <v>895</v>
      </c>
      <c r="J850" s="34" t="s">
        <v>6200</v>
      </c>
      <c r="K850" s="34" t="s">
        <v>822</v>
      </c>
      <c r="L850" s="34" t="s">
        <v>765</v>
      </c>
      <c r="M850" s="30">
        <v>296.8</v>
      </c>
      <c r="N850" s="283" t="s">
        <v>721</v>
      </c>
    </row>
    <row r="851" spans="1:14" s="32" customFormat="1" ht="14.25" customHeight="1">
      <c r="A851" s="3" t="s">
        <v>641</v>
      </c>
      <c r="B851" s="36" t="s">
        <v>1179</v>
      </c>
      <c r="C851" s="214">
        <v>4058075692817</v>
      </c>
      <c r="D851" s="214"/>
      <c r="E851" s="215"/>
      <c r="F851" s="214"/>
      <c r="G851" s="66" t="str">
        <f>HYPERLINK("https://ledvance.com/pt/product-datasheet/188195/179302","Ficha de Produto")</f>
        <v>Ficha de Produto</v>
      </c>
      <c r="H851" s="34">
        <v>1</v>
      </c>
      <c r="I851" s="34" t="s">
        <v>895</v>
      </c>
      <c r="J851" s="34" t="s">
        <v>6200</v>
      </c>
      <c r="K851" s="34" t="s">
        <v>822</v>
      </c>
      <c r="L851" s="34" t="s">
        <v>765</v>
      </c>
      <c r="M851" s="30">
        <v>296.8</v>
      </c>
      <c r="N851" s="283" t="s">
        <v>721</v>
      </c>
    </row>
    <row r="852" spans="1:14" s="32" customFormat="1" ht="14.25" customHeight="1">
      <c r="A852" s="3" t="s">
        <v>641</v>
      </c>
      <c r="B852" s="36" t="s">
        <v>1180</v>
      </c>
      <c r="C852" s="214">
        <v>4058075692879</v>
      </c>
      <c r="D852" s="214"/>
      <c r="E852" s="215"/>
      <c r="F852" s="214"/>
      <c r="G852" s="66" t="str">
        <f>HYPERLINK("https://ledvance.com/pt/product-datasheet/188195/179314","Ficha de Produto")</f>
        <v>Ficha de Produto</v>
      </c>
      <c r="H852" s="34">
        <v>1</v>
      </c>
      <c r="I852" s="34" t="s">
        <v>895</v>
      </c>
      <c r="J852" s="34" t="s">
        <v>6200</v>
      </c>
      <c r="K852" s="34" t="s">
        <v>822</v>
      </c>
      <c r="L852" s="34" t="s">
        <v>765</v>
      </c>
      <c r="M852" s="30">
        <v>296.8</v>
      </c>
      <c r="N852" s="283" t="s">
        <v>721</v>
      </c>
    </row>
    <row r="853" spans="1:14" s="32" customFormat="1" ht="14.25" customHeight="1">
      <c r="A853" s="3" t="s">
        <v>641</v>
      </c>
      <c r="B853" s="36" t="s">
        <v>1543</v>
      </c>
      <c r="C853" s="214">
        <v>4058075764255</v>
      </c>
      <c r="D853" s="214"/>
      <c r="E853" s="215"/>
      <c r="F853" s="214"/>
      <c r="G853" s="66" t="str">
        <f>HYPERLINK("https://ledvance.com/pt/product-datasheet/188195/205339","Ficha de Produto")</f>
        <v>Ficha de Produto</v>
      </c>
      <c r="H853" s="34">
        <v>1</v>
      </c>
      <c r="I853" s="34" t="s">
        <v>895</v>
      </c>
      <c r="J853" s="34" t="s">
        <v>6200</v>
      </c>
      <c r="K853" s="34" t="s">
        <v>822</v>
      </c>
      <c r="L853" s="34" t="s">
        <v>765</v>
      </c>
      <c r="M853" s="30">
        <v>296.8</v>
      </c>
      <c r="N853" s="283" t="s">
        <v>721</v>
      </c>
    </row>
    <row r="854" spans="1:14" s="32" customFormat="1" ht="14.25" customHeight="1">
      <c r="A854" s="3" t="s">
        <v>641</v>
      </c>
      <c r="B854" s="36" t="s">
        <v>1181</v>
      </c>
      <c r="C854" s="214">
        <v>4058075692831</v>
      </c>
      <c r="D854" s="214"/>
      <c r="E854" s="215"/>
      <c r="F854" s="214"/>
      <c r="G854" s="66" t="str">
        <f>HYPERLINK("https://ledvance.com/pt/product-datasheet/188195/179306","Ficha de Produto")</f>
        <v>Ficha de Produto</v>
      </c>
      <c r="H854" s="34">
        <v>1</v>
      </c>
      <c r="I854" s="34" t="s">
        <v>896</v>
      </c>
      <c r="J854" s="34" t="s">
        <v>6201</v>
      </c>
      <c r="K854" s="34" t="s">
        <v>822</v>
      </c>
      <c r="L854" s="34" t="s">
        <v>765</v>
      </c>
      <c r="M854" s="30">
        <v>350.7</v>
      </c>
      <c r="N854" s="283" t="s">
        <v>721</v>
      </c>
    </row>
    <row r="855" spans="1:14" s="32" customFormat="1" ht="14.25" customHeight="1">
      <c r="A855" s="3" t="s">
        <v>641</v>
      </c>
      <c r="B855" s="36" t="s">
        <v>1182</v>
      </c>
      <c r="C855" s="214">
        <v>4058075692886</v>
      </c>
      <c r="D855" s="214"/>
      <c r="E855" s="215"/>
      <c r="F855" s="214"/>
      <c r="G855" s="66" t="str">
        <f>HYPERLINK("https://ledvance.com/pt/product-datasheet/188195/179316","Ficha de Produto")</f>
        <v>Ficha de Produto</v>
      </c>
      <c r="H855" s="34">
        <v>1</v>
      </c>
      <c r="I855" s="34" t="s">
        <v>896</v>
      </c>
      <c r="J855" s="34" t="s">
        <v>6201</v>
      </c>
      <c r="K855" s="34" t="s">
        <v>822</v>
      </c>
      <c r="L855" s="34" t="s">
        <v>765</v>
      </c>
      <c r="M855" s="30">
        <v>350.7</v>
      </c>
      <c r="N855" s="283" t="s">
        <v>721</v>
      </c>
    </row>
    <row r="856" spans="1:14" s="32" customFormat="1" ht="14.25" customHeight="1">
      <c r="A856" s="8" t="s">
        <v>641</v>
      </c>
      <c r="B856" s="227" t="s">
        <v>3416</v>
      </c>
      <c r="C856" s="7"/>
      <c r="D856" s="7"/>
      <c r="E856" s="7"/>
      <c r="F856" s="7"/>
      <c r="G856" s="68"/>
      <c r="H856" s="7"/>
      <c r="I856" s="7"/>
      <c r="J856" s="7"/>
      <c r="K856" s="7"/>
      <c r="L856" s="7"/>
      <c r="M856" s="7"/>
      <c r="N856" s="284"/>
    </row>
    <row r="857" spans="1:14" s="32" customFormat="1" ht="14.25" customHeight="1">
      <c r="A857" s="3" t="s">
        <v>641</v>
      </c>
      <c r="B857" s="36" t="s">
        <v>3163</v>
      </c>
      <c r="C857" s="214">
        <v>4058075603257</v>
      </c>
      <c r="D857" s="214"/>
      <c r="E857" s="215"/>
      <c r="F857" s="214"/>
      <c r="G857" s="66" t="str">
        <f>HYPERLINK("https://ledvance.com/pt/product-datasheet/188200/140933","Ficha de Produto")</f>
        <v>Ficha de Produto</v>
      </c>
      <c r="H857" s="34">
        <v>1</v>
      </c>
      <c r="I857" s="34" t="s">
        <v>893</v>
      </c>
      <c r="J857" s="34" t="s">
        <v>6202</v>
      </c>
      <c r="K857" s="34" t="s">
        <v>822</v>
      </c>
      <c r="L857" s="34" t="s">
        <v>765</v>
      </c>
      <c r="M857" s="30">
        <v>279.39999999999998</v>
      </c>
      <c r="N857" s="283" t="s">
        <v>721</v>
      </c>
    </row>
    <row r="858" spans="1:14" s="32" customFormat="1" ht="14.25" customHeight="1">
      <c r="A858" s="3" t="s">
        <v>641</v>
      </c>
      <c r="B858" s="36" t="s">
        <v>3162</v>
      </c>
      <c r="C858" s="214">
        <v>4058075603264</v>
      </c>
      <c r="D858" s="214"/>
      <c r="E858" s="215"/>
      <c r="F858" s="214"/>
      <c r="G858" s="66" t="str">
        <f>HYPERLINK("https://ledvance.com/pt/product-datasheet/188200/140935","Ficha de Produto")</f>
        <v>Ficha de Produto</v>
      </c>
      <c r="H858" s="34">
        <v>1</v>
      </c>
      <c r="I858" s="34" t="s">
        <v>894</v>
      </c>
      <c r="J858" s="34" t="s">
        <v>6203</v>
      </c>
      <c r="K858" s="34" t="s">
        <v>822</v>
      </c>
      <c r="L858" s="34" t="s">
        <v>765</v>
      </c>
      <c r="M858" s="30">
        <v>333.6</v>
      </c>
      <c r="N858" s="283" t="s">
        <v>721</v>
      </c>
    </row>
    <row r="859" spans="1:14" s="32" customFormat="1" ht="14.25" customHeight="1">
      <c r="A859" s="3" t="s">
        <v>641</v>
      </c>
      <c r="B859" s="36" t="s">
        <v>3164</v>
      </c>
      <c r="C859" s="214">
        <v>4058075603271</v>
      </c>
      <c r="D859" s="214"/>
      <c r="E859" s="215"/>
      <c r="F859" s="214"/>
      <c r="G859" s="66" t="str">
        <f>HYPERLINK("https://ledvance.com/pt/product-datasheet/188200/140937","Ficha de Produto")</f>
        <v>Ficha de Produto</v>
      </c>
      <c r="H859" s="34">
        <v>1</v>
      </c>
      <c r="I859" s="34" t="s">
        <v>894</v>
      </c>
      <c r="J859" s="34" t="s">
        <v>6203</v>
      </c>
      <c r="K859" s="34" t="s">
        <v>822</v>
      </c>
      <c r="L859" s="34" t="s">
        <v>765</v>
      </c>
      <c r="M859" s="30">
        <v>333.6</v>
      </c>
      <c r="N859" s="283" t="s">
        <v>721</v>
      </c>
    </row>
    <row r="860" spans="1:14" s="32" customFormat="1" ht="14.25" customHeight="1">
      <c r="A860" s="3" t="s">
        <v>641</v>
      </c>
      <c r="B860" s="36" t="s">
        <v>3165</v>
      </c>
      <c r="C860" s="214">
        <v>4058075603288</v>
      </c>
      <c r="D860" s="214"/>
      <c r="E860" s="215"/>
      <c r="F860" s="214"/>
      <c r="G860" s="66" t="str">
        <f>HYPERLINK("https://ledvance.com/pt/product-datasheet/188200/140939","Ficha de Produto")</f>
        <v>Ficha de Produto</v>
      </c>
      <c r="H860" s="34">
        <v>1</v>
      </c>
      <c r="I860" s="34" t="s">
        <v>895</v>
      </c>
      <c r="J860" s="34" t="s">
        <v>6200</v>
      </c>
      <c r="K860" s="34" t="s">
        <v>822</v>
      </c>
      <c r="L860" s="34" t="s">
        <v>765</v>
      </c>
      <c r="M860" s="30">
        <v>384.3</v>
      </c>
      <c r="N860" s="283" t="s">
        <v>721</v>
      </c>
    </row>
    <row r="861" spans="1:14" s="32" customFormat="1" ht="14.25" customHeight="1">
      <c r="A861" s="8" t="s">
        <v>641</v>
      </c>
      <c r="B861" s="227" t="s">
        <v>3418</v>
      </c>
      <c r="C861" s="7"/>
      <c r="D861" s="7"/>
      <c r="E861" s="7"/>
      <c r="F861" s="7"/>
      <c r="G861" s="68"/>
      <c r="H861" s="7"/>
      <c r="I861" s="7"/>
      <c r="J861" s="7"/>
      <c r="K861" s="7"/>
      <c r="L861" s="7"/>
      <c r="M861" s="7"/>
      <c r="N861" s="284"/>
    </row>
    <row r="862" spans="1:14" s="32" customFormat="1" ht="14.25" customHeight="1">
      <c r="A862" s="3" t="s">
        <v>1114</v>
      </c>
      <c r="B862" s="36" t="s">
        <v>1183</v>
      </c>
      <c r="C862" s="214">
        <v>4058075699397</v>
      </c>
      <c r="D862" s="214"/>
      <c r="E862" s="215"/>
      <c r="F862" s="214"/>
      <c r="G862" s="66" t="str">
        <f>HYPERLINK("https://ledvance.com/pt/product-datasheet/188208/180981","Ficha de Produto")</f>
        <v>Ficha de Produto</v>
      </c>
      <c r="H862" s="34">
        <v>2</v>
      </c>
      <c r="I862" s="217" t="s">
        <v>1201</v>
      </c>
      <c r="J862" s="217" t="s">
        <v>1201</v>
      </c>
      <c r="K862" s="217" t="s">
        <v>1201</v>
      </c>
      <c r="L862" s="34" t="s">
        <v>765</v>
      </c>
      <c r="M862" s="30">
        <v>40.200000000000003</v>
      </c>
      <c r="N862" s="283" t="s">
        <v>721</v>
      </c>
    </row>
    <row r="863" spans="1:14" s="32" customFormat="1" ht="14.25" customHeight="1">
      <c r="A863" s="3" t="s">
        <v>1114</v>
      </c>
      <c r="B863" s="36" t="s">
        <v>1184</v>
      </c>
      <c r="C863" s="214">
        <v>4058075699410</v>
      </c>
      <c r="D863" s="214"/>
      <c r="E863" s="215"/>
      <c r="F863" s="214"/>
      <c r="G863" s="66" t="str">
        <f>HYPERLINK("https://ledvance.com/pt/product-datasheet/188208/180985","Ficha de Produto")</f>
        <v>Ficha de Produto</v>
      </c>
      <c r="H863" s="34">
        <v>2</v>
      </c>
      <c r="I863" s="217" t="s">
        <v>1201</v>
      </c>
      <c r="J863" s="217" t="s">
        <v>1201</v>
      </c>
      <c r="K863" s="217" t="s">
        <v>1201</v>
      </c>
      <c r="L863" s="34" t="s">
        <v>765</v>
      </c>
      <c r="M863" s="30">
        <v>41.9</v>
      </c>
      <c r="N863" s="283" t="s">
        <v>721</v>
      </c>
    </row>
    <row r="864" spans="1:14" s="32" customFormat="1" ht="14.25" customHeight="1">
      <c r="A864" s="3" t="s">
        <v>1114</v>
      </c>
      <c r="B864" s="36" t="s">
        <v>1185</v>
      </c>
      <c r="C864" s="214">
        <v>4058075699359</v>
      </c>
      <c r="D864" s="214"/>
      <c r="E864" s="215"/>
      <c r="F864" s="214"/>
      <c r="G864" s="66" t="str">
        <f>HYPERLINK("https://ledvance.com/pt/product-datasheet/188210/180975","Ficha de Produto")</f>
        <v>Ficha de Produto</v>
      </c>
      <c r="H864" s="34">
        <v>2</v>
      </c>
      <c r="I864" s="217" t="s">
        <v>1201</v>
      </c>
      <c r="J864" s="217" t="s">
        <v>1201</v>
      </c>
      <c r="K864" s="217" t="s">
        <v>1201</v>
      </c>
      <c r="L864" s="34" t="s">
        <v>765</v>
      </c>
      <c r="M864" s="30">
        <v>110.2</v>
      </c>
      <c r="N864" s="283" t="s">
        <v>721</v>
      </c>
    </row>
    <row r="865" spans="1:14" s="32" customFormat="1" ht="14.25" customHeight="1">
      <c r="A865" s="3" t="s">
        <v>1114</v>
      </c>
      <c r="B865" s="36" t="s">
        <v>1186</v>
      </c>
      <c r="C865" s="214">
        <v>4058075699373</v>
      </c>
      <c r="D865" s="214"/>
      <c r="E865" s="215"/>
      <c r="F865" s="214"/>
      <c r="G865" s="66" t="str">
        <f>HYPERLINK("https://ledvance.com/pt/product-datasheet/188210/180978","Ficha de Produto")</f>
        <v>Ficha de Produto</v>
      </c>
      <c r="H865" s="34">
        <v>2</v>
      </c>
      <c r="I865" s="217" t="s">
        <v>1201</v>
      </c>
      <c r="J865" s="217" t="s">
        <v>1201</v>
      </c>
      <c r="K865" s="217" t="s">
        <v>1201</v>
      </c>
      <c r="L865" s="34" t="s">
        <v>765</v>
      </c>
      <c r="M865" s="30">
        <v>116.1</v>
      </c>
      <c r="N865" s="283" t="s">
        <v>721</v>
      </c>
    </row>
    <row r="866" spans="1:14" s="32" customFormat="1" ht="14.25" customHeight="1">
      <c r="A866" s="3" t="s">
        <v>1114</v>
      </c>
      <c r="B866" s="36" t="s">
        <v>1187</v>
      </c>
      <c r="C866" s="214">
        <v>4058075695191</v>
      </c>
      <c r="D866" s="214"/>
      <c r="E866" s="215"/>
      <c r="F866" s="214"/>
      <c r="G866" s="66" t="str">
        <f>HYPERLINK("https://ledvance.com/pt/product-datasheet/188211/180412","Ficha de Produto")</f>
        <v>Ficha de Produto</v>
      </c>
      <c r="H866" s="34">
        <v>10</v>
      </c>
      <c r="I866" s="217" t="s">
        <v>1201</v>
      </c>
      <c r="J866" s="217" t="s">
        <v>1201</v>
      </c>
      <c r="K866" s="217" t="s">
        <v>1201</v>
      </c>
      <c r="L866" s="34" t="s">
        <v>765</v>
      </c>
      <c r="M866" s="30">
        <v>32.5</v>
      </c>
      <c r="N866" s="283" t="s">
        <v>721</v>
      </c>
    </row>
    <row r="867" spans="1:14" s="32" customFormat="1" ht="14.25" customHeight="1">
      <c r="A867" s="3" t="s">
        <v>1114</v>
      </c>
      <c r="B867" s="36" t="s">
        <v>1188</v>
      </c>
      <c r="C867" s="214">
        <v>4058075611412</v>
      </c>
      <c r="D867" s="214"/>
      <c r="E867" s="215"/>
      <c r="F867" s="214"/>
      <c r="G867" s="66" t="str">
        <f>HYPERLINK("https://ledvance.com/pt/product-datasheet/188213/157372","Ficha de Produto")</f>
        <v>Ficha de Produto</v>
      </c>
      <c r="H867" s="34">
        <v>60</v>
      </c>
      <c r="I867" s="217" t="s">
        <v>1201</v>
      </c>
      <c r="J867" s="217" t="s">
        <v>1201</v>
      </c>
      <c r="K867" s="217" t="s">
        <v>1201</v>
      </c>
      <c r="L867" s="34" t="s">
        <v>765</v>
      </c>
      <c r="M867" s="30">
        <v>69.099999999999994</v>
      </c>
      <c r="N867" s="283" t="s">
        <v>721</v>
      </c>
    </row>
    <row r="868" spans="1:14" s="32" customFormat="1" ht="14.25" customHeight="1">
      <c r="A868" s="3" t="s">
        <v>1114</v>
      </c>
      <c r="B868" s="36" t="s">
        <v>3417</v>
      </c>
      <c r="C868" s="214">
        <v>4058075611436</v>
      </c>
      <c r="D868" s="214"/>
      <c r="E868" s="215"/>
      <c r="F868" s="214"/>
      <c r="G868" s="66" t="str">
        <f>HYPERLINK("https://ledvance.com/pt/product-datasheet/188213/157375","Ficha de Produto")</f>
        <v>Ficha de Produto</v>
      </c>
      <c r="H868" s="34">
        <v>60</v>
      </c>
      <c r="I868" s="217" t="s">
        <v>1201</v>
      </c>
      <c r="J868" s="217" t="s">
        <v>1201</v>
      </c>
      <c r="K868" s="217" t="s">
        <v>1201</v>
      </c>
      <c r="L868" s="34" t="s">
        <v>800</v>
      </c>
      <c r="M868" s="30">
        <v>25.7</v>
      </c>
      <c r="N868" s="283" t="s">
        <v>721</v>
      </c>
    </row>
    <row r="869" spans="1:14" s="32" customFormat="1" ht="14.25" customHeight="1">
      <c r="A869" s="8" t="s">
        <v>641</v>
      </c>
      <c r="B869" s="227" t="s">
        <v>1208</v>
      </c>
      <c r="C869" s="7"/>
      <c r="D869" s="7"/>
      <c r="E869" s="7"/>
      <c r="F869" s="7"/>
      <c r="G869" s="68"/>
      <c r="H869" s="7"/>
      <c r="I869" s="7"/>
      <c r="J869" s="7"/>
      <c r="K869" s="7"/>
      <c r="L869" s="7"/>
      <c r="M869" s="7"/>
      <c r="N869" s="284"/>
    </row>
    <row r="870" spans="1:14" s="32" customFormat="1" ht="14.25" customHeight="1">
      <c r="A870" s="3" t="s">
        <v>641</v>
      </c>
      <c r="B870" s="36" t="s">
        <v>1202</v>
      </c>
      <c r="C870" s="214">
        <v>4058075708174</v>
      </c>
      <c r="D870" s="214"/>
      <c r="E870" s="215"/>
      <c r="F870" s="214"/>
      <c r="G870" s="66" t="str">
        <f>HYPERLINK("https://ledvance.com/pt/product-datasheet/196477/183369","Ficha de Produto")</f>
        <v>Ficha de Produto</v>
      </c>
      <c r="H870" s="34">
        <v>1</v>
      </c>
      <c r="I870" s="34" t="s">
        <v>897</v>
      </c>
      <c r="J870" s="34" t="s">
        <v>6204</v>
      </c>
      <c r="K870" s="34" t="s">
        <v>822</v>
      </c>
      <c r="L870" s="34" t="s">
        <v>793</v>
      </c>
      <c r="M870" s="30">
        <v>141.30000000000001</v>
      </c>
      <c r="N870" s="283" t="s">
        <v>721</v>
      </c>
    </row>
    <row r="871" spans="1:14" s="32" customFormat="1" ht="14.25" customHeight="1">
      <c r="A871" s="3" t="s">
        <v>641</v>
      </c>
      <c r="B871" s="36" t="s">
        <v>1203</v>
      </c>
      <c r="C871" s="214">
        <v>4058075708211</v>
      </c>
      <c r="D871" s="214"/>
      <c r="E871" s="215"/>
      <c r="F871" s="214"/>
      <c r="G871" s="66" t="str">
        <f>HYPERLINK("https://ledvance.com/pt/product-datasheet/196477/183383","Ficha de Produto")</f>
        <v>Ficha de Produto</v>
      </c>
      <c r="H871" s="34">
        <v>1</v>
      </c>
      <c r="I871" s="34" t="s">
        <v>897</v>
      </c>
      <c r="J871" s="34" t="s">
        <v>6204</v>
      </c>
      <c r="K871" s="34" t="s">
        <v>822</v>
      </c>
      <c r="L871" s="34" t="s">
        <v>793</v>
      </c>
      <c r="M871" s="30">
        <v>141.30000000000001</v>
      </c>
      <c r="N871" s="283" t="s">
        <v>721</v>
      </c>
    </row>
    <row r="872" spans="1:14" s="32" customFormat="1" ht="14.25" customHeight="1">
      <c r="A872" s="3" t="s">
        <v>641</v>
      </c>
      <c r="B872" s="36" t="s">
        <v>1204</v>
      </c>
      <c r="C872" s="214">
        <v>4058075708181</v>
      </c>
      <c r="D872" s="214"/>
      <c r="E872" s="215"/>
      <c r="F872" s="214"/>
      <c r="G872" s="66" t="str">
        <f>HYPERLINK("https://ledvance.com/pt/product-datasheet/196477/183373","Ficha de Produto")</f>
        <v>Ficha de Produto</v>
      </c>
      <c r="H872" s="34">
        <v>1</v>
      </c>
      <c r="I872" s="34" t="s">
        <v>899</v>
      </c>
      <c r="J872" s="34" t="s">
        <v>6205</v>
      </c>
      <c r="K872" s="34" t="s">
        <v>822</v>
      </c>
      <c r="L872" s="34" t="s">
        <v>793</v>
      </c>
      <c r="M872" s="30">
        <v>169.4</v>
      </c>
      <c r="N872" s="283" t="s">
        <v>721</v>
      </c>
    </row>
    <row r="873" spans="1:14" s="32" customFormat="1" ht="14.25" customHeight="1">
      <c r="A873" s="3" t="s">
        <v>641</v>
      </c>
      <c r="B873" s="36" t="s">
        <v>1544</v>
      </c>
      <c r="C873" s="214">
        <v>4058075764453</v>
      </c>
      <c r="D873" s="214"/>
      <c r="E873" s="215"/>
      <c r="F873" s="214"/>
      <c r="G873" s="66" t="str">
        <f>HYPERLINK("https://ledvance.com/pt/product-datasheet/196477/205341","Ficha de Produto")</f>
        <v>Ficha de Produto</v>
      </c>
      <c r="H873" s="34"/>
      <c r="I873" s="34" t="s">
        <v>899</v>
      </c>
      <c r="J873" s="34" t="s">
        <v>6205</v>
      </c>
      <c r="K873" s="34" t="s">
        <v>822</v>
      </c>
      <c r="L873" s="34" t="s">
        <v>793</v>
      </c>
      <c r="M873" s="30">
        <v>169.4</v>
      </c>
      <c r="N873" s="283" t="s">
        <v>721</v>
      </c>
    </row>
    <row r="874" spans="1:14" s="32" customFormat="1" ht="14.25" customHeight="1">
      <c r="A874" s="3" t="s">
        <v>641</v>
      </c>
      <c r="B874" s="36" t="s">
        <v>1205</v>
      </c>
      <c r="C874" s="214">
        <v>4058075708198</v>
      </c>
      <c r="D874" s="214"/>
      <c r="E874" s="215"/>
      <c r="F874" s="214"/>
      <c r="G874" s="66" t="str">
        <f>HYPERLINK("https://ledvance.com/pt/product-datasheet/196477/183376","Ficha de Produto")</f>
        <v>Ficha de Produto</v>
      </c>
      <c r="H874" s="34">
        <v>1</v>
      </c>
      <c r="I874" s="34" t="s">
        <v>901</v>
      </c>
      <c r="J874" s="34" t="s">
        <v>6206</v>
      </c>
      <c r="K874" s="34" t="s">
        <v>822</v>
      </c>
      <c r="L874" s="34" t="s">
        <v>793</v>
      </c>
      <c r="M874" s="30">
        <v>188.6</v>
      </c>
      <c r="N874" s="283" t="s">
        <v>721</v>
      </c>
    </row>
    <row r="875" spans="1:14" s="32" customFormat="1" ht="14.25" customHeight="1">
      <c r="A875" s="3" t="s">
        <v>641</v>
      </c>
      <c r="B875" s="36" t="s">
        <v>1206</v>
      </c>
      <c r="C875" s="214">
        <v>4058075708228</v>
      </c>
      <c r="D875" s="214"/>
      <c r="E875" s="215"/>
      <c r="F875" s="214"/>
      <c r="G875" s="66" t="str">
        <f>HYPERLINK("https://ledvance.com/pt/product-datasheet/196477/183387","Ficha de Produto")</f>
        <v>Ficha de Produto</v>
      </c>
      <c r="H875" s="34">
        <v>1</v>
      </c>
      <c r="I875" s="34" t="s">
        <v>901</v>
      </c>
      <c r="J875" s="34" t="s">
        <v>6206</v>
      </c>
      <c r="K875" s="34" t="s">
        <v>822</v>
      </c>
      <c r="L875" s="34" t="s">
        <v>793</v>
      </c>
      <c r="M875" s="30">
        <v>188.6</v>
      </c>
      <c r="N875" s="283" t="s">
        <v>721</v>
      </c>
    </row>
    <row r="876" spans="1:14" s="32" customFormat="1" ht="14.25" customHeight="1">
      <c r="A876" s="3" t="s">
        <v>641</v>
      </c>
      <c r="B876" s="36" t="s">
        <v>1207</v>
      </c>
      <c r="C876" s="214">
        <v>4058075708204</v>
      </c>
      <c r="D876" s="214"/>
      <c r="E876" s="215"/>
      <c r="F876" s="214"/>
      <c r="G876" s="66" t="str">
        <f>HYPERLINK("https://ledvance.com/pt/product-datasheet/196477/183380","Ficha de Produto")</f>
        <v>Ficha de Produto</v>
      </c>
      <c r="H876" s="34">
        <v>1</v>
      </c>
      <c r="I876" s="34" t="s">
        <v>895</v>
      </c>
      <c r="J876" s="34" t="s">
        <v>6207</v>
      </c>
      <c r="K876" s="34" t="s">
        <v>822</v>
      </c>
      <c r="L876" s="34" t="s">
        <v>793</v>
      </c>
      <c r="M876" s="30">
        <v>211.4</v>
      </c>
      <c r="N876" s="283" t="s">
        <v>721</v>
      </c>
    </row>
    <row r="877" spans="1:14" s="32" customFormat="1" ht="14.25" customHeight="1">
      <c r="A877" s="3" t="s">
        <v>641</v>
      </c>
      <c r="B877" s="36" t="s">
        <v>1545</v>
      </c>
      <c r="C877" s="214">
        <v>4058075775138</v>
      </c>
      <c r="D877" s="214"/>
      <c r="E877" s="215"/>
      <c r="F877" s="214"/>
      <c r="G877" s="66" t="str">
        <f>HYPERLINK("https://ledvance.com/pt/product-datasheet/196477/208510","Ficha de Produto")</f>
        <v>Ficha de Produto</v>
      </c>
      <c r="H877" s="34"/>
      <c r="I877" s="34" t="s">
        <v>895</v>
      </c>
      <c r="J877" s="34" t="s">
        <v>6207</v>
      </c>
      <c r="K877" s="34" t="s">
        <v>822</v>
      </c>
      <c r="L877" s="34" t="s">
        <v>793</v>
      </c>
      <c r="M877" s="30">
        <v>211.4</v>
      </c>
      <c r="N877" s="283" t="s">
        <v>721</v>
      </c>
    </row>
    <row r="878" spans="1:14" s="32" customFormat="1" ht="14.25" customHeight="1">
      <c r="A878" s="8" t="s">
        <v>1114</v>
      </c>
      <c r="B878" s="227" t="s">
        <v>1209</v>
      </c>
      <c r="C878" s="7"/>
      <c r="D878" s="7"/>
      <c r="E878" s="7"/>
      <c r="F878" s="7"/>
      <c r="G878" s="68"/>
      <c r="H878" s="7"/>
      <c r="I878" s="7"/>
      <c r="J878" s="7"/>
      <c r="K878" s="7"/>
      <c r="L878" s="7"/>
      <c r="M878" s="7"/>
      <c r="N878" s="284"/>
    </row>
    <row r="879" spans="1:14" s="32" customFormat="1" ht="14.25" customHeight="1">
      <c r="A879" s="3" t="s">
        <v>1114</v>
      </c>
      <c r="B879" s="36" t="s">
        <v>1210</v>
      </c>
      <c r="C879" s="214">
        <v>4058075715233</v>
      </c>
      <c r="D879" s="214"/>
      <c r="E879" s="215"/>
      <c r="F879" s="216"/>
      <c r="G879" s="66" t="str">
        <f>HYPERLINK("https://ledvance.com/pt/product-datasheet/196478/187261","Ficha de Produto")</f>
        <v>Ficha de Produto</v>
      </c>
      <c r="H879" s="34">
        <v>2</v>
      </c>
      <c r="I879" s="217" t="s">
        <v>1201</v>
      </c>
      <c r="J879" s="217" t="s">
        <v>1201</v>
      </c>
      <c r="K879" s="217" t="s">
        <v>1201</v>
      </c>
      <c r="L879" s="34" t="s">
        <v>800</v>
      </c>
      <c r="M879" s="30">
        <v>57.1</v>
      </c>
      <c r="N879" s="283" t="s">
        <v>721</v>
      </c>
    </row>
    <row r="880" spans="1:14" s="32" customFormat="1" ht="14.25" customHeight="1">
      <c r="A880" s="3" t="s">
        <v>1114</v>
      </c>
      <c r="B880" s="36" t="s">
        <v>1211</v>
      </c>
      <c r="C880" s="214">
        <v>4058075715240</v>
      </c>
      <c r="D880" s="214"/>
      <c r="E880" s="215"/>
      <c r="F880" s="216"/>
      <c r="G880" s="66" t="str">
        <f>HYPERLINK("https://ledvance.com/pt/product-datasheet/196478/187265","Ficha de Produto")</f>
        <v>Ficha de Produto</v>
      </c>
      <c r="H880" s="34">
        <v>2</v>
      </c>
      <c r="I880" s="217" t="s">
        <v>1201</v>
      </c>
      <c r="J880" s="217" t="s">
        <v>1201</v>
      </c>
      <c r="K880" s="217" t="s">
        <v>1201</v>
      </c>
      <c r="L880" s="34" t="s">
        <v>800</v>
      </c>
      <c r="M880" s="30">
        <v>60.6</v>
      </c>
      <c r="N880" s="283" t="s">
        <v>721</v>
      </c>
    </row>
    <row r="881" spans="1:14" s="32" customFormat="1" ht="14.25" customHeight="1">
      <c r="A881" s="3" t="s">
        <v>1114</v>
      </c>
      <c r="B881" s="36" t="s">
        <v>1212</v>
      </c>
      <c r="C881" s="214">
        <v>4058075715257</v>
      </c>
      <c r="D881" s="214"/>
      <c r="E881" s="215"/>
      <c r="F881" s="216"/>
      <c r="G881" s="66" t="str">
        <f>HYPERLINK("https://ledvance.com/pt/product-datasheet/196478/187269","Ficha de Produto")</f>
        <v>Ficha de Produto</v>
      </c>
      <c r="H881" s="34">
        <v>2</v>
      </c>
      <c r="I881" s="217" t="s">
        <v>1201</v>
      </c>
      <c r="J881" s="217" t="s">
        <v>1201</v>
      </c>
      <c r="K881" s="217" t="s">
        <v>1201</v>
      </c>
      <c r="L881" s="34" t="s">
        <v>800</v>
      </c>
      <c r="M881" s="30">
        <v>64.2</v>
      </c>
      <c r="N881" s="283" t="s">
        <v>721</v>
      </c>
    </row>
    <row r="882" spans="1:14" s="32" customFormat="1" ht="14.25" customHeight="1">
      <c r="A882" s="3" t="s">
        <v>1114</v>
      </c>
      <c r="B882" s="36" t="s">
        <v>1213</v>
      </c>
      <c r="C882" s="214">
        <v>4058075715264</v>
      </c>
      <c r="D882" s="214"/>
      <c r="E882" s="215"/>
      <c r="F882" s="216"/>
      <c r="G882" s="66" t="str">
        <f>HYPERLINK("https://ledvance.com/pt/product-datasheet/196478/187273","Ficha de Produto")</f>
        <v>Ficha de Produto</v>
      </c>
      <c r="H882" s="34">
        <v>2</v>
      </c>
      <c r="I882" s="217" t="s">
        <v>1201</v>
      </c>
      <c r="J882" s="217" t="s">
        <v>1201</v>
      </c>
      <c r="K882" s="217" t="s">
        <v>1201</v>
      </c>
      <c r="L882" s="34" t="s">
        <v>800</v>
      </c>
      <c r="M882" s="30">
        <v>71.2</v>
      </c>
      <c r="N882" s="283" t="s">
        <v>721</v>
      </c>
    </row>
    <row r="883" spans="1:14" s="32" customFormat="1" ht="14.25" customHeight="1">
      <c r="A883" s="3" t="s">
        <v>1114</v>
      </c>
      <c r="B883" s="36" t="s">
        <v>1214</v>
      </c>
      <c r="C883" s="214">
        <v>4058075715271</v>
      </c>
      <c r="D883" s="214"/>
      <c r="E883" s="215"/>
      <c r="F883" s="216"/>
      <c r="G883" s="66" t="str">
        <f>HYPERLINK("https://ledvance.com/pt/product-datasheet/196479/187277","Ficha de Produto")</f>
        <v>Ficha de Produto</v>
      </c>
      <c r="H883" s="34">
        <v>10</v>
      </c>
      <c r="I883" s="217" t="s">
        <v>1201</v>
      </c>
      <c r="J883" s="217" t="s">
        <v>1201</v>
      </c>
      <c r="K883" s="217" t="s">
        <v>1201</v>
      </c>
      <c r="L883" s="34" t="s">
        <v>800</v>
      </c>
      <c r="M883" s="30">
        <v>23.4</v>
      </c>
      <c r="N883" s="283" t="s">
        <v>721</v>
      </c>
    </row>
    <row r="884" spans="1:14" s="32" customFormat="1" ht="14.25" customHeight="1">
      <c r="A884" s="3" t="s">
        <v>1114</v>
      </c>
      <c r="B884" s="36" t="s">
        <v>1215</v>
      </c>
      <c r="C884" s="214">
        <v>4058075715295</v>
      </c>
      <c r="D884" s="214"/>
      <c r="E884" s="215"/>
      <c r="F884" s="216"/>
      <c r="G884" s="66" t="str">
        <f>HYPERLINK("https://ledvance.com/pt/product-datasheet/196479/187283","Ficha de Produto")</f>
        <v>Ficha de Produto</v>
      </c>
      <c r="H884" s="34">
        <v>10</v>
      </c>
      <c r="I884" s="217" t="s">
        <v>1201</v>
      </c>
      <c r="J884" s="217" t="s">
        <v>1201</v>
      </c>
      <c r="K884" s="217" t="s">
        <v>1201</v>
      </c>
      <c r="L884" s="34" t="s">
        <v>800</v>
      </c>
      <c r="M884" s="30">
        <v>23.4</v>
      </c>
      <c r="N884" s="283" t="s">
        <v>721</v>
      </c>
    </row>
    <row r="885" spans="1:14" s="32" customFormat="1" ht="14.25" customHeight="1">
      <c r="A885" s="3" t="s">
        <v>1114</v>
      </c>
      <c r="B885" s="36" t="s">
        <v>1216</v>
      </c>
      <c r="C885" s="214">
        <v>4058075715318</v>
      </c>
      <c r="D885" s="214"/>
      <c r="E885" s="215"/>
      <c r="F885" s="216"/>
      <c r="G885" s="66" t="str">
        <f>HYPERLINK("https://ledvance.com/pt/product-datasheet/196479/187289","Ficha de Produto")</f>
        <v>Ficha de Produto</v>
      </c>
      <c r="H885" s="34">
        <v>5</v>
      </c>
      <c r="I885" s="217" t="s">
        <v>1201</v>
      </c>
      <c r="J885" s="217" t="s">
        <v>1201</v>
      </c>
      <c r="K885" s="217" t="s">
        <v>1201</v>
      </c>
      <c r="L885" s="34" t="s">
        <v>800</v>
      </c>
      <c r="M885" s="30">
        <v>23.4</v>
      </c>
      <c r="N885" s="283" t="s">
        <v>721</v>
      </c>
    </row>
    <row r="886" spans="1:14" s="32" customFormat="1" ht="14.25" customHeight="1">
      <c r="A886" s="3" t="s">
        <v>1114</v>
      </c>
      <c r="B886" s="36" t="s">
        <v>1217</v>
      </c>
      <c r="C886" s="214">
        <v>4058075715332</v>
      </c>
      <c r="D886" s="214"/>
      <c r="E886" s="215"/>
      <c r="F886" s="216"/>
      <c r="G886" s="66" t="str">
        <f>HYPERLINK("https://ledvance.com/pt/product-datasheet/196479/187295","Ficha de Produto")</f>
        <v>Ficha de Produto</v>
      </c>
      <c r="H886" s="34">
        <v>5</v>
      </c>
      <c r="I886" s="217" t="s">
        <v>1201</v>
      </c>
      <c r="J886" s="217" t="s">
        <v>1201</v>
      </c>
      <c r="K886" s="217" t="s">
        <v>1201</v>
      </c>
      <c r="L886" s="34" t="s">
        <v>800</v>
      </c>
      <c r="M886" s="30">
        <v>23.4</v>
      </c>
      <c r="N886" s="283" t="s">
        <v>721</v>
      </c>
    </row>
    <row r="887" spans="1:14" s="32" customFormat="1" ht="14.25" customHeight="1">
      <c r="A887" s="8"/>
      <c r="B887" s="227" t="s">
        <v>3166</v>
      </c>
      <c r="C887" s="7"/>
      <c r="D887" s="7"/>
      <c r="E887" s="7"/>
      <c r="F887" s="7"/>
      <c r="G887" s="68" t="s">
        <v>6505</v>
      </c>
      <c r="H887" s="7"/>
      <c r="I887" s="7"/>
      <c r="J887" s="7"/>
      <c r="K887" s="7"/>
      <c r="L887" s="7"/>
      <c r="M887" s="7"/>
      <c r="N887" s="284"/>
    </row>
    <row r="888" spans="1:14" s="32" customFormat="1" ht="14.25" customHeight="1">
      <c r="A888" s="3" t="s">
        <v>641</v>
      </c>
      <c r="B888" s="274" t="s">
        <v>1880</v>
      </c>
      <c r="C888" s="10">
        <v>4099854163654</v>
      </c>
      <c r="D888" s="10"/>
      <c r="E888" s="10"/>
      <c r="F888" s="222" t="s">
        <v>2019</v>
      </c>
      <c r="G888" s="66" t="str">
        <f>HYPERLINK("https://ledvance.com/pt/product-datasheet/197853/266572","Ficha de Produto")</f>
        <v>Ficha de Produto</v>
      </c>
      <c r="H888" s="34">
        <v>3</v>
      </c>
      <c r="I888" s="34" t="s">
        <v>1444</v>
      </c>
      <c r="J888" s="34" t="s">
        <v>836</v>
      </c>
      <c r="K888" s="34" t="s">
        <v>1446</v>
      </c>
      <c r="L888" s="34" t="s">
        <v>765</v>
      </c>
      <c r="M888" s="30">
        <v>189</v>
      </c>
      <c r="N888" s="283" t="s">
        <v>721</v>
      </c>
    </row>
    <row r="889" spans="1:14" s="32" customFormat="1" ht="14.25" customHeight="1">
      <c r="A889" s="3" t="s">
        <v>641</v>
      </c>
      <c r="B889" s="36" t="s">
        <v>1218</v>
      </c>
      <c r="C889" s="214">
        <v>4058075676060</v>
      </c>
      <c r="D889" s="214"/>
      <c r="E889" s="215"/>
      <c r="F889" s="214"/>
      <c r="G889" s="66" t="str">
        <f>HYPERLINK("https://ledvance.com/pt/product-datasheet/197853/169255","Ficha de Produto")</f>
        <v>Ficha de Produto</v>
      </c>
      <c r="H889" s="34">
        <v>3</v>
      </c>
      <c r="I889" s="34" t="s">
        <v>1444</v>
      </c>
      <c r="J889" s="34" t="s">
        <v>836</v>
      </c>
      <c r="K889" s="34" t="s">
        <v>1446</v>
      </c>
      <c r="L889" s="34" t="s">
        <v>765</v>
      </c>
      <c r="M889" s="30">
        <v>189</v>
      </c>
      <c r="N889" s="283" t="s">
        <v>721</v>
      </c>
    </row>
    <row r="890" spans="1:14" s="32" customFormat="1" ht="14.25" customHeight="1">
      <c r="A890" s="3" t="s">
        <v>641</v>
      </c>
      <c r="B890" s="36" t="s">
        <v>1219</v>
      </c>
      <c r="C890" s="214">
        <v>4058075676084</v>
      </c>
      <c r="D890" s="214"/>
      <c r="E890" s="215"/>
      <c r="F890" s="214"/>
      <c r="G890" s="66" t="str">
        <f>HYPERLINK("https://ledvance.com/pt/product-datasheet/197853/169258","Ficha de Produto")</f>
        <v>Ficha de Produto</v>
      </c>
      <c r="H890" s="34">
        <v>3</v>
      </c>
      <c r="I890" s="34" t="s">
        <v>1444</v>
      </c>
      <c r="J890" s="34" t="s">
        <v>836</v>
      </c>
      <c r="K890" s="34" t="s">
        <v>1446</v>
      </c>
      <c r="L890" s="34" t="s">
        <v>765</v>
      </c>
      <c r="M890" s="30">
        <v>189</v>
      </c>
      <c r="N890" s="283" t="s">
        <v>721</v>
      </c>
    </row>
    <row r="891" spans="1:14" s="32" customFormat="1" ht="14.25" customHeight="1">
      <c r="A891" s="3" t="s">
        <v>641</v>
      </c>
      <c r="B891" s="274" t="s">
        <v>1881</v>
      </c>
      <c r="C891" s="10">
        <v>4099854163838</v>
      </c>
      <c r="D891" s="10"/>
      <c r="E891" s="10"/>
      <c r="F891" s="222" t="s">
        <v>2019</v>
      </c>
      <c r="G891" s="66" t="str">
        <f>HYPERLINK("https://ledvance.com/pt/product-datasheet/197853/266577","Ficha de Produto")</f>
        <v>Ficha de Produto</v>
      </c>
      <c r="H891" s="34">
        <v>3</v>
      </c>
      <c r="I891" s="34" t="s">
        <v>1444</v>
      </c>
      <c r="J891" s="34" t="s">
        <v>836</v>
      </c>
      <c r="K891" s="34" t="s">
        <v>1446</v>
      </c>
      <c r="L891" s="34" t="s">
        <v>765</v>
      </c>
      <c r="M891" s="30">
        <v>189</v>
      </c>
      <c r="N891" s="283" t="s">
        <v>721</v>
      </c>
    </row>
    <row r="892" spans="1:14" s="32" customFormat="1" ht="14.25" customHeight="1">
      <c r="A892" s="3" t="s">
        <v>641</v>
      </c>
      <c r="B892" s="274" t="s">
        <v>1882</v>
      </c>
      <c r="C892" s="10">
        <v>4099854163876</v>
      </c>
      <c r="D892" s="10"/>
      <c r="E892" s="10"/>
      <c r="F892" s="222" t="s">
        <v>2019</v>
      </c>
      <c r="G892" s="66" t="str">
        <f>HYPERLINK("https://ledvance.com/pt/product-datasheet/197853/266580","Ficha de Produto")</f>
        <v>Ficha de Produto</v>
      </c>
      <c r="H892" s="34">
        <v>3</v>
      </c>
      <c r="I892" s="34" t="s">
        <v>1445</v>
      </c>
      <c r="J892" s="34" t="s">
        <v>1103</v>
      </c>
      <c r="K892" s="34" t="s">
        <v>1446</v>
      </c>
      <c r="L892" s="34" t="s">
        <v>765</v>
      </c>
      <c r="M892" s="30">
        <v>236.1</v>
      </c>
      <c r="N892" s="283" t="s">
        <v>721</v>
      </c>
    </row>
    <row r="893" spans="1:14" s="32" customFormat="1" ht="14.25" customHeight="1">
      <c r="A893" s="3" t="s">
        <v>641</v>
      </c>
      <c r="B893" s="36" t="s">
        <v>1220</v>
      </c>
      <c r="C893" s="214">
        <v>4058075676107</v>
      </c>
      <c r="D893" s="214"/>
      <c r="E893" s="215"/>
      <c r="F893" s="214"/>
      <c r="G893" s="66" t="str">
        <f>HYPERLINK("https://ledvance.com/pt/product-datasheet/197853/169261","Ficha de Produto")</f>
        <v>Ficha de Produto</v>
      </c>
      <c r="H893" s="34">
        <v>3</v>
      </c>
      <c r="I893" s="34" t="s">
        <v>1445</v>
      </c>
      <c r="J893" s="34" t="s">
        <v>1103</v>
      </c>
      <c r="K893" s="34" t="s">
        <v>1446</v>
      </c>
      <c r="L893" s="34" t="s">
        <v>765</v>
      </c>
      <c r="M893" s="30">
        <v>236.1</v>
      </c>
      <c r="N893" s="283" t="s">
        <v>721</v>
      </c>
    </row>
    <row r="894" spans="1:14" s="32" customFormat="1" ht="14.25" customHeight="1">
      <c r="A894" s="3" t="s">
        <v>641</v>
      </c>
      <c r="B894" s="36" t="s">
        <v>1221</v>
      </c>
      <c r="C894" s="214">
        <v>4058075676121</v>
      </c>
      <c r="D894" s="214"/>
      <c r="E894" s="215"/>
      <c r="F894" s="214"/>
      <c r="G894" s="66" t="str">
        <f>HYPERLINK("https://ledvance.com/pt/product-datasheet/197853/169264","Ficha de Produto")</f>
        <v>Ficha de Produto</v>
      </c>
      <c r="H894" s="34">
        <v>3</v>
      </c>
      <c r="I894" s="34" t="s">
        <v>1445</v>
      </c>
      <c r="J894" s="34" t="s">
        <v>1103</v>
      </c>
      <c r="K894" s="34" t="s">
        <v>1446</v>
      </c>
      <c r="L894" s="34" t="s">
        <v>765</v>
      </c>
      <c r="M894" s="30">
        <v>236.1</v>
      </c>
      <c r="N894" s="283" t="s">
        <v>721</v>
      </c>
    </row>
    <row r="895" spans="1:14" s="32" customFormat="1" ht="14.25" customHeight="1">
      <c r="A895" s="3" t="s">
        <v>641</v>
      </c>
      <c r="B895" s="274" t="s">
        <v>1883</v>
      </c>
      <c r="C895" s="10">
        <v>4099854164118</v>
      </c>
      <c r="D895" s="10"/>
      <c r="E895" s="10"/>
      <c r="F895" s="222" t="s">
        <v>2019</v>
      </c>
      <c r="G895" s="66" t="str">
        <f>HYPERLINK("https://ledvance.com/pt/product-datasheet/197853/266585","Ficha de Produto")</f>
        <v>Ficha de Produto</v>
      </c>
      <c r="H895" s="34">
        <v>3</v>
      </c>
      <c r="I895" s="34" t="s">
        <v>1445</v>
      </c>
      <c r="J895" s="34" t="s">
        <v>1103</v>
      </c>
      <c r="K895" s="34" t="s">
        <v>1446</v>
      </c>
      <c r="L895" s="34" t="s">
        <v>765</v>
      </c>
      <c r="M895" s="30">
        <v>236.1</v>
      </c>
      <c r="N895" s="283" t="s">
        <v>721</v>
      </c>
    </row>
    <row r="896" spans="1:14" s="32" customFormat="1" ht="14.25" customHeight="1">
      <c r="A896" s="3" t="s">
        <v>641</v>
      </c>
      <c r="B896" s="274" t="s">
        <v>1888</v>
      </c>
      <c r="C896" s="10">
        <v>4099854164248</v>
      </c>
      <c r="D896" s="10"/>
      <c r="E896" s="10"/>
      <c r="F896" s="222" t="s">
        <v>2019</v>
      </c>
      <c r="G896" s="66" t="str">
        <f>HYPERLINK("https://ledvance.com/pt/product-datasheet/197855/266604","Ficha de Produto")</f>
        <v>Ficha de Produto</v>
      </c>
      <c r="H896" s="34">
        <v>3</v>
      </c>
      <c r="I896" s="34" t="s">
        <v>6208</v>
      </c>
      <c r="J896" s="34" t="s">
        <v>1103</v>
      </c>
      <c r="K896" s="34" t="s">
        <v>1446</v>
      </c>
      <c r="L896" s="34" t="s">
        <v>765</v>
      </c>
      <c r="M896" s="30">
        <v>265</v>
      </c>
      <c r="N896" s="283" t="s">
        <v>721</v>
      </c>
    </row>
    <row r="897" spans="1:14" s="32" customFormat="1" ht="14.25" customHeight="1">
      <c r="A897" s="3" t="s">
        <v>641</v>
      </c>
      <c r="B897" s="274" t="s">
        <v>1889</v>
      </c>
      <c r="C897" s="10">
        <v>4099854164262</v>
      </c>
      <c r="D897" s="10"/>
      <c r="E897" s="10"/>
      <c r="F897" s="222" t="s">
        <v>2019</v>
      </c>
      <c r="G897" s="66" t="str">
        <f>HYPERLINK("https://ledvance.com/pt/product-datasheet/197855/266607","Ficha de Produto")</f>
        <v>Ficha de Produto</v>
      </c>
      <c r="H897" s="34">
        <v>3</v>
      </c>
      <c r="I897" s="34" t="s">
        <v>6208</v>
      </c>
      <c r="J897" s="34" t="s">
        <v>1103</v>
      </c>
      <c r="K897" s="34" t="s">
        <v>1446</v>
      </c>
      <c r="L897" s="34" t="s">
        <v>765</v>
      </c>
      <c r="M897" s="30">
        <v>265</v>
      </c>
      <c r="N897" s="283" t="s">
        <v>721</v>
      </c>
    </row>
    <row r="898" spans="1:14" s="32" customFormat="1" ht="14.25" customHeight="1">
      <c r="A898" s="3" t="s">
        <v>641</v>
      </c>
      <c r="B898" s="274" t="s">
        <v>1890</v>
      </c>
      <c r="C898" s="10">
        <v>4099854164286</v>
      </c>
      <c r="D898" s="10"/>
      <c r="E898" s="10"/>
      <c r="F898" s="222" t="s">
        <v>2019</v>
      </c>
      <c r="G898" s="66" t="str">
        <f>HYPERLINK("https://ledvance.com/pt/product-datasheet/197855/266610","Ficha de Produto")</f>
        <v>Ficha de Produto</v>
      </c>
      <c r="H898" s="34">
        <v>3</v>
      </c>
      <c r="I898" s="34" t="s">
        <v>6208</v>
      </c>
      <c r="J898" s="34" t="s">
        <v>1103</v>
      </c>
      <c r="K898" s="34" t="s">
        <v>1446</v>
      </c>
      <c r="L898" s="34" t="s">
        <v>765</v>
      </c>
      <c r="M898" s="30">
        <v>265</v>
      </c>
      <c r="N898" s="283" t="s">
        <v>721</v>
      </c>
    </row>
    <row r="899" spans="1:14" s="32" customFormat="1" ht="14.25" customHeight="1">
      <c r="A899" s="3" t="s">
        <v>641</v>
      </c>
      <c r="B899" s="274" t="s">
        <v>1891</v>
      </c>
      <c r="C899" s="10">
        <v>4099854164309</v>
      </c>
      <c r="D899" s="10"/>
      <c r="E899" s="10"/>
      <c r="F899" s="222" t="s">
        <v>2019</v>
      </c>
      <c r="G899" s="66" t="str">
        <f>HYPERLINK("https://ledvance.com/pt/product-datasheet/197855/266613","Ficha de Produto")</f>
        <v>Ficha de Produto</v>
      </c>
      <c r="H899" s="34">
        <v>3</v>
      </c>
      <c r="I899" s="34" t="s">
        <v>6208</v>
      </c>
      <c r="J899" s="34" t="s">
        <v>1103</v>
      </c>
      <c r="K899" s="34" t="s">
        <v>1446</v>
      </c>
      <c r="L899" s="34" t="s">
        <v>765</v>
      </c>
      <c r="M899" s="30">
        <v>265</v>
      </c>
      <c r="N899" s="283" t="s">
        <v>721</v>
      </c>
    </row>
    <row r="900" spans="1:14" s="32" customFormat="1" ht="14.25" customHeight="1">
      <c r="A900" s="3" t="s">
        <v>641</v>
      </c>
      <c r="B900" s="36" t="s">
        <v>1222</v>
      </c>
      <c r="C900" s="214">
        <v>4058075676244</v>
      </c>
      <c r="D900" s="214"/>
      <c r="E900" s="215"/>
      <c r="F900" s="214"/>
      <c r="G900" s="66" t="str">
        <f>HYPERLINK("https://ledvance.com/pt/product-datasheet/197855/169267","Ficha de Produto")</f>
        <v>Ficha de Produto</v>
      </c>
      <c r="H900" s="34">
        <v>3</v>
      </c>
      <c r="I900" s="34" t="s">
        <v>1163</v>
      </c>
      <c r="J900" s="34" t="s">
        <v>940</v>
      </c>
      <c r="K900" s="34" t="s">
        <v>1446</v>
      </c>
      <c r="L900" s="34" t="s">
        <v>765</v>
      </c>
      <c r="M900" s="30">
        <v>272.39999999999998</v>
      </c>
      <c r="N900" s="283" t="s">
        <v>721</v>
      </c>
    </row>
    <row r="901" spans="1:14" s="32" customFormat="1" ht="14.25" customHeight="1">
      <c r="A901" s="3" t="s">
        <v>641</v>
      </c>
      <c r="B901" s="36" t="s">
        <v>1223</v>
      </c>
      <c r="C901" s="214">
        <v>4058075676268</v>
      </c>
      <c r="D901" s="214"/>
      <c r="E901" s="215"/>
      <c r="F901" s="214"/>
      <c r="G901" s="66" t="str">
        <f>HYPERLINK("https://ledvance.com/pt/product-datasheet/197855/169270","Ficha de Produto")</f>
        <v>Ficha de Produto</v>
      </c>
      <c r="H901" s="34">
        <v>3</v>
      </c>
      <c r="I901" s="34" t="s">
        <v>1163</v>
      </c>
      <c r="J901" s="34" t="s">
        <v>940</v>
      </c>
      <c r="K901" s="34" t="s">
        <v>1446</v>
      </c>
      <c r="L901" s="34" t="s">
        <v>765</v>
      </c>
      <c r="M901" s="30">
        <v>272.39999999999998</v>
      </c>
      <c r="N901" s="283" t="s">
        <v>721</v>
      </c>
    </row>
    <row r="902" spans="1:14" s="32" customFormat="1" ht="14.25" customHeight="1">
      <c r="A902" s="3" t="s">
        <v>641</v>
      </c>
      <c r="B902" s="36" t="s">
        <v>1224</v>
      </c>
      <c r="C902" s="214">
        <v>4058075676282</v>
      </c>
      <c r="D902" s="214"/>
      <c r="E902" s="215"/>
      <c r="F902" s="214"/>
      <c r="G902" s="66" t="str">
        <f>HYPERLINK("https://ledvance.com/pt/product-datasheet/197855/169273","Ficha de Produto")</f>
        <v>Ficha de Produto</v>
      </c>
      <c r="H902" s="34">
        <v>3</v>
      </c>
      <c r="I902" s="34" t="s">
        <v>1163</v>
      </c>
      <c r="J902" s="34" t="s">
        <v>940</v>
      </c>
      <c r="K902" s="34" t="s">
        <v>1446</v>
      </c>
      <c r="L902" s="34" t="s">
        <v>765</v>
      </c>
      <c r="M902" s="30">
        <v>272.39999999999998</v>
      </c>
      <c r="N902" s="283" t="s">
        <v>721</v>
      </c>
    </row>
    <row r="903" spans="1:14" s="32" customFormat="1" ht="14.25" customHeight="1">
      <c r="A903" s="3" t="s">
        <v>641</v>
      </c>
      <c r="B903" s="274" t="s">
        <v>1892</v>
      </c>
      <c r="C903" s="10">
        <v>4099854163616</v>
      </c>
      <c r="D903" s="10"/>
      <c r="E903" s="10"/>
      <c r="F903" s="222" t="s">
        <v>2019</v>
      </c>
      <c r="G903" s="66" t="str">
        <f>HYPERLINK("https://ledvance.com/pt/product-datasheet/197855/266620","Ficha de Produto")</f>
        <v>Ficha de Produto</v>
      </c>
      <c r="H903" s="34">
        <v>3</v>
      </c>
      <c r="I903" s="34" t="s">
        <v>1163</v>
      </c>
      <c r="J903" s="34" t="s">
        <v>940</v>
      </c>
      <c r="K903" s="34" t="s">
        <v>1446</v>
      </c>
      <c r="L903" s="34" t="s">
        <v>765</v>
      </c>
      <c r="M903" s="30">
        <v>272.39999999999998</v>
      </c>
      <c r="N903" s="283" t="s">
        <v>721</v>
      </c>
    </row>
    <row r="904" spans="1:14" s="36" customFormat="1" ht="14.25" customHeight="1">
      <c r="A904" s="3" t="s">
        <v>641</v>
      </c>
      <c r="B904" s="274" t="s">
        <v>1893</v>
      </c>
      <c r="C904" s="10">
        <v>4099854163630</v>
      </c>
      <c r="D904" s="10"/>
      <c r="E904" s="10"/>
      <c r="F904" s="222" t="s">
        <v>2019</v>
      </c>
      <c r="G904" s="66" t="str">
        <f>HYPERLINK("https://ledvance.com/pt/product-datasheet/197855/266623","Ficha de Produto")</f>
        <v>Ficha de Produto</v>
      </c>
      <c r="H904" s="34">
        <v>3</v>
      </c>
      <c r="I904" s="34" t="s">
        <v>894</v>
      </c>
      <c r="J904" s="34" t="s">
        <v>1100</v>
      </c>
      <c r="K904" s="34" t="s">
        <v>1446</v>
      </c>
      <c r="L904" s="34" t="s">
        <v>765</v>
      </c>
      <c r="M904" s="30">
        <v>317.10000000000002</v>
      </c>
      <c r="N904" s="283" t="s">
        <v>721</v>
      </c>
    </row>
    <row r="905" spans="1:14" s="36" customFormat="1" ht="14.25" customHeight="1">
      <c r="A905" s="3" t="s">
        <v>641</v>
      </c>
      <c r="B905" s="274" t="s">
        <v>1894</v>
      </c>
      <c r="C905" s="10">
        <v>4099854163678</v>
      </c>
      <c r="D905" s="10"/>
      <c r="E905" s="10"/>
      <c r="F905" s="222" t="s">
        <v>2019</v>
      </c>
      <c r="G905" s="66" t="str">
        <f>HYPERLINK("https://ledvance.com/pt/product-datasheet/197855/266626","Ficha de Produto")</f>
        <v>Ficha de Produto</v>
      </c>
      <c r="H905" s="34">
        <v>3</v>
      </c>
      <c r="I905" s="34" t="s">
        <v>894</v>
      </c>
      <c r="J905" s="34" t="s">
        <v>1100</v>
      </c>
      <c r="K905" s="34" t="s">
        <v>1446</v>
      </c>
      <c r="L905" s="34" t="s">
        <v>765</v>
      </c>
      <c r="M905" s="30">
        <v>317.10000000000002</v>
      </c>
      <c r="N905" s="283" t="s">
        <v>721</v>
      </c>
    </row>
    <row r="906" spans="1:14" s="36" customFormat="1" ht="14.25" customHeight="1">
      <c r="A906" s="3" t="s">
        <v>641</v>
      </c>
      <c r="B906" s="274" t="s">
        <v>1895</v>
      </c>
      <c r="C906" s="10">
        <v>4099854163692</v>
      </c>
      <c r="D906" s="10"/>
      <c r="E906" s="10"/>
      <c r="F906" s="222" t="s">
        <v>2019</v>
      </c>
      <c r="G906" s="66" t="str">
        <f>HYPERLINK("https://ledvance.com/pt/product-datasheet/197855/266629","Ficha de Produto")</f>
        <v>Ficha de Produto</v>
      </c>
      <c r="H906" s="34">
        <v>3</v>
      </c>
      <c r="I906" s="34" t="s">
        <v>894</v>
      </c>
      <c r="J906" s="34" t="s">
        <v>1100</v>
      </c>
      <c r="K906" s="34" t="s">
        <v>1446</v>
      </c>
      <c r="L906" s="34" t="s">
        <v>765</v>
      </c>
      <c r="M906" s="30">
        <v>317.10000000000002</v>
      </c>
      <c r="N906" s="283" t="s">
        <v>721</v>
      </c>
    </row>
    <row r="907" spans="1:14" s="36" customFormat="1" ht="14.25" customHeight="1">
      <c r="A907" s="3" t="s">
        <v>641</v>
      </c>
      <c r="B907" s="274" t="s">
        <v>1896</v>
      </c>
      <c r="C907" s="10">
        <v>4099854163715</v>
      </c>
      <c r="D907" s="10"/>
      <c r="E907" s="10"/>
      <c r="F907" s="222" t="s">
        <v>2019</v>
      </c>
      <c r="G907" s="66" t="str">
        <f>HYPERLINK("https://ledvance.com/pt/product-datasheet/197855/266632","Ficha de Produto")</f>
        <v>Ficha de Produto</v>
      </c>
      <c r="H907" s="34">
        <v>3</v>
      </c>
      <c r="I907" s="34" t="s">
        <v>894</v>
      </c>
      <c r="J907" s="34" t="s">
        <v>1100</v>
      </c>
      <c r="K907" s="34" t="s">
        <v>1446</v>
      </c>
      <c r="L907" s="34" t="s">
        <v>765</v>
      </c>
      <c r="M907" s="30">
        <v>317.10000000000002</v>
      </c>
      <c r="N907" s="283" t="s">
        <v>721</v>
      </c>
    </row>
    <row r="908" spans="1:14" s="32" customFormat="1" ht="14.25" customHeight="1">
      <c r="A908" s="8"/>
      <c r="B908" s="227" t="s">
        <v>3426</v>
      </c>
      <c r="C908" s="7"/>
      <c r="D908" s="7"/>
      <c r="E908" s="7"/>
      <c r="F908" s="7"/>
      <c r="G908" s="68"/>
      <c r="H908" s="7"/>
      <c r="I908" s="7"/>
      <c r="J908" s="7"/>
      <c r="K908" s="7"/>
      <c r="L908" s="7"/>
      <c r="M908" s="7"/>
      <c r="N908" s="284"/>
    </row>
    <row r="909" spans="1:14" s="32" customFormat="1" ht="14.25" customHeight="1">
      <c r="A909" s="3" t="s">
        <v>641</v>
      </c>
      <c r="B909" s="274" t="s">
        <v>1884</v>
      </c>
      <c r="C909" s="10">
        <v>4099854164132</v>
      </c>
      <c r="D909" s="10"/>
      <c r="E909" s="10"/>
      <c r="F909" s="222" t="s">
        <v>2019</v>
      </c>
      <c r="G909" s="66" t="str">
        <f>HYPERLINK("https://ledvance.com/pt/product-datasheet/279652/266588","Ficha de Produto")</f>
        <v>Ficha de Produto</v>
      </c>
      <c r="H909" s="34">
        <v>3</v>
      </c>
      <c r="I909" s="34" t="s">
        <v>1444</v>
      </c>
      <c r="J909" s="34" t="s">
        <v>836</v>
      </c>
      <c r="K909" s="34" t="s">
        <v>1446</v>
      </c>
      <c r="L909" s="34" t="s">
        <v>765</v>
      </c>
      <c r="M909" s="30">
        <v>248.6</v>
      </c>
      <c r="N909" s="283" t="s">
        <v>721</v>
      </c>
    </row>
    <row r="910" spans="1:14" s="32" customFormat="1" ht="14.25" customHeight="1">
      <c r="A910" s="3" t="s">
        <v>641</v>
      </c>
      <c r="B910" s="36" t="s">
        <v>1225</v>
      </c>
      <c r="C910" s="214">
        <v>4058075676145</v>
      </c>
      <c r="D910" s="214"/>
      <c r="E910" s="215"/>
      <c r="F910" s="214"/>
      <c r="G910" s="66" t="str">
        <f>HYPERLINK("https://ledvance.com/pt/product-datasheet/279652/169279","Ficha de Produto")</f>
        <v>Ficha de Produto</v>
      </c>
      <c r="H910" s="34">
        <v>3</v>
      </c>
      <c r="I910" s="34" t="s">
        <v>1444</v>
      </c>
      <c r="J910" s="34" t="s">
        <v>836</v>
      </c>
      <c r="K910" s="34" t="s">
        <v>1446</v>
      </c>
      <c r="L910" s="34" t="s">
        <v>765</v>
      </c>
      <c r="M910" s="30">
        <v>263.5</v>
      </c>
      <c r="N910" s="283" t="s">
        <v>721</v>
      </c>
    </row>
    <row r="911" spans="1:14" s="32" customFormat="1" ht="14.25" customHeight="1">
      <c r="A911" s="3" t="s">
        <v>641</v>
      </c>
      <c r="B911" s="36" t="s">
        <v>1226</v>
      </c>
      <c r="C911" s="214">
        <v>4058075676169</v>
      </c>
      <c r="D911" s="214"/>
      <c r="E911" s="215"/>
      <c r="F911" s="214"/>
      <c r="G911" s="66" t="str">
        <f>HYPERLINK("https://ledvance.com/pt/product-datasheet/279652/169282","Ficha de Produto")</f>
        <v>Ficha de Produto</v>
      </c>
      <c r="H911" s="34">
        <v>3</v>
      </c>
      <c r="I911" s="34" t="s">
        <v>1444</v>
      </c>
      <c r="J911" s="34" t="s">
        <v>836</v>
      </c>
      <c r="K911" s="34" t="s">
        <v>1446</v>
      </c>
      <c r="L911" s="34" t="s">
        <v>765</v>
      </c>
      <c r="M911" s="30">
        <v>263.5</v>
      </c>
      <c r="N911" s="283" t="s">
        <v>721</v>
      </c>
    </row>
    <row r="912" spans="1:14" s="32" customFormat="1" ht="14.25" customHeight="1">
      <c r="A912" s="3" t="s">
        <v>641</v>
      </c>
      <c r="B912" s="274" t="s">
        <v>1885</v>
      </c>
      <c r="C912" s="10">
        <v>4099854164156</v>
      </c>
      <c r="D912" s="10"/>
      <c r="E912" s="10"/>
      <c r="F912" s="222" t="s">
        <v>2019</v>
      </c>
      <c r="G912" s="66" t="str">
        <f>HYPERLINK("https://ledvance.com/pt/product-datasheet/279652/266593","Ficha de Produto")</f>
        <v>Ficha de Produto</v>
      </c>
      <c r="H912" s="34">
        <v>3</v>
      </c>
      <c r="I912" s="34" t="s">
        <v>1444</v>
      </c>
      <c r="J912" s="34" t="s">
        <v>836</v>
      </c>
      <c r="K912" s="34" t="s">
        <v>1446</v>
      </c>
      <c r="L912" s="34" t="s">
        <v>765</v>
      </c>
      <c r="M912" s="30">
        <v>248.6</v>
      </c>
      <c r="N912" s="283" t="s">
        <v>721</v>
      </c>
    </row>
    <row r="913" spans="1:14" s="32" customFormat="1" ht="14.25" customHeight="1">
      <c r="A913" s="3" t="s">
        <v>641</v>
      </c>
      <c r="B913" s="274" t="s">
        <v>1886</v>
      </c>
      <c r="C913" s="10">
        <v>4099854164170</v>
      </c>
      <c r="D913" s="10"/>
      <c r="E913" s="10"/>
      <c r="F913" s="222" t="s">
        <v>2019</v>
      </c>
      <c r="G913" s="66" t="str">
        <f>HYPERLINK("https://ledvance.com/pt/product-datasheet/279652/266596","Ficha de Produto")</f>
        <v>Ficha de Produto</v>
      </c>
      <c r="H913" s="34">
        <v>3</v>
      </c>
      <c r="I913" s="34" t="s">
        <v>1445</v>
      </c>
      <c r="J913" s="34" t="s">
        <v>1103</v>
      </c>
      <c r="K913" s="34" t="s">
        <v>1446</v>
      </c>
      <c r="L913" s="34" t="s">
        <v>765</v>
      </c>
      <c r="M913" s="30">
        <v>295.8</v>
      </c>
      <c r="N913" s="283" t="s">
        <v>721</v>
      </c>
    </row>
    <row r="914" spans="1:14" s="32" customFormat="1" ht="14.25" customHeight="1">
      <c r="A914" s="3" t="s">
        <v>641</v>
      </c>
      <c r="B914" s="36" t="s">
        <v>1227</v>
      </c>
      <c r="C914" s="214">
        <v>4058075676206</v>
      </c>
      <c r="D914" s="214"/>
      <c r="E914" s="215"/>
      <c r="F914" s="214"/>
      <c r="G914" s="66" t="str">
        <f>HYPERLINK("https://ledvance.com/pt/product-datasheet/279652/169285","Ficha de Produto")</f>
        <v>Ficha de Produto</v>
      </c>
      <c r="H914" s="34">
        <v>3</v>
      </c>
      <c r="I914" s="34" t="s">
        <v>1445</v>
      </c>
      <c r="J914" s="34" t="s">
        <v>1103</v>
      </c>
      <c r="K914" s="34" t="s">
        <v>1446</v>
      </c>
      <c r="L914" s="34" t="s">
        <v>765</v>
      </c>
      <c r="M914" s="30">
        <v>310.7</v>
      </c>
      <c r="N914" s="283" t="s">
        <v>721</v>
      </c>
    </row>
    <row r="915" spans="1:14" s="32" customFormat="1" ht="14.25" customHeight="1">
      <c r="A915" s="3" t="s">
        <v>641</v>
      </c>
      <c r="B915" s="36" t="s">
        <v>1228</v>
      </c>
      <c r="C915" s="214">
        <v>4058075676220</v>
      </c>
      <c r="D915" s="214"/>
      <c r="E915" s="215"/>
      <c r="F915" s="214"/>
      <c r="G915" s="66" t="str">
        <f>HYPERLINK("https://ledvance.com/pt/product-datasheet/279652/169288","Ficha de Produto")</f>
        <v>Ficha de Produto</v>
      </c>
      <c r="H915" s="34">
        <v>3</v>
      </c>
      <c r="I915" s="34" t="s">
        <v>1445</v>
      </c>
      <c r="J915" s="34" t="s">
        <v>1103</v>
      </c>
      <c r="K915" s="34" t="s">
        <v>1446</v>
      </c>
      <c r="L915" s="34" t="s">
        <v>765</v>
      </c>
      <c r="M915" s="30">
        <v>310.7</v>
      </c>
      <c r="N915" s="283" t="s">
        <v>721</v>
      </c>
    </row>
    <row r="916" spans="1:14" s="32" customFormat="1" ht="14.25" customHeight="1">
      <c r="A916" s="3" t="s">
        <v>641</v>
      </c>
      <c r="B916" s="274" t="s">
        <v>1887</v>
      </c>
      <c r="C916" s="10">
        <v>4099854164224</v>
      </c>
      <c r="D916" s="10"/>
      <c r="E916" s="10"/>
      <c r="F916" s="222" t="s">
        <v>2019</v>
      </c>
      <c r="G916" s="66" t="str">
        <f>HYPERLINK("https://ledvance.com/pt/product-datasheet/279652/266601","Ficha de Produto")</f>
        <v>Ficha de Produto</v>
      </c>
      <c r="H916" s="34">
        <v>3</v>
      </c>
      <c r="I916" s="34" t="s">
        <v>1445</v>
      </c>
      <c r="J916" s="34" t="s">
        <v>1103</v>
      </c>
      <c r="K916" s="34" t="s">
        <v>1446</v>
      </c>
      <c r="L916" s="34" t="s">
        <v>765</v>
      </c>
      <c r="M916" s="30">
        <v>295.8</v>
      </c>
      <c r="N916" s="283" t="s">
        <v>721</v>
      </c>
    </row>
    <row r="917" spans="1:14" s="36" customFormat="1" ht="14.25" customHeight="1">
      <c r="A917" s="3" t="s">
        <v>641</v>
      </c>
      <c r="B917" s="274" t="s">
        <v>1897</v>
      </c>
      <c r="C917" s="10">
        <v>4099854163753</v>
      </c>
      <c r="D917" s="10"/>
      <c r="E917" s="10"/>
      <c r="F917" s="222" t="s">
        <v>2019</v>
      </c>
      <c r="G917" s="66" t="str">
        <f>HYPERLINK("https://ledvance.com/pt/product-datasheet/279659/266635","Ficha de Produto")</f>
        <v>Ficha de Produto</v>
      </c>
      <c r="H917" s="34">
        <v>3</v>
      </c>
      <c r="I917" s="34" t="s">
        <v>6208</v>
      </c>
      <c r="J917" s="34" t="s">
        <v>1103</v>
      </c>
      <c r="K917" s="34" t="s">
        <v>1446</v>
      </c>
      <c r="L917" s="34" t="s">
        <v>765</v>
      </c>
      <c r="M917" s="30">
        <v>324.60000000000002</v>
      </c>
      <c r="N917" s="283" t="s">
        <v>721</v>
      </c>
    </row>
    <row r="918" spans="1:14" s="36" customFormat="1" ht="14.25" customHeight="1">
      <c r="A918" s="3" t="s">
        <v>641</v>
      </c>
      <c r="B918" s="274" t="s">
        <v>1898</v>
      </c>
      <c r="C918" s="10">
        <v>4099854163791</v>
      </c>
      <c r="D918" s="10"/>
      <c r="E918" s="10"/>
      <c r="F918" s="222" t="s">
        <v>2019</v>
      </c>
      <c r="G918" s="66" t="str">
        <f>HYPERLINK("https://ledvance.com/pt/product-datasheet/279659/266639","Ficha de Produto")</f>
        <v>Ficha de Produto</v>
      </c>
      <c r="H918" s="34">
        <v>3</v>
      </c>
      <c r="I918" s="34" t="s">
        <v>6208</v>
      </c>
      <c r="J918" s="34" t="s">
        <v>1103</v>
      </c>
      <c r="K918" s="34" t="s">
        <v>1446</v>
      </c>
      <c r="L918" s="34" t="s">
        <v>765</v>
      </c>
      <c r="M918" s="30">
        <v>324.60000000000002</v>
      </c>
      <c r="N918" s="283" t="s">
        <v>721</v>
      </c>
    </row>
    <row r="919" spans="1:14" s="36" customFormat="1" ht="14.25" customHeight="1">
      <c r="A919" s="3" t="s">
        <v>641</v>
      </c>
      <c r="B919" s="274" t="s">
        <v>1899</v>
      </c>
      <c r="C919" s="10">
        <v>4099854163814</v>
      </c>
      <c r="D919" s="10"/>
      <c r="E919" s="10"/>
      <c r="F919" s="222" t="s">
        <v>2019</v>
      </c>
      <c r="G919" s="66" t="str">
        <f>HYPERLINK("https://ledvance.com/pt/product-datasheet/279659/266642","Ficha de Produto")</f>
        <v>Ficha de Produto</v>
      </c>
      <c r="H919" s="34">
        <v>3</v>
      </c>
      <c r="I919" s="34" t="s">
        <v>6208</v>
      </c>
      <c r="J919" s="34" t="s">
        <v>1103</v>
      </c>
      <c r="K919" s="34" t="s">
        <v>1446</v>
      </c>
      <c r="L919" s="34" t="s">
        <v>765</v>
      </c>
      <c r="M919" s="30">
        <v>324.60000000000002</v>
      </c>
      <c r="N919" s="283" t="s">
        <v>721</v>
      </c>
    </row>
    <row r="920" spans="1:14" s="36" customFormat="1" ht="14.25" customHeight="1">
      <c r="A920" s="3" t="s">
        <v>641</v>
      </c>
      <c r="B920" s="274" t="s">
        <v>1900</v>
      </c>
      <c r="C920" s="10">
        <v>4099854163852</v>
      </c>
      <c r="D920" s="10"/>
      <c r="E920" s="10"/>
      <c r="F920" s="222" t="s">
        <v>2019</v>
      </c>
      <c r="G920" s="66" t="str">
        <f>HYPERLINK("https://ledvance.com/pt/product-datasheet/279659/266645","Ficha de Produto")</f>
        <v>Ficha de Produto</v>
      </c>
      <c r="H920" s="34">
        <v>3</v>
      </c>
      <c r="I920" s="34" t="s">
        <v>6208</v>
      </c>
      <c r="J920" s="34" t="s">
        <v>1103</v>
      </c>
      <c r="K920" s="34" t="s">
        <v>1446</v>
      </c>
      <c r="L920" s="34" t="s">
        <v>765</v>
      </c>
      <c r="M920" s="30">
        <v>324.60000000000002</v>
      </c>
      <c r="N920" s="283" t="s">
        <v>721</v>
      </c>
    </row>
    <row r="921" spans="1:14" s="32" customFormat="1" ht="14.25" customHeight="1">
      <c r="A921" s="3" t="s">
        <v>641</v>
      </c>
      <c r="B921" s="36" t="s">
        <v>1229</v>
      </c>
      <c r="C921" s="214">
        <v>4058075676305</v>
      </c>
      <c r="D921" s="214"/>
      <c r="E921" s="215"/>
      <c r="F921" s="214"/>
      <c r="G921" s="66" t="str">
        <f>HYPERLINK("https://ledvance.com/pt/product-datasheet/279659/169291","Ficha de Produto")</f>
        <v>Ficha de Produto</v>
      </c>
      <c r="H921" s="34">
        <v>3</v>
      </c>
      <c r="I921" s="34" t="s">
        <v>1163</v>
      </c>
      <c r="J921" s="34" t="s">
        <v>940</v>
      </c>
      <c r="K921" s="34" t="s">
        <v>1446</v>
      </c>
      <c r="L921" s="34" t="s">
        <v>765</v>
      </c>
      <c r="M921" s="30">
        <v>346.9</v>
      </c>
      <c r="N921" s="283" t="s">
        <v>721</v>
      </c>
    </row>
    <row r="922" spans="1:14" s="32" customFormat="1" ht="14.25" customHeight="1">
      <c r="A922" s="3" t="s">
        <v>641</v>
      </c>
      <c r="B922" s="36" t="s">
        <v>1230</v>
      </c>
      <c r="C922" s="214">
        <v>4058075676329</v>
      </c>
      <c r="D922" s="214"/>
      <c r="E922" s="215"/>
      <c r="F922" s="214"/>
      <c r="G922" s="66" t="str">
        <f>HYPERLINK("https://ledvance.com/pt/product-datasheet/279659/169294","Ficha de Produto")</f>
        <v>Ficha de Produto</v>
      </c>
      <c r="H922" s="34">
        <v>3</v>
      </c>
      <c r="I922" s="34" t="s">
        <v>1163</v>
      </c>
      <c r="J922" s="34" t="s">
        <v>940</v>
      </c>
      <c r="K922" s="34" t="s">
        <v>1446</v>
      </c>
      <c r="L922" s="34" t="s">
        <v>765</v>
      </c>
      <c r="M922" s="30">
        <v>346.9</v>
      </c>
      <c r="N922" s="283" t="s">
        <v>721</v>
      </c>
    </row>
    <row r="923" spans="1:14" s="32" customFormat="1" ht="14.25" customHeight="1">
      <c r="A923" s="3" t="s">
        <v>641</v>
      </c>
      <c r="B923" s="36" t="s">
        <v>1231</v>
      </c>
      <c r="C923" s="214">
        <v>4058075676343</v>
      </c>
      <c r="D923" s="214"/>
      <c r="E923" s="215"/>
      <c r="F923" s="214"/>
      <c r="G923" s="66" t="str">
        <f>HYPERLINK("https://ledvance.com/pt/product-datasheet/279659/169297","Ficha de Produto")</f>
        <v>Ficha de Produto</v>
      </c>
      <c r="H923" s="34">
        <v>3</v>
      </c>
      <c r="I923" s="34" t="s">
        <v>1163</v>
      </c>
      <c r="J923" s="34" t="s">
        <v>940</v>
      </c>
      <c r="K923" s="34" t="s">
        <v>1446</v>
      </c>
      <c r="L923" s="34" t="s">
        <v>765</v>
      </c>
      <c r="M923" s="30">
        <v>346.9</v>
      </c>
      <c r="N923" s="283" t="s">
        <v>721</v>
      </c>
    </row>
    <row r="924" spans="1:14" s="36" customFormat="1" ht="14.25" customHeight="1">
      <c r="A924" s="3" t="s">
        <v>641</v>
      </c>
      <c r="B924" s="274" t="s">
        <v>1901</v>
      </c>
      <c r="C924" s="10">
        <v>4099854163975</v>
      </c>
      <c r="D924" s="10"/>
      <c r="E924" s="10"/>
      <c r="F924" s="222" t="s">
        <v>2019</v>
      </c>
      <c r="G924" s="66" t="str">
        <f>HYPERLINK("https://ledvance.com/pt/product-datasheet/279659/266651","Ficha de Produto")</f>
        <v>Ficha de Produto</v>
      </c>
      <c r="H924" s="34">
        <v>3</v>
      </c>
      <c r="I924" s="34" t="s">
        <v>1163</v>
      </c>
      <c r="J924" s="34" t="s">
        <v>940</v>
      </c>
      <c r="K924" s="34" t="s">
        <v>1446</v>
      </c>
      <c r="L924" s="34" t="s">
        <v>765</v>
      </c>
      <c r="M924" s="30">
        <v>376.8</v>
      </c>
      <c r="N924" s="283" t="s">
        <v>721</v>
      </c>
    </row>
    <row r="925" spans="1:14" s="36" customFormat="1" ht="14.25" customHeight="1">
      <c r="A925" s="3" t="s">
        <v>641</v>
      </c>
      <c r="B925" s="274" t="s">
        <v>1902</v>
      </c>
      <c r="C925" s="10">
        <v>4099854163999</v>
      </c>
      <c r="D925" s="10"/>
      <c r="E925" s="10"/>
      <c r="F925" s="222" t="s">
        <v>2019</v>
      </c>
      <c r="G925" s="66" t="str">
        <f>HYPERLINK("https://ledvance.com/pt/product-datasheet/279659/266654","Ficha de Produto")</f>
        <v>Ficha de Produto</v>
      </c>
      <c r="H925" s="34">
        <v>3</v>
      </c>
      <c r="I925" s="34" t="s">
        <v>894</v>
      </c>
      <c r="J925" s="34" t="s">
        <v>1100</v>
      </c>
      <c r="K925" s="34" t="s">
        <v>1446</v>
      </c>
      <c r="L925" s="34" t="s">
        <v>765</v>
      </c>
      <c r="M925" s="30">
        <v>376.8</v>
      </c>
      <c r="N925" s="283" t="s">
        <v>721</v>
      </c>
    </row>
    <row r="926" spans="1:14" s="36" customFormat="1" ht="14.25" customHeight="1">
      <c r="A926" s="3" t="s">
        <v>641</v>
      </c>
      <c r="B926" s="274" t="s">
        <v>1903</v>
      </c>
      <c r="C926" s="10">
        <v>4099854164019</v>
      </c>
      <c r="D926" s="10"/>
      <c r="E926" s="10"/>
      <c r="F926" s="222" t="s">
        <v>2019</v>
      </c>
      <c r="G926" s="66" t="str">
        <f>HYPERLINK("https://ledvance.com/pt/product-datasheet/279659/266657","Ficha de Produto")</f>
        <v>Ficha de Produto</v>
      </c>
      <c r="H926" s="34">
        <v>3</v>
      </c>
      <c r="I926" s="34" t="s">
        <v>894</v>
      </c>
      <c r="J926" s="34" t="s">
        <v>1100</v>
      </c>
      <c r="K926" s="34" t="s">
        <v>1446</v>
      </c>
      <c r="L926" s="34" t="s">
        <v>765</v>
      </c>
      <c r="M926" s="30">
        <v>376.8</v>
      </c>
      <c r="N926" s="283" t="s">
        <v>721</v>
      </c>
    </row>
    <row r="927" spans="1:14" s="36" customFormat="1" ht="14.25" customHeight="1">
      <c r="A927" s="3" t="s">
        <v>641</v>
      </c>
      <c r="B927" s="274" t="s">
        <v>1904</v>
      </c>
      <c r="C927" s="10">
        <v>4099854164033</v>
      </c>
      <c r="D927" s="10"/>
      <c r="E927" s="10"/>
      <c r="F927" s="222" t="s">
        <v>2019</v>
      </c>
      <c r="G927" s="66" t="str">
        <f>HYPERLINK("https://ledvance.com/pt/product-datasheet/279659/266660","Ficha de Produto")</f>
        <v>Ficha de Produto</v>
      </c>
      <c r="H927" s="34">
        <v>3</v>
      </c>
      <c r="I927" s="34" t="s">
        <v>894</v>
      </c>
      <c r="J927" s="34" t="s">
        <v>1100</v>
      </c>
      <c r="K927" s="34" t="s">
        <v>1446</v>
      </c>
      <c r="L927" s="34" t="s">
        <v>765</v>
      </c>
      <c r="M927" s="30">
        <v>376.8</v>
      </c>
      <c r="N927" s="283" t="s">
        <v>721</v>
      </c>
    </row>
    <row r="928" spans="1:14" s="36" customFormat="1" ht="14.25" customHeight="1">
      <c r="A928" s="3" t="s">
        <v>641</v>
      </c>
      <c r="B928" s="274" t="s">
        <v>1905</v>
      </c>
      <c r="C928" s="10">
        <v>4099854164071</v>
      </c>
      <c r="D928" s="10"/>
      <c r="E928" s="10"/>
      <c r="F928" s="222" t="s">
        <v>2019</v>
      </c>
      <c r="G928" s="66" t="str">
        <f>HYPERLINK("https://ledvance.com/pt/product-datasheet/279659/266663","Ficha de Produto")</f>
        <v>Ficha de Produto</v>
      </c>
      <c r="H928" s="34">
        <v>3</v>
      </c>
      <c r="I928" s="34" t="s">
        <v>894</v>
      </c>
      <c r="J928" s="34" t="s">
        <v>1100</v>
      </c>
      <c r="K928" s="34" t="s">
        <v>1446</v>
      </c>
      <c r="L928" s="34" t="s">
        <v>765</v>
      </c>
      <c r="M928" s="30">
        <v>376.8</v>
      </c>
      <c r="N928" s="283" t="s">
        <v>721</v>
      </c>
    </row>
    <row r="929" spans="1:14" s="32" customFormat="1" ht="14.25" customHeight="1">
      <c r="A929" s="8"/>
      <c r="B929" s="227" t="s">
        <v>1970</v>
      </c>
      <c r="C929" s="7"/>
      <c r="D929" s="7"/>
      <c r="E929" s="7"/>
      <c r="F929" s="7"/>
      <c r="G929" s="68" t="s">
        <v>6505</v>
      </c>
      <c r="H929" s="230"/>
      <c r="I929" s="230"/>
      <c r="J929" s="230"/>
      <c r="K929" s="230"/>
      <c r="L929" s="230"/>
      <c r="M929" s="7"/>
      <c r="N929" s="284"/>
    </row>
    <row r="930" spans="1:14" s="32" customFormat="1" ht="14.25" customHeight="1">
      <c r="A930" s="3" t="s">
        <v>1114</v>
      </c>
      <c r="B930" s="36" t="s">
        <v>1232</v>
      </c>
      <c r="C930" s="214">
        <v>4058075693722</v>
      </c>
      <c r="D930" s="10"/>
      <c r="E930" s="10"/>
      <c r="F930" s="222" t="s">
        <v>2019</v>
      </c>
      <c r="G930" s="66" t="str">
        <f>HYPERLINK("https://ledvance.com/pt/product-datasheet/197857/179527","Ficha de Produto")</f>
        <v>Ficha de Produto</v>
      </c>
      <c r="H930" s="34">
        <v>30</v>
      </c>
      <c r="I930" s="217" t="s">
        <v>1201</v>
      </c>
      <c r="J930" s="217" t="s">
        <v>1201</v>
      </c>
      <c r="K930" s="217" t="s">
        <v>1201</v>
      </c>
      <c r="L930" s="34" t="s">
        <v>800</v>
      </c>
      <c r="M930" s="30">
        <v>32.5</v>
      </c>
      <c r="N930" s="283" t="s">
        <v>721</v>
      </c>
    </row>
    <row r="931" spans="1:14" s="36" customFormat="1" ht="14.25" customHeight="1">
      <c r="A931" s="3" t="s">
        <v>1114</v>
      </c>
      <c r="B931" s="274" t="s">
        <v>1906</v>
      </c>
      <c r="C931" s="10">
        <v>4099854177705</v>
      </c>
      <c r="D931" s="10"/>
      <c r="E931" s="10"/>
      <c r="F931" s="222" t="s">
        <v>2019</v>
      </c>
      <c r="G931" s="66" t="str">
        <f>HYPERLINK("https://ledvance.com/pt/product-datasheet/279895/269735","Ficha de Produto")</f>
        <v>Ficha de Produto</v>
      </c>
      <c r="H931" s="3">
        <v>3</v>
      </c>
      <c r="I931" s="217" t="s">
        <v>1201</v>
      </c>
      <c r="J931" s="217" t="s">
        <v>1201</v>
      </c>
      <c r="K931" s="217" t="s">
        <v>1201</v>
      </c>
      <c r="L931" s="34" t="s">
        <v>765</v>
      </c>
      <c r="M931" s="30">
        <v>53.2</v>
      </c>
      <c r="N931" s="283" t="s">
        <v>721</v>
      </c>
    </row>
    <row r="932" spans="1:14" s="36" customFormat="1" ht="14.25" customHeight="1">
      <c r="A932" s="3" t="s">
        <v>1114</v>
      </c>
      <c r="B932" s="274" t="s">
        <v>1907</v>
      </c>
      <c r="C932" s="10">
        <v>4099854177729</v>
      </c>
      <c r="D932" s="10"/>
      <c r="E932" s="10"/>
      <c r="F932" s="222" t="s">
        <v>2019</v>
      </c>
      <c r="G932" s="66" t="str">
        <f>HYPERLINK("https://ledvance.com/pt/product-datasheet/279895/269738","Ficha de Produto")</f>
        <v>Ficha de Produto</v>
      </c>
      <c r="H932" s="3">
        <v>3</v>
      </c>
      <c r="I932" s="217" t="s">
        <v>1201</v>
      </c>
      <c r="J932" s="217" t="s">
        <v>1201</v>
      </c>
      <c r="K932" s="217" t="s">
        <v>1201</v>
      </c>
      <c r="L932" s="34" t="s">
        <v>765</v>
      </c>
      <c r="M932" s="30">
        <v>63.7</v>
      </c>
      <c r="N932" s="283" t="s">
        <v>721</v>
      </c>
    </row>
    <row r="933" spans="1:14" s="36" customFormat="1" ht="14.25" customHeight="1">
      <c r="A933" s="3" t="s">
        <v>1114</v>
      </c>
      <c r="B933" s="274" t="s">
        <v>1908</v>
      </c>
      <c r="C933" s="10">
        <v>4099854177934</v>
      </c>
      <c r="D933" s="10"/>
      <c r="E933" s="10"/>
      <c r="F933" s="222" t="s">
        <v>2019</v>
      </c>
      <c r="G933" s="66" t="str">
        <f>HYPERLINK("https://ledvance.com/pt/product-datasheet/279896/269741","Ficha de Produto")</f>
        <v>Ficha de Produto</v>
      </c>
      <c r="H933" s="3">
        <v>60</v>
      </c>
      <c r="I933" s="217" t="s">
        <v>1201</v>
      </c>
      <c r="J933" s="217" t="s">
        <v>1201</v>
      </c>
      <c r="K933" s="217" t="s">
        <v>1201</v>
      </c>
      <c r="L933" s="34" t="s">
        <v>765</v>
      </c>
      <c r="M933" s="30">
        <v>42.6</v>
      </c>
      <c r="N933" s="283" t="s">
        <v>721</v>
      </c>
    </row>
    <row r="934" spans="1:14" s="32" customFormat="1" ht="14.25" customHeight="1">
      <c r="A934" s="8" t="s">
        <v>641</v>
      </c>
      <c r="B934" s="227" t="s">
        <v>682</v>
      </c>
      <c r="C934" s="7"/>
      <c r="D934" s="7"/>
      <c r="E934" s="7"/>
      <c r="F934" s="7"/>
      <c r="G934" s="68"/>
      <c r="H934" s="7"/>
      <c r="I934" s="7"/>
      <c r="J934" s="7"/>
      <c r="K934" s="7"/>
      <c r="L934" s="7"/>
      <c r="M934" s="230"/>
      <c r="N934" s="285"/>
    </row>
    <row r="935" spans="1:14" s="32" customFormat="1" ht="14.25" customHeight="1">
      <c r="A935" s="3" t="s">
        <v>641</v>
      </c>
      <c r="B935" s="36" t="s">
        <v>3436</v>
      </c>
      <c r="C935" s="214">
        <v>4058075353299</v>
      </c>
      <c r="D935" s="214"/>
      <c r="E935" s="215"/>
      <c r="F935" s="216"/>
      <c r="G935" s="66" t="str">
        <f>HYPERLINK("https://ledvance.com/pt/product-datasheet/8903/77695","Ficha de Produto")</f>
        <v>Ficha de Produto</v>
      </c>
      <c r="H935" s="34">
        <v>1</v>
      </c>
      <c r="I935" s="34" t="s">
        <v>902</v>
      </c>
      <c r="J935" s="34" t="s">
        <v>6171</v>
      </c>
      <c r="K935" s="34" t="s">
        <v>876</v>
      </c>
      <c r="L935" s="34" t="s">
        <v>765</v>
      </c>
      <c r="M935" s="30">
        <v>262.5</v>
      </c>
      <c r="N935" s="283" t="s">
        <v>721</v>
      </c>
    </row>
    <row r="936" spans="1:14" s="32" customFormat="1" ht="14.25" customHeight="1">
      <c r="A936" s="3" t="s">
        <v>641</v>
      </c>
      <c r="B936" s="36" t="s">
        <v>3437</v>
      </c>
      <c r="C936" s="214">
        <v>4058075353305</v>
      </c>
      <c r="D936" s="214"/>
      <c r="E936" s="215"/>
      <c r="F936" s="216"/>
      <c r="G936" s="66" t="str">
        <f>HYPERLINK("https://ledvance.com/pt/product-datasheet/8903/132944","Ficha de Produto")</f>
        <v>Ficha de Produto</v>
      </c>
      <c r="H936" s="34">
        <v>1</v>
      </c>
      <c r="I936" s="34" t="s">
        <v>871</v>
      </c>
      <c r="J936" s="34" t="s">
        <v>6171</v>
      </c>
      <c r="K936" s="34" t="s">
        <v>876</v>
      </c>
      <c r="L936" s="34" t="s">
        <v>765</v>
      </c>
      <c r="M936" s="30">
        <v>262.5</v>
      </c>
      <c r="N936" s="283" t="s">
        <v>721</v>
      </c>
    </row>
    <row r="937" spans="1:14" s="32" customFormat="1" ht="14.25" customHeight="1">
      <c r="A937" s="3" t="s">
        <v>641</v>
      </c>
      <c r="B937" s="36" t="s">
        <v>3438</v>
      </c>
      <c r="C937" s="214">
        <v>4058075353312</v>
      </c>
      <c r="D937" s="214"/>
      <c r="E937" s="215"/>
      <c r="F937" s="216"/>
      <c r="G937" s="66" t="str">
        <f>HYPERLINK("https://ledvance.com/pt/product-datasheet/8903/132949","Ficha de Produto")</f>
        <v>Ficha de Produto</v>
      </c>
      <c r="H937" s="34">
        <v>1</v>
      </c>
      <c r="I937" s="34" t="s">
        <v>903</v>
      </c>
      <c r="J937" s="34" t="s">
        <v>6209</v>
      </c>
      <c r="K937" s="34" t="s">
        <v>876</v>
      </c>
      <c r="L937" s="34" t="s">
        <v>765</v>
      </c>
      <c r="M937" s="30">
        <v>397.5</v>
      </c>
      <c r="N937" s="283" t="s">
        <v>721</v>
      </c>
    </row>
    <row r="938" spans="1:14" s="32" customFormat="1" ht="14.25" customHeight="1">
      <c r="A938" s="3" t="s">
        <v>641</v>
      </c>
      <c r="B938" s="36" t="s">
        <v>3439</v>
      </c>
      <c r="C938" s="214">
        <v>4058075353527</v>
      </c>
      <c r="D938" s="214"/>
      <c r="E938" s="215"/>
      <c r="F938" s="216"/>
      <c r="G938" s="66" t="str">
        <f>HYPERLINK("https://ledvance.com/pt/product-datasheet/8903/132954","Ficha de Produto")</f>
        <v>Ficha de Produto</v>
      </c>
      <c r="H938" s="34">
        <v>1</v>
      </c>
      <c r="I938" s="34" t="s">
        <v>904</v>
      </c>
      <c r="J938" s="34" t="s">
        <v>6209</v>
      </c>
      <c r="K938" s="34" t="s">
        <v>876</v>
      </c>
      <c r="L938" s="34" t="s">
        <v>765</v>
      </c>
      <c r="M938" s="30">
        <v>397.5</v>
      </c>
      <c r="N938" s="283" t="s">
        <v>721</v>
      </c>
    </row>
    <row r="939" spans="1:14" s="32" customFormat="1" ht="14.25" customHeight="1">
      <c r="A939" s="3" t="s">
        <v>641</v>
      </c>
      <c r="B939" s="36" t="s">
        <v>3440</v>
      </c>
      <c r="C939" s="214">
        <v>4058075353534</v>
      </c>
      <c r="D939" s="214"/>
      <c r="E939" s="215"/>
      <c r="F939" s="216"/>
      <c r="G939" s="66" t="str">
        <f>HYPERLINK("https://ledvance.com/pt/product-datasheet/8903/132959","Ficha de Produto")</f>
        <v>Ficha de Produto</v>
      </c>
      <c r="H939" s="34">
        <v>1</v>
      </c>
      <c r="I939" s="34" t="s">
        <v>905</v>
      </c>
      <c r="J939" s="34" t="s">
        <v>6210</v>
      </c>
      <c r="K939" s="34" t="s">
        <v>876</v>
      </c>
      <c r="L939" s="34" t="s">
        <v>765</v>
      </c>
      <c r="M939" s="30">
        <v>495</v>
      </c>
      <c r="N939" s="283" t="s">
        <v>721</v>
      </c>
    </row>
    <row r="940" spans="1:14" s="32" customFormat="1" ht="14.25" customHeight="1">
      <c r="A940" s="3" t="s">
        <v>641</v>
      </c>
      <c r="B940" s="36" t="s">
        <v>3441</v>
      </c>
      <c r="C940" s="214">
        <v>4058075353541</v>
      </c>
      <c r="D940" s="214"/>
      <c r="E940" s="215"/>
      <c r="F940" s="216"/>
      <c r="G940" s="66" t="str">
        <f>HYPERLINK("https://ledvance.com/pt/product-datasheet/8903/132964","Ficha de Produto")</f>
        <v>Ficha de Produto</v>
      </c>
      <c r="H940" s="34">
        <v>1</v>
      </c>
      <c r="I940" s="34" t="s">
        <v>906</v>
      </c>
      <c r="J940" s="34" t="s">
        <v>6210</v>
      </c>
      <c r="K940" s="34" t="s">
        <v>876</v>
      </c>
      <c r="L940" s="34" t="s">
        <v>765</v>
      </c>
      <c r="M940" s="30">
        <v>495</v>
      </c>
      <c r="N940" s="283" t="s">
        <v>721</v>
      </c>
    </row>
    <row r="941" spans="1:14" s="32" customFormat="1" ht="14.25" customHeight="1">
      <c r="A941" s="3" t="s">
        <v>641</v>
      </c>
      <c r="B941" s="36" t="s">
        <v>3442</v>
      </c>
      <c r="C941" s="214">
        <v>4058075353558</v>
      </c>
      <c r="D941" s="214"/>
      <c r="E941" s="215"/>
      <c r="F941" s="216"/>
      <c r="G941" s="66" t="str">
        <f>HYPERLINK("https://ledvance.com/pt/product-datasheet/8903/132969","Ficha de Produto")</f>
        <v>Ficha de Produto</v>
      </c>
      <c r="H941" s="34">
        <v>1</v>
      </c>
      <c r="I941" s="34" t="s">
        <v>907</v>
      </c>
      <c r="J941" s="34" t="s">
        <v>6211</v>
      </c>
      <c r="K941" s="34" t="s">
        <v>876</v>
      </c>
      <c r="L941" s="34" t="s">
        <v>765</v>
      </c>
      <c r="M941" s="30">
        <v>657.5</v>
      </c>
      <c r="N941" s="283" t="s">
        <v>721</v>
      </c>
    </row>
    <row r="942" spans="1:14" s="32" customFormat="1" ht="14.25" customHeight="1">
      <c r="A942" s="3" t="s">
        <v>641</v>
      </c>
      <c r="B942" s="36" t="s">
        <v>3443</v>
      </c>
      <c r="C942" s="214">
        <v>4058075353565</v>
      </c>
      <c r="D942" s="214"/>
      <c r="E942" s="215"/>
      <c r="F942" s="216"/>
      <c r="G942" s="66" t="str">
        <f>HYPERLINK("https://ledvance.com/pt/product-datasheet/8903/77697","Ficha de Produto")</f>
        <v>Ficha de Produto</v>
      </c>
      <c r="H942" s="34">
        <v>1</v>
      </c>
      <c r="I942" s="34" t="s">
        <v>908</v>
      </c>
      <c r="J942" s="34" t="s">
        <v>6211</v>
      </c>
      <c r="K942" s="34" t="s">
        <v>876</v>
      </c>
      <c r="L942" s="34" t="s">
        <v>765</v>
      </c>
      <c r="M942" s="30">
        <v>657.5</v>
      </c>
      <c r="N942" s="283" t="s">
        <v>721</v>
      </c>
    </row>
    <row r="943" spans="1:14" s="32" customFormat="1" ht="14.25" customHeight="1">
      <c r="A943" s="3" t="s">
        <v>641</v>
      </c>
      <c r="B943" s="36" t="s">
        <v>3444</v>
      </c>
      <c r="C943" s="214">
        <v>4058075353572</v>
      </c>
      <c r="D943" s="214"/>
      <c r="E943" s="215"/>
      <c r="F943" s="216"/>
      <c r="G943" s="66" t="str">
        <f>HYPERLINK("https://ledvance.com/pt/product-datasheet/8903/132292","Ficha de Produto")</f>
        <v>Ficha de Produto</v>
      </c>
      <c r="H943" s="34">
        <v>1</v>
      </c>
      <c r="I943" s="34" t="s">
        <v>909</v>
      </c>
      <c r="J943" s="34" t="s">
        <v>6212</v>
      </c>
      <c r="K943" s="34" t="s">
        <v>876</v>
      </c>
      <c r="L943" s="34" t="s">
        <v>765</v>
      </c>
      <c r="M943" s="30">
        <v>945</v>
      </c>
      <c r="N943" s="283" t="s">
        <v>721</v>
      </c>
    </row>
    <row r="944" spans="1:14" s="32" customFormat="1" ht="14.25" customHeight="1">
      <c r="A944" s="3" t="s">
        <v>641</v>
      </c>
      <c r="B944" s="36" t="s">
        <v>3445</v>
      </c>
      <c r="C944" s="214">
        <v>4058075353602</v>
      </c>
      <c r="D944" s="214"/>
      <c r="E944" s="215"/>
      <c r="F944" s="216"/>
      <c r="G944" s="66" t="str">
        <f>HYPERLINK("https://ledvance.com/pt/product-datasheet/8903/132297","Ficha de Produto")</f>
        <v>Ficha de Produto</v>
      </c>
      <c r="H944" s="34">
        <v>1</v>
      </c>
      <c r="I944" s="34" t="s">
        <v>910</v>
      </c>
      <c r="J944" s="34" t="s">
        <v>6212</v>
      </c>
      <c r="K944" s="34" t="s">
        <v>876</v>
      </c>
      <c r="L944" s="34" t="s">
        <v>765</v>
      </c>
      <c r="M944" s="30">
        <v>945</v>
      </c>
      <c r="N944" s="283" t="s">
        <v>721</v>
      </c>
    </row>
    <row r="945" spans="1:14" s="32" customFormat="1" ht="14.25" customHeight="1">
      <c r="A945" s="8"/>
      <c r="B945" s="227" t="s">
        <v>3427</v>
      </c>
      <c r="C945" s="7"/>
      <c r="D945" s="7"/>
      <c r="E945" s="7"/>
      <c r="F945" s="7"/>
      <c r="G945" s="68" t="s">
        <v>6505</v>
      </c>
      <c r="H945" s="7"/>
      <c r="I945" s="7"/>
      <c r="J945" s="7"/>
      <c r="K945" s="7"/>
      <c r="L945" s="7"/>
      <c r="M945" s="230"/>
      <c r="N945" s="286"/>
    </row>
    <row r="946" spans="1:14" s="32" customFormat="1" ht="14.25" customHeight="1">
      <c r="A946" s="3" t="s">
        <v>641</v>
      </c>
      <c r="B946" s="36" t="s">
        <v>1354</v>
      </c>
      <c r="C946" s="214">
        <v>4058075760523</v>
      </c>
      <c r="D946" s="214"/>
      <c r="E946" s="215"/>
      <c r="F946" s="223"/>
      <c r="G946" s="66" t="str">
        <f>HYPERLINK("https://ledvance.com/pt/product-datasheet/220122/204085","Ficha de Produto")</f>
        <v>Ficha de Produto</v>
      </c>
      <c r="H946" s="34">
        <v>1</v>
      </c>
      <c r="I946" s="34" t="s">
        <v>902</v>
      </c>
      <c r="J946" s="34" t="s">
        <v>6171</v>
      </c>
      <c r="K946" s="34" t="s">
        <v>876</v>
      </c>
      <c r="L946" s="34" t="s">
        <v>765</v>
      </c>
      <c r="M946" s="30">
        <v>302.5</v>
      </c>
      <c r="N946" s="283" t="s">
        <v>721</v>
      </c>
    </row>
    <row r="947" spans="1:14" s="32" customFormat="1" ht="14.25" customHeight="1">
      <c r="A947" s="3" t="s">
        <v>641</v>
      </c>
      <c r="B947" s="36" t="s">
        <v>1355</v>
      </c>
      <c r="C947" s="214">
        <v>4058075760530</v>
      </c>
      <c r="D947" s="214"/>
      <c r="E947" s="215"/>
      <c r="F947" s="223"/>
      <c r="G947" s="66" t="str">
        <f>HYPERLINK("https://ledvance.com/pt/product-datasheet/220122/204087","Ficha de Produto")</f>
        <v>Ficha de Produto</v>
      </c>
      <c r="H947" s="34">
        <v>1</v>
      </c>
      <c r="I947" s="34" t="s">
        <v>871</v>
      </c>
      <c r="J947" s="34" t="s">
        <v>6171</v>
      </c>
      <c r="K947" s="34" t="s">
        <v>876</v>
      </c>
      <c r="L947" s="34" t="s">
        <v>765</v>
      </c>
      <c r="M947" s="30">
        <v>302.5</v>
      </c>
      <c r="N947" s="283" t="s">
        <v>721</v>
      </c>
    </row>
    <row r="948" spans="1:14" s="32" customFormat="1" ht="14.25" customHeight="1">
      <c r="A948" s="3" t="s">
        <v>641</v>
      </c>
      <c r="B948" s="36" t="s">
        <v>1356</v>
      </c>
      <c r="C948" s="214">
        <v>4058075760547</v>
      </c>
      <c r="D948" s="214"/>
      <c r="E948" s="215"/>
      <c r="F948" s="223"/>
      <c r="G948" s="66" t="str">
        <f>HYPERLINK("https://ledvance.com/pt/product-datasheet/220122/204089","Ficha de Produto")</f>
        <v>Ficha de Produto</v>
      </c>
      <c r="H948" s="34">
        <v>1</v>
      </c>
      <c r="I948" s="34" t="s">
        <v>903</v>
      </c>
      <c r="J948" s="34" t="s">
        <v>6209</v>
      </c>
      <c r="K948" s="34" t="s">
        <v>876</v>
      </c>
      <c r="L948" s="34" t="s">
        <v>765</v>
      </c>
      <c r="M948" s="30">
        <v>460.3</v>
      </c>
      <c r="N948" s="283" t="s">
        <v>721</v>
      </c>
    </row>
    <row r="949" spans="1:14" s="32" customFormat="1" ht="14.25" customHeight="1">
      <c r="A949" s="3" t="s">
        <v>641</v>
      </c>
      <c r="B949" s="36" t="s">
        <v>1357</v>
      </c>
      <c r="C949" s="214">
        <v>4058075760554</v>
      </c>
      <c r="D949" s="214"/>
      <c r="E949" s="215"/>
      <c r="F949" s="223"/>
      <c r="G949" s="66" t="str">
        <f>HYPERLINK("https://ledvance.com/pt/product-datasheet/220122/204091","Ficha de Produto")</f>
        <v>Ficha de Produto</v>
      </c>
      <c r="H949" s="34">
        <v>1</v>
      </c>
      <c r="I949" s="34" t="s">
        <v>904</v>
      </c>
      <c r="J949" s="34" t="s">
        <v>6209</v>
      </c>
      <c r="K949" s="34" t="s">
        <v>876</v>
      </c>
      <c r="L949" s="34" t="s">
        <v>765</v>
      </c>
      <c r="M949" s="30">
        <v>460.3</v>
      </c>
      <c r="N949" s="283" t="s">
        <v>721</v>
      </c>
    </row>
    <row r="950" spans="1:14" s="32" customFormat="1" ht="14.25" customHeight="1">
      <c r="A950" s="3" t="s">
        <v>641</v>
      </c>
      <c r="B950" s="36" t="s">
        <v>1358</v>
      </c>
      <c r="C950" s="214">
        <v>4058075760561</v>
      </c>
      <c r="D950" s="214"/>
      <c r="E950" s="215"/>
      <c r="F950" s="223"/>
      <c r="G950" s="66" t="str">
        <f>HYPERLINK("https://ledvance.com/pt/product-datasheet/220122/204093","Ficha de Produto")</f>
        <v>Ficha de Produto</v>
      </c>
      <c r="H950" s="34">
        <v>1</v>
      </c>
      <c r="I950" s="34" t="s">
        <v>905</v>
      </c>
      <c r="J950" s="34" t="s">
        <v>6210</v>
      </c>
      <c r="K950" s="34" t="s">
        <v>876</v>
      </c>
      <c r="L950" s="34" t="s">
        <v>765</v>
      </c>
      <c r="M950" s="30">
        <v>572.6</v>
      </c>
      <c r="N950" s="283" t="s">
        <v>721</v>
      </c>
    </row>
    <row r="951" spans="1:14" s="32" customFormat="1" ht="14.25" customHeight="1">
      <c r="A951" s="3" t="s">
        <v>641</v>
      </c>
      <c r="B951" s="36" t="s">
        <v>1359</v>
      </c>
      <c r="C951" s="214">
        <v>4058075760578</v>
      </c>
      <c r="D951" s="214"/>
      <c r="E951" s="215"/>
      <c r="F951" s="223"/>
      <c r="G951" s="66" t="str">
        <f>HYPERLINK("https://ledvance.com/pt/product-datasheet/220122/204095","Ficha de Produto")</f>
        <v>Ficha de Produto</v>
      </c>
      <c r="H951" s="34">
        <v>1</v>
      </c>
      <c r="I951" s="34" t="s">
        <v>906</v>
      </c>
      <c r="J951" s="34" t="s">
        <v>6210</v>
      </c>
      <c r="K951" s="34" t="s">
        <v>876</v>
      </c>
      <c r="L951" s="34" t="s">
        <v>765</v>
      </c>
      <c r="M951" s="30">
        <v>572.6</v>
      </c>
      <c r="N951" s="283" t="s">
        <v>721</v>
      </c>
    </row>
    <row r="952" spans="1:14" s="32" customFormat="1" ht="14.25" customHeight="1">
      <c r="A952" s="3" t="s">
        <v>641</v>
      </c>
      <c r="B952" s="36" t="s">
        <v>1360</v>
      </c>
      <c r="C952" s="214">
        <v>4058075760585</v>
      </c>
      <c r="D952" s="214"/>
      <c r="E952" s="215"/>
      <c r="F952" s="223"/>
      <c r="G952" s="66" t="str">
        <f>HYPERLINK("https://ledvance.com/pt/product-datasheet/220122/204097","Ficha de Produto")</f>
        <v>Ficha de Produto</v>
      </c>
      <c r="H952" s="34">
        <v>1</v>
      </c>
      <c r="I952" s="34" t="s">
        <v>907</v>
      </c>
      <c r="J952" s="34" t="s">
        <v>6211</v>
      </c>
      <c r="K952" s="34" t="s">
        <v>876</v>
      </c>
      <c r="L952" s="34" t="s">
        <v>765</v>
      </c>
      <c r="M952" s="30">
        <v>749.6</v>
      </c>
      <c r="N952" s="283" t="s">
        <v>721</v>
      </c>
    </row>
    <row r="953" spans="1:14" s="32" customFormat="1" ht="14.25" customHeight="1">
      <c r="A953" s="3" t="s">
        <v>641</v>
      </c>
      <c r="B953" s="36" t="s">
        <v>1361</v>
      </c>
      <c r="C953" s="214">
        <v>4058075760592</v>
      </c>
      <c r="D953" s="214"/>
      <c r="E953" s="215"/>
      <c r="F953" s="223"/>
      <c r="G953" s="66" t="str">
        <f>HYPERLINK("https://ledvance.com/pt/product-datasheet/220122/204099","Ficha de Produto")</f>
        <v>Ficha de Produto</v>
      </c>
      <c r="H953" s="34">
        <v>1</v>
      </c>
      <c r="I953" s="34" t="s">
        <v>908</v>
      </c>
      <c r="J953" s="34" t="s">
        <v>6211</v>
      </c>
      <c r="K953" s="34" t="s">
        <v>876</v>
      </c>
      <c r="L953" s="34" t="s">
        <v>765</v>
      </c>
      <c r="M953" s="30">
        <v>749.6</v>
      </c>
      <c r="N953" s="283" t="s">
        <v>721</v>
      </c>
    </row>
    <row r="954" spans="1:14" s="32" customFormat="1" ht="14.25" customHeight="1">
      <c r="A954" s="3" t="s">
        <v>641</v>
      </c>
      <c r="B954" s="36" t="s">
        <v>1362</v>
      </c>
      <c r="C954" s="214">
        <v>4058075760608</v>
      </c>
      <c r="D954" s="214"/>
      <c r="E954" s="215"/>
      <c r="F954" s="223"/>
      <c r="G954" s="66" t="str">
        <f>HYPERLINK("https://ledvance.com/pt/product-datasheet/220122/204101","Ficha de Produto")</f>
        <v>Ficha de Produto</v>
      </c>
      <c r="H954" s="34">
        <v>1</v>
      </c>
      <c r="I954" s="34" t="s">
        <v>909</v>
      </c>
      <c r="J954" s="34" t="s">
        <v>6212</v>
      </c>
      <c r="K954" s="34" t="s">
        <v>876</v>
      </c>
      <c r="L954" s="34" t="s">
        <v>765</v>
      </c>
      <c r="M954" s="30">
        <v>1035</v>
      </c>
      <c r="N954" s="283" t="s">
        <v>721</v>
      </c>
    </row>
    <row r="955" spans="1:14" s="32" customFormat="1" ht="14.25" customHeight="1">
      <c r="A955" s="3" t="s">
        <v>641</v>
      </c>
      <c r="B955" s="36" t="s">
        <v>1363</v>
      </c>
      <c r="C955" s="214">
        <v>4058075760615</v>
      </c>
      <c r="D955" s="214"/>
      <c r="E955" s="215"/>
      <c r="F955" s="223"/>
      <c r="G955" s="66" t="str">
        <f>HYPERLINK("https://ledvance.com/pt/product-datasheet/220122/204103","Ficha de Produto")</f>
        <v>Ficha de Produto</v>
      </c>
      <c r="H955" s="34">
        <v>1</v>
      </c>
      <c r="I955" s="34" t="s">
        <v>910</v>
      </c>
      <c r="J955" s="34" t="s">
        <v>6212</v>
      </c>
      <c r="K955" s="34" t="s">
        <v>876</v>
      </c>
      <c r="L955" s="34" t="s">
        <v>765</v>
      </c>
      <c r="M955" s="30">
        <v>1035</v>
      </c>
      <c r="N955" s="283" t="s">
        <v>721</v>
      </c>
    </row>
    <row r="956" spans="1:14" s="32" customFormat="1" ht="14.25" customHeight="1">
      <c r="A956" s="8" t="s">
        <v>641</v>
      </c>
      <c r="B956" s="227" t="s">
        <v>683</v>
      </c>
      <c r="C956" s="7"/>
      <c r="D956" s="7"/>
      <c r="E956" s="7"/>
      <c r="F956" s="7"/>
      <c r="G956" s="68"/>
      <c r="H956" s="7"/>
      <c r="I956" s="7"/>
      <c r="J956" s="7"/>
      <c r="K956" s="7"/>
      <c r="L956" s="7"/>
      <c r="M956" s="230"/>
      <c r="N956" s="284"/>
    </row>
    <row r="957" spans="1:14" s="32" customFormat="1" ht="14.25" customHeight="1">
      <c r="A957" s="3" t="s">
        <v>641</v>
      </c>
      <c r="B957" s="36" t="s">
        <v>3446</v>
      </c>
      <c r="C957" s="214">
        <v>4058075353619</v>
      </c>
      <c r="D957" s="214"/>
      <c r="E957" s="215"/>
      <c r="F957" s="216"/>
      <c r="G957" s="66" t="str">
        <f>HYPERLINK("https://ledvance.com/pt/product-datasheet/8904/132302","Ficha de Produto")</f>
        <v>Ficha de Produto</v>
      </c>
      <c r="H957" s="34">
        <v>1</v>
      </c>
      <c r="I957" s="34" t="s">
        <v>843</v>
      </c>
      <c r="J957" s="34" t="s">
        <v>6171</v>
      </c>
      <c r="K957" s="34" t="s">
        <v>876</v>
      </c>
      <c r="L957" s="34" t="s">
        <v>765</v>
      </c>
      <c r="M957" s="30">
        <v>262.5</v>
      </c>
      <c r="N957" s="283" t="s">
        <v>721</v>
      </c>
    </row>
    <row r="958" spans="1:14" s="32" customFormat="1" ht="14.25" customHeight="1">
      <c r="A958" s="3" t="s">
        <v>641</v>
      </c>
      <c r="B958" s="36" t="s">
        <v>3447</v>
      </c>
      <c r="C958" s="214">
        <v>4058075353626</v>
      </c>
      <c r="D958" s="214"/>
      <c r="E958" s="215"/>
      <c r="F958" s="216"/>
      <c r="G958" s="66" t="str">
        <f>HYPERLINK("https://ledvance.com/pt/product-datasheet/8904/132307","Ficha de Produto")</f>
        <v>Ficha de Produto</v>
      </c>
      <c r="H958" s="34">
        <v>1</v>
      </c>
      <c r="I958" s="34" t="s">
        <v>868</v>
      </c>
      <c r="J958" s="34" t="s">
        <v>6171</v>
      </c>
      <c r="K958" s="34" t="s">
        <v>876</v>
      </c>
      <c r="L958" s="34" t="s">
        <v>765</v>
      </c>
      <c r="M958" s="30">
        <v>262.5</v>
      </c>
      <c r="N958" s="283" t="s">
        <v>721</v>
      </c>
    </row>
    <row r="959" spans="1:14" s="32" customFormat="1" ht="14.25" customHeight="1">
      <c r="A959" s="3" t="s">
        <v>641</v>
      </c>
      <c r="B959" s="36" t="s">
        <v>3448</v>
      </c>
      <c r="C959" s="214">
        <v>4058075353633</v>
      </c>
      <c r="D959" s="214"/>
      <c r="E959" s="215"/>
      <c r="F959" s="216"/>
      <c r="G959" s="66" t="str">
        <f>HYPERLINK("https://ledvance.com/pt/product-datasheet/8904/132312","Ficha de Produto")</f>
        <v>Ficha de Produto</v>
      </c>
      <c r="H959" s="34">
        <v>1</v>
      </c>
      <c r="I959" s="34" t="s">
        <v>911</v>
      </c>
      <c r="J959" s="34" t="s">
        <v>6209</v>
      </c>
      <c r="K959" s="34" t="s">
        <v>876</v>
      </c>
      <c r="L959" s="34" t="s">
        <v>765</v>
      </c>
      <c r="M959" s="30">
        <v>397.5</v>
      </c>
      <c r="N959" s="283" t="s">
        <v>721</v>
      </c>
    </row>
    <row r="960" spans="1:14" s="32" customFormat="1" ht="14.25" customHeight="1">
      <c r="A960" s="3" t="s">
        <v>641</v>
      </c>
      <c r="B960" s="36" t="s">
        <v>3449</v>
      </c>
      <c r="C960" s="214">
        <v>4058075353688</v>
      </c>
      <c r="D960" s="214"/>
      <c r="E960" s="215"/>
      <c r="F960" s="216"/>
      <c r="G960" s="66" t="str">
        <f>HYPERLINK("https://ledvance.com/pt/product-datasheet/8904/120228","Ficha de Produto")</f>
        <v>Ficha de Produto</v>
      </c>
      <c r="H960" s="34">
        <v>1</v>
      </c>
      <c r="I960" s="34" t="s">
        <v>912</v>
      </c>
      <c r="J960" s="34" t="s">
        <v>6209</v>
      </c>
      <c r="K960" s="34" t="s">
        <v>876</v>
      </c>
      <c r="L960" s="34" t="s">
        <v>765</v>
      </c>
      <c r="M960" s="30">
        <v>397.5</v>
      </c>
      <c r="N960" s="283" t="s">
        <v>721</v>
      </c>
    </row>
    <row r="961" spans="1:14" s="32" customFormat="1" ht="14.25" customHeight="1">
      <c r="A961" s="3" t="s">
        <v>641</v>
      </c>
      <c r="B961" s="36" t="s">
        <v>3450</v>
      </c>
      <c r="C961" s="214">
        <v>4058075353695</v>
      </c>
      <c r="D961" s="214"/>
      <c r="E961" s="215"/>
      <c r="F961" s="216"/>
      <c r="G961" s="66" t="str">
        <f>HYPERLINK("https://ledvance.com/pt/product-datasheet/8904/132320","Ficha de Produto")</f>
        <v>Ficha de Produto</v>
      </c>
      <c r="H961" s="34">
        <v>1</v>
      </c>
      <c r="I961" s="34" t="s">
        <v>913</v>
      </c>
      <c r="J961" s="34" t="s">
        <v>6210</v>
      </c>
      <c r="K961" s="34" t="s">
        <v>876</v>
      </c>
      <c r="L961" s="34" t="s">
        <v>765</v>
      </c>
      <c r="M961" s="30">
        <v>495</v>
      </c>
      <c r="N961" s="283" t="s">
        <v>721</v>
      </c>
    </row>
    <row r="962" spans="1:14" s="32" customFormat="1" ht="14.25" customHeight="1">
      <c r="A962" s="3" t="s">
        <v>641</v>
      </c>
      <c r="B962" s="36" t="s">
        <v>3451</v>
      </c>
      <c r="C962" s="214">
        <v>4058075353701</v>
      </c>
      <c r="D962" s="214"/>
      <c r="E962" s="215"/>
      <c r="F962" s="216"/>
      <c r="G962" s="66" t="str">
        <f>HYPERLINK("https://ledvance.com/pt/product-datasheet/8904/120230","Ficha de Produto")</f>
        <v>Ficha de Produto</v>
      </c>
      <c r="H962" s="34">
        <v>1</v>
      </c>
      <c r="I962" s="34" t="s">
        <v>914</v>
      </c>
      <c r="J962" s="34" t="s">
        <v>6210</v>
      </c>
      <c r="K962" s="34" t="s">
        <v>876</v>
      </c>
      <c r="L962" s="34" t="s">
        <v>765</v>
      </c>
      <c r="M962" s="30">
        <v>495</v>
      </c>
      <c r="N962" s="283" t="s">
        <v>721</v>
      </c>
    </row>
    <row r="963" spans="1:14" s="32" customFormat="1" ht="14.25" customHeight="1">
      <c r="A963" s="3" t="s">
        <v>641</v>
      </c>
      <c r="B963" s="36" t="s">
        <v>3452</v>
      </c>
      <c r="C963" s="214">
        <v>4058075353718</v>
      </c>
      <c r="D963" s="214"/>
      <c r="E963" s="215"/>
      <c r="F963" s="216"/>
      <c r="G963" s="66" t="str">
        <f>HYPERLINK("https://ledvance.com/pt/product-datasheet/8904/132328","Ficha de Produto")</f>
        <v>Ficha de Produto</v>
      </c>
      <c r="H963" s="34">
        <v>1</v>
      </c>
      <c r="I963" s="34" t="s">
        <v>915</v>
      </c>
      <c r="J963" s="34" t="s">
        <v>6211</v>
      </c>
      <c r="K963" s="34" t="s">
        <v>876</v>
      </c>
      <c r="L963" s="34" t="s">
        <v>765</v>
      </c>
      <c r="M963" s="30">
        <v>657.5</v>
      </c>
      <c r="N963" s="283" t="s">
        <v>721</v>
      </c>
    </row>
    <row r="964" spans="1:14" s="32" customFormat="1" ht="14.25" customHeight="1">
      <c r="A964" s="3" t="s">
        <v>641</v>
      </c>
      <c r="B964" s="36" t="s">
        <v>3453</v>
      </c>
      <c r="C964" s="214">
        <v>4058075353725</v>
      </c>
      <c r="D964" s="214"/>
      <c r="E964" s="215"/>
      <c r="F964" s="216"/>
      <c r="G964" s="66" t="str">
        <f>HYPERLINK("https://ledvance.com/pt/product-datasheet/8904/120232","Ficha de Produto")</f>
        <v>Ficha de Produto</v>
      </c>
      <c r="H964" s="34">
        <v>1</v>
      </c>
      <c r="I964" s="34" t="s">
        <v>916</v>
      </c>
      <c r="J964" s="34" t="s">
        <v>6211</v>
      </c>
      <c r="K964" s="34" t="s">
        <v>876</v>
      </c>
      <c r="L964" s="34" t="s">
        <v>765</v>
      </c>
      <c r="M964" s="30">
        <v>657.5</v>
      </c>
      <c r="N964" s="283" t="s">
        <v>721</v>
      </c>
    </row>
    <row r="965" spans="1:14" s="32" customFormat="1" ht="14.25" customHeight="1">
      <c r="A965" s="3" t="s">
        <v>641</v>
      </c>
      <c r="B965" s="36" t="s">
        <v>3454</v>
      </c>
      <c r="C965" s="214">
        <v>4058075353732</v>
      </c>
      <c r="D965" s="214"/>
      <c r="E965" s="215"/>
      <c r="F965" s="216"/>
      <c r="G965" s="66" t="str">
        <f>HYPERLINK("https://ledvance.com/pt/product-datasheet/8904/132336","Ficha de Produto")</f>
        <v>Ficha de Produto</v>
      </c>
      <c r="H965" s="34">
        <v>1</v>
      </c>
      <c r="I965" s="34" t="s">
        <v>917</v>
      </c>
      <c r="J965" s="34" t="s">
        <v>6212</v>
      </c>
      <c r="K965" s="34" t="s">
        <v>876</v>
      </c>
      <c r="L965" s="34" t="s">
        <v>765</v>
      </c>
      <c r="M965" s="30">
        <v>945</v>
      </c>
      <c r="N965" s="283" t="s">
        <v>721</v>
      </c>
    </row>
    <row r="966" spans="1:14" s="32" customFormat="1" ht="14.25" customHeight="1">
      <c r="A966" s="3" t="s">
        <v>641</v>
      </c>
      <c r="B966" s="36" t="s">
        <v>3455</v>
      </c>
      <c r="C966" s="214">
        <v>4058075353749</v>
      </c>
      <c r="D966" s="214"/>
      <c r="E966" s="215"/>
      <c r="F966" s="216"/>
      <c r="G966" s="66" t="str">
        <f>HYPERLINK("https://ledvance.com/pt/product-datasheet/8904/132341","Ficha de Produto")</f>
        <v>Ficha de Produto</v>
      </c>
      <c r="H966" s="34">
        <v>1</v>
      </c>
      <c r="I966" s="34" t="s">
        <v>918</v>
      </c>
      <c r="J966" s="34" t="s">
        <v>6212</v>
      </c>
      <c r="K966" s="34" t="s">
        <v>876</v>
      </c>
      <c r="L966" s="34" t="s">
        <v>765</v>
      </c>
      <c r="M966" s="30">
        <v>945</v>
      </c>
      <c r="N966" s="283" t="s">
        <v>721</v>
      </c>
    </row>
    <row r="967" spans="1:14" s="32" customFormat="1" ht="14.25" customHeight="1">
      <c r="A967" s="8" t="s">
        <v>641</v>
      </c>
      <c r="B967" s="227" t="s">
        <v>3428</v>
      </c>
      <c r="C967" s="7"/>
      <c r="D967" s="7"/>
      <c r="E967" s="7"/>
      <c r="F967" s="7"/>
      <c r="G967" s="68"/>
      <c r="H967" s="7"/>
      <c r="I967" s="7"/>
      <c r="J967" s="7"/>
      <c r="K967" s="7"/>
      <c r="L967" s="7"/>
      <c r="M967" s="230"/>
      <c r="N967" s="284"/>
    </row>
    <row r="968" spans="1:14" s="32" customFormat="1" ht="14.25" customHeight="1">
      <c r="A968" s="3" t="s">
        <v>641</v>
      </c>
      <c r="B968" s="36" t="s">
        <v>1364</v>
      </c>
      <c r="C968" s="214">
        <v>4058075760622</v>
      </c>
      <c r="D968" s="214"/>
      <c r="E968" s="215"/>
      <c r="F968" s="214"/>
      <c r="G968" s="66" t="str">
        <f>HYPERLINK("https://ledvance.com/pt/product-datasheet/220124/204105","Ficha de Produto")</f>
        <v>Ficha de Produto</v>
      </c>
      <c r="H968" s="34">
        <v>1</v>
      </c>
      <c r="I968" s="34" t="s">
        <v>843</v>
      </c>
      <c r="J968" s="34" t="s">
        <v>6171</v>
      </c>
      <c r="K968" s="34" t="s">
        <v>876</v>
      </c>
      <c r="L968" s="34" t="s">
        <v>765</v>
      </c>
      <c r="M968" s="30">
        <v>302.5</v>
      </c>
      <c r="N968" s="283" t="s">
        <v>721</v>
      </c>
    </row>
    <row r="969" spans="1:14" s="32" customFormat="1" ht="14.25" customHeight="1">
      <c r="A969" s="3" t="s">
        <v>641</v>
      </c>
      <c r="B969" s="36" t="s">
        <v>1365</v>
      </c>
      <c r="C969" s="214">
        <v>4058075760639</v>
      </c>
      <c r="D969" s="214"/>
      <c r="E969" s="215"/>
      <c r="F969" s="214"/>
      <c r="G969" s="66" t="str">
        <f>HYPERLINK("https://ledvance.com/pt/product-datasheet/220124/204107","Ficha de Produto")</f>
        <v>Ficha de Produto</v>
      </c>
      <c r="H969" s="34">
        <v>1</v>
      </c>
      <c r="I969" s="34" t="s">
        <v>868</v>
      </c>
      <c r="J969" s="34" t="s">
        <v>6171</v>
      </c>
      <c r="K969" s="34" t="s">
        <v>876</v>
      </c>
      <c r="L969" s="34" t="s">
        <v>765</v>
      </c>
      <c r="M969" s="30">
        <v>302.5</v>
      </c>
      <c r="N969" s="283" t="s">
        <v>721</v>
      </c>
    </row>
    <row r="970" spans="1:14" s="32" customFormat="1" ht="14.25" customHeight="1">
      <c r="A970" s="3" t="s">
        <v>641</v>
      </c>
      <c r="B970" s="36" t="s">
        <v>1366</v>
      </c>
      <c r="C970" s="214">
        <v>4058075760646</v>
      </c>
      <c r="D970" s="214"/>
      <c r="E970" s="215"/>
      <c r="F970" s="214"/>
      <c r="G970" s="66" t="str">
        <f>HYPERLINK("https://ledvance.com/pt/product-datasheet/220124/204109","Ficha de Produto")</f>
        <v>Ficha de Produto</v>
      </c>
      <c r="H970" s="34">
        <v>1</v>
      </c>
      <c r="I970" s="34" t="s">
        <v>911</v>
      </c>
      <c r="J970" s="34" t="s">
        <v>6209</v>
      </c>
      <c r="K970" s="34" t="s">
        <v>876</v>
      </c>
      <c r="L970" s="34" t="s">
        <v>765</v>
      </c>
      <c r="M970" s="30">
        <v>460.3</v>
      </c>
      <c r="N970" s="283" t="s">
        <v>721</v>
      </c>
    </row>
    <row r="971" spans="1:14" s="32" customFormat="1" ht="14.25" customHeight="1">
      <c r="A971" s="3" t="s">
        <v>641</v>
      </c>
      <c r="B971" s="36" t="s">
        <v>1367</v>
      </c>
      <c r="C971" s="214">
        <v>4058075760653</v>
      </c>
      <c r="D971" s="214"/>
      <c r="E971" s="215"/>
      <c r="F971" s="214"/>
      <c r="G971" s="66" t="str">
        <f>HYPERLINK("https://ledvance.com/pt/product-datasheet/220124/204111","Ficha de Produto")</f>
        <v>Ficha de Produto</v>
      </c>
      <c r="H971" s="34">
        <v>1</v>
      </c>
      <c r="I971" s="34" t="s">
        <v>912</v>
      </c>
      <c r="J971" s="34" t="s">
        <v>6209</v>
      </c>
      <c r="K971" s="34" t="s">
        <v>876</v>
      </c>
      <c r="L971" s="34" t="s">
        <v>765</v>
      </c>
      <c r="M971" s="30">
        <v>460.3</v>
      </c>
      <c r="N971" s="283" t="s">
        <v>721</v>
      </c>
    </row>
    <row r="972" spans="1:14" s="32" customFormat="1" ht="14.25" customHeight="1">
      <c r="A972" s="3" t="s">
        <v>641</v>
      </c>
      <c r="B972" s="36" t="s">
        <v>1368</v>
      </c>
      <c r="C972" s="214">
        <v>4058075760660</v>
      </c>
      <c r="D972" s="214"/>
      <c r="E972" s="215"/>
      <c r="F972" s="214"/>
      <c r="G972" s="66" t="str">
        <f>HYPERLINK("https://ledvance.com/pt/product-datasheet/220124/204113","Ficha de Produto")</f>
        <v>Ficha de Produto</v>
      </c>
      <c r="H972" s="34">
        <v>1</v>
      </c>
      <c r="I972" s="34" t="s">
        <v>913</v>
      </c>
      <c r="J972" s="34" t="s">
        <v>6210</v>
      </c>
      <c r="K972" s="34" t="s">
        <v>876</v>
      </c>
      <c r="L972" s="34" t="s">
        <v>765</v>
      </c>
      <c r="M972" s="30">
        <v>572.6</v>
      </c>
      <c r="N972" s="283" t="s">
        <v>721</v>
      </c>
    </row>
    <row r="973" spans="1:14" s="32" customFormat="1" ht="14.25" customHeight="1">
      <c r="A973" s="3" t="s">
        <v>641</v>
      </c>
      <c r="B973" s="36" t="s">
        <v>1369</v>
      </c>
      <c r="C973" s="214">
        <v>4058075760677</v>
      </c>
      <c r="D973" s="214"/>
      <c r="E973" s="215"/>
      <c r="F973" s="214"/>
      <c r="G973" s="66" t="str">
        <f>HYPERLINK("https://ledvance.com/pt/product-datasheet/220124/204115","Ficha de Produto")</f>
        <v>Ficha de Produto</v>
      </c>
      <c r="H973" s="34">
        <v>1</v>
      </c>
      <c r="I973" s="34" t="s">
        <v>914</v>
      </c>
      <c r="J973" s="34" t="s">
        <v>6210</v>
      </c>
      <c r="K973" s="34" t="s">
        <v>876</v>
      </c>
      <c r="L973" s="34" t="s">
        <v>765</v>
      </c>
      <c r="M973" s="30">
        <v>572.6</v>
      </c>
      <c r="N973" s="283" t="s">
        <v>721</v>
      </c>
    </row>
    <row r="974" spans="1:14" s="32" customFormat="1" ht="14.25" customHeight="1">
      <c r="A974" s="3" t="s">
        <v>641</v>
      </c>
      <c r="B974" s="36" t="s">
        <v>1370</v>
      </c>
      <c r="C974" s="214">
        <v>4058075760684</v>
      </c>
      <c r="D974" s="214"/>
      <c r="E974" s="215"/>
      <c r="F974" s="214"/>
      <c r="G974" s="66" t="str">
        <f>HYPERLINK("https://ledvance.com/pt/product-datasheet/220124/204117","Ficha de Produto")</f>
        <v>Ficha de Produto</v>
      </c>
      <c r="H974" s="34">
        <v>1</v>
      </c>
      <c r="I974" s="34" t="s">
        <v>915</v>
      </c>
      <c r="J974" s="34" t="s">
        <v>6211</v>
      </c>
      <c r="K974" s="34" t="s">
        <v>876</v>
      </c>
      <c r="L974" s="34" t="s">
        <v>765</v>
      </c>
      <c r="M974" s="30">
        <v>749.6</v>
      </c>
      <c r="N974" s="283" t="s">
        <v>721</v>
      </c>
    </row>
    <row r="975" spans="1:14" s="32" customFormat="1" ht="14.25" customHeight="1">
      <c r="A975" s="3" t="s">
        <v>641</v>
      </c>
      <c r="B975" s="36" t="s">
        <v>1371</v>
      </c>
      <c r="C975" s="214">
        <v>4058075760691</v>
      </c>
      <c r="D975" s="214"/>
      <c r="E975" s="215"/>
      <c r="F975" s="214"/>
      <c r="G975" s="66" t="str">
        <f>HYPERLINK("https://ledvance.com/pt/product-datasheet/220124/204119","Ficha de Produto")</f>
        <v>Ficha de Produto</v>
      </c>
      <c r="H975" s="34">
        <v>1</v>
      </c>
      <c r="I975" s="34" t="s">
        <v>916</v>
      </c>
      <c r="J975" s="34" t="s">
        <v>6211</v>
      </c>
      <c r="K975" s="34" t="s">
        <v>876</v>
      </c>
      <c r="L975" s="34" t="s">
        <v>765</v>
      </c>
      <c r="M975" s="30">
        <v>749.6</v>
      </c>
      <c r="N975" s="283" t="s">
        <v>721</v>
      </c>
    </row>
    <row r="976" spans="1:14" s="32" customFormat="1" ht="14.25" customHeight="1">
      <c r="A976" s="3" t="s">
        <v>641</v>
      </c>
      <c r="B976" s="36" t="s">
        <v>1372</v>
      </c>
      <c r="C976" s="214">
        <v>4058075760707</v>
      </c>
      <c r="D976" s="214"/>
      <c r="E976" s="215"/>
      <c r="F976" s="214"/>
      <c r="G976" s="66" t="str">
        <f>HYPERLINK("https://ledvance.com/pt/product-datasheet/220124/204121","Ficha de Produto")</f>
        <v>Ficha de Produto</v>
      </c>
      <c r="H976" s="34">
        <v>1</v>
      </c>
      <c r="I976" s="34" t="s">
        <v>917</v>
      </c>
      <c r="J976" s="34" t="s">
        <v>6212</v>
      </c>
      <c r="K976" s="34" t="s">
        <v>876</v>
      </c>
      <c r="L976" s="34" t="s">
        <v>765</v>
      </c>
      <c r="M976" s="30">
        <v>1035</v>
      </c>
      <c r="N976" s="283" t="s">
        <v>721</v>
      </c>
    </row>
    <row r="977" spans="1:14" s="32" customFormat="1" ht="14.25" customHeight="1">
      <c r="A977" s="3" t="s">
        <v>641</v>
      </c>
      <c r="B977" s="36" t="s">
        <v>1373</v>
      </c>
      <c r="C977" s="214">
        <v>4058075760714</v>
      </c>
      <c r="D977" s="214"/>
      <c r="E977" s="215"/>
      <c r="F977" s="214"/>
      <c r="G977" s="66" t="str">
        <f>HYPERLINK("https://ledvance.com/pt/product-datasheet/220124/204123","Ficha de Produto")</f>
        <v>Ficha de Produto</v>
      </c>
      <c r="H977" s="34">
        <v>1</v>
      </c>
      <c r="I977" s="34" t="s">
        <v>918</v>
      </c>
      <c r="J977" s="34" t="s">
        <v>6212</v>
      </c>
      <c r="K977" s="34" t="s">
        <v>876</v>
      </c>
      <c r="L977" s="34" t="s">
        <v>765</v>
      </c>
      <c r="M977" s="30">
        <v>1035</v>
      </c>
      <c r="N977" s="283" t="s">
        <v>721</v>
      </c>
    </row>
    <row r="978" spans="1:14" s="32" customFormat="1" ht="14.25" customHeight="1">
      <c r="A978" s="8" t="s">
        <v>641</v>
      </c>
      <c r="B978" s="227" t="s">
        <v>684</v>
      </c>
      <c r="C978" s="7"/>
      <c r="D978" s="7"/>
      <c r="E978" s="7"/>
      <c r="F978" s="7"/>
      <c r="G978" s="68"/>
      <c r="H978" s="7"/>
      <c r="I978" s="7"/>
      <c r="J978" s="7"/>
      <c r="K978" s="7"/>
      <c r="L978" s="7"/>
      <c r="M978" s="230"/>
      <c r="N978" s="284"/>
    </row>
    <row r="979" spans="1:14" s="32" customFormat="1" ht="14.25" customHeight="1">
      <c r="A979" s="3" t="s">
        <v>641</v>
      </c>
      <c r="B979" s="36" t="s">
        <v>3456</v>
      </c>
      <c r="C979" s="214">
        <v>4058075353756</v>
      </c>
      <c r="D979" s="214"/>
      <c r="E979" s="215"/>
      <c r="F979" s="216"/>
      <c r="G979" s="66" t="str">
        <f>HYPERLINK("https://ledvance.com/pt/product-datasheet/8906/132346","Ficha de Produto")</f>
        <v>Ficha de Produto</v>
      </c>
      <c r="H979" s="34">
        <v>1</v>
      </c>
      <c r="I979" s="34" t="s">
        <v>919</v>
      </c>
      <c r="J979" s="34" t="s">
        <v>6210</v>
      </c>
      <c r="K979" s="34" t="s">
        <v>876</v>
      </c>
      <c r="L979" s="34" t="s">
        <v>765</v>
      </c>
      <c r="M979" s="30">
        <v>495</v>
      </c>
      <c r="N979" s="283" t="s">
        <v>721</v>
      </c>
    </row>
    <row r="980" spans="1:14" s="32" customFormat="1" ht="14.25" customHeight="1">
      <c r="A980" s="3" t="s">
        <v>641</v>
      </c>
      <c r="B980" s="36" t="s">
        <v>3457</v>
      </c>
      <c r="C980" s="214">
        <v>4058075353763</v>
      </c>
      <c r="D980" s="214"/>
      <c r="E980" s="215"/>
      <c r="F980" s="216"/>
      <c r="G980" s="66" t="str">
        <f>HYPERLINK("https://ledvance.com/pt/product-datasheet/8906/132351","Ficha de Produto")</f>
        <v>Ficha de Produto</v>
      </c>
      <c r="H980" s="34">
        <v>1</v>
      </c>
      <c r="I980" s="34" t="s">
        <v>920</v>
      </c>
      <c r="J980" s="34" t="s">
        <v>6210</v>
      </c>
      <c r="K980" s="34" t="s">
        <v>876</v>
      </c>
      <c r="L980" s="34" t="s">
        <v>765</v>
      </c>
      <c r="M980" s="30">
        <v>495</v>
      </c>
      <c r="N980" s="283" t="s">
        <v>721</v>
      </c>
    </row>
    <row r="981" spans="1:14" s="32" customFormat="1" ht="14.25" customHeight="1">
      <c r="A981" s="3" t="s">
        <v>641</v>
      </c>
      <c r="B981" s="36" t="s">
        <v>3458</v>
      </c>
      <c r="C981" s="214">
        <v>4058075353770</v>
      </c>
      <c r="D981" s="214"/>
      <c r="E981" s="215"/>
      <c r="F981" s="216"/>
      <c r="G981" s="66" t="str">
        <f>HYPERLINK("https://ledvance.com/pt/product-datasheet/8906/132356","Ficha de Produto")</f>
        <v>Ficha de Produto</v>
      </c>
      <c r="H981" s="34">
        <v>1</v>
      </c>
      <c r="I981" s="34" t="s">
        <v>921</v>
      </c>
      <c r="J981" s="34" t="s">
        <v>6211</v>
      </c>
      <c r="K981" s="34" t="s">
        <v>876</v>
      </c>
      <c r="L981" s="34" t="s">
        <v>765</v>
      </c>
      <c r="M981" s="30">
        <v>657.5</v>
      </c>
      <c r="N981" s="283" t="s">
        <v>721</v>
      </c>
    </row>
    <row r="982" spans="1:14" s="32" customFormat="1" ht="14.25" customHeight="1">
      <c r="A982" s="3" t="s">
        <v>641</v>
      </c>
      <c r="B982" s="36" t="s">
        <v>3459</v>
      </c>
      <c r="C982" s="214">
        <v>4058075353787</v>
      </c>
      <c r="D982" s="214"/>
      <c r="E982" s="215"/>
      <c r="F982" s="216"/>
      <c r="G982" s="66" t="str">
        <f>HYPERLINK("https://ledvance.com/pt/product-datasheet/8906/132361","Ficha de Produto")</f>
        <v>Ficha de Produto</v>
      </c>
      <c r="H982" s="34">
        <v>1</v>
      </c>
      <c r="I982" s="34" t="s">
        <v>922</v>
      </c>
      <c r="J982" s="34" t="s">
        <v>6211</v>
      </c>
      <c r="K982" s="34" t="s">
        <v>876</v>
      </c>
      <c r="L982" s="34" t="s">
        <v>765</v>
      </c>
      <c r="M982" s="30">
        <v>657.5</v>
      </c>
      <c r="N982" s="283" t="s">
        <v>721</v>
      </c>
    </row>
    <row r="983" spans="1:14" s="32" customFormat="1" ht="14.25" customHeight="1">
      <c r="A983" s="3" t="s">
        <v>641</v>
      </c>
      <c r="B983" s="36" t="s">
        <v>3460</v>
      </c>
      <c r="C983" s="214">
        <v>4058075353794</v>
      </c>
      <c r="D983" s="214"/>
      <c r="E983" s="215"/>
      <c r="F983" s="216"/>
      <c r="G983" s="66" t="str">
        <f>HYPERLINK("https://ledvance.com/pt/product-datasheet/8906/132366","Ficha de Produto")</f>
        <v>Ficha de Produto</v>
      </c>
      <c r="H983" s="34">
        <v>1</v>
      </c>
      <c r="I983" s="34" t="s">
        <v>923</v>
      </c>
      <c r="J983" s="34" t="s">
        <v>6212</v>
      </c>
      <c r="K983" s="34" t="s">
        <v>876</v>
      </c>
      <c r="L983" s="34" t="s">
        <v>765</v>
      </c>
      <c r="M983" s="30">
        <v>945</v>
      </c>
      <c r="N983" s="283" t="s">
        <v>721</v>
      </c>
    </row>
    <row r="984" spans="1:14" s="32" customFormat="1" ht="14.25" customHeight="1">
      <c r="A984" s="3" t="s">
        <v>641</v>
      </c>
      <c r="B984" s="36" t="s">
        <v>3461</v>
      </c>
      <c r="C984" s="214">
        <v>4058075353800</v>
      </c>
      <c r="D984" s="214"/>
      <c r="E984" s="215"/>
      <c r="F984" s="216"/>
      <c r="G984" s="66" t="str">
        <f>HYPERLINK("https://ledvance.com/pt/product-datasheet/8906/132371","Ficha de Produto")</f>
        <v>Ficha de Produto</v>
      </c>
      <c r="H984" s="34">
        <v>1</v>
      </c>
      <c r="I984" s="34" t="s">
        <v>924</v>
      </c>
      <c r="J984" s="34" t="s">
        <v>6212</v>
      </c>
      <c r="K984" s="34" t="s">
        <v>876</v>
      </c>
      <c r="L984" s="34" t="s">
        <v>765</v>
      </c>
      <c r="M984" s="30">
        <v>945</v>
      </c>
      <c r="N984" s="283" t="s">
        <v>721</v>
      </c>
    </row>
    <row r="985" spans="1:14" s="32" customFormat="1" ht="14.25" customHeight="1">
      <c r="A985" s="8" t="s">
        <v>641</v>
      </c>
      <c r="B985" s="227" t="s">
        <v>3429</v>
      </c>
      <c r="C985" s="7"/>
      <c r="D985" s="7"/>
      <c r="E985" s="7"/>
      <c r="F985" s="7"/>
      <c r="G985" s="68"/>
      <c r="H985" s="7"/>
      <c r="I985" s="7"/>
      <c r="J985" s="7"/>
      <c r="K985" s="7"/>
      <c r="L985" s="7"/>
      <c r="M985" s="230"/>
      <c r="N985" s="284"/>
    </row>
    <row r="986" spans="1:14" s="32" customFormat="1" ht="14.25" customHeight="1">
      <c r="A986" s="3" t="s">
        <v>641</v>
      </c>
      <c r="B986" s="36" t="s">
        <v>1374</v>
      </c>
      <c r="C986" s="214">
        <v>4058075760721</v>
      </c>
      <c r="D986" s="214"/>
      <c r="E986" s="215"/>
      <c r="F986" s="214"/>
      <c r="G986" s="66" t="str">
        <f>HYPERLINK("https://ledvance.com/pt/product-datasheet/220127/204125","Ficha de Produto")</f>
        <v>Ficha de Produto</v>
      </c>
      <c r="H986" s="34">
        <v>1</v>
      </c>
      <c r="I986" s="34" t="s">
        <v>919</v>
      </c>
      <c r="J986" s="34" t="s">
        <v>6210</v>
      </c>
      <c r="K986" s="34" t="s">
        <v>876</v>
      </c>
      <c r="L986" s="34" t="s">
        <v>765</v>
      </c>
      <c r="M986" s="30">
        <v>572.6</v>
      </c>
      <c r="N986" s="283" t="s">
        <v>721</v>
      </c>
    </row>
    <row r="987" spans="1:14" s="32" customFormat="1" ht="14.25" customHeight="1">
      <c r="A987" s="3" t="s">
        <v>641</v>
      </c>
      <c r="B987" s="36" t="s">
        <v>1375</v>
      </c>
      <c r="C987" s="214">
        <v>4058075760738</v>
      </c>
      <c r="D987" s="214"/>
      <c r="E987" s="215"/>
      <c r="F987" s="214"/>
      <c r="G987" s="66" t="str">
        <f>HYPERLINK("https://ledvance.com/pt/product-datasheet/220127/204127","Ficha de Produto")</f>
        <v>Ficha de Produto</v>
      </c>
      <c r="H987" s="34">
        <v>1</v>
      </c>
      <c r="I987" s="34" t="s">
        <v>920</v>
      </c>
      <c r="J987" s="34" t="s">
        <v>6210</v>
      </c>
      <c r="K987" s="34" t="s">
        <v>876</v>
      </c>
      <c r="L987" s="34" t="s">
        <v>765</v>
      </c>
      <c r="M987" s="30">
        <v>572.6</v>
      </c>
      <c r="N987" s="283" t="s">
        <v>721</v>
      </c>
    </row>
    <row r="988" spans="1:14" s="32" customFormat="1" ht="14.25" customHeight="1">
      <c r="A988" s="3" t="s">
        <v>641</v>
      </c>
      <c r="B988" s="36" t="s">
        <v>1376</v>
      </c>
      <c r="C988" s="214">
        <v>4058075760745</v>
      </c>
      <c r="D988" s="214"/>
      <c r="E988" s="215"/>
      <c r="F988" s="214"/>
      <c r="G988" s="66" t="str">
        <f>HYPERLINK("https://ledvance.com/pt/product-datasheet/220127/204129","Ficha de Produto")</f>
        <v>Ficha de Produto</v>
      </c>
      <c r="H988" s="34">
        <v>1</v>
      </c>
      <c r="I988" s="34" t="s">
        <v>921</v>
      </c>
      <c r="J988" s="34" t="s">
        <v>6211</v>
      </c>
      <c r="K988" s="34" t="s">
        <v>876</v>
      </c>
      <c r="L988" s="34" t="s">
        <v>765</v>
      </c>
      <c r="M988" s="30">
        <v>749.6</v>
      </c>
      <c r="N988" s="283" t="s">
        <v>721</v>
      </c>
    </row>
    <row r="989" spans="1:14" s="32" customFormat="1" ht="14.25" customHeight="1">
      <c r="A989" s="3" t="s">
        <v>641</v>
      </c>
      <c r="B989" s="36" t="s">
        <v>1377</v>
      </c>
      <c r="C989" s="214">
        <v>4058075760752</v>
      </c>
      <c r="D989" s="214"/>
      <c r="E989" s="215"/>
      <c r="F989" s="214"/>
      <c r="G989" s="66" t="str">
        <f>HYPERLINK("https://ledvance.com/pt/product-datasheet/220127/204131","Ficha de Produto")</f>
        <v>Ficha de Produto</v>
      </c>
      <c r="H989" s="34">
        <v>1</v>
      </c>
      <c r="I989" s="34" t="s">
        <v>922</v>
      </c>
      <c r="J989" s="34" t="s">
        <v>6211</v>
      </c>
      <c r="K989" s="34" t="s">
        <v>876</v>
      </c>
      <c r="L989" s="34" t="s">
        <v>765</v>
      </c>
      <c r="M989" s="30">
        <v>749.6</v>
      </c>
      <c r="N989" s="283" t="s">
        <v>721</v>
      </c>
    </row>
    <row r="990" spans="1:14" s="32" customFormat="1" ht="14.25" customHeight="1">
      <c r="A990" s="3" t="s">
        <v>641</v>
      </c>
      <c r="B990" s="36" t="s">
        <v>1378</v>
      </c>
      <c r="C990" s="214">
        <v>4058075760769</v>
      </c>
      <c r="D990" s="214"/>
      <c r="E990" s="215"/>
      <c r="F990" s="214"/>
      <c r="G990" s="66" t="str">
        <f>HYPERLINK("https://ledvance.com/pt/product-datasheet/220127/204133","Ficha de Produto")</f>
        <v>Ficha de Produto</v>
      </c>
      <c r="H990" s="34">
        <v>1</v>
      </c>
      <c r="I990" s="34" t="s">
        <v>923</v>
      </c>
      <c r="J990" s="34" t="s">
        <v>6212</v>
      </c>
      <c r="K990" s="34" t="s">
        <v>876</v>
      </c>
      <c r="L990" s="34" t="s">
        <v>765</v>
      </c>
      <c r="M990" s="30">
        <v>1035</v>
      </c>
      <c r="N990" s="283" t="s">
        <v>721</v>
      </c>
    </row>
    <row r="991" spans="1:14" s="32" customFormat="1" ht="14.25" customHeight="1">
      <c r="A991" s="3" t="s">
        <v>641</v>
      </c>
      <c r="B991" s="36" t="s">
        <v>1379</v>
      </c>
      <c r="C991" s="214">
        <v>4058075760776</v>
      </c>
      <c r="D991" s="214"/>
      <c r="E991" s="215"/>
      <c r="F991" s="214"/>
      <c r="G991" s="66" t="str">
        <f>HYPERLINK("https://ledvance.com/pt/product-datasheet/220127/204135","Ficha de Produto")</f>
        <v>Ficha de Produto</v>
      </c>
      <c r="H991" s="34">
        <v>1</v>
      </c>
      <c r="I991" s="34" t="s">
        <v>924</v>
      </c>
      <c r="J991" s="34" t="s">
        <v>6212</v>
      </c>
      <c r="K991" s="34" t="s">
        <v>876</v>
      </c>
      <c r="L991" s="34" t="s">
        <v>765</v>
      </c>
      <c r="M991" s="30">
        <v>1035</v>
      </c>
      <c r="N991" s="283" t="s">
        <v>721</v>
      </c>
    </row>
    <row r="992" spans="1:14" s="32" customFormat="1" ht="14.25" customHeight="1">
      <c r="A992" s="8" t="s">
        <v>641</v>
      </c>
      <c r="B992" s="227" t="s">
        <v>685</v>
      </c>
      <c r="C992" s="7"/>
      <c r="D992" s="7"/>
      <c r="E992" s="7"/>
      <c r="F992" s="7"/>
      <c r="G992" s="68"/>
      <c r="H992" s="7"/>
      <c r="I992" s="7"/>
      <c r="J992" s="7"/>
      <c r="K992" s="7"/>
      <c r="L992" s="7"/>
      <c r="M992" s="230"/>
      <c r="N992" s="284"/>
    </row>
    <row r="993" spans="1:14" s="32" customFormat="1" ht="14.25" customHeight="1">
      <c r="A993" s="3" t="s">
        <v>641</v>
      </c>
      <c r="B993" s="36" t="s">
        <v>3462</v>
      </c>
      <c r="C993" s="214">
        <v>4058075540989</v>
      </c>
      <c r="D993" s="214"/>
      <c r="E993" s="215"/>
      <c r="F993" s="216"/>
      <c r="G993" s="66" t="str">
        <f>HYPERLINK("https://ledvance.com/pt/product-datasheet/8905/138552","Ficha de Produto")</f>
        <v>Ficha de Produto</v>
      </c>
      <c r="H993" s="34">
        <v>1</v>
      </c>
      <c r="I993" s="34" t="s">
        <v>914</v>
      </c>
      <c r="J993" s="34" t="s">
        <v>6210</v>
      </c>
      <c r="K993" s="34" t="s">
        <v>876</v>
      </c>
      <c r="L993" s="34" t="s">
        <v>765</v>
      </c>
      <c r="M993" s="30">
        <v>495</v>
      </c>
      <c r="N993" s="283" t="s">
        <v>721</v>
      </c>
    </row>
    <row r="994" spans="1:14" s="32" customFormat="1" ht="14.25" customHeight="1">
      <c r="A994" s="3" t="s">
        <v>641</v>
      </c>
      <c r="B994" s="36" t="s">
        <v>3463</v>
      </c>
      <c r="C994" s="214">
        <v>4058075540996</v>
      </c>
      <c r="D994" s="214"/>
      <c r="E994" s="215"/>
      <c r="F994" s="216"/>
      <c r="G994" s="66" t="str">
        <f>HYPERLINK("https://ledvance.com/pt/product-datasheet/8905/138554","Ficha de Produto")</f>
        <v>Ficha de Produto</v>
      </c>
      <c r="H994" s="34">
        <v>1</v>
      </c>
      <c r="I994" s="34" t="s">
        <v>925</v>
      </c>
      <c r="J994" s="34" t="s">
        <v>6210</v>
      </c>
      <c r="K994" s="34" t="s">
        <v>876</v>
      </c>
      <c r="L994" s="34" t="s">
        <v>765</v>
      </c>
      <c r="M994" s="30">
        <v>495</v>
      </c>
      <c r="N994" s="283" t="s">
        <v>721</v>
      </c>
    </row>
    <row r="995" spans="1:14" s="32" customFormat="1" ht="14.25" customHeight="1">
      <c r="A995" s="3" t="s">
        <v>641</v>
      </c>
      <c r="B995" s="36" t="s">
        <v>3464</v>
      </c>
      <c r="C995" s="214">
        <v>4058075541009</v>
      </c>
      <c r="D995" s="214"/>
      <c r="E995" s="215"/>
      <c r="F995" s="216"/>
      <c r="G995" s="66" t="str">
        <f>HYPERLINK("https://ledvance.com/pt/product-datasheet/8905/138556","Ficha de Produto")</f>
        <v>Ficha de Produto</v>
      </c>
      <c r="H995" s="34">
        <v>1</v>
      </c>
      <c r="I995" s="34" t="s">
        <v>908</v>
      </c>
      <c r="J995" s="34" t="s">
        <v>6211</v>
      </c>
      <c r="K995" s="34" t="s">
        <v>876</v>
      </c>
      <c r="L995" s="34" t="s">
        <v>765</v>
      </c>
      <c r="M995" s="30">
        <v>657.5</v>
      </c>
      <c r="N995" s="283" t="s">
        <v>721</v>
      </c>
    </row>
    <row r="996" spans="1:14" s="32" customFormat="1" ht="14.25" customHeight="1">
      <c r="A996" s="3" t="s">
        <v>641</v>
      </c>
      <c r="B996" s="36" t="s">
        <v>3465</v>
      </c>
      <c r="C996" s="214">
        <v>4058075541016</v>
      </c>
      <c r="D996" s="214"/>
      <c r="E996" s="215"/>
      <c r="F996" s="216"/>
      <c r="G996" s="66" t="str">
        <f>HYPERLINK("https://ledvance.com/pt/product-datasheet/8905/138558","Ficha de Produto")</f>
        <v>Ficha de Produto</v>
      </c>
      <c r="H996" s="34">
        <v>1</v>
      </c>
      <c r="I996" s="34" t="s">
        <v>926</v>
      </c>
      <c r="J996" s="34" t="s">
        <v>6211</v>
      </c>
      <c r="K996" s="34" t="s">
        <v>876</v>
      </c>
      <c r="L996" s="34" t="s">
        <v>765</v>
      </c>
      <c r="M996" s="30">
        <v>657.5</v>
      </c>
      <c r="N996" s="283" t="s">
        <v>721</v>
      </c>
    </row>
    <row r="997" spans="1:14" s="32" customFormat="1" ht="14.25" customHeight="1">
      <c r="A997" s="3" t="s">
        <v>641</v>
      </c>
      <c r="B997" s="36" t="s">
        <v>3466</v>
      </c>
      <c r="C997" s="214">
        <v>4058075541023</v>
      </c>
      <c r="D997" s="214"/>
      <c r="E997" s="215"/>
      <c r="F997" s="216"/>
      <c r="G997" s="66" t="str">
        <f>HYPERLINK("https://ledvance.com/pt/product-datasheet/8905/138560","Ficha de Produto")</f>
        <v>Ficha de Produto</v>
      </c>
      <c r="H997" s="34">
        <v>1</v>
      </c>
      <c r="I997" s="34" t="s">
        <v>927</v>
      </c>
      <c r="J997" s="34" t="s">
        <v>6212</v>
      </c>
      <c r="K997" s="34" t="s">
        <v>876</v>
      </c>
      <c r="L997" s="34" t="s">
        <v>765</v>
      </c>
      <c r="M997" s="30">
        <v>945</v>
      </c>
      <c r="N997" s="283" t="s">
        <v>721</v>
      </c>
    </row>
    <row r="998" spans="1:14" s="32" customFormat="1" ht="14.25" customHeight="1">
      <c r="A998" s="3" t="s">
        <v>641</v>
      </c>
      <c r="B998" s="36" t="s">
        <v>3467</v>
      </c>
      <c r="C998" s="214">
        <v>4058075541030</v>
      </c>
      <c r="D998" s="214"/>
      <c r="E998" s="215"/>
      <c r="F998" s="216"/>
      <c r="G998" s="66" t="str">
        <f>HYPERLINK("https://ledvance.com/pt/product-datasheet/8905/138562","Ficha de Produto")</f>
        <v>Ficha de Produto</v>
      </c>
      <c r="H998" s="34">
        <v>1</v>
      </c>
      <c r="I998" s="34" t="s">
        <v>928</v>
      </c>
      <c r="J998" s="34" t="s">
        <v>6212</v>
      </c>
      <c r="K998" s="34" t="s">
        <v>876</v>
      </c>
      <c r="L998" s="34" t="s">
        <v>765</v>
      </c>
      <c r="M998" s="30">
        <v>945</v>
      </c>
      <c r="N998" s="283" t="s">
        <v>721</v>
      </c>
    </row>
    <row r="999" spans="1:14" s="32" customFormat="1" ht="14.25" customHeight="1">
      <c r="A999" s="8" t="s">
        <v>641</v>
      </c>
      <c r="B999" s="227" t="s">
        <v>3430</v>
      </c>
      <c r="C999" s="7"/>
      <c r="D999" s="7"/>
      <c r="E999" s="7"/>
      <c r="F999" s="7"/>
      <c r="G999" s="68" t="s">
        <v>6505</v>
      </c>
      <c r="H999" s="7"/>
      <c r="I999" s="7"/>
      <c r="J999" s="7"/>
      <c r="K999" s="7"/>
      <c r="L999" s="7"/>
      <c r="M999" s="230"/>
      <c r="N999" s="284"/>
    </row>
    <row r="1000" spans="1:14" s="32" customFormat="1" ht="14.25" customHeight="1">
      <c r="A1000" s="3" t="s">
        <v>641</v>
      </c>
      <c r="B1000" s="36" t="s">
        <v>1380</v>
      </c>
      <c r="C1000" s="214">
        <v>4058075760783</v>
      </c>
      <c r="D1000" s="214"/>
      <c r="E1000" s="215"/>
      <c r="F1000" s="214"/>
      <c r="G1000" s="66" t="str">
        <f>HYPERLINK("https://ledvance.com/pt/product-datasheet/220125/204137","Ficha de Produto")</f>
        <v>Ficha de Produto</v>
      </c>
      <c r="H1000" s="34">
        <v>1</v>
      </c>
      <c r="I1000" s="34" t="s">
        <v>914</v>
      </c>
      <c r="J1000" s="34" t="s">
        <v>6210</v>
      </c>
      <c r="K1000" s="34" t="s">
        <v>876</v>
      </c>
      <c r="L1000" s="34" t="s">
        <v>765</v>
      </c>
      <c r="M1000" s="30">
        <v>572.6</v>
      </c>
      <c r="N1000" s="283" t="s">
        <v>721</v>
      </c>
    </row>
    <row r="1001" spans="1:14" s="32" customFormat="1" ht="14.25" customHeight="1">
      <c r="A1001" s="3" t="s">
        <v>641</v>
      </c>
      <c r="B1001" s="36" t="s">
        <v>1381</v>
      </c>
      <c r="C1001" s="214">
        <v>4058075760790</v>
      </c>
      <c r="D1001" s="214"/>
      <c r="E1001" s="215"/>
      <c r="F1001" s="214"/>
      <c r="G1001" s="66" t="str">
        <f>HYPERLINK("https://ledvance.com/pt/product-datasheet/220125/204139","Ficha de Produto")</f>
        <v>Ficha de Produto</v>
      </c>
      <c r="H1001" s="34">
        <v>1</v>
      </c>
      <c r="I1001" s="34" t="s">
        <v>925</v>
      </c>
      <c r="J1001" s="34" t="s">
        <v>6210</v>
      </c>
      <c r="K1001" s="34" t="s">
        <v>876</v>
      </c>
      <c r="L1001" s="34" t="s">
        <v>765</v>
      </c>
      <c r="M1001" s="30">
        <v>572.6</v>
      </c>
      <c r="N1001" s="283" t="s">
        <v>721</v>
      </c>
    </row>
    <row r="1002" spans="1:14" s="32" customFormat="1" ht="14.25" customHeight="1">
      <c r="A1002" s="3" t="s">
        <v>641</v>
      </c>
      <c r="B1002" s="36" t="s">
        <v>1382</v>
      </c>
      <c r="C1002" s="214">
        <v>4058075760837</v>
      </c>
      <c r="D1002" s="214"/>
      <c r="E1002" s="215"/>
      <c r="F1002" s="214"/>
      <c r="G1002" s="66" t="str">
        <f>HYPERLINK("https://ledvance.com/pt/product-datasheet/220125/204141","Ficha de Produto")</f>
        <v>Ficha de Produto</v>
      </c>
      <c r="H1002" s="34">
        <v>1</v>
      </c>
      <c r="I1002" s="34" t="s">
        <v>908</v>
      </c>
      <c r="J1002" s="34" t="s">
        <v>6211</v>
      </c>
      <c r="K1002" s="34" t="s">
        <v>876</v>
      </c>
      <c r="L1002" s="34" t="s">
        <v>765</v>
      </c>
      <c r="M1002" s="30">
        <v>749.6</v>
      </c>
      <c r="N1002" s="283" t="s">
        <v>721</v>
      </c>
    </row>
    <row r="1003" spans="1:14" s="32" customFormat="1" ht="14.25" customHeight="1">
      <c r="A1003" s="3" t="s">
        <v>641</v>
      </c>
      <c r="B1003" s="36" t="s">
        <v>1383</v>
      </c>
      <c r="C1003" s="214">
        <v>4058075760844</v>
      </c>
      <c r="D1003" s="214"/>
      <c r="E1003" s="215"/>
      <c r="F1003" s="214"/>
      <c r="G1003" s="66" t="str">
        <f>HYPERLINK("https://ledvance.com/pt/product-datasheet/220125/204143","Ficha de Produto")</f>
        <v>Ficha de Produto</v>
      </c>
      <c r="H1003" s="34">
        <v>1</v>
      </c>
      <c r="I1003" s="34" t="s">
        <v>926</v>
      </c>
      <c r="J1003" s="34" t="s">
        <v>6211</v>
      </c>
      <c r="K1003" s="34" t="s">
        <v>876</v>
      </c>
      <c r="L1003" s="34" t="s">
        <v>765</v>
      </c>
      <c r="M1003" s="30">
        <v>749.6</v>
      </c>
      <c r="N1003" s="283" t="s">
        <v>721</v>
      </c>
    </row>
    <row r="1004" spans="1:14" s="32" customFormat="1" ht="14.25" customHeight="1">
      <c r="A1004" s="3" t="s">
        <v>641</v>
      </c>
      <c r="B1004" s="36" t="s">
        <v>1384</v>
      </c>
      <c r="C1004" s="214">
        <v>4058075760851</v>
      </c>
      <c r="D1004" s="214"/>
      <c r="E1004" s="215"/>
      <c r="F1004" s="214"/>
      <c r="G1004" s="66" t="str">
        <f>HYPERLINK("https://ledvance.com/pt/product-datasheet/220125/204145","Ficha de Produto")</f>
        <v>Ficha de Produto</v>
      </c>
      <c r="H1004" s="34">
        <v>1</v>
      </c>
      <c r="I1004" s="34" t="s">
        <v>927</v>
      </c>
      <c r="J1004" s="34" t="s">
        <v>6212</v>
      </c>
      <c r="K1004" s="34" t="s">
        <v>876</v>
      </c>
      <c r="L1004" s="34" t="s">
        <v>765</v>
      </c>
      <c r="M1004" s="30">
        <v>1035</v>
      </c>
      <c r="N1004" s="283" t="s">
        <v>721</v>
      </c>
    </row>
    <row r="1005" spans="1:14" s="32" customFormat="1" ht="14.25" customHeight="1">
      <c r="A1005" s="3" t="s">
        <v>641</v>
      </c>
      <c r="B1005" s="36" t="s">
        <v>1385</v>
      </c>
      <c r="C1005" s="214">
        <v>4058075760868</v>
      </c>
      <c r="D1005" s="214"/>
      <c r="E1005" s="215"/>
      <c r="F1005" s="214"/>
      <c r="G1005" s="66" t="str">
        <f>HYPERLINK("https://ledvance.com/pt/product-datasheet/220125/204147","Ficha de Produto")</f>
        <v>Ficha de Produto</v>
      </c>
      <c r="H1005" s="34">
        <v>1</v>
      </c>
      <c r="I1005" s="34" t="s">
        <v>928</v>
      </c>
      <c r="J1005" s="34" t="s">
        <v>6212</v>
      </c>
      <c r="K1005" s="34" t="s">
        <v>876</v>
      </c>
      <c r="L1005" s="34" t="s">
        <v>765</v>
      </c>
      <c r="M1005" s="30">
        <v>1035</v>
      </c>
      <c r="N1005" s="283" t="s">
        <v>721</v>
      </c>
    </row>
    <row r="1006" spans="1:14" s="32" customFormat="1" ht="14.25" customHeight="1">
      <c r="A1006" s="8" t="s">
        <v>641</v>
      </c>
      <c r="B1006" s="227" t="s">
        <v>3432</v>
      </c>
      <c r="C1006" s="7"/>
      <c r="D1006" s="7"/>
      <c r="E1006" s="7"/>
      <c r="F1006" s="7"/>
      <c r="G1006" s="68"/>
      <c r="H1006" s="7"/>
      <c r="I1006" s="7"/>
      <c r="J1006" s="7"/>
      <c r="K1006" s="7"/>
      <c r="L1006" s="7"/>
      <c r="M1006" s="230"/>
      <c r="N1006" s="284"/>
    </row>
    <row r="1007" spans="1:14" s="32" customFormat="1" ht="14.25" customHeight="1">
      <c r="A1007" s="3" t="s">
        <v>641</v>
      </c>
      <c r="B1007" s="36" t="s">
        <v>3468</v>
      </c>
      <c r="C1007" s="214">
        <v>4058075420847</v>
      </c>
      <c r="D1007" s="214"/>
      <c r="E1007" s="215"/>
      <c r="F1007" s="216"/>
      <c r="G1007" s="66" t="str">
        <f>HYPERLINK("https://ledvance.com/pt/product-datasheet/8908/126499","Ficha de Produto")</f>
        <v>Ficha de Produto</v>
      </c>
      <c r="H1007" s="34">
        <v>12</v>
      </c>
      <c r="I1007" s="34" t="s">
        <v>929</v>
      </c>
      <c r="J1007" s="34" t="s">
        <v>6139</v>
      </c>
      <c r="K1007" s="34" t="s">
        <v>822</v>
      </c>
      <c r="L1007" s="34" t="s">
        <v>765</v>
      </c>
      <c r="M1007" s="30">
        <v>28.1</v>
      </c>
      <c r="N1007" s="283" t="s">
        <v>721</v>
      </c>
    </row>
    <row r="1008" spans="1:14" s="32" customFormat="1" ht="14.25" customHeight="1">
      <c r="A1008" s="3" t="s">
        <v>641</v>
      </c>
      <c r="B1008" s="36" t="s">
        <v>3469</v>
      </c>
      <c r="C1008" s="214">
        <v>4058075420861</v>
      </c>
      <c r="D1008" s="214"/>
      <c r="E1008" s="215"/>
      <c r="F1008" s="216"/>
      <c r="G1008" s="66" t="str">
        <f>HYPERLINK("https://ledvance.com/pt/product-datasheet/8908/126502","Ficha de Produto")</f>
        <v>Ficha de Produto</v>
      </c>
      <c r="H1008" s="34">
        <v>12</v>
      </c>
      <c r="I1008" s="34" t="s">
        <v>929</v>
      </c>
      <c r="J1008" s="34" t="s">
        <v>6139</v>
      </c>
      <c r="K1008" s="34" t="s">
        <v>822</v>
      </c>
      <c r="L1008" s="34" t="s">
        <v>765</v>
      </c>
      <c r="M1008" s="30">
        <v>28.1</v>
      </c>
      <c r="N1008" s="283" t="s">
        <v>721</v>
      </c>
    </row>
    <row r="1009" spans="1:14" s="32" customFormat="1" ht="14.25" customHeight="1">
      <c r="A1009" s="3" t="s">
        <v>641</v>
      </c>
      <c r="B1009" s="36" t="s">
        <v>3470</v>
      </c>
      <c r="C1009" s="214">
        <v>4058075420885</v>
      </c>
      <c r="D1009" s="214"/>
      <c r="E1009" s="215"/>
      <c r="F1009" s="216"/>
      <c r="G1009" s="66" t="str">
        <f>HYPERLINK("https://ledvance.com/pt/product-datasheet/8908/126505","Ficha de Produto")</f>
        <v>Ficha de Produto</v>
      </c>
      <c r="H1009" s="34">
        <v>12</v>
      </c>
      <c r="I1009" s="34" t="s">
        <v>857</v>
      </c>
      <c r="J1009" s="34" t="s">
        <v>6139</v>
      </c>
      <c r="K1009" s="34" t="s">
        <v>822</v>
      </c>
      <c r="L1009" s="34" t="s">
        <v>765</v>
      </c>
      <c r="M1009" s="30">
        <v>28.1</v>
      </c>
      <c r="N1009" s="283" t="s">
        <v>721</v>
      </c>
    </row>
    <row r="1010" spans="1:14" s="32" customFormat="1" ht="14.25" customHeight="1">
      <c r="A1010" s="3" t="s">
        <v>641</v>
      </c>
      <c r="B1010" s="36" t="s">
        <v>3471</v>
      </c>
      <c r="C1010" s="214">
        <v>4058075420908</v>
      </c>
      <c r="D1010" s="214"/>
      <c r="E1010" s="215"/>
      <c r="F1010" s="216"/>
      <c r="G1010" s="66" t="str">
        <f>HYPERLINK("https://ledvance.com/pt/product-datasheet/8908/126508","Ficha de Produto")</f>
        <v>Ficha de Produto</v>
      </c>
      <c r="H1010" s="34">
        <v>12</v>
      </c>
      <c r="I1010" s="34" t="s">
        <v>857</v>
      </c>
      <c r="J1010" s="34" t="s">
        <v>6139</v>
      </c>
      <c r="K1010" s="34" t="s">
        <v>822</v>
      </c>
      <c r="L1010" s="34" t="s">
        <v>765</v>
      </c>
      <c r="M1010" s="30">
        <v>28.1</v>
      </c>
      <c r="N1010" s="283" t="s">
        <v>721</v>
      </c>
    </row>
    <row r="1011" spans="1:14" s="32" customFormat="1" ht="14.25" customHeight="1">
      <c r="A1011" s="3" t="s">
        <v>641</v>
      </c>
      <c r="B1011" s="36" t="s">
        <v>3472</v>
      </c>
      <c r="C1011" s="214">
        <v>4058075420922</v>
      </c>
      <c r="D1011" s="214"/>
      <c r="E1011" s="215"/>
      <c r="F1011" s="216"/>
      <c r="G1011" s="66" t="str">
        <f>HYPERLINK("https://ledvance.com/pt/product-datasheet/8908/127028","Ficha de Produto")</f>
        <v>Ficha de Produto</v>
      </c>
      <c r="H1011" s="34">
        <v>12</v>
      </c>
      <c r="I1011" s="34" t="s">
        <v>857</v>
      </c>
      <c r="J1011" s="34" t="s">
        <v>6139</v>
      </c>
      <c r="K1011" s="34" t="s">
        <v>822</v>
      </c>
      <c r="L1011" s="34" t="s">
        <v>765</v>
      </c>
      <c r="M1011" s="30">
        <v>28.1</v>
      </c>
      <c r="N1011" s="283" t="s">
        <v>721</v>
      </c>
    </row>
    <row r="1012" spans="1:14" s="32" customFormat="1" ht="14.25" customHeight="1">
      <c r="A1012" s="3" t="s">
        <v>641</v>
      </c>
      <c r="B1012" s="36" t="s">
        <v>3473</v>
      </c>
      <c r="C1012" s="214">
        <v>4058075420946</v>
      </c>
      <c r="D1012" s="214"/>
      <c r="E1012" s="215"/>
      <c r="F1012" s="216"/>
      <c r="G1012" s="66" t="str">
        <f>HYPERLINK("https://ledvance.com/pt/product-datasheet/8908/127031","Ficha de Produto")</f>
        <v>Ficha de Produto</v>
      </c>
      <c r="H1012" s="34">
        <v>12</v>
      </c>
      <c r="I1012" s="34" t="s">
        <v>857</v>
      </c>
      <c r="J1012" s="34" t="s">
        <v>6139</v>
      </c>
      <c r="K1012" s="34" t="s">
        <v>822</v>
      </c>
      <c r="L1012" s="34" t="s">
        <v>765</v>
      </c>
      <c r="M1012" s="30">
        <v>28.1</v>
      </c>
      <c r="N1012" s="283" t="s">
        <v>721</v>
      </c>
    </row>
    <row r="1013" spans="1:14" s="32" customFormat="1" ht="14.25" customHeight="1">
      <c r="A1013" s="3" t="s">
        <v>641</v>
      </c>
      <c r="B1013" s="36" t="s">
        <v>3474</v>
      </c>
      <c r="C1013" s="214">
        <v>4058075420960</v>
      </c>
      <c r="D1013" s="214"/>
      <c r="E1013" s="215"/>
      <c r="F1013" s="216"/>
      <c r="G1013" s="66" t="str">
        <f>HYPERLINK("https://ledvance.com/pt/product-datasheet/8909/126511","Ficha de Produto")</f>
        <v>Ficha de Produto</v>
      </c>
      <c r="H1013" s="34">
        <v>12</v>
      </c>
      <c r="I1013" s="34" t="s">
        <v>819</v>
      </c>
      <c r="J1013" s="34" t="s">
        <v>6116</v>
      </c>
      <c r="K1013" s="34" t="s">
        <v>822</v>
      </c>
      <c r="L1013" s="34" t="s">
        <v>765</v>
      </c>
      <c r="M1013" s="30">
        <v>34.1</v>
      </c>
      <c r="N1013" s="283" t="s">
        <v>721</v>
      </c>
    </row>
    <row r="1014" spans="1:14" s="32" customFormat="1" ht="14.25" customHeight="1">
      <c r="A1014" s="3" t="s">
        <v>641</v>
      </c>
      <c r="B1014" s="36" t="s">
        <v>3475</v>
      </c>
      <c r="C1014" s="214">
        <v>4058075420991</v>
      </c>
      <c r="D1014" s="214"/>
      <c r="E1014" s="215"/>
      <c r="F1014" s="216"/>
      <c r="G1014" s="66" t="str">
        <f>HYPERLINK("https://ledvance.com/pt/product-datasheet/8909/126514","Ficha de Produto")</f>
        <v>Ficha de Produto</v>
      </c>
      <c r="H1014" s="34">
        <v>12</v>
      </c>
      <c r="I1014" s="34" t="s">
        <v>819</v>
      </c>
      <c r="J1014" s="34" t="s">
        <v>6116</v>
      </c>
      <c r="K1014" s="34" t="s">
        <v>822</v>
      </c>
      <c r="L1014" s="34" t="s">
        <v>765</v>
      </c>
      <c r="M1014" s="30">
        <v>34.1</v>
      </c>
      <c r="N1014" s="283" t="s">
        <v>721</v>
      </c>
    </row>
    <row r="1015" spans="1:14" s="32" customFormat="1" ht="14.25" customHeight="1">
      <c r="A1015" s="3" t="s">
        <v>641</v>
      </c>
      <c r="B1015" s="36" t="s">
        <v>3476</v>
      </c>
      <c r="C1015" s="214">
        <v>4058075421011</v>
      </c>
      <c r="D1015" s="214"/>
      <c r="E1015" s="215"/>
      <c r="F1015" s="216"/>
      <c r="G1015" s="66" t="str">
        <f>HYPERLINK("https://ledvance.com/pt/product-datasheet/8909/126517","Ficha de Produto")</f>
        <v>Ficha de Produto</v>
      </c>
      <c r="H1015" s="34">
        <v>12</v>
      </c>
      <c r="I1015" s="34" t="s">
        <v>767</v>
      </c>
      <c r="J1015" s="34" t="s">
        <v>6116</v>
      </c>
      <c r="K1015" s="34" t="s">
        <v>822</v>
      </c>
      <c r="L1015" s="34" t="s">
        <v>765</v>
      </c>
      <c r="M1015" s="30">
        <v>34.1</v>
      </c>
      <c r="N1015" s="283" t="s">
        <v>721</v>
      </c>
    </row>
    <row r="1016" spans="1:14" s="32" customFormat="1" ht="14.25" customHeight="1">
      <c r="A1016" s="3" t="s">
        <v>641</v>
      </c>
      <c r="B1016" s="36" t="s">
        <v>3477</v>
      </c>
      <c r="C1016" s="214">
        <v>4058075421035</v>
      </c>
      <c r="D1016" s="214"/>
      <c r="E1016" s="215"/>
      <c r="F1016" s="216"/>
      <c r="G1016" s="66" t="str">
        <f>HYPERLINK("https://ledvance.com/pt/product-datasheet/8909/126520","Ficha de Produto")</f>
        <v>Ficha de Produto</v>
      </c>
      <c r="H1016" s="34">
        <v>12</v>
      </c>
      <c r="I1016" s="34" t="s">
        <v>767</v>
      </c>
      <c r="J1016" s="34" t="s">
        <v>6116</v>
      </c>
      <c r="K1016" s="34" t="s">
        <v>822</v>
      </c>
      <c r="L1016" s="34" t="s">
        <v>765</v>
      </c>
      <c r="M1016" s="30">
        <v>34.1</v>
      </c>
      <c r="N1016" s="283" t="s">
        <v>721</v>
      </c>
    </row>
    <row r="1017" spans="1:14" s="32" customFormat="1" ht="14.25" customHeight="1">
      <c r="A1017" s="3" t="s">
        <v>641</v>
      </c>
      <c r="B1017" s="36" t="s">
        <v>3478</v>
      </c>
      <c r="C1017" s="214">
        <v>4058075421059</v>
      </c>
      <c r="D1017" s="214"/>
      <c r="E1017" s="215"/>
      <c r="F1017" s="216"/>
      <c r="G1017" s="66" t="str">
        <f>HYPERLINK("https://ledvance.com/pt/product-datasheet/8909/126523","Ficha de Produto")</f>
        <v>Ficha de Produto</v>
      </c>
      <c r="H1017" s="34">
        <v>12</v>
      </c>
      <c r="I1017" s="34" t="s">
        <v>767</v>
      </c>
      <c r="J1017" s="34" t="s">
        <v>6116</v>
      </c>
      <c r="K1017" s="34" t="s">
        <v>822</v>
      </c>
      <c r="L1017" s="34" t="s">
        <v>765</v>
      </c>
      <c r="M1017" s="30">
        <v>34.1</v>
      </c>
      <c r="N1017" s="283" t="s">
        <v>721</v>
      </c>
    </row>
    <row r="1018" spans="1:14" s="32" customFormat="1" ht="14.25" customHeight="1">
      <c r="A1018" s="3" t="s">
        <v>641</v>
      </c>
      <c r="B1018" s="36" t="s">
        <v>3479</v>
      </c>
      <c r="C1018" s="214">
        <v>4058075421073</v>
      </c>
      <c r="D1018" s="214"/>
      <c r="E1018" s="215"/>
      <c r="F1018" s="216"/>
      <c r="G1018" s="66" t="str">
        <f>HYPERLINK("https://ledvance.com/pt/product-datasheet/8909/126526","Ficha de Produto")</f>
        <v>Ficha de Produto</v>
      </c>
      <c r="H1018" s="34">
        <v>12</v>
      </c>
      <c r="I1018" s="34" t="s">
        <v>767</v>
      </c>
      <c r="J1018" s="34" t="s">
        <v>6116</v>
      </c>
      <c r="K1018" s="34" t="s">
        <v>822</v>
      </c>
      <c r="L1018" s="34" t="s">
        <v>765</v>
      </c>
      <c r="M1018" s="30">
        <v>34.1</v>
      </c>
      <c r="N1018" s="283" t="s">
        <v>721</v>
      </c>
    </row>
    <row r="1019" spans="1:14" s="32" customFormat="1" ht="14.25" customHeight="1">
      <c r="A1019" s="3" t="s">
        <v>641</v>
      </c>
      <c r="B1019" s="36" t="s">
        <v>3480</v>
      </c>
      <c r="C1019" s="214">
        <v>4058075421097</v>
      </c>
      <c r="D1019" s="214"/>
      <c r="E1019" s="215"/>
      <c r="F1019" s="216"/>
      <c r="G1019" s="66" t="str">
        <f>HYPERLINK("https://ledvance.com/pt/product-datasheet/8910/126529","Ficha de Produto")</f>
        <v>Ficha de Produto</v>
      </c>
      <c r="H1019" s="34">
        <v>8</v>
      </c>
      <c r="I1019" s="34" t="s">
        <v>841</v>
      </c>
      <c r="J1019" s="34" t="s">
        <v>6119</v>
      </c>
      <c r="K1019" s="34" t="s">
        <v>822</v>
      </c>
      <c r="L1019" s="34" t="s">
        <v>765</v>
      </c>
      <c r="M1019" s="30">
        <v>51.2</v>
      </c>
      <c r="N1019" s="283" t="s">
        <v>721</v>
      </c>
    </row>
    <row r="1020" spans="1:14" s="32" customFormat="1" ht="14.25" customHeight="1">
      <c r="A1020" s="3" t="s">
        <v>641</v>
      </c>
      <c r="B1020" s="36" t="s">
        <v>3481</v>
      </c>
      <c r="C1020" s="214">
        <v>4058075421110</v>
      </c>
      <c r="D1020" s="214"/>
      <c r="E1020" s="215"/>
      <c r="F1020" s="216"/>
      <c r="G1020" s="66" t="str">
        <f>HYPERLINK("https://ledvance.com/pt/product-datasheet/8910/126532","Ficha de Produto")</f>
        <v>Ficha de Produto</v>
      </c>
      <c r="H1020" s="34">
        <v>8</v>
      </c>
      <c r="I1020" s="34" t="s">
        <v>841</v>
      </c>
      <c r="J1020" s="34" t="s">
        <v>6119</v>
      </c>
      <c r="K1020" s="34" t="s">
        <v>822</v>
      </c>
      <c r="L1020" s="34" t="s">
        <v>765</v>
      </c>
      <c r="M1020" s="30">
        <v>51.2</v>
      </c>
      <c r="N1020" s="283" t="s">
        <v>721</v>
      </c>
    </row>
    <row r="1021" spans="1:14" s="32" customFormat="1" ht="14.25" customHeight="1">
      <c r="A1021" s="3" t="s">
        <v>641</v>
      </c>
      <c r="B1021" s="36" t="s">
        <v>3482</v>
      </c>
      <c r="C1021" s="214">
        <v>4058075421134</v>
      </c>
      <c r="D1021" s="214"/>
      <c r="E1021" s="215"/>
      <c r="F1021" s="216"/>
      <c r="G1021" s="66" t="str">
        <f>HYPERLINK("https://ledvance.com/pt/product-datasheet/8910/126535","Ficha de Produto")</f>
        <v>Ficha de Produto</v>
      </c>
      <c r="H1021" s="34">
        <v>8</v>
      </c>
      <c r="I1021" s="34" t="s">
        <v>834</v>
      </c>
      <c r="J1021" s="34" t="s">
        <v>6119</v>
      </c>
      <c r="K1021" s="34" t="s">
        <v>822</v>
      </c>
      <c r="L1021" s="34" t="s">
        <v>765</v>
      </c>
      <c r="M1021" s="30">
        <v>51.2</v>
      </c>
      <c r="N1021" s="283" t="s">
        <v>721</v>
      </c>
    </row>
    <row r="1022" spans="1:14" s="32" customFormat="1" ht="14.25" customHeight="1">
      <c r="A1022" s="3" t="s">
        <v>641</v>
      </c>
      <c r="B1022" s="36" t="s">
        <v>3483</v>
      </c>
      <c r="C1022" s="214">
        <v>4058075421165</v>
      </c>
      <c r="D1022" s="214"/>
      <c r="E1022" s="215"/>
      <c r="F1022" s="216"/>
      <c r="G1022" s="66" t="str">
        <f>HYPERLINK("https://ledvance.com/pt/product-datasheet/8910/126538","Ficha de Produto")</f>
        <v>Ficha de Produto</v>
      </c>
      <c r="H1022" s="34">
        <v>8</v>
      </c>
      <c r="I1022" s="34" t="s">
        <v>834</v>
      </c>
      <c r="J1022" s="34" t="s">
        <v>6119</v>
      </c>
      <c r="K1022" s="34" t="s">
        <v>822</v>
      </c>
      <c r="L1022" s="34" t="s">
        <v>765</v>
      </c>
      <c r="M1022" s="30">
        <v>51.2</v>
      </c>
      <c r="N1022" s="283" t="s">
        <v>721</v>
      </c>
    </row>
    <row r="1023" spans="1:14" s="32" customFormat="1" ht="14.25" customHeight="1">
      <c r="A1023" s="3" t="s">
        <v>641</v>
      </c>
      <c r="B1023" s="36" t="s">
        <v>3484</v>
      </c>
      <c r="C1023" s="214">
        <v>4058075421189</v>
      </c>
      <c r="D1023" s="214"/>
      <c r="E1023" s="215"/>
      <c r="F1023" s="216"/>
      <c r="G1023" s="66" t="str">
        <f>HYPERLINK("https://ledvance.com/pt/product-datasheet/8910/126541","Ficha de Produto")</f>
        <v>Ficha de Produto</v>
      </c>
      <c r="H1023" s="34">
        <v>8</v>
      </c>
      <c r="I1023" s="34" t="s">
        <v>834</v>
      </c>
      <c r="J1023" s="34" t="s">
        <v>6119</v>
      </c>
      <c r="K1023" s="34" t="s">
        <v>822</v>
      </c>
      <c r="L1023" s="34" t="s">
        <v>765</v>
      </c>
      <c r="M1023" s="30">
        <v>51.2</v>
      </c>
      <c r="N1023" s="283" t="s">
        <v>721</v>
      </c>
    </row>
    <row r="1024" spans="1:14" s="32" customFormat="1" ht="14.25" customHeight="1">
      <c r="A1024" s="3" t="s">
        <v>641</v>
      </c>
      <c r="B1024" s="36" t="s">
        <v>3485</v>
      </c>
      <c r="C1024" s="214">
        <v>4058075421202</v>
      </c>
      <c r="D1024" s="214"/>
      <c r="E1024" s="215"/>
      <c r="F1024" s="216"/>
      <c r="G1024" s="66" t="str">
        <f>HYPERLINK("https://ledvance.com/pt/product-datasheet/8910/126544","Ficha de Produto")</f>
        <v>Ficha de Produto</v>
      </c>
      <c r="H1024" s="34">
        <v>8</v>
      </c>
      <c r="I1024" s="34" t="s">
        <v>834</v>
      </c>
      <c r="J1024" s="34" t="s">
        <v>6119</v>
      </c>
      <c r="K1024" s="34" t="s">
        <v>822</v>
      </c>
      <c r="L1024" s="34" t="s">
        <v>765</v>
      </c>
      <c r="M1024" s="30">
        <v>51.2</v>
      </c>
      <c r="N1024" s="283" t="s">
        <v>721</v>
      </c>
    </row>
    <row r="1025" spans="1:14" s="32" customFormat="1" ht="14.25" customHeight="1">
      <c r="A1025" s="3" t="s">
        <v>641</v>
      </c>
      <c r="B1025" s="36" t="s">
        <v>3486</v>
      </c>
      <c r="C1025" s="214">
        <v>4058075421226</v>
      </c>
      <c r="D1025" s="214"/>
      <c r="E1025" s="215"/>
      <c r="F1025" s="216"/>
      <c r="G1025" s="66" t="str">
        <f>HYPERLINK("https://ledvance.com/pt/product-datasheet/8911/45514","Ficha de Produto")</f>
        <v>Ficha de Produto</v>
      </c>
      <c r="H1025" s="34">
        <v>8</v>
      </c>
      <c r="I1025" s="34" t="s">
        <v>850</v>
      </c>
      <c r="J1025" s="34" t="s">
        <v>6171</v>
      </c>
      <c r="K1025" s="34" t="s">
        <v>822</v>
      </c>
      <c r="L1025" s="34" t="s">
        <v>765</v>
      </c>
      <c r="M1025" s="30">
        <v>63.5</v>
      </c>
      <c r="N1025" s="283" t="s">
        <v>721</v>
      </c>
    </row>
    <row r="1026" spans="1:14" s="32" customFormat="1" ht="14.25" customHeight="1">
      <c r="A1026" s="3" t="s">
        <v>641</v>
      </c>
      <c r="B1026" s="36" t="s">
        <v>3487</v>
      </c>
      <c r="C1026" s="214">
        <v>4058075421240</v>
      </c>
      <c r="D1026" s="214"/>
      <c r="E1026" s="215"/>
      <c r="F1026" s="216"/>
      <c r="G1026" s="66" t="str">
        <f>HYPERLINK("https://ledvance.com/pt/product-datasheet/8911/126547","Ficha de Produto")</f>
        <v>Ficha de Produto</v>
      </c>
      <c r="H1026" s="34">
        <v>8</v>
      </c>
      <c r="I1026" s="34" t="s">
        <v>850</v>
      </c>
      <c r="J1026" s="34" t="s">
        <v>6171</v>
      </c>
      <c r="K1026" s="34" t="s">
        <v>822</v>
      </c>
      <c r="L1026" s="34" t="s">
        <v>765</v>
      </c>
      <c r="M1026" s="30">
        <v>63.5</v>
      </c>
      <c r="N1026" s="283" t="s">
        <v>721</v>
      </c>
    </row>
    <row r="1027" spans="1:14" s="32" customFormat="1" ht="14.25" customHeight="1">
      <c r="A1027" s="3" t="s">
        <v>641</v>
      </c>
      <c r="B1027" s="36" t="s">
        <v>3488</v>
      </c>
      <c r="C1027" s="214">
        <v>4058075421264</v>
      </c>
      <c r="D1027" s="214"/>
      <c r="E1027" s="215"/>
      <c r="F1027" s="216"/>
      <c r="G1027" s="66" t="str">
        <f>HYPERLINK("https://ledvance.com/pt/product-datasheet/8911/126550","Ficha de Produto")</f>
        <v>Ficha de Produto</v>
      </c>
      <c r="H1027" s="34">
        <v>8</v>
      </c>
      <c r="I1027" s="34" t="s">
        <v>889</v>
      </c>
      <c r="J1027" s="34" t="s">
        <v>6171</v>
      </c>
      <c r="K1027" s="34" t="s">
        <v>822</v>
      </c>
      <c r="L1027" s="34" t="s">
        <v>765</v>
      </c>
      <c r="M1027" s="30">
        <v>63.5</v>
      </c>
      <c r="N1027" s="283" t="s">
        <v>721</v>
      </c>
    </row>
    <row r="1028" spans="1:14" s="32" customFormat="1" ht="14.25" customHeight="1">
      <c r="A1028" s="3" t="s">
        <v>641</v>
      </c>
      <c r="B1028" s="36" t="s">
        <v>3489</v>
      </c>
      <c r="C1028" s="214">
        <v>4058075421288</v>
      </c>
      <c r="D1028" s="214"/>
      <c r="E1028" s="215"/>
      <c r="F1028" s="216"/>
      <c r="G1028" s="66" t="str">
        <f>HYPERLINK("https://ledvance.com/pt/product-datasheet/8911/126553","Ficha de Produto")</f>
        <v>Ficha de Produto</v>
      </c>
      <c r="H1028" s="34">
        <v>8</v>
      </c>
      <c r="I1028" s="34" t="s">
        <v>889</v>
      </c>
      <c r="J1028" s="34" t="s">
        <v>6171</v>
      </c>
      <c r="K1028" s="34" t="s">
        <v>822</v>
      </c>
      <c r="L1028" s="34" t="s">
        <v>765</v>
      </c>
      <c r="M1028" s="30">
        <v>63.5</v>
      </c>
      <c r="N1028" s="283" t="s">
        <v>721</v>
      </c>
    </row>
    <row r="1029" spans="1:14" s="32" customFormat="1" ht="14.25" customHeight="1">
      <c r="A1029" s="3" t="s">
        <v>641</v>
      </c>
      <c r="B1029" s="36" t="s">
        <v>3490</v>
      </c>
      <c r="C1029" s="214">
        <v>4058075421301</v>
      </c>
      <c r="D1029" s="214"/>
      <c r="E1029" s="215"/>
      <c r="F1029" s="216"/>
      <c r="G1029" s="66" t="str">
        <f>HYPERLINK("https://ledvance.com/pt/product-datasheet/8911/126556","Ficha de Produto")</f>
        <v>Ficha de Produto</v>
      </c>
      <c r="H1029" s="34">
        <v>8</v>
      </c>
      <c r="I1029" s="34" t="s">
        <v>889</v>
      </c>
      <c r="J1029" s="34" t="s">
        <v>6171</v>
      </c>
      <c r="K1029" s="34" t="s">
        <v>822</v>
      </c>
      <c r="L1029" s="34" t="s">
        <v>765</v>
      </c>
      <c r="M1029" s="30">
        <v>63.5</v>
      </c>
      <c r="N1029" s="283" t="s">
        <v>721</v>
      </c>
    </row>
    <row r="1030" spans="1:14" s="32" customFormat="1" ht="14.25" customHeight="1">
      <c r="A1030" s="3" t="s">
        <v>641</v>
      </c>
      <c r="B1030" s="36" t="s">
        <v>3491</v>
      </c>
      <c r="C1030" s="214">
        <v>4058075421325</v>
      </c>
      <c r="D1030" s="214"/>
      <c r="E1030" s="215"/>
      <c r="F1030" s="216"/>
      <c r="G1030" s="66" t="str">
        <f>HYPERLINK("https://ledvance.com/pt/product-datasheet/8911/126559","Ficha de Produto")</f>
        <v>Ficha de Produto</v>
      </c>
      <c r="H1030" s="34">
        <v>8</v>
      </c>
      <c r="I1030" s="34" t="s">
        <v>889</v>
      </c>
      <c r="J1030" s="34" t="s">
        <v>6171</v>
      </c>
      <c r="K1030" s="34" t="s">
        <v>822</v>
      </c>
      <c r="L1030" s="34" t="s">
        <v>765</v>
      </c>
      <c r="M1030" s="30">
        <v>63.5</v>
      </c>
      <c r="N1030" s="283" t="s">
        <v>721</v>
      </c>
    </row>
    <row r="1031" spans="1:14" s="32" customFormat="1" ht="14.25" customHeight="1">
      <c r="A1031" s="8" t="s">
        <v>641</v>
      </c>
      <c r="B1031" s="227" t="s">
        <v>3431</v>
      </c>
      <c r="C1031" s="7"/>
      <c r="D1031" s="7"/>
      <c r="E1031" s="7"/>
      <c r="F1031" s="7"/>
      <c r="G1031" s="68"/>
      <c r="H1031" s="7"/>
      <c r="I1031" s="7"/>
      <c r="J1031" s="7"/>
      <c r="K1031" s="7"/>
      <c r="L1031" s="7"/>
      <c r="M1031" s="230"/>
      <c r="N1031" s="284"/>
    </row>
    <row r="1032" spans="1:14" s="32" customFormat="1" ht="14.25" customHeight="1">
      <c r="A1032" s="3" t="s">
        <v>641</v>
      </c>
      <c r="B1032" s="36" t="s">
        <v>3492</v>
      </c>
      <c r="C1032" s="214">
        <v>4058075422445</v>
      </c>
      <c r="D1032" s="214"/>
      <c r="E1032" s="215"/>
      <c r="F1032" s="216"/>
      <c r="G1032" s="66" t="str">
        <f>HYPERLINK("https://ledvance.com/pt/product-datasheet/8912/126562","Ficha de Produto")</f>
        <v>Ficha de Produto</v>
      </c>
      <c r="H1032" s="34">
        <v>4</v>
      </c>
      <c r="I1032" s="34" t="s">
        <v>930</v>
      </c>
      <c r="J1032" s="34" t="s">
        <v>6213</v>
      </c>
      <c r="K1032" s="34" t="s">
        <v>822</v>
      </c>
      <c r="L1032" s="34" t="s">
        <v>765</v>
      </c>
      <c r="M1032" s="30">
        <v>155</v>
      </c>
      <c r="N1032" s="283" t="s">
        <v>721</v>
      </c>
    </row>
    <row r="1033" spans="1:14" s="32" customFormat="1" ht="14.25" customHeight="1">
      <c r="A1033" s="3" t="s">
        <v>641</v>
      </c>
      <c r="B1033" s="36" t="s">
        <v>3493</v>
      </c>
      <c r="C1033" s="214">
        <v>4058075422469</v>
      </c>
      <c r="D1033" s="214"/>
      <c r="E1033" s="215"/>
      <c r="F1033" s="216"/>
      <c r="G1033" s="66" t="str">
        <f>HYPERLINK("https://ledvance.com/pt/product-datasheet/8912/43861","Ficha de Produto")</f>
        <v>Ficha de Produto</v>
      </c>
      <c r="H1033" s="34">
        <v>4</v>
      </c>
      <c r="I1033" s="34" t="s">
        <v>864</v>
      </c>
      <c r="J1033" s="34" t="s">
        <v>6213</v>
      </c>
      <c r="K1033" s="34" t="s">
        <v>822</v>
      </c>
      <c r="L1033" s="34" t="s">
        <v>765</v>
      </c>
      <c r="M1033" s="30">
        <v>155</v>
      </c>
      <c r="N1033" s="283" t="s">
        <v>721</v>
      </c>
    </row>
    <row r="1034" spans="1:14" s="32" customFormat="1" ht="14.25" customHeight="1">
      <c r="A1034" s="3" t="s">
        <v>641</v>
      </c>
      <c r="B1034" s="36" t="s">
        <v>3494</v>
      </c>
      <c r="C1034" s="214">
        <v>4058075422483</v>
      </c>
      <c r="D1034" s="214"/>
      <c r="E1034" s="215"/>
      <c r="F1034" s="216"/>
      <c r="G1034" s="66" t="str">
        <f>HYPERLINK("https://ledvance.com/pt/product-datasheet/8912/126565","Ficha de Produto")</f>
        <v>Ficha de Produto</v>
      </c>
      <c r="H1034" s="34">
        <v>4</v>
      </c>
      <c r="I1034" s="34" t="s">
        <v>864</v>
      </c>
      <c r="J1034" s="34" t="s">
        <v>6213</v>
      </c>
      <c r="K1034" s="34" t="s">
        <v>822</v>
      </c>
      <c r="L1034" s="34" t="s">
        <v>765</v>
      </c>
      <c r="M1034" s="30">
        <v>155</v>
      </c>
      <c r="N1034" s="283" t="s">
        <v>721</v>
      </c>
    </row>
    <row r="1035" spans="1:14" s="32" customFormat="1" ht="14.25" customHeight="1">
      <c r="A1035" s="3" t="s">
        <v>641</v>
      </c>
      <c r="B1035" s="36" t="s">
        <v>3495</v>
      </c>
      <c r="C1035" s="214">
        <v>4058075422506</v>
      </c>
      <c r="D1035" s="214"/>
      <c r="E1035" s="215"/>
      <c r="F1035" s="216"/>
      <c r="G1035" s="66" t="str">
        <f>HYPERLINK("https://ledvance.com/pt/product-datasheet/8913/126568","Ficha de Produto")</f>
        <v>Ficha de Produto</v>
      </c>
      <c r="H1035" s="34">
        <v>2</v>
      </c>
      <c r="I1035" s="34" t="s">
        <v>931</v>
      </c>
      <c r="J1035" s="34" t="s">
        <v>6197</v>
      </c>
      <c r="K1035" s="34" t="s">
        <v>822</v>
      </c>
      <c r="L1035" s="34" t="s">
        <v>765</v>
      </c>
      <c r="M1035" s="30">
        <v>220</v>
      </c>
      <c r="N1035" s="283" t="s">
        <v>721</v>
      </c>
    </row>
    <row r="1036" spans="1:14" s="32" customFormat="1" ht="14.25" customHeight="1">
      <c r="A1036" s="3" t="s">
        <v>641</v>
      </c>
      <c r="B1036" s="36" t="s">
        <v>3496</v>
      </c>
      <c r="C1036" s="214">
        <v>4058075422520</v>
      </c>
      <c r="D1036" s="214"/>
      <c r="E1036" s="215"/>
      <c r="F1036" s="216"/>
      <c r="G1036" s="66" t="str">
        <f>HYPERLINK("https://ledvance.com/pt/product-datasheet/8913/126571","Ficha de Produto")</f>
        <v>Ficha de Produto</v>
      </c>
      <c r="H1036" s="34">
        <v>2</v>
      </c>
      <c r="I1036" s="34" t="s">
        <v>897</v>
      </c>
      <c r="J1036" s="34" t="s">
        <v>6197</v>
      </c>
      <c r="K1036" s="34" t="s">
        <v>822</v>
      </c>
      <c r="L1036" s="34" t="s">
        <v>765</v>
      </c>
      <c r="M1036" s="30">
        <v>220</v>
      </c>
      <c r="N1036" s="283" t="s">
        <v>721</v>
      </c>
    </row>
    <row r="1037" spans="1:14" s="32" customFormat="1" ht="14.25" customHeight="1">
      <c r="A1037" s="3" t="s">
        <v>641</v>
      </c>
      <c r="B1037" s="36" t="s">
        <v>3497</v>
      </c>
      <c r="C1037" s="214">
        <v>4058075422544</v>
      </c>
      <c r="D1037" s="214"/>
      <c r="E1037" s="215"/>
      <c r="F1037" s="216"/>
      <c r="G1037" s="66" t="str">
        <f>HYPERLINK("https://ledvance.com/pt/product-datasheet/8913/126574","Ficha de Produto")</f>
        <v>Ficha de Produto</v>
      </c>
      <c r="H1037" s="34">
        <v>2</v>
      </c>
      <c r="I1037" s="34" t="s">
        <v>897</v>
      </c>
      <c r="J1037" s="34" t="s">
        <v>6197</v>
      </c>
      <c r="K1037" s="34" t="s">
        <v>822</v>
      </c>
      <c r="L1037" s="34" t="s">
        <v>765</v>
      </c>
      <c r="M1037" s="30">
        <v>220</v>
      </c>
      <c r="N1037" s="283" t="s">
        <v>721</v>
      </c>
    </row>
    <row r="1038" spans="1:14" s="32" customFormat="1" ht="14.25" customHeight="1">
      <c r="A1038" s="3" t="s">
        <v>641</v>
      </c>
      <c r="B1038" s="36" t="s">
        <v>3498</v>
      </c>
      <c r="C1038" s="214">
        <v>4058075423695</v>
      </c>
      <c r="D1038" s="214"/>
      <c r="E1038" s="215"/>
      <c r="F1038" s="216"/>
      <c r="G1038" s="66" t="str">
        <f>HYPERLINK("https://ledvance.com/pt/product-datasheet/8914/132144","Ficha de Produto")</f>
        <v>Ficha de Produto</v>
      </c>
      <c r="H1038" s="34">
        <v>1</v>
      </c>
      <c r="I1038" s="34" t="s">
        <v>932</v>
      </c>
      <c r="J1038" s="34" t="s">
        <v>6214</v>
      </c>
      <c r="K1038" s="34" t="s">
        <v>822</v>
      </c>
      <c r="L1038" s="34" t="s">
        <v>765</v>
      </c>
      <c r="M1038" s="30">
        <v>335</v>
      </c>
      <c r="N1038" s="283" t="s">
        <v>721</v>
      </c>
    </row>
    <row r="1039" spans="1:14" s="32" customFormat="1" ht="14.25" customHeight="1">
      <c r="A1039" s="3" t="s">
        <v>641</v>
      </c>
      <c r="B1039" s="36" t="s">
        <v>3499</v>
      </c>
      <c r="C1039" s="214">
        <v>4058075423701</v>
      </c>
      <c r="D1039" s="214"/>
      <c r="E1039" s="215"/>
      <c r="F1039" s="216"/>
      <c r="G1039" s="66" t="str">
        <f>HYPERLINK("https://ledvance.com/pt/product-datasheet/8914/132146","Ficha de Produto")</f>
        <v>Ficha de Produto</v>
      </c>
      <c r="H1039" s="34">
        <v>1</v>
      </c>
      <c r="I1039" s="34" t="s">
        <v>933</v>
      </c>
      <c r="J1039" s="34" t="s">
        <v>6214</v>
      </c>
      <c r="K1039" s="34" t="s">
        <v>822</v>
      </c>
      <c r="L1039" s="34" t="s">
        <v>765</v>
      </c>
      <c r="M1039" s="30">
        <v>335</v>
      </c>
      <c r="N1039" s="283" t="s">
        <v>721</v>
      </c>
    </row>
    <row r="1040" spans="1:14" s="32" customFormat="1" ht="14.25" customHeight="1">
      <c r="A1040" s="3" t="s">
        <v>641</v>
      </c>
      <c r="B1040" s="36" t="s">
        <v>3500</v>
      </c>
      <c r="C1040" s="214">
        <v>4058075423718</v>
      </c>
      <c r="D1040" s="214"/>
      <c r="E1040" s="215"/>
      <c r="F1040" s="216"/>
      <c r="G1040" s="66" t="str">
        <f>HYPERLINK("https://ledvance.com/pt/product-datasheet/8914/47911","Ficha de Produto")</f>
        <v>Ficha de Produto</v>
      </c>
      <c r="H1040" s="34">
        <v>1</v>
      </c>
      <c r="I1040" s="34" t="s">
        <v>933</v>
      </c>
      <c r="J1040" s="34" t="s">
        <v>6214</v>
      </c>
      <c r="K1040" s="34" t="s">
        <v>822</v>
      </c>
      <c r="L1040" s="34" t="s">
        <v>765</v>
      </c>
      <c r="M1040" s="30">
        <v>335</v>
      </c>
      <c r="N1040" s="283" t="s">
        <v>721</v>
      </c>
    </row>
    <row r="1041" spans="1:14" s="32" customFormat="1" ht="14.25" customHeight="1">
      <c r="A1041" s="3" t="s">
        <v>641</v>
      </c>
      <c r="B1041" s="36" t="s">
        <v>3501</v>
      </c>
      <c r="C1041" s="214">
        <v>4058075423725</v>
      </c>
      <c r="D1041" s="214"/>
      <c r="E1041" s="215"/>
      <c r="F1041" s="216"/>
      <c r="G1041" s="66" t="str">
        <f>HYPERLINK("https://ledvance.com/pt/product-datasheet/8915/132148","Ficha de Produto")</f>
        <v>Ficha de Produto</v>
      </c>
      <c r="H1041" s="34">
        <v>1</v>
      </c>
      <c r="I1041" s="34" t="s">
        <v>934</v>
      </c>
      <c r="J1041" s="34" t="s">
        <v>6215</v>
      </c>
      <c r="K1041" s="34" t="s">
        <v>822</v>
      </c>
      <c r="L1041" s="34" t="s">
        <v>765</v>
      </c>
      <c r="M1041" s="30">
        <v>402.5</v>
      </c>
      <c r="N1041" s="283" t="s">
        <v>721</v>
      </c>
    </row>
    <row r="1042" spans="1:14" s="32" customFormat="1" ht="14.25" customHeight="1">
      <c r="A1042" s="3" t="s">
        <v>641</v>
      </c>
      <c r="B1042" s="36" t="s">
        <v>3502</v>
      </c>
      <c r="C1042" s="214">
        <v>4058075423732</v>
      </c>
      <c r="D1042" s="214"/>
      <c r="E1042" s="215"/>
      <c r="F1042" s="216"/>
      <c r="G1042" s="66" t="str">
        <f>HYPERLINK("https://ledvance.com/pt/product-datasheet/8915/132150","Ficha de Produto")</f>
        <v>Ficha de Produto</v>
      </c>
      <c r="H1042" s="34">
        <v>1</v>
      </c>
      <c r="I1042" s="34" t="s">
        <v>901</v>
      </c>
      <c r="J1042" s="34" t="s">
        <v>6215</v>
      </c>
      <c r="K1042" s="34" t="s">
        <v>822</v>
      </c>
      <c r="L1042" s="34" t="s">
        <v>765</v>
      </c>
      <c r="M1042" s="30">
        <v>402.5</v>
      </c>
      <c r="N1042" s="283" t="s">
        <v>721</v>
      </c>
    </row>
    <row r="1043" spans="1:14" s="32" customFormat="1" ht="14.25" customHeight="1">
      <c r="A1043" s="3" t="s">
        <v>641</v>
      </c>
      <c r="B1043" s="36" t="s">
        <v>3503</v>
      </c>
      <c r="C1043" s="214">
        <v>4058075423749</v>
      </c>
      <c r="D1043" s="214"/>
      <c r="E1043" s="215"/>
      <c r="F1043" s="216"/>
      <c r="G1043" s="66" t="str">
        <f>HYPERLINK("https://ledvance.com/pt/product-datasheet/8915/132152","Ficha de Produto")</f>
        <v>Ficha de Produto</v>
      </c>
      <c r="H1043" s="34">
        <v>1</v>
      </c>
      <c r="I1043" s="34" t="s">
        <v>901</v>
      </c>
      <c r="J1043" s="34" t="s">
        <v>6215</v>
      </c>
      <c r="K1043" s="34" t="s">
        <v>822</v>
      </c>
      <c r="L1043" s="34" t="s">
        <v>765</v>
      </c>
      <c r="M1043" s="30">
        <v>402.5</v>
      </c>
      <c r="N1043" s="283" t="s">
        <v>721</v>
      </c>
    </row>
    <row r="1044" spans="1:14" s="32" customFormat="1" ht="14.25" customHeight="1">
      <c r="A1044" s="3" t="s">
        <v>641</v>
      </c>
      <c r="B1044" s="36" t="s">
        <v>3504</v>
      </c>
      <c r="C1044" s="214">
        <v>4058075423756</v>
      </c>
      <c r="D1044" s="214"/>
      <c r="E1044" s="215"/>
      <c r="F1044" s="216"/>
      <c r="G1044" s="66" t="str">
        <f>HYPERLINK("https://ledvance.com/pt/product-datasheet/8916/132154","Ficha de Produto")</f>
        <v>Ficha de Produto</v>
      </c>
      <c r="H1044" s="34">
        <v>1</v>
      </c>
      <c r="I1044" s="34" t="s">
        <v>894</v>
      </c>
      <c r="J1044" s="34" t="s">
        <v>6211</v>
      </c>
      <c r="K1044" s="34" t="s">
        <v>822</v>
      </c>
      <c r="L1044" s="34" t="s">
        <v>765</v>
      </c>
      <c r="M1044" s="30">
        <v>473.5</v>
      </c>
      <c r="N1044" s="283" t="s">
        <v>721</v>
      </c>
    </row>
    <row r="1045" spans="1:14" s="32" customFormat="1" ht="14.25" customHeight="1">
      <c r="A1045" s="3" t="s">
        <v>641</v>
      </c>
      <c r="B1045" s="36" t="s">
        <v>3505</v>
      </c>
      <c r="C1045" s="214">
        <v>4058075423763</v>
      </c>
      <c r="D1045" s="214"/>
      <c r="E1045" s="215"/>
      <c r="F1045" s="216"/>
      <c r="G1045" s="66" t="str">
        <f>HYPERLINK("https://ledvance.com/pt/product-datasheet/8916/132156","Ficha de Produto")</f>
        <v>Ficha de Produto</v>
      </c>
      <c r="H1045" s="34">
        <v>1</v>
      </c>
      <c r="I1045" s="34" t="s">
        <v>935</v>
      </c>
      <c r="J1045" s="34" t="s">
        <v>6211</v>
      </c>
      <c r="K1045" s="34" t="s">
        <v>822</v>
      </c>
      <c r="L1045" s="34" t="s">
        <v>765</v>
      </c>
      <c r="M1045" s="30">
        <v>473.5</v>
      </c>
      <c r="N1045" s="283" t="s">
        <v>721</v>
      </c>
    </row>
    <row r="1046" spans="1:14" s="32" customFormat="1" ht="14.25" customHeight="1">
      <c r="A1046" s="3" t="s">
        <v>641</v>
      </c>
      <c r="B1046" s="36" t="s">
        <v>3506</v>
      </c>
      <c r="C1046" s="214">
        <v>4058075423770</v>
      </c>
      <c r="D1046" s="214"/>
      <c r="E1046" s="215"/>
      <c r="F1046" s="216"/>
      <c r="G1046" s="66" t="str">
        <f>HYPERLINK("https://ledvance.com/pt/product-datasheet/8916/132158","Ficha de Produto")</f>
        <v>Ficha de Produto</v>
      </c>
      <c r="H1046" s="34">
        <v>1</v>
      </c>
      <c r="I1046" s="34" t="s">
        <v>935</v>
      </c>
      <c r="J1046" s="34" t="s">
        <v>6211</v>
      </c>
      <c r="K1046" s="34" t="s">
        <v>822</v>
      </c>
      <c r="L1046" s="34" t="s">
        <v>765</v>
      </c>
      <c r="M1046" s="30">
        <v>473.5</v>
      </c>
      <c r="N1046" s="283" t="s">
        <v>721</v>
      </c>
    </row>
    <row r="1047" spans="1:14" s="32" customFormat="1" ht="14.25" customHeight="1">
      <c r="A1047" s="8" t="s">
        <v>641</v>
      </c>
      <c r="B1047" s="227" t="s">
        <v>3433</v>
      </c>
      <c r="C1047" s="7"/>
      <c r="D1047" s="7"/>
      <c r="E1047" s="7"/>
      <c r="F1047" s="7"/>
      <c r="G1047" s="68"/>
      <c r="H1047" s="7"/>
      <c r="I1047" s="7"/>
      <c r="J1047" s="7"/>
      <c r="K1047" s="7"/>
      <c r="L1047" s="7"/>
      <c r="M1047" s="230"/>
      <c r="N1047" s="284"/>
    </row>
    <row r="1048" spans="1:14" s="32" customFormat="1" ht="14.25" customHeight="1">
      <c r="A1048" s="3" t="s">
        <v>641</v>
      </c>
      <c r="B1048" s="36" t="s">
        <v>3507</v>
      </c>
      <c r="C1048" s="214">
        <v>4058075460836</v>
      </c>
      <c r="D1048" s="214"/>
      <c r="E1048" s="215"/>
      <c r="F1048" s="216"/>
      <c r="G1048" s="66" t="str">
        <f>HYPERLINK("https://ledvance.com/pt/product-datasheet/8918/129826","Ficha de Produto")</f>
        <v>Ficha de Produto</v>
      </c>
      <c r="H1048" s="34">
        <v>12</v>
      </c>
      <c r="I1048" s="34" t="s">
        <v>929</v>
      </c>
      <c r="J1048" s="34" t="s">
        <v>6139</v>
      </c>
      <c r="K1048" s="34" t="s">
        <v>822</v>
      </c>
      <c r="L1048" s="34" t="s">
        <v>765</v>
      </c>
      <c r="M1048" s="30">
        <v>46.8</v>
      </c>
      <c r="N1048" s="283" t="s">
        <v>721</v>
      </c>
    </row>
    <row r="1049" spans="1:14" s="32" customFormat="1" ht="14.25" customHeight="1">
      <c r="A1049" s="3" t="s">
        <v>641</v>
      </c>
      <c r="B1049" s="36" t="s">
        <v>3508</v>
      </c>
      <c r="C1049" s="214">
        <v>4058075460850</v>
      </c>
      <c r="D1049" s="214"/>
      <c r="E1049" s="215"/>
      <c r="F1049" s="216"/>
      <c r="G1049" s="66" t="str">
        <f>HYPERLINK("https://ledvance.com/pt/product-datasheet/8918/129829","Ficha de Produto")</f>
        <v>Ficha de Produto</v>
      </c>
      <c r="H1049" s="34">
        <v>12</v>
      </c>
      <c r="I1049" s="34" t="s">
        <v>929</v>
      </c>
      <c r="J1049" s="34" t="s">
        <v>6139</v>
      </c>
      <c r="K1049" s="34" t="s">
        <v>822</v>
      </c>
      <c r="L1049" s="34" t="s">
        <v>765</v>
      </c>
      <c r="M1049" s="30">
        <v>46.8</v>
      </c>
      <c r="N1049" s="283" t="s">
        <v>721</v>
      </c>
    </row>
    <row r="1050" spans="1:14" s="32" customFormat="1" ht="14.25" customHeight="1">
      <c r="A1050" s="3" t="s">
        <v>641</v>
      </c>
      <c r="B1050" s="36" t="s">
        <v>3509</v>
      </c>
      <c r="C1050" s="214">
        <v>4058075460874</v>
      </c>
      <c r="D1050" s="214"/>
      <c r="E1050" s="215"/>
      <c r="F1050" s="216"/>
      <c r="G1050" s="66" t="str">
        <f>HYPERLINK("https://ledvance.com/pt/product-datasheet/8918/129832","Ficha de Produto")</f>
        <v>Ficha de Produto</v>
      </c>
      <c r="H1050" s="34">
        <v>12</v>
      </c>
      <c r="I1050" s="34" t="s">
        <v>857</v>
      </c>
      <c r="J1050" s="34" t="s">
        <v>6139</v>
      </c>
      <c r="K1050" s="34" t="s">
        <v>822</v>
      </c>
      <c r="L1050" s="34" t="s">
        <v>765</v>
      </c>
      <c r="M1050" s="30">
        <v>46.8</v>
      </c>
      <c r="N1050" s="283" t="s">
        <v>721</v>
      </c>
    </row>
    <row r="1051" spans="1:14" s="32" customFormat="1" ht="14.25" customHeight="1">
      <c r="A1051" s="3" t="s">
        <v>641</v>
      </c>
      <c r="B1051" s="36" t="s">
        <v>3510</v>
      </c>
      <c r="C1051" s="214">
        <v>4058075460898</v>
      </c>
      <c r="D1051" s="214"/>
      <c r="E1051" s="215"/>
      <c r="F1051" s="216"/>
      <c r="G1051" s="66" t="str">
        <f>HYPERLINK("https://ledvance.com/pt/product-datasheet/8918/129835","Ficha de Produto")</f>
        <v>Ficha de Produto</v>
      </c>
      <c r="H1051" s="34">
        <v>12</v>
      </c>
      <c r="I1051" s="34" t="s">
        <v>857</v>
      </c>
      <c r="J1051" s="34" t="s">
        <v>6139</v>
      </c>
      <c r="K1051" s="34" t="s">
        <v>822</v>
      </c>
      <c r="L1051" s="34" t="s">
        <v>765</v>
      </c>
      <c r="M1051" s="30">
        <v>46.8</v>
      </c>
      <c r="N1051" s="283" t="s">
        <v>721</v>
      </c>
    </row>
    <row r="1052" spans="1:14" s="32" customFormat="1" ht="14.25" customHeight="1">
      <c r="A1052" s="3" t="s">
        <v>641</v>
      </c>
      <c r="B1052" s="36" t="s">
        <v>3511</v>
      </c>
      <c r="C1052" s="214">
        <v>4058075460911</v>
      </c>
      <c r="D1052" s="214"/>
      <c r="E1052" s="215"/>
      <c r="F1052" s="216"/>
      <c r="G1052" s="66" t="str">
        <f>HYPERLINK("https://ledvance.com/pt/product-datasheet/8919/132160","Ficha de Produto")</f>
        <v>Ficha de Produto</v>
      </c>
      <c r="H1052" s="34">
        <v>12</v>
      </c>
      <c r="I1052" s="34" t="s">
        <v>819</v>
      </c>
      <c r="J1052" s="34" t="s">
        <v>6116</v>
      </c>
      <c r="K1052" s="34" t="s">
        <v>822</v>
      </c>
      <c r="L1052" s="34" t="s">
        <v>765</v>
      </c>
      <c r="M1052" s="30">
        <v>56.1</v>
      </c>
      <c r="N1052" s="283" t="s">
        <v>721</v>
      </c>
    </row>
    <row r="1053" spans="1:14" s="32" customFormat="1" ht="14.25" customHeight="1">
      <c r="A1053" s="3" t="s">
        <v>641</v>
      </c>
      <c r="B1053" s="36" t="s">
        <v>3512</v>
      </c>
      <c r="C1053" s="214">
        <v>4058075460935</v>
      </c>
      <c r="D1053" s="214"/>
      <c r="E1053" s="215"/>
      <c r="F1053" s="216"/>
      <c r="G1053" s="66" t="str">
        <f>HYPERLINK("https://ledvance.com/pt/product-datasheet/8919/132163","Ficha de Produto")</f>
        <v>Ficha de Produto</v>
      </c>
      <c r="H1053" s="34">
        <v>12</v>
      </c>
      <c r="I1053" s="34" t="s">
        <v>819</v>
      </c>
      <c r="J1053" s="34" t="s">
        <v>6116</v>
      </c>
      <c r="K1053" s="34" t="s">
        <v>822</v>
      </c>
      <c r="L1053" s="34" t="s">
        <v>765</v>
      </c>
      <c r="M1053" s="30">
        <v>56.1</v>
      </c>
      <c r="N1053" s="283" t="s">
        <v>721</v>
      </c>
    </row>
    <row r="1054" spans="1:14" s="32" customFormat="1" ht="14.25" customHeight="1">
      <c r="A1054" s="3" t="s">
        <v>641</v>
      </c>
      <c r="B1054" s="36" t="s">
        <v>3513</v>
      </c>
      <c r="C1054" s="214">
        <v>4058075460959</v>
      </c>
      <c r="D1054" s="214"/>
      <c r="E1054" s="215"/>
      <c r="F1054" s="216"/>
      <c r="G1054" s="66" t="str">
        <f>HYPERLINK("https://ledvance.com/pt/product-datasheet/8919/132166","Ficha de Produto")</f>
        <v>Ficha de Produto</v>
      </c>
      <c r="H1054" s="34">
        <v>12</v>
      </c>
      <c r="I1054" s="34" t="s">
        <v>767</v>
      </c>
      <c r="J1054" s="34" t="s">
        <v>6116</v>
      </c>
      <c r="K1054" s="34" t="s">
        <v>822</v>
      </c>
      <c r="L1054" s="34" t="s">
        <v>765</v>
      </c>
      <c r="M1054" s="30">
        <v>56.1</v>
      </c>
      <c r="N1054" s="283" t="s">
        <v>721</v>
      </c>
    </row>
    <row r="1055" spans="1:14" s="32" customFormat="1" ht="14.25" customHeight="1">
      <c r="A1055" s="3" t="s">
        <v>641</v>
      </c>
      <c r="B1055" s="36" t="s">
        <v>3514</v>
      </c>
      <c r="C1055" s="214">
        <v>4058075460973</v>
      </c>
      <c r="D1055" s="214"/>
      <c r="E1055" s="215"/>
      <c r="F1055" s="216"/>
      <c r="G1055" s="66" t="str">
        <f>HYPERLINK("https://ledvance.com/pt/product-datasheet/8919/132169","Ficha de Produto")</f>
        <v>Ficha de Produto</v>
      </c>
      <c r="H1055" s="34">
        <v>12</v>
      </c>
      <c r="I1055" s="34" t="s">
        <v>767</v>
      </c>
      <c r="J1055" s="34" t="s">
        <v>6116</v>
      </c>
      <c r="K1055" s="34" t="s">
        <v>822</v>
      </c>
      <c r="L1055" s="34" t="s">
        <v>765</v>
      </c>
      <c r="M1055" s="30">
        <v>56.1</v>
      </c>
      <c r="N1055" s="283" t="s">
        <v>721</v>
      </c>
    </row>
    <row r="1056" spans="1:14" s="32" customFormat="1" ht="14.25" customHeight="1">
      <c r="A1056" s="3" t="s">
        <v>641</v>
      </c>
      <c r="B1056" s="36" t="s">
        <v>3515</v>
      </c>
      <c r="C1056" s="214">
        <v>4058075460997</v>
      </c>
      <c r="D1056" s="214"/>
      <c r="E1056" s="215"/>
      <c r="F1056" s="216"/>
      <c r="G1056" s="66" t="str">
        <f>HYPERLINK("https://ledvance.com/pt/product-datasheet/8920/132172","Ficha de Produto")</f>
        <v>Ficha de Produto</v>
      </c>
      <c r="H1056" s="34">
        <v>8</v>
      </c>
      <c r="I1056" s="34" t="s">
        <v>850</v>
      </c>
      <c r="J1056" s="34" t="s">
        <v>6171</v>
      </c>
      <c r="K1056" s="34" t="s">
        <v>822</v>
      </c>
      <c r="L1056" s="34" t="s">
        <v>765</v>
      </c>
      <c r="M1056" s="30">
        <v>106.3</v>
      </c>
      <c r="N1056" s="283" t="s">
        <v>721</v>
      </c>
    </row>
    <row r="1057" spans="1:14" s="32" customFormat="1" ht="14.25" customHeight="1">
      <c r="A1057" s="3" t="s">
        <v>641</v>
      </c>
      <c r="B1057" s="36" t="s">
        <v>3516</v>
      </c>
      <c r="C1057" s="214">
        <v>4058075461017</v>
      </c>
      <c r="D1057" s="214"/>
      <c r="E1057" s="215"/>
      <c r="F1057" s="216"/>
      <c r="G1057" s="66" t="str">
        <f>HYPERLINK("https://ledvance.com/pt/product-datasheet/8920/132175","Ficha de Produto")</f>
        <v>Ficha de Produto</v>
      </c>
      <c r="H1057" s="34">
        <v>8</v>
      </c>
      <c r="I1057" s="34" t="s">
        <v>850</v>
      </c>
      <c r="J1057" s="34" t="s">
        <v>6171</v>
      </c>
      <c r="K1057" s="34" t="s">
        <v>822</v>
      </c>
      <c r="L1057" s="34" t="s">
        <v>765</v>
      </c>
      <c r="M1057" s="30">
        <v>106.3</v>
      </c>
      <c r="N1057" s="283" t="s">
        <v>721</v>
      </c>
    </row>
    <row r="1058" spans="1:14" s="32" customFormat="1" ht="14.25" customHeight="1">
      <c r="A1058" s="3" t="s">
        <v>641</v>
      </c>
      <c r="B1058" s="36" t="s">
        <v>3517</v>
      </c>
      <c r="C1058" s="214">
        <v>4058075461031</v>
      </c>
      <c r="D1058" s="214"/>
      <c r="E1058" s="215"/>
      <c r="F1058" s="216"/>
      <c r="G1058" s="66" t="str">
        <f>HYPERLINK("https://ledvance.com/pt/product-datasheet/8920/132178","Ficha de Produto")</f>
        <v>Ficha de Produto</v>
      </c>
      <c r="H1058" s="34">
        <v>8</v>
      </c>
      <c r="I1058" s="34" t="s">
        <v>889</v>
      </c>
      <c r="J1058" s="34" t="s">
        <v>6171</v>
      </c>
      <c r="K1058" s="34" t="s">
        <v>822</v>
      </c>
      <c r="L1058" s="34" t="s">
        <v>765</v>
      </c>
      <c r="M1058" s="30">
        <v>106.3</v>
      </c>
      <c r="N1058" s="283" t="s">
        <v>721</v>
      </c>
    </row>
    <row r="1059" spans="1:14" s="32" customFormat="1" ht="14.25" customHeight="1">
      <c r="A1059" s="3" t="s">
        <v>641</v>
      </c>
      <c r="B1059" s="36" t="s">
        <v>3518</v>
      </c>
      <c r="C1059" s="214">
        <v>4058075461055</v>
      </c>
      <c r="D1059" s="214"/>
      <c r="E1059" s="215"/>
      <c r="F1059" s="216"/>
      <c r="G1059" s="66" t="str">
        <f>HYPERLINK("https://ledvance.com/pt/product-datasheet/8920/132181","Ficha de Produto")</f>
        <v>Ficha de Produto</v>
      </c>
      <c r="H1059" s="34">
        <v>8</v>
      </c>
      <c r="I1059" s="34" t="s">
        <v>889</v>
      </c>
      <c r="J1059" s="34" t="s">
        <v>6171</v>
      </c>
      <c r="K1059" s="34" t="s">
        <v>822</v>
      </c>
      <c r="L1059" s="34" t="s">
        <v>765</v>
      </c>
      <c r="M1059" s="30">
        <v>106.3</v>
      </c>
      <c r="N1059" s="283" t="s">
        <v>721</v>
      </c>
    </row>
    <row r="1060" spans="1:14" s="32" customFormat="1" ht="14.25" customHeight="1">
      <c r="A1060" s="8" t="s">
        <v>641</v>
      </c>
      <c r="B1060" s="227" t="s">
        <v>3434</v>
      </c>
      <c r="C1060" s="7"/>
      <c r="D1060" s="7"/>
      <c r="E1060" s="7"/>
      <c r="F1060" s="7"/>
      <c r="G1060" s="68"/>
      <c r="H1060" s="7"/>
      <c r="I1060" s="7"/>
      <c r="J1060" s="7"/>
      <c r="K1060" s="7"/>
      <c r="L1060" s="7"/>
      <c r="M1060" s="230"/>
      <c r="N1060" s="284"/>
    </row>
    <row r="1061" spans="1:14" s="32" customFormat="1" ht="14.25" customHeight="1">
      <c r="A1061" s="3" t="s">
        <v>641</v>
      </c>
      <c r="B1061" s="36" t="s">
        <v>3519</v>
      </c>
      <c r="C1061" s="214">
        <v>4058075461093</v>
      </c>
      <c r="D1061" s="214"/>
      <c r="E1061" s="215"/>
      <c r="F1061" s="216"/>
      <c r="G1061" s="66" t="str">
        <f>HYPERLINK("https://ledvance.com/pt/product-datasheet/8922/132187","Ficha de Produto")</f>
        <v>Ficha de Produto</v>
      </c>
      <c r="H1061" s="34">
        <v>4</v>
      </c>
      <c r="I1061" s="34" t="s">
        <v>864</v>
      </c>
      <c r="J1061" s="34" t="s">
        <v>6213</v>
      </c>
      <c r="K1061" s="34" t="s">
        <v>822</v>
      </c>
      <c r="L1061" s="34" t="s">
        <v>765</v>
      </c>
      <c r="M1061" s="30">
        <v>138.9</v>
      </c>
      <c r="N1061" s="283" t="s">
        <v>721</v>
      </c>
    </row>
    <row r="1062" spans="1:14" s="32" customFormat="1" ht="14.25" customHeight="1">
      <c r="A1062" s="3" t="s">
        <v>641</v>
      </c>
      <c r="B1062" s="36" t="s">
        <v>3520</v>
      </c>
      <c r="C1062" s="214">
        <v>4058075461130</v>
      </c>
      <c r="D1062" s="214"/>
      <c r="E1062" s="215"/>
      <c r="F1062" s="216"/>
      <c r="G1062" s="66" t="str">
        <f>HYPERLINK("https://ledvance.com/pt/product-datasheet/8923/132193","Ficha de Produto")</f>
        <v>Ficha de Produto</v>
      </c>
      <c r="H1062" s="34">
        <v>2</v>
      </c>
      <c r="I1062" s="34" t="s">
        <v>897</v>
      </c>
      <c r="J1062" s="34" t="s">
        <v>6197</v>
      </c>
      <c r="K1062" s="34" t="s">
        <v>822</v>
      </c>
      <c r="L1062" s="34" t="s">
        <v>765</v>
      </c>
      <c r="M1062" s="30">
        <v>216.9</v>
      </c>
      <c r="N1062" s="283" t="s">
        <v>721</v>
      </c>
    </row>
    <row r="1063" spans="1:14" s="32" customFormat="1" ht="14.25" customHeight="1">
      <c r="A1063" s="3" t="s">
        <v>641</v>
      </c>
      <c r="B1063" s="36" t="s">
        <v>3521</v>
      </c>
      <c r="C1063" s="214">
        <v>4058075461161</v>
      </c>
      <c r="D1063" s="214"/>
      <c r="E1063" s="215"/>
      <c r="F1063" s="216"/>
      <c r="G1063" s="66" t="str">
        <f>HYPERLINK("https://ledvance.com/pt/product-datasheet/8924/132198","Ficha de Produto")</f>
        <v>Ficha de Produto</v>
      </c>
      <c r="H1063" s="34">
        <v>1</v>
      </c>
      <c r="I1063" s="34" t="s">
        <v>933</v>
      </c>
      <c r="J1063" s="34" t="s">
        <v>6214</v>
      </c>
      <c r="K1063" s="34" t="s">
        <v>822</v>
      </c>
      <c r="L1063" s="34" t="s">
        <v>765</v>
      </c>
      <c r="M1063" s="30">
        <v>299</v>
      </c>
      <c r="N1063" s="283" t="s">
        <v>721</v>
      </c>
    </row>
    <row r="1064" spans="1:14" s="32" customFormat="1" ht="14.25" customHeight="1">
      <c r="A1064" s="3" t="s">
        <v>641</v>
      </c>
      <c r="B1064" s="36" t="s">
        <v>3522</v>
      </c>
      <c r="C1064" s="214">
        <v>4058075461185</v>
      </c>
      <c r="D1064" s="214"/>
      <c r="E1064" s="215"/>
      <c r="F1064" s="216"/>
      <c r="G1064" s="66" t="str">
        <f>HYPERLINK("https://ledvance.com/pt/product-datasheet/8925/132202","Ficha de Produto")</f>
        <v>Ficha de Produto</v>
      </c>
      <c r="H1064" s="34">
        <v>1</v>
      </c>
      <c r="I1064" s="34" t="s">
        <v>901</v>
      </c>
      <c r="J1064" s="34" t="s">
        <v>6215</v>
      </c>
      <c r="K1064" s="34" t="s">
        <v>822</v>
      </c>
      <c r="L1064" s="34" t="s">
        <v>765</v>
      </c>
      <c r="M1064" s="30">
        <v>340.8</v>
      </c>
      <c r="N1064" s="283" t="s">
        <v>721</v>
      </c>
    </row>
    <row r="1065" spans="1:14" s="32" customFormat="1" ht="14.25" customHeight="1">
      <c r="A1065" s="3" t="s">
        <v>641</v>
      </c>
      <c r="B1065" s="36" t="s">
        <v>3523</v>
      </c>
      <c r="C1065" s="214">
        <v>4058075461208</v>
      </c>
      <c r="D1065" s="214"/>
      <c r="E1065" s="215"/>
      <c r="F1065" s="216"/>
      <c r="G1065" s="66" t="str">
        <f>HYPERLINK("https://ledvance.com/pt/product-datasheet/8926/132206","Ficha de Produto")</f>
        <v>Ficha de Produto</v>
      </c>
      <c r="H1065" s="34">
        <v>1</v>
      </c>
      <c r="I1065" s="34" t="s">
        <v>935</v>
      </c>
      <c r="J1065" s="34" t="s">
        <v>6211</v>
      </c>
      <c r="K1065" s="34" t="s">
        <v>822</v>
      </c>
      <c r="L1065" s="34" t="s">
        <v>765</v>
      </c>
      <c r="M1065" s="30">
        <v>407.7</v>
      </c>
      <c r="N1065" s="283" t="s">
        <v>721</v>
      </c>
    </row>
    <row r="1066" spans="1:14" s="32" customFormat="1" ht="14.25" customHeight="1">
      <c r="A1066" s="8" t="s">
        <v>641</v>
      </c>
      <c r="B1066" s="227" t="s">
        <v>3435</v>
      </c>
      <c r="C1066" s="7"/>
      <c r="D1066" s="7"/>
      <c r="E1066" s="7"/>
      <c r="F1066" s="7"/>
      <c r="G1066" s="68"/>
      <c r="H1066" s="7"/>
      <c r="I1066" s="7"/>
      <c r="J1066" s="7"/>
      <c r="K1066" s="7"/>
      <c r="L1066" s="7"/>
      <c r="M1066" s="230"/>
      <c r="N1066" s="284"/>
    </row>
    <row r="1067" spans="1:14" s="32" customFormat="1" ht="14.25" customHeight="1">
      <c r="A1067" s="3" t="s">
        <v>641</v>
      </c>
      <c r="B1067" s="36" t="s">
        <v>3524</v>
      </c>
      <c r="C1067" s="214">
        <v>4058075574557</v>
      </c>
      <c r="D1067" s="214"/>
      <c r="E1067" s="215"/>
      <c r="F1067" s="216"/>
      <c r="G1067" s="66" t="str">
        <f>HYPERLINK("https://ledvance.com/pt/product-datasheet/156720/101446","Ficha de Produto")</f>
        <v>Ficha de Produto</v>
      </c>
      <c r="H1067" s="34">
        <v>8</v>
      </c>
      <c r="I1067" s="34" t="s">
        <v>1042</v>
      </c>
      <c r="J1067" s="34" t="s">
        <v>6139</v>
      </c>
      <c r="K1067" s="34" t="s">
        <v>822</v>
      </c>
      <c r="L1067" s="34" t="s">
        <v>793</v>
      </c>
      <c r="M1067" s="30">
        <v>18.100000000000001</v>
      </c>
      <c r="N1067" s="283" t="s">
        <v>721</v>
      </c>
    </row>
    <row r="1068" spans="1:14" s="32" customFormat="1" ht="14.25" customHeight="1">
      <c r="A1068" s="3" t="s">
        <v>641</v>
      </c>
      <c r="B1068" s="36" t="s">
        <v>3525</v>
      </c>
      <c r="C1068" s="214">
        <v>4058075574571</v>
      </c>
      <c r="D1068" s="214"/>
      <c r="E1068" s="215"/>
      <c r="F1068" s="216"/>
      <c r="G1068" s="66" t="str">
        <f>HYPERLINK("https://ledvance.com/pt/product-datasheet/156720/101449","Ficha de Produto")</f>
        <v>Ficha de Produto</v>
      </c>
      <c r="H1068" s="34">
        <v>8</v>
      </c>
      <c r="I1068" s="34" t="s">
        <v>1042</v>
      </c>
      <c r="J1068" s="34" t="s">
        <v>6139</v>
      </c>
      <c r="K1068" s="34" t="s">
        <v>822</v>
      </c>
      <c r="L1068" s="34" t="s">
        <v>793</v>
      </c>
      <c r="M1068" s="30">
        <v>18.100000000000001</v>
      </c>
      <c r="N1068" s="283" t="s">
        <v>721</v>
      </c>
    </row>
    <row r="1069" spans="1:14" s="32" customFormat="1" ht="14.25" customHeight="1">
      <c r="A1069" s="3" t="s">
        <v>641</v>
      </c>
      <c r="B1069" s="36" t="s">
        <v>3526</v>
      </c>
      <c r="C1069" s="214">
        <v>4058075574595</v>
      </c>
      <c r="D1069" s="214"/>
      <c r="E1069" s="215"/>
      <c r="F1069" s="216"/>
      <c r="G1069" s="66" t="str">
        <f>HYPERLINK("https://ledvance.com/pt/product-datasheet/156720/101452","Ficha de Produto")</f>
        <v>Ficha de Produto</v>
      </c>
      <c r="H1069" s="34">
        <v>8</v>
      </c>
      <c r="I1069" s="34" t="s">
        <v>858</v>
      </c>
      <c r="J1069" s="34" t="s">
        <v>6139</v>
      </c>
      <c r="K1069" s="34" t="s">
        <v>822</v>
      </c>
      <c r="L1069" s="34" t="s">
        <v>793</v>
      </c>
      <c r="M1069" s="30">
        <v>18.100000000000001</v>
      </c>
      <c r="N1069" s="283" t="s">
        <v>721</v>
      </c>
    </row>
    <row r="1070" spans="1:14" s="32" customFormat="1" ht="14.25" customHeight="1">
      <c r="A1070" s="3" t="s">
        <v>641</v>
      </c>
      <c r="B1070" s="36" t="s">
        <v>3527</v>
      </c>
      <c r="C1070" s="214">
        <v>4058075574618</v>
      </c>
      <c r="D1070" s="214"/>
      <c r="E1070" s="215"/>
      <c r="F1070" s="216"/>
      <c r="G1070" s="66" t="str">
        <f>HYPERLINK("https://ledvance.com/pt/product-datasheet/156720/101455","Ficha de Produto")</f>
        <v>Ficha de Produto</v>
      </c>
      <c r="H1070" s="34">
        <v>8</v>
      </c>
      <c r="I1070" s="34" t="s">
        <v>858</v>
      </c>
      <c r="J1070" s="34" t="s">
        <v>6139</v>
      </c>
      <c r="K1070" s="34" t="s">
        <v>822</v>
      </c>
      <c r="L1070" s="34" t="s">
        <v>793</v>
      </c>
      <c r="M1070" s="30">
        <v>18.100000000000001</v>
      </c>
      <c r="N1070" s="283" t="s">
        <v>721</v>
      </c>
    </row>
    <row r="1071" spans="1:14" s="32" customFormat="1" ht="14.25" customHeight="1">
      <c r="A1071" s="3" t="s">
        <v>641</v>
      </c>
      <c r="B1071" s="36" t="s">
        <v>3528</v>
      </c>
      <c r="C1071" s="214">
        <v>4058075574656</v>
      </c>
      <c r="D1071" s="214"/>
      <c r="E1071" s="215"/>
      <c r="F1071" s="216"/>
      <c r="G1071" s="66" t="str">
        <f>HYPERLINK("https://ledvance.com/pt/product-datasheet/156720/101458","Ficha de Produto")</f>
        <v>Ficha de Produto</v>
      </c>
      <c r="H1071" s="34">
        <v>8</v>
      </c>
      <c r="I1071" s="34" t="s">
        <v>858</v>
      </c>
      <c r="J1071" s="34" t="s">
        <v>6139</v>
      </c>
      <c r="K1071" s="34" t="s">
        <v>822</v>
      </c>
      <c r="L1071" s="34" t="s">
        <v>793</v>
      </c>
      <c r="M1071" s="30">
        <v>18.100000000000001</v>
      </c>
      <c r="N1071" s="283" t="s">
        <v>721</v>
      </c>
    </row>
    <row r="1072" spans="1:14" s="32" customFormat="1" ht="14.25" customHeight="1">
      <c r="A1072" s="3" t="s">
        <v>641</v>
      </c>
      <c r="B1072" s="36" t="s">
        <v>3529</v>
      </c>
      <c r="C1072" s="214">
        <v>4058075574694</v>
      </c>
      <c r="D1072" s="214"/>
      <c r="E1072" s="215"/>
      <c r="F1072" s="216"/>
      <c r="G1072" s="66" t="str">
        <f>HYPERLINK("https://ledvance.com/pt/product-datasheet/156720/101461","Ficha de Produto")</f>
        <v>Ficha de Produto</v>
      </c>
      <c r="H1072" s="34">
        <v>8</v>
      </c>
      <c r="I1072" s="34" t="s">
        <v>858</v>
      </c>
      <c r="J1072" s="34" t="s">
        <v>6139</v>
      </c>
      <c r="K1072" s="34" t="s">
        <v>822</v>
      </c>
      <c r="L1072" s="34" t="s">
        <v>793</v>
      </c>
      <c r="M1072" s="30">
        <v>18.100000000000001</v>
      </c>
      <c r="N1072" s="283" t="s">
        <v>721</v>
      </c>
    </row>
    <row r="1073" spans="1:14" s="32" customFormat="1" ht="14.25" customHeight="1">
      <c r="A1073" s="3" t="s">
        <v>641</v>
      </c>
      <c r="B1073" s="36" t="s">
        <v>3530</v>
      </c>
      <c r="C1073" s="214">
        <v>4058075574731</v>
      </c>
      <c r="D1073" s="214"/>
      <c r="E1073" s="215"/>
      <c r="F1073" s="216"/>
      <c r="G1073" s="66" t="str">
        <f>HYPERLINK("https://ledvance.com/pt/product-datasheet/156721/101464","Ficha de Produto")</f>
        <v>Ficha de Produto</v>
      </c>
      <c r="H1073" s="34">
        <v>8</v>
      </c>
      <c r="I1073" s="34" t="s">
        <v>820</v>
      </c>
      <c r="J1073" s="34" t="s">
        <v>6116</v>
      </c>
      <c r="K1073" s="34" t="s">
        <v>822</v>
      </c>
      <c r="L1073" s="34" t="s">
        <v>793</v>
      </c>
      <c r="M1073" s="30">
        <v>22.6</v>
      </c>
      <c r="N1073" s="283" t="s">
        <v>721</v>
      </c>
    </row>
    <row r="1074" spans="1:14" s="32" customFormat="1" ht="14.25" customHeight="1">
      <c r="A1074" s="3" t="s">
        <v>641</v>
      </c>
      <c r="B1074" s="36" t="s">
        <v>3531</v>
      </c>
      <c r="C1074" s="214">
        <v>4058075574755</v>
      </c>
      <c r="D1074" s="214"/>
      <c r="E1074" s="215"/>
      <c r="F1074" s="216"/>
      <c r="G1074" s="66" t="str">
        <f>HYPERLINK("https://ledvance.com/pt/product-datasheet/156721/101467","Ficha de Produto")</f>
        <v>Ficha de Produto</v>
      </c>
      <c r="H1074" s="34">
        <v>8</v>
      </c>
      <c r="I1074" s="34" t="s">
        <v>820</v>
      </c>
      <c r="J1074" s="34" t="s">
        <v>6116</v>
      </c>
      <c r="K1074" s="34" t="s">
        <v>822</v>
      </c>
      <c r="L1074" s="34" t="s">
        <v>793</v>
      </c>
      <c r="M1074" s="30">
        <v>22.6</v>
      </c>
      <c r="N1074" s="283" t="s">
        <v>721</v>
      </c>
    </row>
    <row r="1075" spans="1:14" s="32" customFormat="1" ht="14.25" customHeight="1">
      <c r="A1075" s="3" t="s">
        <v>641</v>
      </c>
      <c r="B1075" s="36" t="s">
        <v>3532</v>
      </c>
      <c r="C1075" s="214">
        <v>4058075574779</v>
      </c>
      <c r="D1075" s="214"/>
      <c r="E1075" s="215"/>
      <c r="F1075" s="216"/>
      <c r="G1075" s="66" t="str">
        <f>HYPERLINK("https://ledvance.com/pt/product-datasheet/156721/101470","Ficha de Produto")</f>
        <v>Ficha de Produto</v>
      </c>
      <c r="H1075" s="34">
        <v>8</v>
      </c>
      <c r="I1075" s="34" t="s">
        <v>861</v>
      </c>
      <c r="J1075" s="34" t="s">
        <v>6116</v>
      </c>
      <c r="K1075" s="34" t="s">
        <v>822</v>
      </c>
      <c r="L1075" s="34" t="s">
        <v>793</v>
      </c>
      <c r="M1075" s="30">
        <v>22.6</v>
      </c>
      <c r="N1075" s="283" t="s">
        <v>721</v>
      </c>
    </row>
    <row r="1076" spans="1:14" s="32" customFormat="1" ht="14.25" customHeight="1">
      <c r="A1076" s="3" t="s">
        <v>641</v>
      </c>
      <c r="B1076" s="36" t="s">
        <v>3533</v>
      </c>
      <c r="C1076" s="214">
        <v>4058075574793</v>
      </c>
      <c r="D1076" s="214"/>
      <c r="E1076" s="215"/>
      <c r="F1076" s="216"/>
      <c r="G1076" s="66" t="str">
        <f>HYPERLINK("https://ledvance.com/pt/product-datasheet/156721/101473","Ficha de Produto")</f>
        <v>Ficha de Produto</v>
      </c>
      <c r="H1076" s="34">
        <v>8</v>
      </c>
      <c r="I1076" s="34" t="s">
        <v>861</v>
      </c>
      <c r="J1076" s="34" t="s">
        <v>6116</v>
      </c>
      <c r="K1076" s="34" t="s">
        <v>822</v>
      </c>
      <c r="L1076" s="34" t="s">
        <v>793</v>
      </c>
      <c r="M1076" s="30">
        <v>22.6</v>
      </c>
      <c r="N1076" s="283" t="s">
        <v>721</v>
      </c>
    </row>
    <row r="1077" spans="1:14" s="32" customFormat="1" ht="14.25" customHeight="1">
      <c r="A1077" s="3" t="s">
        <v>641</v>
      </c>
      <c r="B1077" s="36" t="s">
        <v>3534</v>
      </c>
      <c r="C1077" s="214">
        <v>4058075574816</v>
      </c>
      <c r="D1077" s="214"/>
      <c r="E1077" s="215"/>
      <c r="F1077" s="216"/>
      <c r="G1077" s="66" t="str">
        <f>HYPERLINK("https://ledvance.com/pt/product-datasheet/156721/101476","Ficha de Produto")</f>
        <v>Ficha de Produto</v>
      </c>
      <c r="H1077" s="34">
        <v>8</v>
      </c>
      <c r="I1077" s="34" t="s">
        <v>861</v>
      </c>
      <c r="J1077" s="34" t="s">
        <v>6116</v>
      </c>
      <c r="K1077" s="34" t="s">
        <v>822</v>
      </c>
      <c r="L1077" s="34" t="s">
        <v>793</v>
      </c>
      <c r="M1077" s="30">
        <v>22.6</v>
      </c>
      <c r="N1077" s="283" t="s">
        <v>721</v>
      </c>
    </row>
    <row r="1078" spans="1:14" s="32" customFormat="1" ht="14.25" customHeight="1">
      <c r="A1078" s="3" t="s">
        <v>641</v>
      </c>
      <c r="B1078" s="36" t="s">
        <v>3535</v>
      </c>
      <c r="C1078" s="214">
        <v>4058075574830</v>
      </c>
      <c r="D1078" s="214"/>
      <c r="E1078" s="215"/>
      <c r="F1078" s="216"/>
      <c r="G1078" s="66" t="str">
        <f>HYPERLINK("https://ledvance.com/pt/product-datasheet/156721/101479","Ficha de Produto")</f>
        <v>Ficha de Produto</v>
      </c>
      <c r="H1078" s="34">
        <v>8</v>
      </c>
      <c r="I1078" s="34" t="s">
        <v>861</v>
      </c>
      <c r="J1078" s="34" t="s">
        <v>6116</v>
      </c>
      <c r="K1078" s="34" t="s">
        <v>822</v>
      </c>
      <c r="L1078" s="34" t="s">
        <v>793</v>
      </c>
      <c r="M1078" s="30">
        <v>22.6</v>
      </c>
      <c r="N1078" s="283" t="s">
        <v>721</v>
      </c>
    </row>
    <row r="1079" spans="1:14" s="32" customFormat="1" ht="14.25" customHeight="1">
      <c r="A1079" s="3" t="s">
        <v>641</v>
      </c>
      <c r="B1079" s="36" t="s">
        <v>3536</v>
      </c>
      <c r="C1079" s="214">
        <v>4058075574854</v>
      </c>
      <c r="D1079" s="214"/>
      <c r="E1079" s="215"/>
      <c r="F1079" s="216"/>
      <c r="G1079" s="66" t="str">
        <f>HYPERLINK("https://ledvance.com/pt/product-datasheet/156722/101482","Ficha de Produto")</f>
        <v>Ficha de Produto</v>
      </c>
      <c r="H1079" s="34">
        <v>8</v>
      </c>
      <c r="I1079" s="34" t="s">
        <v>937</v>
      </c>
      <c r="J1079" s="34" t="s">
        <v>6171</v>
      </c>
      <c r="K1079" s="34" t="s">
        <v>822</v>
      </c>
      <c r="L1079" s="34" t="s">
        <v>793</v>
      </c>
      <c r="M1079" s="30">
        <v>39</v>
      </c>
      <c r="N1079" s="283" t="s">
        <v>721</v>
      </c>
    </row>
    <row r="1080" spans="1:14" s="32" customFormat="1" ht="14.25" customHeight="1">
      <c r="A1080" s="3" t="s">
        <v>641</v>
      </c>
      <c r="B1080" s="36" t="s">
        <v>3537</v>
      </c>
      <c r="C1080" s="214">
        <v>4058075574878</v>
      </c>
      <c r="D1080" s="214"/>
      <c r="E1080" s="215"/>
      <c r="F1080" s="216"/>
      <c r="G1080" s="66" t="str">
        <f>HYPERLINK("https://ledvance.com/pt/product-datasheet/156722/101485","Ficha de Produto")</f>
        <v>Ficha de Produto</v>
      </c>
      <c r="H1080" s="34">
        <v>8</v>
      </c>
      <c r="I1080" s="34" t="s">
        <v>937</v>
      </c>
      <c r="J1080" s="34" t="s">
        <v>6171</v>
      </c>
      <c r="K1080" s="34" t="s">
        <v>822</v>
      </c>
      <c r="L1080" s="34" t="s">
        <v>793</v>
      </c>
      <c r="M1080" s="30">
        <v>39</v>
      </c>
      <c r="N1080" s="283" t="s">
        <v>721</v>
      </c>
    </row>
    <row r="1081" spans="1:14" s="32" customFormat="1" ht="14.25" customHeight="1">
      <c r="A1081" s="3" t="s">
        <v>641</v>
      </c>
      <c r="B1081" s="36" t="s">
        <v>3538</v>
      </c>
      <c r="C1081" s="214">
        <v>4058075574892</v>
      </c>
      <c r="D1081" s="214"/>
      <c r="E1081" s="215"/>
      <c r="F1081" s="216"/>
      <c r="G1081" s="66" t="str">
        <f>HYPERLINK("https://ledvance.com/pt/product-datasheet/156722/101488","Ficha de Produto")</f>
        <v>Ficha de Produto</v>
      </c>
      <c r="H1081" s="34">
        <v>8</v>
      </c>
      <c r="I1081" s="34" t="s">
        <v>849</v>
      </c>
      <c r="J1081" s="34" t="s">
        <v>6171</v>
      </c>
      <c r="K1081" s="34" t="s">
        <v>822</v>
      </c>
      <c r="L1081" s="34" t="s">
        <v>793</v>
      </c>
      <c r="M1081" s="30">
        <v>39</v>
      </c>
      <c r="N1081" s="283" t="s">
        <v>721</v>
      </c>
    </row>
    <row r="1082" spans="1:14" s="32" customFormat="1" ht="14.25" customHeight="1">
      <c r="A1082" s="3" t="s">
        <v>641</v>
      </c>
      <c r="B1082" s="36" t="s">
        <v>3539</v>
      </c>
      <c r="C1082" s="214">
        <v>4058075574915</v>
      </c>
      <c r="D1082" s="214"/>
      <c r="E1082" s="215"/>
      <c r="F1082" s="216"/>
      <c r="G1082" s="66" t="str">
        <f>HYPERLINK("https://ledvance.com/pt/product-datasheet/156722/101491","Ficha de Produto")</f>
        <v>Ficha de Produto</v>
      </c>
      <c r="H1082" s="34">
        <v>8</v>
      </c>
      <c r="I1082" s="34" t="s">
        <v>849</v>
      </c>
      <c r="J1082" s="34" t="s">
        <v>6171</v>
      </c>
      <c r="K1082" s="34" t="s">
        <v>822</v>
      </c>
      <c r="L1082" s="34" t="s">
        <v>793</v>
      </c>
      <c r="M1082" s="30">
        <v>39</v>
      </c>
      <c r="N1082" s="283" t="s">
        <v>721</v>
      </c>
    </row>
    <row r="1083" spans="1:14" s="32" customFormat="1" ht="14.25" customHeight="1">
      <c r="A1083" s="3" t="s">
        <v>641</v>
      </c>
      <c r="B1083" s="36" t="s">
        <v>3540</v>
      </c>
      <c r="C1083" s="214">
        <v>4058075574939</v>
      </c>
      <c r="D1083" s="214"/>
      <c r="E1083" s="215"/>
      <c r="F1083" s="216"/>
      <c r="G1083" s="66" t="str">
        <f>HYPERLINK("https://ledvance.com/pt/product-datasheet/156722/101494","Ficha de Produto")</f>
        <v>Ficha de Produto</v>
      </c>
      <c r="H1083" s="34">
        <v>8</v>
      </c>
      <c r="I1083" s="34" t="s">
        <v>849</v>
      </c>
      <c r="J1083" s="34" t="s">
        <v>6171</v>
      </c>
      <c r="K1083" s="34" t="s">
        <v>822</v>
      </c>
      <c r="L1083" s="34" t="s">
        <v>793</v>
      </c>
      <c r="M1083" s="30">
        <v>39</v>
      </c>
      <c r="N1083" s="283" t="s">
        <v>721</v>
      </c>
    </row>
    <row r="1084" spans="1:14" s="32" customFormat="1" ht="14.25" customHeight="1">
      <c r="A1084" s="3" t="s">
        <v>641</v>
      </c>
      <c r="B1084" s="36" t="s">
        <v>3541</v>
      </c>
      <c r="C1084" s="214">
        <v>4058075574960</v>
      </c>
      <c r="D1084" s="214"/>
      <c r="E1084" s="215"/>
      <c r="F1084" s="216"/>
      <c r="G1084" s="66" t="str">
        <f>HYPERLINK("https://ledvance.com/pt/product-datasheet/156722/101497","Ficha de Produto")</f>
        <v>Ficha de Produto</v>
      </c>
      <c r="H1084" s="34">
        <v>8</v>
      </c>
      <c r="I1084" s="34" t="s">
        <v>849</v>
      </c>
      <c r="J1084" s="34" t="s">
        <v>6171</v>
      </c>
      <c r="K1084" s="34" t="s">
        <v>822</v>
      </c>
      <c r="L1084" s="34" t="s">
        <v>793</v>
      </c>
      <c r="M1084" s="30">
        <v>39</v>
      </c>
      <c r="N1084" s="283" t="s">
        <v>721</v>
      </c>
    </row>
    <row r="1085" spans="1:14" s="32" customFormat="1" ht="14.25" customHeight="1">
      <c r="A1085" s="3" t="s">
        <v>641</v>
      </c>
      <c r="B1085" s="36" t="s">
        <v>3542</v>
      </c>
      <c r="C1085" s="214">
        <v>4058075574984</v>
      </c>
      <c r="D1085" s="214"/>
      <c r="E1085" s="215"/>
      <c r="F1085" s="216"/>
      <c r="G1085" s="66" t="str">
        <f>HYPERLINK("https://ledvance.com/pt/product-datasheet/156723/101500","Ficha de Produto")</f>
        <v>Ficha de Produto</v>
      </c>
      <c r="H1085" s="34">
        <v>2</v>
      </c>
      <c r="I1085" s="34" t="s">
        <v>1133</v>
      </c>
      <c r="J1085" s="34" t="s">
        <v>6216</v>
      </c>
      <c r="K1085" s="34" t="s">
        <v>822</v>
      </c>
      <c r="L1085" s="34" t="s">
        <v>793</v>
      </c>
      <c r="M1085" s="30">
        <v>130.5</v>
      </c>
      <c r="N1085" s="283" t="s">
        <v>721</v>
      </c>
    </row>
    <row r="1086" spans="1:14" s="32" customFormat="1" ht="14.25" customHeight="1">
      <c r="A1086" s="3" t="s">
        <v>641</v>
      </c>
      <c r="B1086" s="36" t="s">
        <v>3543</v>
      </c>
      <c r="C1086" s="214">
        <v>4058075575004</v>
      </c>
      <c r="D1086" s="214"/>
      <c r="E1086" s="215"/>
      <c r="F1086" s="216"/>
      <c r="G1086" s="66" t="str">
        <f>HYPERLINK("https://ledvance.com/pt/product-datasheet/156723/101503","Ficha de Produto")</f>
        <v>Ficha de Produto</v>
      </c>
      <c r="H1086" s="34">
        <v>2</v>
      </c>
      <c r="I1086" s="34" t="s">
        <v>891</v>
      </c>
      <c r="J1086" s="34" t="s">
        <v>6216</v>
      </c>
      <c r="K1086" s="34" t="s">
        <v>822</v>
      </c>
      <c r="L1086" s="34" t="s">
        <v>793</v>
      </c>
      <c r="M1086" s="30">
        <v>130.5</v>
      </c>
      <c r="N1086" s="283" t="s">
        <v>721</v>
      </c>
    </row>
    <row r="1087" spans="1:14" s="32" customFormat="1" ht="14.25" customHeight="1">
      <c r="A1087" s="3" t="s">
        <v>641</v>
      </c>
      <c r="B1087" s="36" t="s">
        <v>3544</v>
      </c>
      <c r="C1087" s="214">
        <v>4058075575080</v>
      </c>
      <c r="D1087" s="214"/>
      <c r="E1087" s="215"/>
      <c r="F1087" s="216"/>
      <c r="G1087" s="66" t="str">
        <f>HYPERLINK("https://ledvance.com/pt/product-datasheet/156723/101334","Ficha de Produto")</f>
        <v>Ficha de Produto</v>
      </c>
      <c r="H1087" s="34">
        <v>2</v>
      </c>
      <c r="I1087" s="34" t="s">
        <v>891</v>
      </c>
      <c r="J1087" s="34" t="s">
        <v>6216</v>
      </c>
      <c r="K1087" s="34" t="s">
        <v>822</v>
      </c>
      <c r="L1087" s="34" t="s">
        <v>793</v>
      </c>
      <c r="M1087" s="30">
        <v>130.5</v>
      </c>
      <c r="N1087" s="283" t="s">
        <v>721</v>
      </c>
    </row>
    <row r="1088" spans="1:14" s="32" customFormat="1" ht="14.25" customHeight="1">
      <c r="A1088" s="3" t="s">
        <v>641</v>
      </c>
      <c r="B1088" s="36" t="s">
        <v>3545</v>
      </c>
      <c r="C1088" s="214">
        <v>4058075575103</v>
      </c>
      <c r="D1088" s="214"/>
      <c r="E1088" s="215"/>
      <c r="F1088" s="216"/>
      <c r="G1088" s="66" t="str">
        <f>HYPERLINK("https://ledvance.com/pt/product-datasheet/156724/101337","Ficha de Produto")</f>
        <v>Ficha de Produto</v>
      </c>
      <c r="H1088" s="34">
        <v>2</v>
      </c>
      <c r="I1088" s="34" t="s">
        <v>6217</v>
      </c>
      <c r="J1088" s="34" t="s">
        <v>6218</v>
      </c>
      <c r="K1088" s="34" t="s">
        <v>822</v>
      </c>
      <c r="L1088" s="34" t="s">
        <v>793</v>
      </c>
      <c r="M1088" s="30">
        <v>195.8</v>
      </c>
      <c r="N1088" s="283" t="s">
        <v>721</v>
      </c>
    </row>
    <row r="1089" spans="1:14" s="32" customFormat="1" ht="14.25" customHeight="1">
      <c r="A1089" s="3" t="s">
        <v>641</v>
      </c>
      <c r="B1089" s="36" t="s">
        <v>3546</v>
      </c>
      <c r="C1089" s="214">
        <v>4058075575127</v>
      </c>
      <c r="D1089" s="214"/>
      <c r="E1089" s="215"/>
      <c r="F1089" s="216"/>
      <c r="G1089" s="66" t="str">
        <f>HYPERLINK("https://ledvance.com/pt/product-datasheet/156724/101340","Ficha de Produto")</f>
        <v>Ficha de Produto</v>
      </c>
      <c r="H1089" s="34">
        <v>2</v>
      </c>
      <c r="I1089" s="34" t="s">
        <v>1134</v>
      </c>
      <c r="J1089" s="34" t="s">
        <v>6218</v>
      </c>
      <c r="K1089" s="34" t="s">
        <v>822</v>
      </c>
      <c r="L1089" s="34" t="s">
        <v>793</v>
      </c>
      <c r="M1089" s="30">
        <v>195.8</v>
      </c>
      <c r="N1089" s="283" t="s">
        <v>721</v>
      </c>
    </row>
    <row r="1090" spans="1:14" s="32" customFormat="1" ht="14.25" customHeight="1">
      <c r="A1090" s="3" t="s">
        <v>641</v>
      </c>
      <c r="B1090" s="36" t="s">
        <v>3547</v>
      </c>
      <c r="C1090" s="214">
        <v>4058075575141</v>
      </c>
      <c r="D1090" s="214"/>
      <c r="E1090" s="215"/>
      <c r="F1090" s="216"/>
      <c r="G1090" s="66" t="str">
        <f>HYPERLINK("https://ledvance.com/pt/product-datasheet/156724/101343","Ficha de Produto")</f>
        <v>Ficha de Produto</v>
      </c>
      <c r="H1090" s="34">
        <v>2</v>
      </c>
      <c r="I1090" s="34" t="s">
        <v>1134</v>
      </c>
      <c r="J1090" s="34" t="s">
        <v>6218</v>
      </c>
      <c r="K1090" s="34" t="s">
        <v>822</v>
      </c>
      <c r="L1090" s="34" t="s">
        <v>793</v>
      </c>
      <c r="M1090" s="30">
        <v>195.8</v>
      </c>
      <c r="N1090" s="283" t="s">
        <v>721</v>
      </c>
    </row>
    <row r="1091" spans="1:14" s="32" customFormat="1" ht="14.25" customHeight="1">
      <c r="A1091" s="3" t="s">
        <v>641</v>
      </c>
      <c r="B1091" s="36" t="s">
        <v>3548</v>
      </c>
      <c r="C1091" s="214">
        <v>4058075575165</v>
      </c>
      <c r="D1091" s="214"/>
      <c r="E1091" s="215"/>
      <c r="F1091" s="216"/>
      <c r="G1091" s="66" t="str">
        <f>HYPERLINK("https://ledvance.com/pt/product-datasheet/156725/101346","Ficha de Produto")</f>
        <v>Ficha de Produto</v>
      </c>
      <c r="H1091" s="34">
        <v>2</v>
      </c>
      <c r="I1091" s="34" t="s">
        <v>1163</v>
      </c>
      <c r="J1091" s="34" t="s">
        <v>6219</v>
      </c>
      <c r="K1091" s="34" t="s">
        <v>822</v>
      </c>
      <c r="L1091" s="34" t="s">
        <v>793</v>
      </c>
      <c r="M1091" s="30">
        <v>241.4</v>
      </c>
      <c r="N1091" s="283" t="s">
        <v>721</v>
      </c>
    </row>
    <row r="1092" spans="1:14" s="32" customFormat="1" ht="14.25" customHeight="1">
      <c r="A1092" s="3" t="s">
        <v>641</v>
      </c>
      <c r="B1092" s="36" t="s">
        <v>3549</v>
      </c>
      <c r="C1092" s="214">
        <v>4058075575189</v>
      </c>
      <c r="D1092" s="214"/>
      <c r="E1092" s="215"/>
      <c r="F1092" s="216"/>
      <c r="G1092" s="66" t="str">
        <f>HYPERLINK("https://ledvance.com/pt/product-datasheet/156725/101349","Ficha de Produto")</f>
        <v>Ficha de Produto</v>
      </c>
      <c r="H1092" s="34">
        <v>2</v>
      </c>
      <c r="I1092" s="34" t="s">
        <v>951</v>
      </c>
      <c r="J1092" s="34" t="s">
        <v>6219</v>
      </c>
      <c r="K1092" s="34" t="s">
        <v>822</v>
      </c>
      <c r="L1092" s="34" t="s">
        <v>793</v>
      </c>
      <c r="M1092" s="30">
        <v>241.4</v>
      </c>
      <c r="N1092" s="283" t="s">
        <v>721</v>
      </c>
    </row>
    <row r="1093" spans="1:14" s="32" customFormat="1" ht="14.25" customHeight="1">
      <c r="A1093" s="3" t="s">
        <v>641</v>
      </c>
      <c r="B1093" s="36" t="s">
        <v>3550</v>
      </c>
      <c r="C1093" s="214">
        <v>4058075575202</v>
      </c>
      <c r="D1093" s="214"/>
      <c r="E1093" s="215"/>
      <c r="F1093" s="216"/>
      <c r="G1093" s="66" t="str">
        <f>HYPERLINK("https://ledvance.com/pt/product-datasheet/156725/101352","Ficha de Produto")</f>
        <v>Ficha de Produto</v>
      </c>
      <c r="H1093" s="34">
        <v>2</v>
      </c>
      <c r="I1093" s="34" t="s">
        <v>951</v>
      </c>
      <c r="J1093" s="34" t="s">
        <v>6219</v>
      </c>
      <c r="K1093" s="34" t="s">
        <v>822</v>
      </c>
      <c r="L1093" s="34" t="s">
        <v>793</v>
      </c>
      <c r="M1093" s="30">
        <v>241.4</v>
      </c>
      <c r="N1093" s="283" t="s">
        <v>721</v>
      </c>
    </row>
    <row r="1094" spans="1:14" s="32" customFormat="1" ht="14.25" customHeight="1">
      <c r="A1094" s="8" t="s">
        <v>641</v>
      </c>
      <c r="B1094" s="227" t="s">
        <v>1175</v>
      </c>
      <c r="C1094" s="7"/>
      <c r="D1094" s="7"/>
      <c r="E1094" s="7"/>
      <c r="F1094" s="7"/>
      <c r="G1094" s="68"/>
      <c r="H1094" s="7"/>
      <c r="I1094" s="7"/>
      <c r="J1094" s="7"/>
      <c r="K1094" s="7"/>
      <c r="L1094" s="7"/>
      <c r="M1094" s="230"/>
      <c r="N1094" s="284"/>
    </row>
    <row r="1095" spans="1:14" s="32" customFormat="1" ht="14.25" customHeight="1">
      <c r="A1095" s="3" t="s">
        <v>641</v>
      </c>
      <c r="B1095" s="36" t="s">
        <v>3551</v>
      </c>
      <c r="C1095" s="214">
        <v>4058075575226</v>
      </c>
      <c r="D1095" s="214"/>
      <c r="E1095" s="215"/>
      <c r="F1095" s="216"/>
      <c r="G1095" s="66" t="str">
        <f>HYPERLINK("https://ledvance.com/pt/product-datasheet/156737/101355","Ficha de Produto")</f>
        <v>Ficha de Produto</v>
      </c>
      <c r="H1095" s="34">
        <v>8</v>
      </c>
      <c r="I1095" s="34" t="s">
        <v>1042</v>
      </c>
      <c r="J1095" s="34" t="s">
        <v>6139</v>
      </c>
      <c r="K1095" s="34" t="s">
        <v>822</v>
      </c>
      <c r="L1095" s="34" t="s">
        <v>793</v>
      </c>
      <c r="M1095" s="30">
        <v>32.9</v>
      </c>
      <c r="N1095" s="283" t="s">
        <v>721</v>
      </c>
    </row>
    <row r="1096" spans="1:14" s="32" customFormat="1" ht="14.25" customHeight="1">
      <c r="A1096" s="3" t="s">
        <v>641</v>
      </c>
      <c r="B1096" s="36" t="s">
        <v>3552</v>
      </c>
      <c r="C1096" s="214">
        <v>4058075575240</v>
      </c>
      <c r="D1096" s="214"/>
      <c r="E1096" s="215"/>
      <c r="F1096" s="216"/>
      <c r="G1096" s="66" t="str">
        <f>HYPERLINK("https://ledvance.com/pt/product-datasheet/156737/101358","Ficha de Produto")</f>
        <v>Ficha de Produto</v>
      </c>
      <c r="H1096" s="34">
        <v>8</v>
      </c>
      <c r="I1096" s="34" t="s">
        <v>858</v>
      </c>
      <c r="J1096" s="34" t="s">
        <v>6139</v>
      </c>
      <c r="K1096" s="34" t="s">
        <v>822</v>
      </c>
      <c r="L1096" s="34" t="s">
        <v>793</v>
      </c>
      <c r="M1096" s="30">
        <v>32.9</v>
      </c>
      <c r="N1096" s="283" t="s">
        <v>721</v>
      </c>
    </row>
    <row r="1097" spans="1:14" s="32" customFormat="1" ht="14.25" customHeight="1">
      <c r="A1097" s="3" t="s">
        <v>641</v>
      </c>
      <c r="B1097" s="36" t="s">
        <v>3553</v>
      </c>
      <c r="C1097" s="214">
        <v>4058075575264</v>
      </c>
      <c r="D1097" s="214"/>
      <c r="E1097" s="215"/>
      <c r="F1097" s="216"/>
      <c r="G1097" s="66" t="str">
        <f>HYPERLINK("https://ledvance.com/pt/product-datasheet/156738/101361","Ficha de Produto")</f>
        <v>Ficha de Produto</v>
      </c>
      <c r="H1097" s="34">
        <v>8</v>
      </c>
      <c r="I1097" s="34" t="s">
        <v>820</v>
      </c>
      <c r="J1097" s="34" t="s">
        <v>6116</v>
      </c>
      <c r="K1097" s="34" t="s">
        <v>822</v>
      </c>
      <c r="L1097" s="34" t="s">
        <v>793</v>
      </c>
      <c r="M1097" s="30">
        <v>36.700000000000003</v>
      </c>
      <c r="N1097" s="283" t="s">
        <v>721</v>
      </c>
    </row>
    <row r="1098" spans="1:14" s="32" customFormat="1" ht="14.25" customHeight="1">
      <c r="A1098" s="3" t="s">
        <v>641</v>
      </c>
      <c r="B1098" s="36" t="s">
        <v>3554</v>
      </c>
      <c r="C1098" s="214">
        <v>4058075575288</v>
      </c>
      <c r="D1098" s="214"/>
      <c r="E1098" s="215"/>
      <c r="F1098" s="216"/>
      <c r="G1098" s="66" t="str">
        <f>HYPERLINK("https://ledvance.com/pt/product-datasheet/156738/101364","Ficha de Produto")</f>
        <v>Ficha de Produto</v>
      </c>
      <c r="H1098" s="34">
        <v>8</v>
      </c>
      <c r="I1098" s="34" t="s">
        <v>861</v>
      </c>
      <c r="J1098" s="34" t="s">
        <v>6116</v>
      </c>
      <c r="K1098" s="34" t="s">
        <v>822</v>
      </c>
      <c r="L1098" s="34" t="s">
        <v>793</v>
      </c>
      <c r="M1098" s="30">
        <v>36.700000000000003</v>
      </c>
      <c r="N1098" s="283" t="s">
        <v>721</v>
      </c>
    </row>
    <row r="1099" spans="1:14" s="32" customFormat="1" ht="14.25" customHeight="1">
      <c r="A1099" s="3" t="s">
        <v>641</v>
      </c>
      <c r="B1099" s="36" t="s">
        <v>3555</v>
      </c>
      <c r="C1099" s="214">
        <v>4058075575301</v>
      </c>
      <c r="D1099" s="214"/>
      <c r="E1099" s="215"/>
      <c r="F1099" s="216"/>
      <c r="G1099" s="66" t="str">
        <f>HYPERLINK("https://ledvance.com/pt/product-datasheet/156739/101367","Ficha de Produto")</f>
        <v>Ficha de Produto</v>
      </c>
      <c r="H1099" s="34">
        <v>8</v>
      </c>
      <c r="I1099" s="34" t="s">
        <v>937</v>
      </c>
      <c r="J1099" s="34" t="s">
        <v>6171</v>
      </c>
      <c r="K1099" s="34" t="s">
        <v>822</v>
      </c>
      <c r="L1099" s="34" t="s">
        <v>793</v>
      </c>
      <c r="M1099" s="30">
        <v>67.5</v>
      </c>
      <c r="N1099" s="283" t="s">
        <v>721</v>
      </c>
    </row>
    <row r="1100" spans="1:14" s="32" customFormat="1" ht="14.25" customHeight="1">
      <c r="A1100" s="3" t="s">
        <v>641</v>
      </c>
      <c r="B1100" s="36" t="s">
        <v>3556</v>
      </c>
      <c r="C1100" s="214">
        <v>4058075575325</v>
      </c>
      <c r="D1100" s="214"/>
      <c r="E1100" s="215"/>
      <c r="F1100" s="216"/>
      <c r="G1100" s="66" t="str">
        <f>HYPERLINK("https://ledvance.com/pt/product-datasheet/156739/101370","Ficha de Produto")</f>
        <v>Ficha de Produto</v>
      </c>
      <c r="H1100" s="34">
        <v>8</v>
      </c>
      <c r="I1100" s="34" t="s">
        <v>849</v>
      </c>
      <c r="J1100" s="34" t="s">
        <v>6171</v>
      </c>
      <c r="K1100" s="34" t="s">
        <v>822</v>
      </c>
      <c r="L1100" s="34" t="s">
        <v>793</v>
      </c>
      <c r="M1100" s="30">
        <v>67.5</v>
      </c>
      <c r="N1100" s="283" t="s">
        <v>721</v>
      </c>
    </row>
    <row r="1101" spans="1:14" s="32" customFormat="1" ht="14.25" customHeight="1">
      <c r="A1101" s="8" t="s">
        <v>641</v>
      </c>
      <c r="B1101" s="227" t="s">
        <v>686</v>
      </c>
      <c r="C1101" s="7"/>
      <c r="D1101" s="7"/>
      <c r="E1101" s="7"/>
      <c r="F1101" s="7"/>
      <c r="G1101" s="68"/>
      <c r="H1101" s="7"/>
      <c r="I1101" s="7"/>
      <c r="J1101" s="7"/>
      <c r="K1101" s="7"/>
      <c r="L1101" s="7"/>
      <c r="M1101" s="230"/>
      <c r="N1101" s="284"/>
    </row>
    <row r="1102" spans="1:14" s="32" customFormat="1" ht="14.25" customHeight="1">
      <c r="A1102" s="3" t="s">
        <v>641</v>
      </c>
      <c r="B1102" s="36" t="s">
        <v>116</v>
      </c>
      <c r="C1102" s="214">
        <v>4058075539730</v>
      </c>
      <c r="D1102" s="214"/>
      <c r="E1102" s="215"/>
      <c r="F1102" s="216"/>
      <c r="G1102" s="66" t="str">
        <f>HYPERLINK("https://ledvance.com/pt/product-datasheet/8927/79348","Ficha de Produto")</f>
        <v>Ficha de Produto</v>
      </c>
      <c r="H1102" s="34">
        <v>1</v>
      </c>
      <c r="I1102" s="34" t="s">
        <v>939</v>
      </c>
      <c r="J1102" s="34" t="s">
        <v>6220</v>
      </c>
      <c r="K1102" s="34" t="s">
        <v>822</v>
      </c>
      <c r="L1102" s="34" t="s">
        <v>765</v>
      </c>
      <c r="M1102" s="30">
        <v>200</v>
      </c>
      <c r="N1102" s="283" t="s">
        <v>721</v>
      </c>
    </row>
    <row r="1103" spans="1:14" s="32" customFormat="1" ht="14.25" customHeight="1">
      <c r="A1103" s="3" t="s">
        <v>641</v>
      </c>
      <c r="B1103" s="36" t="s">
        <v>117</v>
      </c>
      <c r="C1103" s="214">
        <v>4058075539747</v>
      </c>
      <c r="D1103" s="214"/>
      <c r="E1103" s="215"/>
      <c r="F1103" s="216"/>
      <c r="G1103" s="66" t="str">
        <f>HYPERLINK("https://ledvance.com/pt/product-datasheet/8927/79350","Ficha de Produto")</f>
        <v>Ficha de Produto</v>
      </c>
      <c r="H1103" s="34">
        <v>1</v>
      </c>
      <c r="I1103" s="34" t="s">
        <v>897</v>
      </c>
      <c r="J1103" s="34" t="s">
        <v>6220</v>
      </c>
      <c r="K1103" s="34" t="s">
        <v>822</v>
      </c>
      <c r="L1103" s="34" t="s">
        <v>765</v>
      </c>
      <c r="M1103" s="30">
        <v>200</v>
      </c>
      <c r="N1103" s="283" t="s">
        <v>721</v>
      </c>
    </row>
    <row r="1104" spans="1:14" s="32" customFormat="1" ht="14.25" customHeight="1">
      <c r="A1104" s="3" t="s">
        <v>641</v>
      </c>
      <c r="B1104" s="36" t="s">
        <v>118</v>
      </c>
      <c r="C1104" s="214">
        <v>4058075539754</v>
      </c>
      <c r="D1104" s="214"/>
      <c r="E1104" s="215"/>
      <c r="F1104" s="216"/>
      <c r="G1104" s="66" t="str">
        <f>HYPERLINK("https://ledvance.com/pt/product-datasheet/8927/79352","Ficha de Produto")</f>
        <v>Ficha de Produto</v>
      </c>
      <c r="H1104" s="34">
        <v>1</v>
      </c>
      <c r="I1104" s="34" t="s">
        <v>932</v>
      </c>
      <c r="J1104" s="34" t="s">
        <v>6221</v>
      </c>
      <c r="K1104" s="34" t="s">
        <v>822</v>
      </c>
      <c r="L1104" s="34" t="s">
        <v>765</v>
      </c>
      <c r="M1104" s="30">
        <v>282.5</v>
      </c>
      <c r="N1104" s="283" t="s">
        <v>721</v>
      </c>
    </row>
    <row r="1105" spans="1:14" s="32" customFormat="1" ht="14.25" customHeight="1">
      <c r="A1105" s="3" t="s">
        <v>641</v>
      </c>
      <c r="B1105" s="36" t="s">
        <v>119</v>
      </c>
      <c r="C1105" s="214">
        <v>4058075539761</v>
      </c>
      <c r="D1105" s="214"/>
      <c r="E1105" s="215"/>
      <c r="F1105" s="216"/>
      <c r="G1105" s="66" t="str">
        <f>HYPERLINK("https://ledvance.com/pt/product-datasheet/8927/79354","Ficha de Produto")</f>
        <v>Ficha de Produto</v>
      </c>
      <c r="H1105" s="34">
        <v>1</v>
      </c>
      <c r="I1105" s="34" t="s">
        <v>933</v>
      </c>
      <c r="J1105" s="34" t="s">
        <v>6221</v>
      </c>
      <c r="K1105" s="34" t="s">
        <v>822</v>
      </c>
      <c r="L1105" s="34" t="s">
        <v>765</v>
      </c>
      <c r="M1105" s="30">
        <v>282.5</v>
      </c>
      <c r="N1105" s="283" t="s">
        <v>721</v>
      </c>
    </row>
    <row r="1106" spans="1:14" s="32" customFormat="1" ht="14.25" customHeight="1">
      <c r="A1106" s="3" t="s">
        <v>641</v>
      </c>
      <c r="B1106" s="36" t="s">
        <v>120</v>
      </c>
      <c r="C1106" s="214">
        <v>4058075539778</v>
      </c>
      <c r="D1106" s="214"/>
      <c r="E1106" s="215"/>
      <c r="F1106" s="216"/>
      <c r="G1106" s="66" t="str">
        <f>HYPERLINK("https://ledvance.com/pt/product-datasheet/8927/79356","Ficha de Produto")</f>
        <v>Ficha de Produto</v>
      </c>
      <c r="H1106" s="34">
        <v>1</v>
      </c>
      <c r="I1106" s="34" t="s">
        <v>905</v>
      </c>
      <c r="J1106" s="34" t="s">
        <v>6222</v>
      </c>
      <c r="K1106" s="34" t="s">
        <v>822</v>
      </c>
      <c r="L1106" s="34" t="s">
        <v>765</v>
      </c>
      <c r="M1106" s="30">
        <v>327.5</v>
      </c>
      <c r="N1106" s="283" t="s">
        <v>721</v>
      </c>
    </row>
    <row r="1107" spans="1:14" s="32" customFormat="1" ht="14.25" customHeight="1">
      <c r="A1107" s="3" t="s">
        <v>641</v>
      </c>
      <c r="B1107" s="36" t="s">
        <v>121</v>
      </c>
      <c r="C1107" s="214">
        <v>4058075539785</v>
      </c>
      <c r="D1107" s="214"/>
      <c r="E1107" s="215"/>
      <c r="F1107" s="216"/>
      <c r="G1107" s="66" t="str">
        <f>HYPERLINK("https://ledvance.com/pt/product-datasheet/8927/138550","Ficha de Produto")</f>
        <v>Ficha de Produto</v>
      </c>
      <c r="H1107" s="34">
        <v>1</v>
      </c>
      <c r="I1107" s="34" t="s">
        <v>901</v>
      </c>
      <c r="J1107" s="34" t="s">
        <v>6222</v>
      </c>
      <c r="K1107" s="34" t="s">
        <v>822</v>
      </c>
      <c r="L1107" s="34" t="s">
        <v>765</v>
      </c>
      <c r="M1107" s="30">
        <v>327.5</v>
      </c>
      <c r="N1107" s="283" t="s">
        <v>721</v>
      </c>
    </row>
    <row r="1108" spans="1:14" s="32" customFormat="1" ht="14.25" customHeight="1">
      <c r="A1108" s="8" t="s">
        <v>641</v>
      </c>
      <c r="B1108" s="227" t="s">
        <v>688</v>
      </c>
      <c r="C1108" s="231"/>
      <c r="D1108" s="231"/>
      <c r="E1108" s="232"/>
      <c r="F1108" s="7"/>
      <c r="G1108" s="68"/>
      <c r="H1108" s="233"/>
      <c r="I1108" s="233"/>
      <c r="J1108" s="233"/>
      <c r="K1108" s="233"/>
      <c r="L1108" s="233"/>
      <c r="M1108" s="230"/>
      <c r="N1108" s="284"/>
    </row>
    <row r="1109" spans="1:14" s="32" customFormat="1" ht="14.25" customHeight="1">
      <c r="A1109" s="3" t="s">
        <v>641</v>
      </c>
      <c r="B1109" s="36" t="s">
        <v>138</v>
      </c>
      <c r="C1109" s="214">
        <v>4058075580589</v>
      </c>
      <c r="D1109" s="214"/>
      <c r="E1109" s="215"/>
      <c r="F1109" s="216"/>
      <c r="G1109" s="66" t="str">
        <f>HYPERLINK("https://ledvance.com/pt/product-datasheet/164203/133980","Ficha de Produto")</f>
        <v>Ficha de Produto</v>
      </c>
      <c r="H1109" s="34">
        <v>1</v>
      </c>
      <c r="I1109" s="34" t="s">
        <v>1136</v>
      </c>
      <c r="J1109" s="34" t="s">
        <v>6224</v>
      </c>
      <c r="K1109" s="34" t="s">
        <v>876</v>
      </c>
      <c r="L1109" s="34" t="s">
        <v>765</v>
      </c>
      <c r="M1109" s="30">
        <v>1410</v>
      </c>
      <c r="N1109" s="283" t="s">
        <v>721</v>
      </c>
    </row>
    <row r="1110" spans="1:14" s="32" customFormat="1" ht="14.25" customHeight="1">
      <c r="A1110" s="3" t="s">
        <v>641</v>
      </c>
      <c r="B1110" s="36" t="s">
        <v>139</v>
      </c>
      <c r="C1110" s="214">
        <v>4058075580596</v>
      </c>
      <c r="D1110" s="214"/>
      <c r="E1110" s="215"/>
      <c r="F1110" s="216"/>
      <c r="G1110" s="66" t="str">
        <f>HYPERLINK("https://ledvance.com/pt/product-datasheet/164203/133982","Ficha de Produto")</f>
        <v>Ficha de Produto</v>
      </c>
      <c r="H1110" s="34">
        <v>1</v>
      </c>
      <c r="I1110" s="34" t="s">
        <v>1137</v>
      </c>
      <c r="J1110" s="34" t="s">
        <v>6224</v>
      </c>
      <c r="K1110" s="34" t="s">
        <v>876</v>
      </c>
      <c r="L1110" s="34" t="s">
        <v>765</v>
      </c>
      <c r="M1110" s="30">
        <v>1410</v>
      </c>
      <c r="N1110" s="283" t="s">
        <v>721</v>
      </c>
    </row>
    <row r="1111" spans="1:14" s="32" customFormat="1" ht="14.25" customHeight="1">
      <c r="A1111" s="3" t="s">
        <v>641</v>
      </c>
      <c r="B1111" s="36" t="s">
        <v>140</v>
      </c>
      <c r="C1111" s="214">
        <v>4058075580602</v>
      </c>
      <c r="D1111" s="214"/>
      <c r="E1111" s="215"/>
      <c r="F1111" s="216"/>
      <c r="G1111" s="66" t="str">
        <f>HYPERLINK("https://ledvance.com/pt/product-datasheet/164203/133984","Ficha de Produto")</f>
        <v>Ficha de Produto</v>
      </c>
      <c r="H1111" s="34">
        <v>1</v>
      </c>
      <c r="I1111" s="34" t="s">
        <v>1138</v>
      </c>
      <c r="J1111" s="34" t="s">
        <v>6224</v>
      </c>
      <c r="K1111" s="34" t="s">
        <v>876</v>
      </c>
      <c r="L1111" s="34" t="s">
        <v>765</v>
      </c>
      <c r="M1111" s="30">
        <v>1410</v>
      </c>
      <c r="N1111" s="283" t="s">
        <v>721</v>
      </c>
    </row>
    <row r="1112" spans="1:14" s="32" customFormat="1" ht="14.25" customHeight="1">
      <c r="A1112" s="3" t="s">
        <v>641</v>
      </c>
      <c r="B1112" s="36" t="s">
        <v>141</v>
      </c>
      <c r="C1112" s="214">
        <v>4058075580619</v>
      </c>
      <c r="D1112" s="214"/>
      <c r="E1112" s="215"/>
      <c r="F1112" s="216"/>
      <c r="G1112" s="66" t="str">
        <f>HYPERLINK("https://ledvance.com/pt/product-datasheet/164203/133986","Ficha de Produto")</f>
        <v>Ficha de Produto</v>
      </c>
      <c r="H1112" s="34">
        <v>1</v>
      </c>
      <c r="I1112" s="34" t="s">
        <v>1139</v>
      </c>
      <c r="J1112" s="34" t="s">
        <v>6224</v>
      </c>
      <c r="K1112" s="34" t="s">
        <v>876</v>
      </c>
      <c r="L1112" s="34" t="s">
        <v>765</v>
      </c>
      <c r="M1112" s="30">
        <v>1410</v>
      </c>
      <c r="N1112" s="283" t="s">
        <v>721</v>
      </c>
    </row>
    <row r="1113" spans="1:14" s="32" customFormat="1" ht="14.25" customHeight="1">
      <c r="A1113" s="3" t="s">
        <v>641</v>
      </c>
      <c r="B1113" s="36" t="s">
        <v>142</v>
      </c>
      <c r="C1113" s="214">
        <v>4058075580626</v>
      </c>
      <c r="D1113" s="214"/>
      <c r="E1113" s="215"/>
      <c r="F1113" s="216"/>
      <c r="G1113" s="66" t="str">
        <f>HYPERLINK("https://ledvance.com/pt/product-datasheet/164204/133988","Ficha de Produto")</f>
        <v>Ficha de Produto</v>
      </c>
      <c r="H1113" s="34">
        <v>1</v>
      </c>
      <c r="I1113" s="34" t="s">
        <v>1140</v>
      </c>
      <c r="J1113" s="34" t="s">
        <v>6225</v>
      </c>
      <c r="K1113" s="34" t="s">
        <v>876</v>
      </c>
      <c r="L1113" s="34" t="s">
        <v>765</v>
      </c>
      <c r="M1113" s="30">
        <v>2095</v>
      </c>
      <c r="N1113" s="283" t="s">
        <v>721</v>
      </c>
    </row>
    <row r="1114" spans="1:14" s="32" customFormat="1" ht="14.25" customHeight="1">
      <c r="A1114" s="3" t="s">
        <v>641</v>
      </c>
      <c r="B1114" s="36" t="s">
        <v>143</v>
      </c>
      <c r="C1114" s="214">
        <v>4058075580633</v>
      </c>
      <c r="D1114" s="214"/>
      <c r="E1114" s="215"/>
      <c r="F1114" s="216"/>
      <c r="G1114" s="66" t="str">
        <f>HYPERLINK("https://ledvance.com/pt/product-datasheet/164204/133990","Ficha de Produto")</f>
        <v>Ficha de Produto</v>
      </c>
      <c r="H1114" s="34">
        <v>1</v>
      </c>
      <c r="I1114" s="34" t="s">
        <v>1141</v>
      </c>
      <c r="J1114" s="34" t="s">
        <v>6225</v>
      </c>
      <c r="K1114" s="34" t="s">
        <v>876</v>
      </c>
      <c r="L1114" s="34" t="s">
        <v>765</v>
      </c>
      <c r="M1114" s="30">
        <v>2095</v>
      </c>
      <c r="N1114" s="283" t="s">
        <v>721</v>
      </c>
    </row>
    <row r="1115" spans="1:14" s="32" customFormat="1" ht="14.25" customHeight="1">
      <c r="A1115" s="3" t="s">
        <v>641</v>
      </c>
      <c r="B1115" s="36" t="s">
        <v>144</v>
      </c>
      <c r="C1115" s="214">
        <v>4058075580640</v>
      </c>
      <c r="D1115" s="214"/>
      <c r="E1115" s="215"/>
      <c r="F1115" s="216"/>
      <c r="G1115" s="66" t="str">
        <f>HYPERLINK("https://ledvance.com/pt/product-datasheet/164204/133992","Ficha de Produto")</f>
        <v>Ficha de Produto</v>
      </c>
      <c r="H1115" s="34">
        <v>1</v>
      </c>
      <c r="I1115" s="34" t="s">
        <v>1142</v>
      </c>
      <c r="J1115" s="34" t="s">
        <v>6225</v>
      </c>
      <c r="K1115" s="34" t="s">
        <v>876</v>
      </c>
      <c r="L1115" s="34" t="s">
        <v>765</v>
      </c>
      <c r="M1115" s="30">
        <v>2095</v>
      </c>
      <c r="N1115" s="283" t="s">
        <v>721</v>
      </c>
    </row>
    <row r="1116" spans="1:14" s="32" customFormat="1" ht="14.25" customHeight="1">
      <c r="A1116" s="3" t="s">
        <v>641</v>
      </c>
      <c r="B1116" s="36" t="s">
        <v>145</v>
      </c>
      <c r="C1116" s="214">
        <v>4058075580657</v>
      </c>
      <c r="D1116" s="214"/>
      <c r="E1116" s="215"/>
      <c r="F1116" s="216"/>
      <c r="G1116" s="66" t="str">
        <f>HYPERLINK("https://ledvance.com/pt/product-datasheet/164204/133994","Ficha de Produto")</f>
        <v>Ficha de Produto</v>
      </c>
      <c r="H1116" s="34">
        <v>1</v>
      </c>
      <c r="I1116" s="34" t="s">
        <v>1143</v>
      </c>
      <c r="J1116" s="34" t="s">
        <v>6225</v>
      </c>
      <c r="K1116" s="34" t="s">
        <v>876</v>
      </c>
      <c r="L1116" s="34" t="s">
        <v>765</v>
      </c>
      <c r="M1116" s="30">
        <v>2095</v>
      </c>
      <c r="N1116" s="283" t="s">
        <v>721</v>
      </c>
    </row>
    <row r="1117" spans="1:14" s="32" customFormat="1" ht="14.25" customHeight="1">
      <c r="A1117" s="3" t="s">
        <v>641</v>
      </c>
      <c r="B1117" s="36" t="s">
        <v>146</v>
      </c>
      <c r="C1117" s="214">
        <v>4058075580664</v>
      </c>
      <c r="D1117" s="214"/>
      <c r="E1117" s="215"/>
      <c r="F1117" s="216"/>
      <c r="G1117" s="66" t="str">
        <f>HYPERLINK("https://ledvance.com/pt/product-datasheet/164205/133996","Ficha de Produto")</f>
        <v>Ficha de Produto</v>
      </c>
      <c r="H1117" s="34">
        <v>1</v>
      </c>
      <c r="I1117" s="34" t="s">
        <v>1144</v>
      </c>
      <c r="J1117" s="34" t="s">
        <v>6226</v>
      </c>
      <c r="K1117" s="34" t="s">
        <v>876</v>
      </c>
      <c r="L1117" s="34" t="s">
        <v>765</v>
      </c>
      <c r="M1117" s="30">
        <v>2720</v>
      </c>
      <c r="N1117" s="283" t="s">
        <v>721</v>
      </c>
    </row>
    <row r="1118" spans="1:14" s="32" customFormat="1" ht="14.25" customHeight="1">
      <c r="A1118" s="3" t="s">
        <v>641</v>
      </c>
      <c r="B1118" s="36" t="s">
        <v>147</v>
      </c>
      <c r="C1118" s="214">
        <v>4058075580671</v>
      </c>
      <c r="D1118" s="214"/>
      <c r="E1118" s="215"/>
      <c r="F1118" s="216"/>
      <c r="G1118" s="66" t="str">
        <f>HYPERLINK("https://ledvance.com/pt/product-datasheet/164205/133998","Ficha de Produto")</f>
        <v>Ficha de Produto</v>
      </c>
      <c r="H1118" s="34">
        <v>1</v>
      </c>
      <c r="I1118" s="34" t="s">
        <v>1145</v>
      </c>
      <c r="J1118" s="34" t="s">
        <v>6226</v>
      </c>
      <c r="K1118" s="34" t="s">
        <v>876</v>
      </c>
      <c r="L1118" s="34" t="s">
        <v>765</v>
      </c>
      <c r="M1118" s="30">
        <v>2720</v>
      </c>
      <c r="N1118" s="283" t="s">
        <v>721</v>
      </c>
    </row>
    <row r="1119" spans="1:14" s="32" customFormat="1" ht="14.25" customHeight="1">
      <c r="A1119" s="3" t="s">
        <v>641</v>
      </c>
      <c r="B1119" s="36" t="s">
        <v>148</v>
      </c>
      <c r="C1119" s="214">
        <v>4058075580688</v>
      </c>
      <c r="D1119" s="214"/>
      <c r="E1119" s="215"/>
      <c r="F1119" s="216"/>
      <c r="G1119" s="66" t="str">
        <f>HYPERLINK("https://ledvance.com/pt/product-datasheet/164205/134000","Ficha de Produto")</f>
        <v>Ficha de Produto</v>
      </c>
      <c r="H1119" s="34">
        <v>1</v>
      </c>
      <c r="I1119" s="34" t="s">
        <v>1146</v>
      </c>
      <c r="J1119" s="34" t="s">
        <v>6226</v>
      </c>
      <c r="K1119" s="34" t="s">
        <v>876</v>
      </c>
      <c r="L1119" s="34" t="s">
        <v>765</v>
      </c>
      <c r="M1119" s="30">
        <v>2720</v>
      </c>
      <c r="N1119" s="283" t="s">
        <v>721</v>
      </c>
    </row>
    <row r="1120" spans="1:14" s="32" customFormat="1" ht="14.25" customHeight="1">
      <c r="A1120" s="3" t="s">
        <v>641</v>
      </c>
      <c r="B1120" s="36" t="s">
        <v>149</v>
      </c>
      <c r="C1120" s="214">
        <v>4058075580695</v>
      </c>
      <c r="D1120" s="214"/>
      <c r="E1120" s="215"/>
      <c r="F1120" s="216"/>
      <c r="G1120" s="66" t="str">
        <f>HYPERLINK("https://ledvance.com/pt/product-datasheet/164205/134002","Ficha de Produto")</f>
        <v>Ficha de Produto</v>
      </c>
      <c r="H1120" s="34">
        <v>1</v>
      </c>
      <c r="I1120" s="34" t="s">
        <v>1147</v>
      </c>
      <c r="J1120" s="34" t="s">
        <v>6226</v>
      </c>
      <c r="K1120" s="34" t="s">
        <v>876</v>
      </c>
      <c r="L1120" s="34" t="s">
        <v>765</v>
      </c>
      <c r="M1120" s="30">
        <v>2720</v>
      </c>
      <c r="N1120" s="283" t="s">
        <v>721</v>
      </c>
    </row>
    <row r="1121" spans="1:14" s="32" customFormat="1" ht="14.25" customHeight="1">
      <c r="A1121" s="8" t="s">
        <v>641</v>
      </c>
      <c r="B1121" s="227" t="s">
        <v>689</v>
      </c>
      <c r="C1121" s="231"/>
      <c r="D1121" s="231"/>
      <c r="E1121" s="232"/>
      <c r="F1121" s="7"/>
      <c r="G1121" s="68"/>
      <c r="H1121" s="233"/>
      <c r="I1121" s="233"/>
      <c r="J1121" s="233"/>
      <c r="K1121" s="233"/>
      <c r="L1121" s="233"/>
      <c r="M1121" s="230"/>
      <c r="N1121" s="284"/>
    </row>
    <row r="1122" spans="1:14" s="32" customFormat="1" ht="14.25" customHeight="1">
      <c r="A1122" s="3" t="s">
        <v>641</v>
      </c>
      <c r="B1122" s="36" t="s">
        <v>150</v>
      </c>
      <c r="C1122" s="214">
        <v>4058075580718</v>
      </c>
      <c r="D1122" s="214"/>
      <c r="E1122" s="215"/>
      <c r="F1122" s="216"/>
      <c r="G1122" s="66" t="str">
        <f>HYPERLINK("https://ledvance.com/pt/product-datasheet/164206/134004","Ficha de Produto")</f>
        <v>Ficha de Produto</v>
      </c>
      <c r="H1122" s="34">
        <v>1</v>
      </c>
      <c r="I1122" s="217" t="s">
        <v>1201</v>
      </c>
      <c r="J1122" s="34" t="s">
        <v>6224</v>
      </c>
      <c r="K1122" s="34" t="s">
        <v>954</v>
      </c>
      <c r="L1122" s="34" t="s">
        <v>765</v>
      </c>
      <c r="M1122" s="30">
        <v>1205</v>
      </c>
      <c r="N1122" s="283" t="s">
        <v>721</v>
      </c>
    </row>
    <row r="1123" spans="1:14" s="32" customFormat="1" ht="14.25" customHeight="1">
      <c r="A1123" s="3" t="s">
        <v>641</v>
      </c>
      <c r="B1123" s="36" t="s">
        <v>151</v>
      </c>
      <c r="C1123" s="214">
        <v>4058075580732</v>
      </c>
      <c r="D1123" s="214"/>
      <c r="E1123" s="215"/>
      <c r="F1123" s="216"/>
      <c r="G1123" s="66" t="str">
        <f>HYPERLINK("https://ledvance.com/pt/product-datasheet/164206/134007","Ficha de Produto")</f>
        <v>Ficha de Produto</v>
      </c>
      <c r="H1123" s="34">
        <v>1</v>
      </c>
      <c r="I1123" s="217" t="s">
        <v>1201</v>
      </c>
      <c r="J1123" s="34" t="s">
        <v>6225</v>
      </c>
      <c r="K1123" s="34" t="s">
        <v>954</v>
      </c>
      <c r="L1123" s="34" t="s">
        <v>765</v>
      </c>
      <c r="M1123" s="30">
        <v>1412.5</v>
      </c>
      <c r="N1123" s="283" t="s">
        <v>721</v>
      </c>
    </row>
    <row r="1124" spans="1:14" s="32" customFormat="1" ht="14.25" customHeight="1">
      <c r="A1124" s="3" t="s">
        <v>641</v>
      </c>
      <c r="B1124" s="36" t="s">
        <v>152</v>
      </c>
      <c r="C1124" s="214">
        <v>4058075580749</v>
      </c>
      <c r="D1124" s="214"/>
      <c r="E1124" s="215"/>
      <c r="F1124" s="216"/>
      <c r="G1124" s="66" t="str">
        <f>HYPERLINK("https://ledvance.com/pt/product-datasheet/164206/134009","Ficha de Produto")</f>
        <v>Ficha de Produto</v>
      </c>
      <c r="H1124" s="34">
        <v>1</v>
      </c>
      <c r="I1124" s="217" t="s">
        <v>1201</v>
      </c>
      <c r="J1124" s="34" t="s">
        <v>6226</v>
      </c>
      <c r="K1124" s="34" t="s">
        <v>954</v>
      </c>
      <c r="L1124" s="34" t="s">
        <v>765</v>
      </c>
      <c r="M1124" s="30">
        <v>1950</v>
      </c>
      <c r="N1124" s="283" t="s">
        <v>721</v>
      </c>
    </row>
    <row r="1125" spans="1:14" s="32" customFormat="1" ht="14.25" customHeight="1">
      <c r="A1125" s="8" t="s">
        <v>641</v>
      </c>
      <c r="B1125" s="227" t="s">
        <v>687</v>
      </c>
      <c r="C1125" s="234"/>
      <c r="D1125" s="234"/>
      <c r="E1125" s="37"/>
      <c r="F1125" s="7"/>
      <c r="G1125" s="68"/>
      <c r="H1125" s="220"/>
      <c r="I1125" s="220"/>
      <c r="J1125" s="220"/>
      <c r="K1125" s="220"/>
      <c r="L1125" s="220"/>
      <c r="M1125" s="230"/>
      <c r="N1125" s="284"/>
    </row>
    <row r="1126" spans="1:14" s="32" customFormat="1" ht="14.25" customHeight="1">
      <c r="A1126" s="3" t="s">
        <v>641</v>
      </c>
      <c r="B1126" s="36" t="s">
        <v>126</v>
      </c>
      <c r="C1126" s="214">
        <v>4058075372443</v>
      </c>
      <c r="D1126" s="214"/>
      <c r="E1126" s="215"/>
      <c r="F1126" s="216"/>
      <c r="G1126" s="66" t="str">
        <f>HYPERLINK("https://ledvance.com/pt/product-datasheet/8950/125080","Ficha de Produto")</f>
        <v>Ficha de Produto</v>
      </c>
      <c r="H1126" s="34">
        <v>1</v>
      </c>
      <c r="I1126" s="34" t="s">
        <v>941</v>
      </c>
      <c r="J1126" s="34" t="s">
        <v>6227</v>
      </c>
      <c r="K1126" s="34" t="s">
        <v>822</v>
      </c>
      <c r="L1126" s="34" t="s">
        <v>765</v>
      </c>
      <c r="M1126" s="30">
        <v>790</v>
      </c>
      <c r="N1126" s="283" t="s">
        <v>721</v>
      </c>
    </row>
    <row r="1127" spans="1:14" s="32" customFormat="1" ht="14.25" customHeight="1">
      <c r="A1127" s="3" t="s">
        <v>641</v>
      </c>
      <c r="B1127" s="36" t="s">
        <v>127</v>
      </c>
      <c r="C1127" s="214">
        <v>4058075372450</v>
      </c>
      <c r="D1127" s="214"/>
      <c r="E1127" s="215"/>
      <c r="F1127" s="216"/>
      <c r="G1127" s="66" t="str">
        <f>HYPERLINK("https://ledvance.com/pt/product-datasheet/8950/125082","Ficha de Produto")</f>
        <v>Ficha de Produto</v>
      </c>
      <c r="H1127" s="34">
        <v>1</v>
      </c>
      <c r="I1127" s="34" t="s">
        <v>942</v>
      </c>
      <c r="J1127" s="34" t="s">
        <v>6227</v>
      </c>
      <c r="K1127" s="34" t="s">
        <v>822</v>
      </c>
      <c r="L1127" s="34" t="s">
        <v>765</v>
      </c>
      <c r="M1127" s="30">
        <v>790</v>
      </c>
      <c r="N1127" s="283" t="s">
        <v>721</v>
      </c>
    </row>
    <row r="1128" spans="1:14" s="32" customFormat="1" ht="14.25" customHeight="1">
      <c r="A1128" s="3" t="s">
        <v>641</v>
      </c>
      <c r="B1128" s="36" t="s">
        <v>128</v>
      </c>
      <c r="C1128" s="214">
        <v>4058075372467</v>
      </c>
      <c r="D1128" s="214"/>
      <c r="E1128" s="215"/>
      <c r="F1128" s="216"/>
      <c r="G1128" s="66" t="str">
        <f>HYPERLINK("https://ledvance.com/pt/product-datasheet/8950/99418","Ficha de Produto")</f>
        <v>Ficha de Produto</v>
      </c>
      <c r="H1128" s="34">
        <v>1</v>
      </c>
      <c r="I1128" s="34" t="s">
        <v>943</v>
      </c>
      <c r="J1128" s="34" t="s">
        <v>6227</v>
      </c>
      <c r="K1128" s="34" t="s">
        <v>822</v>
      </c>
      <c r="L1128" s="34" t="s">
        <v>765</v>
      </c>
      <c r="M1128" s="30">
        <v>790</v>
      </c>
      <c r="N1128" s="283" t="s">
        <v>721</v>
      </c>
    </row>
    <row r="1129" spans="1:14" s="32" customFormat="1" ht="14.25" customHeight="1">
      <c r="A1129" s="3" t="s">
        <v>641</v>
      </c>
      <c r="B1129" s="36" t="s">
        <v>129</v>
      </c>
      <c r="C1129" s="214">
        <v>4058075372474</v>
      </c>
      <c r="D1129" s="214"/>
      <c r="E1129" s="215"/>
      <c r="F1129" s="216"/>
      <c r="G1129" s="66" t="str">
        <f>HYPERLINK("https://ledvance.com/pt/product-datasheet/8950/125695","Ficha de Produto")</f>
        <v>Ficha de Produto</v>
      </c>
      <c r="H1129" s="34">
        <v>1</v>
      </c>
      <c r="I1129" s="34" t="s">
        <v>941</v>
      </c>
      <c r="J1129" s="34" t="s">
        <v>6227</v>
      </c>
      <c r="K1129" s="34" t="s">
        <v>822</v>
      </c>
      <c r="L1129" s="34" t="s">
        <v>765</v>
      </c>
      <c r="M1129" s="30">
        <v>790</v>
      </c>
      <c r="N1129" s="283" t="s">
        <v>721</v>
      </c>
    </row>
    <row r="1130" spans="1:14" s="32" customFormat="1" ht="14.25" customHeight="1">
      <c r="A1130" s="3" t="s">
        <v>641</v>
      </c>
      <c r="B1130" s="36" t="s">
        <v>130</v>
      </c>
      <c r="C1130" s="214">
        <v>4058075372481</v>
      </c>
      <c r="D1130" s="214"/>
      <c r="E1130" s="215"/>
      <c r="F1130" s="216"/>
      <c r="G1130" s="66" t="str">
        <f>HYPERLINK("https://ledvance.com/pt/product-datasheet/8950/124489","Ficha de Produto")</f>
        <v>Ficha de Produto</v>
      </c>
      <c r="H1130" s="34">
        <v>1</v>
      </c>
      <c r="I1130" s="34" t="s">
        <v>942</v>
      </c>
      <c r="J1130" s="34" t="s">
        <v>6227</v>
      </c>
      <c r="K1130" s="34" t="s">
        <v>822</v>
      </c>
      <c r="L1130" s="34" t="s">
        <v>765</v>
      </c>
      <c r="M1130" s="30">
        <v>790</v>
      </c>
      <c r="N1130" s="283" t="s">
        <v>721</v>
      </c>
    </row>
    <row r="1131" spans="1:14" s="32" customFormat="1" ht="14.25" customHeight="1">
      <c r="A1131" s="3" t="s">
        <v>641</v>
      </c>
      <c r="B1131" s="36" t="s">
        <v>131</v>
      </c>
      <c r="C1131" s="214">
        <v>4058075372498</v>
      </c>
      <c r="D1131" s="214"/>
      <c r="E1131" s="215"/>
      <c r="F1131" s="216"/>
      <c r="G1131" s="66" t="str">
        <f>HYPERLINK("https://ledvance.com/pt/product-datasheet/8950/125697","Ficha de Produto")</f>
        <v>Ficha de Produto</v>
      </c>
      <c r="H1131" s="34">
        <v>1</v>
      </c>
      <c r="I1131" s="34" t="s">
        <v>943</v>
      </c>
      <c r="J1131" s="34" t="s">
        <v>6227</v>
      </c>
      <c r="K1131" s="34" t="s">
        <v>822</v>
      </c>
      <c r="L1131" s="34" t="s">
        <v>765</v>
      </c>
      <c r="M1131" s="30">
        <v>790</v>
      </c>
      <c r="N1131" s="283" t="s">
        <v>721</v>
      </c>
    </row>
    <row r="1132" spans="1:14" s="32" customFormat="1" ht="14.25" customHeight="1">
      <c r="A1132" s="3" t="s">
        <v>641</v>
      </c>
      <c r="B1132" s="36" t="s">
        <v>132</v>
      </c>
      <c r="C1132" s="214">
        <v>4058075372528</v>
      </c>
      <c r="D1132" s="214"/>
      <c r="E1132" s="215"/>
      <c r="F1132" s="216"/>
      <c r="G1132" s="66" t="str">
        <f>HYPERLINK("https://ledvance.com/pt/product-datasheet/8950/125699","Ficha de Produto")</f>
        <v>Ficha de Produto</v>
      </c>
      <c r="H1132" s="34">
        <v>1</v>
      </c>
      <c r="I1132" s="34" t="s">
        <v>944</v>
      </c>
      <c r="J1132" s="34" t="s">
        <v>6228</v>
      </c>
      <c r="K1132" s="34" t="s">
        <v>822</v>
      </c>
      <c r="L1132" s="34" t="s">
        <v>765</v>
      </c>
      <c r="M1132" s="30">
        <v>1040</v>
      </c>
      <c r="N1132" s="283" t="s">
        <v>721</v>
      </c>
    </row>
    <row r="1133" spans="1:14" s="32" customFormat="1" ht="14.25" customHeight="1">
      <c r="A1133" s="3" t="s">
        <v>641</v>
      </c>
      <c r="B1133" s="36" t="s">
        <v>133</v>
      </c>
      <c r="C1133" s="214">
        <v>4058075372559</v>
      </c>
      <c r="D1133" s="214"/>
      <c r="E1133" s="215"/>
      <c r="F1133" s="216"/>
      <c r="G1133" s="66" t="str">
        <f>HYPERLINK("https://ledvance.com/pt/product-datasheet/8950/125701","Ficha de Produto")</f>
        <v>Ficha de Produto</v>
      </c>
      <c r="H1133" s="34">
        <v>1</v>
      </c>
      <c r="I1133" s="34" t="s">
        <v>945</v>
      </c>
      <c r="J1133" s="34" t="s">
        <v>6228</v>
      </c>
      <c r="K1133" s="34" t="s">
        <v>822</v>
      </c>
      <c r="L1133" s="34" t="s">
        <v>765</v>
      </c>
      <c r="M1133" s="30">
        <v>1040</v>
      </c>
      <c r="N1133" s="283" t="s">
        <v>721</v>
      </c>
    </row>
    <row r="1134" spans="1:14" s="32" customFormat="1" ht="14.25" customHeight="1">
      <c r="A1134" s="3" t="s">
        <v>641</v>
      </c>
      <c r="B1134" s="36" t="s">
        <v>134</v>
      </c>
      <c r="C1134" s="214">
        <v>4058075372580</v>
      </c>
      <c r="D1134" s="214"/>
      <c r="E1134" s="215"/>
      <c r="F1134" s="216"/>
      <c r="G1134" s="66" t="str">
        <f>HYPERLINK("https://ledvance.com/pt/product-datasheet/8950/99420","Ficha de Produto")</f>
        <v>Ficha de Produto</v>
      </c>
      <c r="H1134" s="34">
        <v>1</v>
      </c>
      <c r="I1134" s="34" t="s">
        <v>946</v>
      </c>
      <c r="J1134" s="34" t="s">
        <v>6228</v>
      </c>
      <c r="K1134" s="34" t="s">
        <v>822</v>
      </c>
      <c r="L1134" s="34" t="s">
        <v>765</v>
      </c>
      <c r="M1134" s="30">
        <v>1040</v>
      </c>
      <c r="N1134" s="283" t="s">
        <v>721</v>
      </c>
    </row>
    <row r="1135" spans="1:14" s="32" customFormat="1" ht="14.25" customHeight="1">
      <c r="A1135" s="3" t="s">
        <v>641</v>
      </c>
      <c r="B1135" s="36" t="s">
        <v>135</v>
      </c>
      <c r="C1135" s="214">
        <v>4058075372610</v>
      </c>
      <c r="D1135" s="214"/>
      <c r="E1135" s="215"/>
      <c r="F1135" s="216"/>
      <c r="G1135" s="66" t="str">
        <f>HYPERLINK("https://ledvance.com/pt/product-datasheet/8950/125703","Ficha de Produto")</f>
        <v>Ficha de Produto</v>
      </c>
      <c r="H1135" s="34">
        <v>1</v>
      </c>
      <c r="I1135" s="34" t="s">
        <v>944</v>
      </c>
      <c r="J1135" s="34" t="s">
        <v>6228</v>
      </c>
      <c r="K1135" s="34" t="s">
        <v>822</v>
      </c>
      <c r="L1135" s="34" t="s">
        <v>765</v>
      </c>
      <c r="M1135" s="30">
        <v>1040</v>
      </c>
      <c r="N1135" s="283" t="s">
        <v>721</v>
      </c>
    </row>
    <row r="1136" spans="1:14" s="32" customFormat="1" ht="14.25" customHeight="1">
      <c r="A1136" s="3" t="s">
        <v>641</v>
      </c>
      <c r="B1136" s="36" t="s">
        <v>136</v>
      </c>
      <c r="C1136" s="214">
        <v>4058075372627</v>
      </c>
      <c r="D1136" s="214"/>
      <c r="E1136" s="215"/>
      <c r="F1136" s="216"/>
      <c r="G1136" s="66" t="str">
        <f>HYPERLINK("https://ledvance.com/pt/product-datasheet/8950/125705","Ficha de Produto")</f>
        <v>Ficha de Produto</v>
      </c>
      <c r="H1136" s="34">
        <v>1</v>
      </c>
      <c r="I1136" s="34" t="s">
        <v>945</v>
      </c>
      <c r="J1136" s="34" t="s">
        <v>6228</v>
      </c>
      <c r="K1136" s="34" t="s">
        <v>822</v>
      </c>
      <c r="L1136" s="34" t="s">
        <v>765</v>
      </c>
      <c r="M1136" s="30">
        <v>1040</v>
      </c>
      <c r="N1136" s="283" t="s">
        <v>721</v>
      </c>
    </row>
    <row r="1137" spans="1:14" s="32" customFormat="1" ht="14.25" customHeight="1">
      <c r="A1137" s="3" t="s">
        <v>641</v>
      </c>
      <c r="B1137" s="36" t="s">
        <v>137</v>
      </c>
      <c r="C1137" s="214">
        <v>4058075372658</v>
      </c>
      <c r="D1137" s="214"/>
      <c r="E1137" s="215"/>
      <c r="F1137" s="216"/>
      <c r="G1137" s="66" t="str">
        <f>HYPERLINK("https://ledvance.com/pt/product-datasheet/8950/125707","Ficha de Produto")</f>
        <v>Ficha de Produto</v>
      </c>
      <c r="H1137" s="34">
        <v>1</v>
      </c>
      <c r="I1137" s="34" t="s">
        <v>946</v>
      </c>
      <c r="J1137" s="34" t="s">
        <v>6228</v>
      </c>
      <c r="K1137" s="34" t="s">
        <v>822</v>
      </c>
      <c r="L1137" s="34" t="s">
        <v>765</v>
      </c>
      <c r="M1137" s="30">
        <v>1040</v>
      </c>
      <c r="N1137" s="283" t="s">
        <v>721</v>
      </c>
    </row>
    <row r="1138" spans="1:14" s="32" customFormat="1" ht="14.25" customHeight="1">
      <c r="A1138" s="8" t="s">
        <v>641</v>
      </c>
      <c r="B1138" s="227" t="s">
        <v>698</v>
      </c>
      <c r="C1138" s="231"/>
      <c r="D1138" s="231"/>
      <c r="E1138" s="232"/>
      <c r="F1138" s="7"/>
      <c r="G1138" s="68" t="s">
        <v>6505</v>
      </c>
      <c r="H1138" s="233"/>
      <c r="I1138" s="233"/>
      <c r="J1138" s="233"/>
      <c r="K1138" s="233"/>
      <c r="L1138" s="233"/>
      <c r="M1138" s="230"/>
      <c r="N1138" s="284"/>
    </row>
    <row r="1139" spans="1:14" s="32" customFormat="1" ht="14.25" customHeight="1">
      <c r="A1139" s="3" t="s">
        <v>641</v>
      </c>
      <c r="B1139" s="36" t="s">
        <v>3574</v>
      </c>
      <c r="C1139" s="214">
        <v>4058075552234</v>
      </c>
      <c r="D1139" s="214"/>
      <c r="E1139" s="215"/>
      <c r="F1139" s="216"/>
      <c r="G1139" s="66" t="str">
        <f>HYPERLINK("https://ledvance.com/pt/product-datasheet/145501/43144","Ficha de Produto")</f>
        <v>Ficha de Produto</v>
      </c>
      <c r="H1139" s="34">
        <v>1</v>
      </c>
      <c r="I1139" s="34" t="s">
        <v>958</v>
      </c>
      <c r="J1139" s="34" t="s">
        <v>6114</v>
      </c>
      <c r="K1139" s="34" t="s">
        <v>876</v>
      </c>
      <c r="L1139" s="34" t="s">
        <v>765</v>
      </c>
      <c r="M1139" s="30">
        <v>335</v>
      </c>
      <c r="N1139" s="283" t="s">
        <v>721</v>
      </c>
    </row>
    <row r="1140" spans="1:14" s="32" customFormat="1" ht="14.25" customHeight="1">
      <c r="A1140" s="3" t="s">
        <v>641</v>
      </c>
      <c r="B1140" s="36" t="s">
        <v>3575</v>
      </c>
      <c r="C1140" s="214">
        <v>4058075552241</v>
      </c>
      <c r="D1140" s="214"/>
      <c r="E1140" s="215"/>
      <c r="F1140" s="216"/>
      <c r="G1140" s="66" t="str">
        <f>HYPERLINK("https://ledvance.com/pt/product-datasheet/145501/43146","Ficha de Produto")</f>
        <v>Ficha de Produto</v>
      </c>
      <c r="H1140" s="34">
        <v>1</v>
      </c>
      <c r="I1140" s="34" t="s">
        <v>936</v>
      </c>
      <c r="J1140" s="34" t="s">
        <v>6114</v>
      </c>
      <c r="K1140" s="34" t="s">
        <v>876</v>
      </c>
      <c r="L1140" s="34" t="s">
        <v>765</v>
      </c>
      <c r="M1140" s="30">
        <v>335</v>
      </c>
      <c r="N1140" s="283" t="s">
        <v>721</v>
      </c>
    </row>
    <row r="1141" spans="1:14" s="32" customFormat="1" ht="14.25" customHeight="1">
      <c r="A1141" s="3" t="s">
        <v>641</v>
      </c>
      <c r="B1141" s="36" t="s">
        <v>3576</v>
      </c>
      <c r="C1141" s="214">
        <v>4058075552258</v>
      </c>
      <c r="D1141" s="214"/>
      <c r="E1141" s="215"/>
      <c r="F1141" s="216"/>
      <c r="G1141" s="66" t="str">
        <f>HYPERLINK("https://ledvance.com/pt/product-datasheet/145501/43148","Ficha de Produto")</f>
        <v>Ficha de Produto</v>
      </c>
      <c r="H1141" s="34">
        <v>1</v>
      </c>
      <c r="I1141" s="34" t="s">
        <v>1148</v>
      </c>
      <c r="J1141" s="34" t="s">
        <v>6114</v>
      </c>
      <c r="K1141" s="34" t="s">
        <v>876</v>
      </c>
      <c r="L1141" s="34" t="s">
        <v>765</v>
      </c>
      <c r="M1141" s="30">
        <v>335</v>
      </c>
      <c r="N1141" s="283" t="s">
        <v>721</v>
      </c>
    </row>
    <row r="1142" spans="1:14" s="32" customFormat="1" ht="14.25" customHeight="1">
      <c r="A1142" s="3" t="s">
        <v>641</v>
      </c>
      <c r="B1142" s="36" t="s">
        <v>3578</v>
      </c>
      <c r="C1142" s="214">
        <v>4058075552265</v>
      </c>
      <c r="D1142" s="214"/>
      <c r="E1142" s="215"/>
      <c r="F1142" s="216"/>
      <c r="G1142" s="66" t="str">
        <f>HYPERLINK("https://ledvance.com/pt/product-datasheet/145501/43150","Ficha de Produto")</f>
        <v>Ficha de Produto</v>
      </c>
      <c r="H1142" s="34">
        <v>1</v>
      </c>
      <c r="I1142" s="34" t="s">
        <v>1149</v>
      </c>
      <c r="J1142" s="34" t="s">
        <v>6121</v>
      </c>
      <c r="K1142" s="34" t="s">
        <v>876</v>
      </c>
      <c r="L1142" s="34" t="s">
        <v>765</v>
      </c>
      <c r="M1142" s="30">
        <v>350</v>
      </c>
      <c r="N1142" s="283" t="s">
        <v>721</v>
      </c>
    </row>
    <row r="1143" spans="1:14" s="32" customFormat="1" ht="14.25" customHeight="1">
      <c r="A1143" s="3" t="s">
        <v>641</v>
      </c>
      <c r="B1143" s="36" t="s">
        <v>3577</v>
      </c>
      <c r="C1143" s="214">
        <v>4058075552272</v>
      </c>
      <c r="D1143" s="214"/>
      <c r="E1143" s="215"/>
      <c r="F1143" s="216"/>
      <c r="G1143" s="66" t="str">
        <f>HYPERLINK("https://ledvance.com/pt/product-datasheet/145501/43152","Ficha de Produto")</f>
        <v>Ficha de Produto</v>
      </c>
      <c r="H1143" s="34">
        <v>1</v>
      </c>
      <c r="I1143" s="34" t="s">
        <v>1150</v>
      </c>
      <c r="J1143" s="34" t="s">
        <v>6121</v>
      </c>
      <c r="K1143" s="34" t="s">
        <v>876</v>
      </c>
      <c r="L1143" s="34" t="s">
        <v>765</v>
      </c>
      <c r="M1143" s="30">
        <v>350</v>
      </c>
      <c r="N1143" s="283" t="s">
        <v>721</v>
      </c>
    </row>
    <row r="1144" spans="1:14" s="32" customFormat="1" ht="14.25" customHeight="1">
      <c r="A1144" s="3" t="s">
        <v>641</v>
      </c>
      <c r="B1144" s="36" t="s">
        <v>3579</v>
      </c>
      <c r="C1144" s="214">
        <v>4058075552289</v>
      </c>
      <c r="D1144" s="214"/>
      <c r="E1144" s="215"/>
      <c r="F1144" s="216"/>
      <c r="G1144" s="66" t="str">
        <f>HYPERLINK("https://ledvance.com/pt/product-datasheet/145501/43154","Ficha de Produto")</f>
        <v>Ficha de Produto</v>
      </c>
      <c r="H1144" s="34">
        <v>1</v>
      </c>
      <c r="I1144" s="34" t="s">
        <v>802</v>
      </c>
      <c r="J1144" s="34" t="s">
        <v>6121</v>
      </c>
      <c r="K1144" s="34" t="s">
        <v>876</v>
      </c>
      <c r="L1144" s="34" t="s">
        <v>765</v>
      </c>
      <c r="M1144" s="30">
        <v>350</v>
      </c>
      <c r="N1144" s="283" t="s">
        <v>721</v>
      </c>
    </row>
    <row r="1145" spans="1:14" s="32" customFormat="1" ht="14.25" customHeight="1">
      <c r="A1145" s="3" t="s">
        <v>641</v>
      </c>
      <c r="B1145" s="36" t="s">
        <v>3580</v>
      </c>
      <c r="C1145" s="214">
        <v>4058075552296</v>
      </c>
      <c r="D1145" s="214"/>
      <c r="E1145" s="215"/>
      <c r="F1145" s="216"/>
      <c r="G1145" s="66" t="str">
        <f>HYPERLINK("https://ledvance.com/pt/product-datasheet/145501/43156","Ficha de Produto")</f>
        <v>Ficha de Produto</v>
      </c>
      <c r="H1145" s="34">
        <v>1</v>
      </c>
      <c r="I1145" s="34" t="s">
        <v>960</v>
      </c>
      <c r="J1145" s="34" t="s">
        <v>6143</v>
      </c>
      <c r="K1145" s="34" t="s">
        <v>876</v>
      </c>
      <c r="L1145" s="34" t="s">
        <v>765</v>
      </c>
      <c r="M1145" s="30">
        <v>375</v>
      </c>
      <c r="N1145" s="283" t="s">
        <v>721</v>
      </c>
    </row>
    <row r="1146" spans="1:14" s="32" customFormat="1" ht="14.25" customHeight="1">
      <c r="A1146" s="3" t="s">
        <v>641</v>
      </c>
      <c r="B1146" s="36" t="s">
        <v>3575</v>
      </c>
      <c r="C1146" s="214">
        <v>4058075552302</v>
      </c>
      <c r="D1146" s="214"/>
      <c r="E1146" s="215"/>
      <c r="F1146" s="216"/>
      <c r="G1146" s="66" t="str">
        <f>HYPERLINK("https://ledvance.com/pt/product-datasheet/145501/43158","Ficha de Produto")</f>
        <v>Ficha de Produto</v>
      </c>
      <c r="H1146" s="34">
        <v>1</v>
      </c>
      <c r="I1146" s="34" t="s">
        <v>947</v>
      </c>
      <c r="J1146" s="34" t="s">
        <v>6143</v>
      </c>
      <c r="K1146" s="34" t="s">
        <v>876</v>
      </c>
      <c r="L1146" s="34" t="s">
        <v>765</v>
      </c>
      <c r="M1146" s="30">
        <v>375</v>
      </c>
      <c r="N1146" s="283" t="s">
        <v>721</v>
      </c>
    </row>
    <row r="1147" spans="1:14" s="32" customFormat="1" ht="14.25" customHeight="1">
      <c r="A1147" s="3" t="s">
        <v>641</v>
      </c>
      <c r="B1147" s="36" t="s">
        <v>3581</v>
      </c>
      <c r="C1147" s="214">
        <v>4058075552319</v>
      </c>
      <c r="D1147" s="214"/>
      <c r="E1147" s="215"/>
      <c r="F1147" s="216"/>
      <c r="G1147" s="66" t="str">
        <f>HYPERLINK("https://ledvance.com/pt/product-datasheet/145501/43160","Ficha de Produto")</f>
        <v>Ficha de Produto</v>
      </c>
      <c r="H1147" s="34">
        <v>1</v>
      </c>
      <c r="I1147" s="34" t="s">
        <v>1151</v>
      </c>
      <c r="J1147" s="34" t="s">
        <v>6143</v>
      </c>
      <c r="K1147" s="34" t="s">
        <v>876</v>
      </c>
      <c r="L1147" s="34" t="s">
        <v>765</v>
      </c>
      <c r="M1147" s="30">
        <v>375</v>
      </c>
      <c r="N1147" s="283" t="s">
        <v>721</v>
      </c>
    </row>
    <row r="1148" spans="1:14" s="32" customFormat="1" ht="14.25" customHeight="1">
      <c r="A1148" s="3" t="s">
        <v>641</v>
      </c>
      <c r="B1148" s="36" t="s">
        <v>3584</v>
      </c>
      <c r="C1148" s="214">
        <v>4058075552326</v>
      </c>
      <c r="D1148" s="214"/>
      <c r="E1148" s="215"/>
      <c r="F1148" s="216"/>
      <c r="G1148" s="66" t="str">
        <f>HYPERLINK("https://ledvance.com/pt/product-datasheet/145503/43162","Ficha de Produto")</f>
        <v>Ficha de Produto</v>
      </c>
      <c r="H1148" s="34">
        <v>1</v>
      </c>
      <c r="I1148" s="34" t="s">
        <v>1152</v>
      </c>
      <c r="J1148" s="34" t="s">
        <v>6185</v>
      </c>
      <c r="K1148" s="34" t="s">
        <v>876</v>
      </c>
      <c r="L1148" s="34" t="s">
        <v>765</v>
      </c>
      <c r="M1148" s="30">
        <v>450</v>
      </c>
      <c r="N1148" s="283" t="s">
        <v>721</v>
      </c>
    </row>
    <row r="1149" spans="1:14" s="32" customFormat="1" ht="14.25" customHeight="1">
      <c r="A1149" s="3" t="s">
        <v>641</v>
      </c>
      <c r="B1149" s="36" t="s">
        <v>3582</v>
      </c>
      <c r="C1149" s="214">
        <v>4058075552333</v>
      </c>
      <c r="D1149" s="214"/>
      <c r="E1149" s="215"/>
      <c r="F1149" s="216"/>
      <c r="G1149" s="66" t="str">
        <f>HYPERLINK("https://ledvance.com/pt/product-datasheet/145503/43164","Ficha de Produto")</f>
        <v>Ficha de Produto</v>
      </c>
      <c r="H1149" s="34">
        <v>1</v>
      </c>
      <c r="I1149" s="34" t="s">
        <v>1153</v>
      </c>
      <c r="J1149" s="34" t="s">
        <v>6185</v>
      </c>
      <c r="K1149" s="34" t="s">
        <v>876</v>
      </c>
      <c r="L1149" s="34" t="s">
        <v>765</v>
      </c>
      <c r="M1149" s="30">
        <v>450</v>
      </c>
      <c r="N1149" s="283" t="s">
        <v>721</v>
      </c>
    </row>
    <row r="1150" spans="1:14" s="32" customFormat="1" ht="14.25" customHeight="1">
      <c r="A1150" s="3" t="s">
        <v>641</v>
      </c>
      <c r="B1150" s="36" t="s">
        <v>3585</v>
      </c>
      <c r="C1150" s="214">
        <v>4058075552340</v>
      </c>
      <c r="D1150" s="214"/>
      <c r="E1150" s="215"/>
      <c r="F1150" s="216"/>
      <c r="G1150" s="66" t="str">
        <f>HYPERLINK("https://ledvance.com/pt/product-datasheet/145503/43166","Ficha de Produto")</f>
        <v>Ficha de Produto</v>
      </c>
      <c r="H1150" s="34">
        <v>1</v>
      </c>
      <c r="I1150" s="34" t="s">
        <v>961</v>
      </c>
      <c r="J1150" s="34" t="s">
        <v>6185</v>
      </c>
      <c r="K1150" s="34" t="s">
        <v>876</v>
      </c>
      <c r="L1150" s="34" t="s">
        <v>765</v>
      </c>
      <c r="M1150" s="30">
        <v>450</v>
      </c>
      <c r="N1150" s="283" t="s">
        <v>721</v>
      </c>
    </row>
    <row r="1151" spans="1:14" s="32" customFormat="1" ht="14.25" customHeight="1">
      <c r="A1151" s="3" t="s">
        <v>641</v>
      </c>
      <c r="B1151" s="36" t="s">
        <v>3586</v>
      </c>
      <c r="C1151" s="214">
        <v>4058075552357</v>
      </c>
      <c r="D1151" s="214"/>
      <c r="E1151" s="215"/>
      <c r="F1151" s="216"/>
      <c r="G1151" s="66" t="str">
        <f>HYPERLINK("https://ledvance.com/pt/product-datasheet/145503/43168","Ficha de Produto")</f>
        <v>Ficha de Produto</v>
      </c>
      <c r="H1151" s="34">
        <v>1</v>
      </c>
      <c r="I1151" s="34" t="s">
        <v>1154</v>
      </c>
      <c r="J1151" s="34" t="s">
        <v>6197</v>
      </c>
      <c r="K1151" s="34" t="s">
        <v>876</v>
      </c>
      <c r="L1151" s="34" t="s">
        <v>765</v>
      </c>
      <c r="M1151" s="30">
        <v>500</v>
      </c>
      <c r="N1151" s="283" t="s">
        <v>721</v>
      </c>
    </row>
    <row r="1152" spans="1:14" s="32" customFormat="1" ht="14.25" customHeight="1">
      <c r="A1152" s="3" t="s">
        <v>641</v>
      </c>
      <c r="B1152" s="36" t="s">
        <v>3583</v>
      </c>
      <c r="C1152" s="214">
        <v>4058075552371</v>
      </c>
      <c r="D1152" s="214"/>
      <c r="E1152" s="215"/>
      <c r="F1152" s="216"/>
      <c r="G1152" s="66" t="str">
        <f>HYPERLINK("https://ledvance.com/pt/product-datasheet/145503/43077","Ficha de Produto")</f>
        <v>Ficha de Produto</v>
      </c>
      <c r="H1152" s="34">
        <v>1</v>
      </c>
      <c r="I1152" s="34" t="s">
        <v>1156</v>
      </c>
      <c r="J1152" s="34" t="s">
        <v>6197</v>
      </c>
      <c r="K1152" s="34" t="s">
        <v>876</v>
      </c>
      <c r="L1152" s="34" t="s">
        <v>765</v>
      </c>
      <c r="M1152" s="30">
        <v>500</v>
      </c>
      <c r="N1152" s="283" t="s">
        <v>721</v>
      </c>
    </row>
    <row r="1153" spans="1:14" s="32" customFormat="1" ht="14.25" customHeight="1">
      <c r="A1153" s="3" t="s">
        <v>641</v>
      </c>
      <c r="B1153" s="36" t="s">
        <v>3587</v>
      </c>
      <c r="C1153" s="214">
        <v>4058075552395</v>
      </c>
      <c r="D1153" s="214"/>
      <c r="E1153" s="215"/>
      <c r="F1153" s="216"/>
      <c r="G1153" s="66" t="str">
        <f>HYPERLINK("https://ledvance.com/pt/product-datasheet/145503/43081","Ficha de Produto")</f>
        <v>Ficha de Produto</v>
      </c>
      <c r="H1153" s="34">
        <v>1</v>
      </c>
      <c r="I1153" s="34" t="s">
        <v>1158</v>
      </c>
      <c r="J1153" s="34" t="s">
        <v>6197</v>
      </c>
      <c r="K1153" s="34" t="s">
        <v>876</v>
      </c>
      <c r="L1153" s="34" t="s">
        <v>765</v>
      </c>
      <c r="M1153" s="30">
        <v>500</v>
      </c>
      <c r="N1153" s="283" t="s">
        <v>721</v>
      </c>
    </row>
    <row r="1154" spans="1:14" s="32" customFormat="1" ht="14.25" customHeight="1">
      <c r="A1154" s="3" t="s">
        <v>641</v>
      </c>
      <c r="B1154" s="36" t="s">
        <v>3588</v>
      </c>
      <c r="C1154" s="214">
        <v>4058075552364</v>
      </c>
      <c r="D1154" s="214"/>
      <c r="E1154" s="215"/>
      <c r="F1154" s="216"/>
      <c r="G1154" s="66" t="str">
        <f>HYPERLINK("https://ledvance.com/pt/product-datasheet/145504/43170","Ficha de Produto")</f>
        <v>Ficha de Produto</v>
      </c>
      <c r="H1154" s="34">
        <v>1</v>
      </c>
      <c r="I1154" s="34" t="s">
        <v>1155</v>
      </c>
      <c r="J1154" s="34" t="s">
        <v>6197</v>
      </c>
      <c r="K1154" s="34" t="s">
        <v>876</v>
      </c>
      <c r="L1154" s="34" t="s">
        <v>765</v>
      </c>
      <c r="M1154" s="30">
        <v>500</v>
      </c>
      <c r="N1154" s="283" t="s">
        <v>721</v>
      </c>
    </row>
    <row r="1155" spans="1:14" s="32" customFormat="1" ht="14.25" customHeight="1">
      <c r="A1155" s="3" t="s">
        <v>641</v>
      </c>
      <c r="B1155" s="36" t="s">
        <v>3590</v>
      </c>
      <c r="C1155" s="214">
        <v>4058075552388</v>
      </c>
      <c r="D1155" s="214"/>
      <c r="E1155" s="215"/>
      <c r="F1155" s="216"/>
      <c r="G1155" s="66" t="str">
        <f>HYPERLINK("https://ledvance.com/pt/product-datasheet/145504/43079","Ficha de Produto")</f>
        <v>Ficha de Produto</v>
      </c>
      <c r="H1155" s="34">
        <v>1</v>
      </c>
      <c r="I1155" s="34" t="s">
        <v>1157</v>
      </c>
      <c r="J1155" s="34" t="s">
        <v>6197</v>
      </c>
      <c r="K1155" s="34" t="s">
        <v>876</v>
      </c>
      <c r="L1155" s="34" t="s">
        <v>765</v>
      </c>
      <c r="M1155" s="30">
        <v>500</v>
      </c>
      <c r="N1155" s="283" t="s">
        <v>721</v>
      </c>
    </row>
    <row r="1156" spans="1:14" s="32" customFormat="1" ht="14.25" customHeight="1">
      <c r="A1156" s="3" t="s">
        <v>641</v>
      </c>
      <c r="B1156" s="36" t="s">
        <v>3589</v>
      </c>
      <c r="C1156" s="214">
        <v>4058075552401</v>
      </c>
      <c r="D1156" s="214"/>
      <c r="E1156" s="215"/>
      <c r="F1156" s="216"/>
      <c r="G1156" s="66" t="str">
        <f>HYPERLINK("https://ledvance.com/pt/product-datasheet/145504/43083","Ficha de Produto")</f>
        <v>Ficha de Produto</v>
      </c>
      <c r="H1156" s="34">
        <v>1</v>
      </c>
      <c r="I1156" s="34" t="s">
        <v>1159</v>
      </c>
      <c r="J1156" s="34" t="s">
        <v>6197</v>
      </c>
      <c r="K1156" s="34" t="s">
        <v>876</v>
      </c>
      <c r="L1156" s="34" t="s">
        <v>765</v>
      </c>
      <c r="M1156" s="30">
        <v>500</v>
      </c>
      <c r="N1156" s="283" t="s">
        <v>721</v>
      </c>
    </row>
    <row r="1157" spans="1:14" s="32" customFormat="1" ht="14.25" customHeight="1">
      <c r="A1157" s="3" t="s">
        <v>641</v>
      </c>
      <c r="B1157" s="36" t="s">
        <v>3592</v>
      </c>
      <c r="C1157" s="214">
        <v>4058075552418</v>
      </c>
      <c r="D1157" s="214"/>
      <c r="E1157" s="215"/>
      <c r="F1157" s="216"/>
      <c r="G1157" s="66" t="str">
        <f>HYPERLINK("https://ledvance.com/pt/product-datasheet/145506/43085","Ficha de Produto")</f>
        <v>Ficha de Produto</v>
      </c>
      <c r="H1157" s="34">
        <v>1</v>
      </c>
      <c r="I1157" s="34" t="s">
        <v>1160</v>
      </c>
      <c r="J1157" s="34" t="s">
        <v>6229</v>
      </c>
      <c r="K1157" s="34" t="s">
        <v>876</v>
      </c>
      <c r="L1157" s="34" t="s">
        <v>765</v>
      </c>
      <c r="M1157" s="30">
        <v>592.5</v>
      </c>
      <c r="N1157" s="283" t="s">
        <v>721</v>
      </c>
    </row>
    <row r="1158" spans="1:14" s="32" customFormat="1" ht="14.25" customHeight="1">
      <c r="A1158" s="3" t="s">
        <v>641</v>
      </c>
      <c r="B1158" s="36" t="s">
        <v>3591</v>
      </c>
      <c r="C1158" s="214">
        <v>4058075552432</v>
      </c>
      <c r="D1158" s="214"/>
      <c r="E1158" s="215"/>
      <c r="F1158" s="216"/>
      <c r="G1158" s="66" t="str">
        <f>HYPERLINK("https://ledvance.com/pt/product-datasheet/145506/43089","Ficha de Produto")</f>
        <v>Ficha de Produto</v>
      </c>
      <c r="H1158" s="34">
        <v>1</v>
      </c>
      <c r="I1158" s="34" t="s">
        <v>950</v>
      </c>
      <c r="J1158" s="34" t="s">
        <v>6229</v>
      </c>
      <c r="K1158" s="34" t="s">
        <v>876</v>
      </c>
      <c r="L1158" s="34" t="s">
        <v>765</v>
      </c>
      <c r="M1158" s="30">
        <v>592.5</v>
      </c>
      <c r="N1158" s="283" t="s">
        <v>721</v>
      </c>
    </row>
    <row r="1159" spans="1:14" s="32" customFormat="1" ht="14.25" customHeight="1">
      <c r="A1159" s="3" t="s">
        <v>641</v>
      </c>
      <c r="B1159" s="36" t="s">
        <v>3593</v>
      </c>
      <c r="C1159" s="214">
        <v>4058075552456</v>
      </c>
      <c r="D1159" s="214"/>
      <c r="E1159" s="215"/>
      <c r="F1159" s="216"/>
      <c r="G1159" s="66" t="str">
        <f>HYPERLINK("https://ledvance.com/pt/product-datasheet/145506/43093","Ficha de Produto")</f>
        <v>Ficha de Produto</v>
      </c>
      <c r="H1159" s="34">
        <v>1</v>
      </c>
      <c r="I1159" s="34" t="s">
        <v>1163</v>
      </c>
      <c r="J1159" s="34" t="s">
        <v>6229</v>
      </c>
      <c r="K1159" s="34" t="s">
        <v>876</v>
      </c>
      <c r="L1159" s="34" t="s">
        <v>765</v>
      </c>
      <c r="M1159" s="30">
        <v>592.5</v>
      </c>
      <c r="N1159" s="283" t="s">
        <v>721</v>
      </c>
    </row>
    <row r="1160" spans="1:14" s="32" customFormat="1" ht="14.25" customHeight="1">
      <c r="A1160" s="3" t="s">
        <v>641</v>
      </c>
      <c r="B1160" s="36" t="s">
        <v>3594</v>
      </c>
      <c r="C1160" s="214">
        <v>4058075552425</v>
      </c>
      <c r="D1160" s="214"/>
      <c r="E1160" s="215"/>
      <c r="F1160" s="216"/>
      <c r="G1160" s="66" t="str">
        <f>HYPERLINK("https://ledvance.com/pt/product-datasheet/145507/43087","Ficha de Produto")</f>
        <v>Ficha de Produto</v>
      </c>
      <c r="H1160" s="34">
        <v>1</v>
      </c>
      <c r="I1160" s="34" t="s">
        <v>1161</v>
      </c>
      <c r="J1160" s="34" t="s">
        <v>6229</v>
      </c>
      <c r="K1160" s="34" t="s">
        <v>876</v>
      </c>
      <c r="L1160" s="34" t="s">
        <v>765</v>
      </c>
      <c r="M1160" s="30">
        <v>592.5</v>
      </c>
      <c r="N1160" s="283" t="s">
        <v>721</v>
      </c>
    </row>
    <row r="1161" spans="1:14" s="32" customFormat="1" ht="14.25" customHeight="1">
      <c r="A1161" s="3" t="s">
        <v>641</v>
      </c>
      <c r="B1161" s="36" t="s">
        <v>3596</v>
      </c>
      <c r="C1161" s="214">
        <v>4058075552449</v>
      </c>
      <c r="D1161" s="214"/>
      <c r="E1161" s="215"/>
      <c r="F1161" s="216"/>
      <c r="G1161" s="66" t="str">
        <f>HYPERLINK("https://ledvance.com/pt/product-datasheet/145507/43091","Ficha de Produto")</f>
        <v>Ficha de Produto</v>
      </c>
      <c r="H1161" s="34">
        <v>1</v>
      </c>
      <c r="I1161" s="34" t="s">
        <v>1162</v>
      </c>
      <c r="J1161" s="34" t="s">
        <v>6229</v>
      </c>
      <c r="K1161" s="34" t="s">
        <v>876</v>
      </c>
      <c r="L1161" s="34" t="s">
        <v>765</v>
      </c>
      <c r="M1161" s="30">
        <v>592.5</v>
      </c>
      <c r="N1161" s="283" t="s">
        <v>721</v>
      </c>
    </row>
    <row r="1162" spans="1:14" s="32" customFormat="1" ht="14.25" customHeight="1">
      <c r="A1162" s="3" t="s">
        <v>641</v>
      </c>
      <c r="B1162" s="36" t="s">
        <v>3595</v>
      </c>
      <c r="C1162" s="214">
        <v>4058075552463</v>
      </c>
      <c r="D1162" s="214"/>
      <c r="E1162" s="215"/>
      <c r="F1162" s="216"/>
      <c r="G1162" s="66" t="str">
        <f>HYPERLINK("https://ledvance.com/pt/product-datasheet/145507/43095","Ficha de Produto")</f>
        <v>Ficha de Produto</v>
      </c>
      <c r="H1162" s="34">
        <v>1</v>
      </c>
      <c r="I1162" s="34" t="s">
        <v>1164</v>
      </c>
      <c r="J1162" s="34" t="s">
        <v>6229</v>
      </c>
      <c r="K1162" s="34" t="s">
        <v>876</v>
      </c>
      <c r="L1162" s="34" t="s">
        <v>765</v>
      </c>
      <c r="M1162" s="30">
        <v>592.5</v>
      </c>
      <c r="N1162" s="283" t="s">
        <v>721</v>
      </c>
    </row>
    <row r="1163" spans="1:14" s="32" customFormat="1" ht="14.25" customHeight="1">
      <c r="A1163" s="3" t="s">
        <v>641</v>
      </c>
      <c r="B1163" s="36" t="s">
        <v>3600</v>
      </c>
      <c r="C1163" s="214">
        <v>4058075552470</v>
      </c>
      <c r="D1163" s="214"/>
      <c r="E1163" s="215"/>
      <c r="F1163" s="216"/>
      <c r="G1163" s="66" t="str">
        <f>HYPERLINK("https://ledvance.com/pt/product-datasheet/145506/43097","Ficha de Produto")</f>
        <v>Ficha de Produto</v>
      </c>
      <c r="H1163" s="34">
        <v>1</v>
      </c>
      <c r="I1163" s="34" t="s">
        <v>1165</v>
      </c>
      <c r="J1163" s="34" t="s">
        <v>6230</v>
      </c>
      <c r="K1163" s="34" t="s">
        <v>876</v>
      </c>
      <c r="L1163" s="34" t="s">
        <v>765</v>
      </c>
      <c r="M1163" s="30">
        <v>765</v>
      </c>
      <c r="N1163" s="283" t="s">
        <v>721</v>
      </c>
    </row>
    <row r="1164" spans="1:14" s="32" customFormat="1" ht="14.25" customHeight="1">
      <c r="A1164" s="3" t="s">
        <v>641</v>
      </c>
      <c r="B1164" s="36" t="s">
        <v>3602</v>
      </c>
      <c r="C1164" s="214">
        <v>4058075552494</v>
      </c>
      <c r="D1164" s="214"/>
      <c r="E1164" s="215"/>
      <c r="F1164" s="216"/>
      <c r="G1164" s="66" t="str">
        <f>HYPERLINK("https://ledvance.com/pt/product-datasheet/145506/43101","Ficha de Produto")</f>
        <v>Ficha de Produto</v>
      </c>
      <c r="H1164" s="34">
        <v>1</v>
      </c>
      <c r="I1164" s="34" t="s">
        <v>1166</v>
      </c>
      <c r="J1164" s="34" t="s">
        <v>6230</v>
      </c>
      <c r="K1164" s="34" t="s">
        <v>876</v>
      </c>
      <c r="L1164" s="34" t="s">
        <v>765</v>
      </c>
      <c r="M1164" s="30">
        <v>765</v>
      </c>
      <c r="N1164" s="283" t="s">
        <v>721</v>
      </c>
    </row>
    <row r="1165" spans="1:14" s="32" customFormat="1" ht="14.25" customHeight="1">
      <c r="A1165" s="3" t="s">
        <v>641</v>
      </c>
      <c r="B1165" s="36" t="s">
        <v>3601</v>
      </c>
      <c r="C1165" s="214">
        <v>4058075552517</v>
      </c>
      <c r="D1165" s="214"/>
      <c r="E1165" s="215"/>
      <c r="F1165" s="216"/>
      <c r="G1165" s="66" t="str">
        <f>HYPERLINK("https://ledvance.com/pt/product-datasheet/145506/43105","Ficha de Produto")</f>
        <v>Ficha de Produto</v>
      </c>
      <c r="H1165" s="34">
        <v>1</v>
      </c>
      <c r="I1165" s="34" t="s">
        <v>1167</v>
      </c>
      <c r="J1165" s="34" t="s">
        <v>6230</v>
      </c>
      <c r="K1165" s="34" t="s">
        <v>876</v>
      </c>
      <c r="L1165" s="34" t="s">
        <v>765</v>
      </c>
      <c r="M1165" s="30">
        <v>765</v>
      </c>
      <c r="N1165" s="283" t="s">
        <v>721</v>
      </c>
    </row>
    <row r="1166" spans="1:14" s="32" customFormat="1" ht="14.25" customHeight="1">
      <c r="A1166" s="3" t="s">
        <v>641</v>
      </c>
      <c r="B1166" s="36" t="s">
        <v>3597</v>
      </c>
      <c r="C1166" s="214">
        <v>4058075552487</v>
      </c>
      <c r="D1166" s="214"/>
      <c r="E1166" s="215"/>
      <c r="F1166" s="216"/>
      <c r="G1166" s="66" t="str">
        <f>HYPERLINK("https://ledvance.com/pt/product-datasheet/145507/43099","Ficha de Produto")</f>
        <v>Ficha de Produto</v>
      </c>
      <c r="H1166" s="34">
        <v>1</v>
      </c>
      <c r="I1166" s="34" t="s">
        <v>925</v>
      </c>
      <c r="J1166" s="34" t="s">
        <v>6230</v>
      </c>
      <c r="K1166" s="34" t="s">
        <v>876</v>
      </c>
      <c r="L1166" s="34" t="s">
        <v>765</v>
      </c>
      <c r="M1166" s="30">
        <v>765</v>
      </c>
      <c r="N1166" s="283" t="s">
        <v>721</v>
      </c>
    </row>
    <row r="1167" spans="1:14" s="32" customFormat="1" ht="14.25" customHeight="1">
      <c r="A1167" s="3" t="s">
        <v>641</v>
      </c>
      <c r="B1167" s="36" t="s">
        <v>3598</v>
      </c>
      <c r="C1167" s="214">
        <v>4058075552500</v>
      </c>
      <c r="D1167" s="214"/>
      <c r="E1167" s="215"/>
      <c r="F1167" s="216"/>
      <c r="G1167" s="66" t="str">
        <f>HYPERLINK("https://ledvance.com/pt/product-datasheet/145507/43103","Ficha de Produto")</f>
        <v>Ficha de Produto</v>
      </c>
      <c r="H1167" s="34">
        <v>1</v>
      </c>
      <c r="I1167" s="34" t="s">
        <v>6231</v>
      </c>
      <c r="J1167" s="34" t="s">
        <v>6230</v>
      </c>
      <c r="K1167" s="34" t="s">
        <v>876</v>
      </c>
      <c r="L1167" s="34" t="s">
        <v>765</v>
      </c>
      <c r="M1167" s="30">
        <v>765</v>
      </c>
      <c r="N1167" s="283" t="s">
        <v>721</v>
      </c>
    </row>
    <row r="1168" spans="1:14" s="32" customFormat="1" ht="14.25" customHeight="1">
      <c r="A1168" s="3" t="s">
        <v>641</v>
      </c>
      <c r="B1168" s="36" t="s">
        <v>3599</v>
      </c>
      <c r="C1168" s="214">
        <v>4058075552524</v>
      </c>
      <c r="D1168" s="214"/>
      <c r="E1168" s="215"/>
      <c r="F1168" s="216"/>
      <c r="G1168" s="66" t="str">
        <f>HYPERLINK("https://ledvance.com/pt/product-datasheet/145507/43107","Ficha de Produto")</f>
        <v>Ficha de Produto</v>
      </c>
      <c r="H1168" s="34">
        <v>1</v>
      </c>
      <c r="I1168" s="34" t="s">
        <v>1168</v>
      </c>
      <c r="J1168" s="34" t="s">
        <v>6230</v>
      </c>
      <c r="K1168" s="34" t="s">
        <v>876</v>
      </c>
      <c r="L1168" s="34" t="s">
        <v>765</v>
      </c>
      <c r="M1168" s="30">
        <v>765</v>
      </c>
      <c r="N1168" s="283" t="s">
        <v>721</v>
      </c>
    </row>
    <row r="1169" spans="1:14" s="32" customFormat="1" ht="14.25" customHeight="1">
      <c r="A1169" s="8" t="s">
        <v>1114</v>
      </c>
      <c r="B1169" s="227" t="s">
        <v>3615</v>
      </c>
      <c r="C1169" s="231"/>
      <c r="D1169" s="231"/>
      <c r="E1169" s="232"/>
      <c r="F1169" s="7"/>
      <c r="G1169" s="68"/>
      <c r="H1169" s="233"/>
      <c r="I1169" s="233"/>
      <c r="J1169" s="233"/>
      <c r="K1169" s="233"/>
      <c r="L1169" s="233"/>
      <c r="M1169" s="230"/>
      <c r="N1169" s="284"/>
    </row>
    <row r="1170" spans="1:14" s="32" customFormat="1" ht="14.25" customHeight="1">
      <c r="A1170" s="3" t="s">
        <v>1114</v>
      </c>
      <c r="B1170" s="36" t="s">
        <v>167</v>
      </c>
      <c r="C1170" s="214">
        <v>4058075552531</v>
      </c>
      <c r="D1170" s="214"/>
      <c r="E1170" s="215"/>
      <c r="F1170" s="216"/>
      <c r="G1170" s="66" t="str">
        <f>HYPERLINK("https://ledvance.com/pt/product-datasheet/145509/43109","Ficha de Produto")</f>
        <v>Ficha de Produto</v>
      </c>
      <c r="H1170" s="34">
        <v>100</v>
      </c>
      <c r="I1170" s="217" t="s">
        <v>1201</v>
      </c>
      <c r="J1170" s="217" t="s">
        <v>1201</v>
      </c>
      <c r="K1170" s="217" t="s">
        <v>1201</v>
      </c>
      <c r="L1170" s="34" t="s">
        <v>765</v>
      </c>
      <c r="M1170" s="30">
        <v>30</v>
      </c>
      <c r="N1170" s="283" t="s">
        <v>721</v>
      </c>
    </row>
    <row r="1171" spans="1:14" s="32" customFormat="1" ht="14.25" customHeight="1">
      <c r="A1171" s="3" t="s">
        <v>1114</v>
      </c>
      <c r="B1171" s="36" t="s">
        <v>168</v>
      </c>
      <c r="C1171" s="214">
        <v>4058075552579</v>
      </c>
      <c r="D1171" s="214"/>
      <c r="E1171" s="215"/>
      <c r="F1171" s="216"/>
      <c r="G1171" s="66" t="str">
        <f>HYPERLINK("https://ledvance.com/pt/product-datasheet/145510/43112","Ficha de Produto")</f>
        <v>Ficha de Produto</v>
      </c>
      <c r="H1171" s="34">
        <v>10</v>
      </c>
      <c r="I1171" s="217" t="s">
        <v>1201</v>
      </c>
      <c r="J1171" s="217" t="s">
        <v>1201</v>
      </c>
      <c r="K1171" s="217" t="s">
        <v>1201</v>
      </c>
      <c r="L1171" s="34" t="s">
        <v>765</v>
      </c>
      <c r="M1171" s="30">
        <v>17.5</v>
      </c>
      <c r="N1171" s="283" t="s">
        <v>721</v>
      </c>
    </row>
    <row r="1172" spans="1:14" s="32" customFormat="1" ht="14.25" customHeight="1">
      <c r="A1172" s="8" t="s">
        <v>641</v>
      </c>
      <c r="B1172" s="227" t="s">
        <v>1398</v>
      </c>
      <c r="C1172" s="231"/>
      <c r="D1172" s="231"/>
      <c r="E1172" s="232"/>
      <c r="F1172" s="7"/>
      <c r="G1172" s="68"/>
      <c r="H1172" s="8"/>
      <c r="I1172" s="227"/>
      <c r="J1172" s="232"/>
      <c r="K1172" s="232"/>
      <c r="L1172" s="8"/>
      <c r="M1172" s="230"/>
      <c r="N1172" s="284"/>
    </row>
    <row r="1173" spans="1:14" s="32" customFormat="1" ht="14.25" customHeight="1">
      <c r="A1173" s="3" t="s">
        <v>641</v>
      </c>
      <c r="B1173" s="274" t="s">
        <v>1909</v>
      </c>
      <c r="C1173" s="10">
        <v>4099854030277</v>
      </c>
      <c r="D1173" s="224">
        <v>4058075725256</v>
      </c>
      <c r="E1173" s="225" t="s">
        <v>1386</v>
      </c>
      <c r="F1173" s="222" t="s">
        <v>2019</v>
      </c>
      <c r="G1173" s="66" t="str">
        <f>HYPERLINK("https://ledvance.com/pt/product-datasheet/207683/230383","Ficha de Produto")</f>
        <v>Ficha de Produto</v>
      </c>
      <c r="H1173" s="34">
        <v>4</v>
      </c>
      <c r="I1173" s="34" t="s">
        <v>884</v>
      </c>
      <c r="J1173" s="34" t="s">
        <v>6119</v>
      </c>
      <c r="K1173" s="34" t="s">
        <v>876</v>
      </c>
      <c r="L1173" s="34" t="s">
        <v>765</v>
      </c>
      <c r="M1173" s="30">
        <v>91.4</v>
      </c>
      <c r="N1173" s="283" t="s">
        <v>721</v>
      </c>
    </row>
    <row r="1174" spans="1:14" s="32" customFormat="1" ht="14.25" customHeight="1">
      <c r="A1174" s="3" t="s">
        <v>641</v>
      </c>
      <c r="B1174" s="274" t="s">
        <v>1910</v>
      </c>
      <c r="C1174" s="10">
        <v>4099854030291</v>
      </c>
      <c r="D1174" s="224">
        <v>4058075725270</v>
      </c>
      <c r="E1174" s="225" t="s">
        <v>1387</v>
      </c>
      <c r="F1174" s="222" t="s">
        <v>2019</v>
      </c>
      <c r="G1174" s="66" t="str">
        <f>HYPERLINK("https://ledvance.com/pt/product-datasheet/207683/230386","Ficha de Produto")</f>
        <v>Ficha de Produto</v>
      </c>
      <c r="H1174" s="34">
        <v>4</v>
      </c>
      <c r="I1174" s="34" t="s">
        <v>884</v>
      </c>
      <c r="J1174" s="34" t="s">
        <v>6119</v>
      </c>
      <c r="K1174" s="34" t="s">
        <v>876</v>
      </c>
      <c r="L1174" s="34" t="s">
        <v>765</v>
      </c>
      <c r="M1174" s="30">
        <v>91.4</v>
      </c>
      <c r="N1174" s="283" t="s">
        <v>721</v>
      </c>
    </row>
    <row r="1175" spans="1:14" s="32" customFormat="1" ht="14.25" customHeight="1">
      <c r="A1175" s="3" t="s">
        <v>641</v>
      </c>
      <c r="B1175" s="274" t="s">
        <v>1911</v>
      </c>
      <c r="C1175" s="10">
        <v>4099854030314</v>
      </c>
      <c r="D1175" s="224">
        <v>4058075725294</v>
      </c>
      <c r="E1175" s="225" t="s">
        <v>1388</v>
      </c>
      <c r="F1175" s="222" t="s">
        <v>2019</v>
      </c>
      <c r="G1175" s="66" t="str">
        <f>HYPERLINK("https://ledvance.com/pt/product-datasheet/207683/230389","Ficha de Produto")</f>
        <v>Ficha de Produto</v>
      </c>
      <c r="H1175" s="34">
        <v>4</v>
      </c>
      <c r="I1175" s="34" t="s">
        <v>1447</v>
      </c>
      <c r="J1175" s="34" t="s">
        <v>6119</v>
      </c>
      <c r="K1175" s="34" t="s">
        <v>876</v>
      </c>
      <c r="L1175" s="34" t="s">
        <v>765</v>
      </c>
      <c r="M1175" s="30">
        <v>91.4</v>
      </c>
      <c r="N1175" s="283" t="s">
        <v>721</v>
      </c>
    </row>
    <row r="1176" spans="1:14" s="32" customFormat="1" ht="14.25" customHeight="1">
      <c r="A1176" s="3" t="s">
        <v>641</v>
      </c>
      <c r="B1176" s="274" t="s">
        <v>1389</v>
      </c>
      <c r="C1176" s="10">
        <v>4099854030338</v>
      </c>
      <c r="D1176" s="224">
        <v>4058075725317</v>
      </c>
      <c r="E1176" s="225" t="s">
        <v>1389</v>
      </c>
      <c r="F1176" s="222" t="s">
        <v>2019</v>
      </c>
      <c r="G1176" s="66" t="str">
        <f>HYPERLINK("https://ledvance.com/pt/product-datasheet/207683/230392","Ficha de Produto")</f>
        <v>Ficha de Produto</v>
      </c>
      <c r="H1176" s="34">
        <v>4</v>
      </c>
      <c r="I1176" s="34" t="s">
        <v>1447</v>
      </c>
      <c r="J1176" s="34" t="s">
        <v>6119</v>
      </c>
      <c r="K1176" s="34" t="s">
        <v>876</v>
      </c>
      <c r="L1176" s="34" t="s">
        <v>765</v>
      </c>
      <c r="M1176" s="30">
        <v>91.4</v>
      </c>
      <c r="N1176" s="283" t="s">
        <v>721</v>
      </c>
    </row>
    <row r="1177" spans="1:14" s="32" customFormat="1" ht="14.25" customHeight="1">
      <c r="A1177" s="3" t="s">
        <v>641</v>
      </c>
      <c r="B1177" s="274" t="s">
        <v>1912</v>
      </c>
      <c r="C1177" s="10">
        <v>4099854030352</v>
      </c>
      <c r="D1177" s="224">
        <v>4058075725331</v>
      </c>
      <c r="E1177" s="225" t="s">
        <v>1390</v>
      </c>
      <c r="F1177" s="222" t="s">
        <v>2019</v>
      </c>
      <c r="G1177" s="66" t="str">
        <f>HYPERLINK("https://ledvance.com/pt/product-datasheet/207683/230395","Ficha de Produto")</f>
        <v>Ficha de Produto</v>
      </c>
      <c r="H1177" s="34">
        <v>4</v>
      </c>
      <c r="I1177" s="34" t="s">
        <v>835</v>
      </c>
      <c r="J1177" s="34" t="s">
        <v>6120</v>
      </c>
      <c r="K1177" s="34" t="s">
        <v>876</v>
      </c>
      <c r="L1177" s="34" t="s">
        <v>765</v>
      </c>
      <c r="M1177" s="30">
        <v>102.3</v>
      </c>
      <c r="N1177" s="283" t="s">
        <v>721</v>
      </c>
    </row>
    <row r="1178" spans="1:14" s="32" customFormat="1" ht="14.25" customHeight="1">
      <c r="A1178" s="3" t="s">
        <v>641</v>
      </c>
      <c r="B1178" s="274" t="s">
        <v>1913</v>
      </c>
      <c r="C1178" s="10">
        <v>4099854030376</v>
      </c>
      <c r="D1178" s="224">
        <v>4058075725355</v>
      </c>
      <c r="E1178" s="225" t="s">
        <v>1391</v>
      </c>
      <c r="F1178" s="222" t="s">
        <v>2019</v>
      </c>
      <c r="G1178" s="66" t="str">
        <f>HYPERLINK("https://ledvance.com/pt/product-datasheet/207683/230398","Ficha de Produto")</f>
        <v>Ficha de Produto</v>
      </c>
      <c r="H1178" s="34">
        <v>4</v>
      </c>
      <c r="I1178" s="34" t="s">
        <v>835</v>
      </c>
      <c r="J1178" s="34" t="s">
        <v>6120</v>
      </c>
      <c r="K1178" s="34" t="s">
        <v>876</v>
      </c>
      <c r="L1178" s="34" t="s">
        <v>765</v>
      </c>
      <c r="M1178" s="30">
        <v>102.3</v>
      </c>
      <c r="N1178" s="283" t="s">
        <v>721</v>
      </c>
    </row>
    <row r="1179" spans="1:14" s="32" customFormat="1" ht="14.25" customHeight="1">
      <c r="A1179" s="3" t="s">
        <v>641</v>
      </c>
      <c r="B1179" s="274" t="s">
        <v>1914</v>
      </c>
      <c r="C1179" s="10">
        <v>4099854030390</v>
      </c>
      <c r="D1179" s="224">
        <v>4058075725379</v>
      </c>
      <c r="E1179" s="225" t="s">
        <v>1392</v>
      </c>
      <c r="F1179" s="222" t="s">
        <v>2019</v>
      </c>
      <c r="G1179" s="66" t="str">
        <f>HYPERLINK("https://ledvance.com/pt/product-datasheet/207683/230401","Ficha de Produto")</f>
        <v>Ficha de Produto</v>
      </c>
      <c r="H1179" s="34">
        <v>4</v>
      </c>
      <c r="I1179" s="34" t="s">
        <v>1448</v>
      </c>
      <c r="J1179" s="34" t="s">
        <v>6120</v>
      </c>
      <c r="K1179" s="34" t="s">
        <v>876</v>
      </c>
      <c r="L1179" s="34" t="s">
        <v>765</v>
      </c>
      <c r="M1179" s="30">
        <v>102.3</v>
      </c>
      <c r="N1179" s="283" t="s">
        <v>721</v>
      </c>
    </row>
    <row r="1180" spans="1:14" s="32" customFormat="1" ht="14.25" customHeight="1">
      <c r="A1180" s="3" t="s">
        <v>641</v>
      </c>
      <c r="B1180" s="40" t="s">
        <v>1393</v>
      </c>
      <c r="C1180" s="10">
        <v>4058075725393</v>
      </c>
      <c r="D1180" s="214"/>
      <c r="E1180" s="215"/>
      <c r="F1180" s="10"/>
      <c r="G1180" s="66" t="str">
        <f>HYPERLINK("https://ledvance.com/pt/product-datasheet/207683/192936","Ficha de Produto")</f>
        <v>Ficha de Produto</v>
      </c>
      <c r="H1180" s="34">
        <v>4</v>
      </c>
      <c r="I1180" s="34" t="s">
        <v>1448</v>
      </c>
      <c r="J1180" s="34" t="s">
        <v>6120</v>
      </c>
      <c r="K1180" s="34" t="s">
        <v>876</v>
      </c>
      <c r="L1180" s="34" t="s">
        <v>765</v>
      </c>
      <c r="M1180" s="30">
        <v>102.3</v>
      </c>
      <c r="N1180" s="283" t="s">
        <v>721</v>
      </c>
    </row>
    <row r="1181" spans="1:14" s="32" customFormat="1" ht="14.25" customHeight="1">
      <c r="A1181" s="3" t="s">
        <v>641</v>
      </c>
      <c r="B1181" s="274" t="s">
        <v>1915</v>
      </c>
      <c r="C1181" s="10">
        <v>4099854030437</v>
      </c>
      <c r="D1181" s="224">
        <v>4058075725416</v>
      </c>
      <c r="E1181" s="225" t="s">
        <v>1394</v>
      </c>
      <c r="F1181" s="222" t="s">
        <v>2019</v>
      </c>
      <c r="G1181" s="66" t="str">
        <f>HYPERLINK("https://ledvance.com/pt/product-datasheet/208169/230407","Ficha de Produto")</f>
        <v>Ficha de Produto</v>
      </c>
      <c r="H1181" s="34">
        <v>4</v>
      </c>
      <c r="I1181" s="34" t="s">
        <v>957</v>
      </c>
      <c r="J1181" s="34" t="s">
        <v>6213</v>
      </c>
      <c r="K1181" s="34" t="s">
        <v>876</v>
      </c>
      <c r="L1181" s="34" t="s">
        <v>765</v>
      </c>
      <c r="M1181" s="30">
        <v>142.4</v>
      </c>
      <c r="N1181" s="283" t="s">
        <v>721</v>
      </c>
    </row>
    <row r="1182" spans="1:14" s="32" customFormat="1" ht="14.25" customHeight="1">
      <c r="A1182" s="3" t="s">
        <v>641</v>
      </c>
      <c r="B1182" s="274" t="s">
        <v>1916</v>
      </c>
      <c r="C1182" s="10">
        <v>4099854030451</v>
      </c>
      <c r="D1182" s="224">
        <v>4058075725430</v>
      </c>
      <c r="E1182" s="225" t="s">
        <v>1395</v>
      </c>
      <c r="F1182" s="222" t="s">
        <v>2019</v>
      </c>
      <c r="G1182" s="66" t="str">
        <f>HYPERLINK("https://ledvance.com/pt/product-datasheet/208169/230410","Ficha de Produto")</f>
        <v>Ficha de Produto</v>
      </c>
      <c r="H1182" s="34">
        <v>4</v>
      </c>
      <c r="I1182" s="34" t="s">
        <v>957</v>
      </c>
      <c r="J1182" s="34" t="s">
        <v>6213</v>
      </c>
      <c r="K1182" s="34" t="s">
        <v>876</v>
      </c>
      <c r="L1182" s="34" t="s">
        <v>765</v>
      </c>
      <c r="M1182" s="30">
        <v>142.4</v>
      </c>
      <c r="N1182" s="283" t="s">
        <v>721</v>
      </c>
    </row>
    <row r="1183" spans="1:14" s="32" customFormat="1" ht="14.25" customHeight="1">
      <c r="A1183" s="3" t="s">
        <v>641</v>
      </c>
      <c r="B1183" s="274" t="s">
        <v>1917</v>
      </c>
      <c r="C1183" s="10">
        <v>4099854030475</v>
      </c>
      <c r="D1183" s="224">
        <v>4058075725454</v>
      </c>
      <c r="E1183" s="225" t="s">
        <v>1396</v>
      </c>
      <c r="F1183" s="222" t="s">
        <v>2019</v>
      </c>
      <c r="G1183" s="66" t="str">
        <f>HYPERLINK("https://ledvance.com/pt/product-datasheet/208169/230413","Ficha de Produto")</f>
        <v>Ficha de Produto</v>
      </c>
      <c r="H1183" s="34">
        <v>4</v>
      </c>
      <c r="I1183" s="34" t="s">
        <v>1449</v>
      </c>
      <c r="J1183" s="34" t="s">
        <v>6213</v>
      </c>
      <c r="K1183" s="34" t="s">
        <v>876</v>
      </c>
      <c r="L1183" s="34" t="s">
        <v>765</v>
      </c>
      <c r="M1183" s="30">
        <v>142.4</v>
      </c>
      <c r="N1183" s="283" t="s">
        <v>721</v>
      </c>
    </row>
    <row r="1184" spans="1:14" s="32" customFormat="1" ht="14.25" customHeight="1">
      <c r="A1184" s="3" t="s">
        <v>641</v>
      </c>
      <c r="B1184" s="274" t="s">
        <v>1397</v>
      </c>
      <c r="C1184" s="10">
        <v>4099854030499</v>
      </c>
      <c r="D1184" s="224">
        <v>4058075725478</v>
      </c>
      <c r="E1184" s="225" t="s">
        <v>1397</v>
      </c>
      <c r="F1184" s="222" t="s">
        <v>2019</v>
      </c>
      <c r="G1184" s="66" t="str">
        <f>HYPERLINK("https://ledvance.com/pt/product-datasheet/208169/230416","Ficha de Produto")</f>
        <v>Ficha de Produto</v>
      </c>
      <c r="H1184" s="34">
        <v>4</v>
      </c>
      <c r="I1184" s="34" t="s">
        <v>1449</v>
      </c>
      <c r="J1184" s="34" t="s">
        <v>6213</v>
      </c>
      <c r="K1184" s="34" t="s">
        <v>876</v>
      </c>
      <c r="L1184" s="34" t="s">
        <v>765</v>
      </c>
      <c r="M1184" s="30">
        <v>142.4</v>
      </c>
      <c r="N1184" s="283" t="s">
        <v>721</v>
      </c>
    </row>
    <row r="1185" spans="1:14" s="32" customFormat="1" ht="14.25" customHeight="1">
      <c r="A1185" s="3" t="s">
        <v>641</v>
      </c>
      <c r="B1185" s="274" t="s">
        <v>3603</v>
      </c>
      <c r="C1185" s="10">
        <v>4099854079801</v>
      </c>
      <c r="D1185" s="10"/>
      <c r="E1185" s="10"/>
      <c r="F1185" s="222" t="s">
        <v>2019</v>
      </c>
      <c r="G1185" s="66" t="str">
        <f>HYPERLINK("https://ledvance.com/pt/product-datasheet/262125/242303","Ficha de Produto")</f>
        <v>Ficha de Produto</v>
      </c>
      <c r="H1185" s="34">
        <v>2</v>
      </c>
      <c r="I1185" s="34" t="s">
        <v>1771</v>
      </c>
      <c r="J1185" s="34" t="s">
        <v>6216</v>
      </c>
      <c r="K1185" s="34" t="s">
        <v>876</v>
      </c>
      <c r="L1185" s="34" t="s">
        <v>765</v>
      </c>
      <c r="M1185" s="30">
        <v>255.2</v>
      </c>
      <c r="N1185" s="283" t="s">
        <v>721</v>
      </c>
    </row>
    <row r="1186" spans="1:14" s="32" customFormat="1" ht="14.25" customHeight="1">
      <c r="A1186" s="3" t="s">
        <v>641</v>
      </c>
      <c r="B1186" s="274" t="s">
        <v>3604</v>
      </c>
      <c r="C1186" s="10">
        <v>4099854079825</v>
      </c>
      <c r="D1186" s="10"/>
      <c r="E1186" s="10"/>
      <c r="F1186" s="222" t="s">
        <v>2019</v>
      </c>
      <c r="G1186" s="66" t="str">
        <f>HYPERLINK("https://ledvance.com/pt/product-datasheet/262125/242306","Ficha de Produto")</f>
        <v>Ficha de Produto</v>
      </c>
      <c r="H1186" s="34">
        <v>2</v>
      </c>
      <c r="I1186" s="34" t="s">
        <v>1771</v>
      </c>
      <c r="J1186" s="34" t="s">
        <v>6216</v>
      </c>
      <c r="K1186" s="34" t="s">
        <v>876</v>
      </c>
      <c r="L1186" s="34" t="s">
        <v>765</v>
      </c>
      <c r="M1186" s="30">
        <v>255.2</v>
      </c>
      <c r="N1186" s="283" t="s">
        <v>721</v>
      </c>
    </row>
    <row r="1187" spans="1:14" s="32" customFormat="1" ht="14.25" customHeight="1">
      <c r="A1187" s="3" t="s">
        <v>641</v>
      </c>
      <c r="B1187" s="274" t="s">
        <v>3605</v>
      </c>
      <c r="C1187" s="10">
        <v>4099854079849</v>
      </c>
      <c r="D1187" s="10"/>
      <c r="E1187" s="10"/>
      <c r="F1187" s="222" t="s">
        <v>2019</v>
      </c>
      <c r="G1187" s="66" t="str">
        <f>HYPERLINK("https://ledvance.com/pt/product-datasheet/262125/242309","Ficha de Produto")</f>
        <v>Ficha de Produto</v>
      </c>
      <c r="H1187" s="34">
        <v>2</v>
      </c>
      <c r="I1187" s="34" t="s">
        <v>6217</v>
      </c>
      <c r="J1187" s="34" t="s">
        <v>6216</v>
      </c>
      <c r="K1187" s="34" t="s">
        <v>876</v>
      </c>
      <c r="L1187" s="34" t="s">
        <v>765</v>
      </c>
      <c r="M1187" s="30">
        <v>255.2</v>
      </c>
      <c r="N1187" s="283" t="s">
        <v>721</v>
      </c>
    </row>
    <row r="1188" spans="1:14" s="32" customFormat="1" ht="14.25" customHeight="1">
      <c r="A1188" s="3" t="s">
        <v>641</v>
      </c>
      <c r="B1188" s="274" t="s">
        <v>3606</v>
      </c>
      <c r="C1188" s="10">
        <v>4099854079863</v>
      </c>
      <c r="D1188" s="10"/>
      <c r="E1188" s="10"/>
      <c r="F1188" s="222" t="s">
        <v>2019</v>
      </c>
      <c r="G1188" s="66" t="str">
        <f>HYPERLINK("https://ledvance.com/pt/product-datasheet/262125/242312","Ficha de Produto")</f>
        <v>Ficha de Produto</v>
      </c>
      <c r="H1188" s="34">
        <v>2</v>
      </c>
      <c r="I1188" s="34" t="s">
        <v>6217</v>
      </c>
      <c r="J1188" s="34" t="s">
        <v>6216</v>
      </c>
      <c r="K1188" s="34" t="s">
        <v>876</v>
      </c>
      <c r="L1188" s="34" t="s">
        <v>765</v>
      </c>
      <c r="M1188" s="30">
        <v>255.2</v>
      </c>
      <c r="N1188" s="283" t="s">
        <v>721</v>
      </c>
    </row>
    <row r="1189" spans="1:14" s="32" customFormat="1" ht="14.25" customHeight="1">
      <c r="A1189" s="3" t="s">
        <v>641</v>
      </c>
      <c r="B1189" s="274" t="s">
        <v>3607</v>
      </c>
      <c r="C1189" s="10">
        <v>4099854079887</v>
      </c>
      <c r="D1189" s="10"/>
      <c r="E1189" s="10"/>
      <c r="F1189" s="222" t="s">
        <v>2019</v>
      </c>
      <c r="G1189" s="66" t="str">
        <f>HYPERLINK("https://ledvance.com/pt/product-datasheet/262125/242315","Ficha de Produto")</f>
        <v>Ficha de Produto</v>
      </c>
      <c r="H1189" s="34">
        <v>2</v>
      </c>
      <c r="I1189" s="34" t="s">
        <v>6232</v>
      </c>
      <c r="J1189" s="34" t="s">
        <v>6233</v>
      </c>
      <c r="K1189" s="34" t="s">
        <v>876</v>
      </c>
      <c r="L1189" s="34" t="s">
        <v>765</v>
      </c>
      <c r="M1189" s="30">
        <v>287.89999999999998</v>
      </c>
      <c r="N1189" s="283" t="s">
        <v>721</v>
      </c>
    </row>
    <row r="1190" spans="1:14" s="32" customFormat="1" ht="14.25" customHeight="1">
      <c r="A1190" s="3" t="s">
        <v>641</v>
      </c>
      <c r="B1190" s="274" t="s">
        <v>3608</v>
      </c>
      <c r="C1190" s="10">
        <v>4099854079900</v>
      </c>
      <c r="D1190" s="10"/>
      <c r="E1190" s="10"/>
      <c r="F1190" s="222" t="s">
        <v>2019</v>
      </c>
      <c r="G1190" s="66" t="str">
        <f>HYPERLINK("https://ledvance.com/pt/product-datasheet/262125/242318","Ficha de Produto")</f>
        <v>Ficha de Produto</v>
      </c>
      <c r="H1190" s="34">
        <v>2</v>
      </c>
      <c r="I1190" s="34" t="s">
        <v>6232</v>
      </c>
      <c r="J1190" s="34" t="s">
        <v>6233</v>
      </c>
      <c r="K1190" s="34" t="s">
        <v>876</v>
      </c>
      <c r="L1190" s="34" t="s">
        <v>765</v>
      </c>
      <c r="M1190" s="30">
        <v>287.89999999999998</v>
      </c>
      <c r="N1190" s="283" t="s">
        <v>721</v>
      </c>
    </row>
    <row r="1191" spans="1:14" s="32" customFormat="1" ht="14.25" customHeight="1">
      <c r="A1191" s="3" t="s">
        <v>641</v>
      </c>
      <c r="B1191" s="274" t="s">
        <v>3609</v>
      </c>
      <c r="C1191" s="10">
        <v>4099854079924</v>
      </c>
      <c r="D1191" s="10"/>
      <c r="E1191" s="10"/>
      <c r="F1191" s="222" t="s">
        <v>2019</v>
      </c>
      <c r="G1191" s="66" t="str">
        <f>HYPERLINK("https://ledvance.com/pt/product-datasheet/262125/242321","Ficha de Produto")</f>
        <v>Ficha de Produto</v>
      </c>
      <c r="H1191" s="34">
        <v>2</v>
      </c>
      <c r="I1191" s="34" t="s">
        <v>1135</v>
      </c>
      <c r="J1191" s="34" t="s">
        <v>6233</v>
      </c>
      <c r="K1191" s="34" t="s">
        <v>876</v>
      </c>
      <c r="L1191" s="34" t="s">
        <v>765</v>
      </c>
      <c r="M1191" s="30">
        <v>287.89999999999998</v>
      </c>
      <c r="N1191" s="283" t="s">
        <v>721</v>
      </c>
    </row>
    <row r="1192" spans="1:14" s="32" customFormat="1" ht="14.25" customHeight="1">
      <c r="A1192" s="3" t="s">
        <v>641</v>
      </c>
      <c r="B1192" s="274" t="s">
        <v>3610</v>
      </c>
      <c r="C1192" s="10">
        <v>4099854079948</v>
      </c>
      <c r="D1192" s="10"/>
      <c r="E1192" s="10"/>
      <c r="F1192" s="222" t="s">
        <v>2019</v>
      </c>
      <c r="G1192" s="66" t="str">
        <f>HYPERLINK("https://ledvance.com/pt/product-datasheet/262125/242324","Ficha de Produto")</f>
        <v>Ficha de Produto</v>
      </c>
      <c r="H1192" s="34">
        <v>2</v>
      </c>
      <c r="I1192" s="34" t="s">
        <v>1135</v>
      </c>
      <c r="J1192" s="34" t="s">
        <v>6233</v>
      </c>
      <c r="K1192" s="34" t="s">
        <v>876</v>
      </c>
      <c r="L1192" s="34" t="s">
        <v>765</v>
      </c>
      <c r="M1192" s="30">
        <v>287.89999999999998</v>
      </c>
      <c r="N1192" s="283" t="s">
        <v>721</v>
      </c>
    </row>
    <row r="1193" spans="1:14" s="32" customFormat="1" ht="14.25" customHeight="1">
      <c r="A1193" s="3" t="s">
        <v>641</v>
      </c>
      <c r="B1193" s="274" t="s">
        <v>3611</v>
      </c>
      <c r="C1193" s="10">
        <v>4099854079962</v>
      </c>
      <c r="D1193" s="10"/>
      <c r="E1193" s="10"/>
      <c r="F1193" s="222" t="s">
        <v>2019</v>
      </c>
      <c r="G1193" s="66" t="str">
        <f>HYPERLINK("https://ledvance.com/pt/product-datasheet/262126/242327","Ficha de Produto")</f>
        <v>Ficha de Produto</v>
      </c>
      <c r="H1193" s="34">
        <v>2</v>
      </c>
      <c r="I1193" s="34" t="s">
        <v>6234</v>
      </c>
      <c r="J1193" s="34" t="s">
        <v>6210</v>
      </c>
      <c r="K1193" s="34" t="s">
        <v>876</v>
      </c>
      <c r="L1193" s="34" t="s">
        <v>765</v>
      </c>
      <c r="M1193" s="30">
        <v>360.8</v>
      </c>
      <c r="N1193" s="283" t="s">
        <v>721</v>
      </c>
    </row>
    <row r="1194" spans="1:14" s="32" customFormat="1" ht="14.25" customHeight="1">
      <c r="A1194" s="3" t="s">
        <v>641</v>
      </c>
      <c r="B1194" s="274" t="s">
        <v>3612</v>
      </c>
      <c r="C1194" s="10">
        <v>4099854079986</v>
      </c>
      <c r="D1194" s="10"/>
      <c r="E1194" s="10"/>
      <c r="F1194" s="222" t="s">
        <v>2019</v>
      </c>
      <c r="G1194" s="66" t="str">
        <f>HYPERLINK("https://ledvance.com/pt/product-datasheet/262126/242330","Ficha de Produto")</f>
        <v>Ficha de Produto</v>
      </c>
      <c r="H1194" s="34">
        <v>2</v>
      </c>
      <c r="I1194" s="34" t="s">
        <v>6234</v>
      </c>
      <c r="J1194" s="34" t="s">
        <v>6210</v>
      </c>
      <c r="K1194" s="34" t="s">
        <v>876</v>
      </c>
      <c r="L1194" s="34" t="s">
        <v>765</v>
      </c>
      <c r="M1194" s="30">
        <v>360.8</v>
      </c>
      <c r="N1194" s="283" t="s">
        <v>721</v>
      </c>
    </row>
    <row r="1195" spans="1:14" s="32" customFormat="1" ht="14.25" customHeight="1">
      <c r="A1195" s="3" t="s">
        <v>641</v>
      </c>
      <c r="B1195" s="274" t="s">
        <v>3613</v>
      </c>
      <c r="C1195" s="10">
        <v>4099854080012</v>
      </c>
      <c r="D1195" s="10"/>
      <c r="E1195" s="10"/>
      <c r="F1195" s="222" t="s">
        <v>2019</v>
      </c>
      <c r="G1195" s="66" t="str">
        <f>HYPERLINK("https://ledvance.com/pt/product-datasheet/262126/242333","Ficha de Produto")</f>
        <v>Ficha de Produto</v>
      </c>
      <c r="H1195" s="34">
        <v>2</v>
      </c>
      <c r="I1195" s="34" t="s">
        <v>6235</v>
      </c>
      <c r="J1195" s="34" t="s">
        <v>6210</v>
      </c>
      <c r="K1195" s="34" t="s">
        <v>876</v>
      </c>
      <c r="L1195" s="34" t="s">
        <v>765</v>
      </c>
      <c r="M1195" s="30">
        <v>360.8</v>
      </c>
      <c r="N1195" s="283" t="s">
        <v>721</v>
      </c>
    </row>
    <row r="1196" spans="1:14" s="32" customFormat="1" ht="14.25" customHeight="1">
      <c r="A1196" s="3" t="s">
        <v>641</v>
      </c>
      <c r="B1196" s="274" t="s">
        <v>3614</v>
      </c>
      <c r="C1196" s="10">
        <v>4099854080036</v>
      </c>
      <c r="D1196" s="10"/>
      <c r="E1196" s="10"/>
      <c r="F1196" s="222" t="s">
        <v>2019</v>
      </c>
      <c r="G1196" s="66" t="str">
        <f>HYPERLINK("https://ledvance.com/pt/product-datasheet/262126/242336","Ficha de Produto")</f>
        <v>Ficha de Produto</v>
      </c>
      <c r="H1196" s="34">
        <v>2</v>
      </c>
      <c r="I1196" s="34" t="s">
        <v>6235</v>
      </c>
      <c r="J1196" s="34" t="s">
        <v>6210</v>
      </c>
      <c r="K1196" s="34" t="s">
        <v>876</v>
      </c>
      <c r="L1196" s="34" t="s">
        <v>765</v>
      </c>
      <c r="M1196" s="30">
        <v>360.8</v>
      </c>
      <c r="N1196" s="283" t="s">
        <v>721</v>
      </c>
    </row>
    <row r="1197" spans="1:14" s="32" customFormat="1" ht="14.25" customHeight="1">
      <c r="A1197" s="7" t="s">
        <v>1114</v>
      </c>
      <c r="B1197" s="227" t="s">
        <v>3616</v>
      </c>
      <c r="C1197" s="231"/>
      <c r="D1197" s="231"/>
      <c r="E1197" s="232"/>
      <c r="F1197" s="7"/>
      <c r="G1197" s="68"/>
      <c r="H1197" s="231"/>
      <c r="I1197" s="231"/>
      <c r="J1197" s="231"/>
      <c r="K1197" s="231"/>
      <c r="L1197" s="231"/>
      <c r="M1197" s="230"/>
      <c r="N1197" s="284"/>
    </row>
    <row r="1198" spans="1:14" s="32" customFormat="1" ht="14.25" customHeight="1">
      <c r="A1198" s="3" t="s">
        <v>1114</v>
      </c>
      <c r="B1198" s="36" t="s">
        <v>1720</v>
      </c>
      <c r="C1198" s="214">
        <v>4058075730250</v>
      </c>
      <c r="D1198" s="214"/>
      <c r="E1198" s="215"/>
      <c r="F1198" s="214"/>
      <c r="G1198" s="66"/>
      <c r="H1198" s="217" t="s">
        <v>1201</v>
      </c>
      <c r="I1198" s="217" t="s">
        <v>1201</v>
      </c>
      <c r="J1198" s="217" t="s">
        <v>1201</v>
      </c>
      <c r="K1198" s="217" t="s">
        <v>1201</v>
      </c>
      <c r="L1198" s="217" t="s">
        <v>1201</v>
      </c>
      <c r="M1198" s="30">
        <v>9.5</v>
      </c>
      <c r="N1198" s="283" t="s">
        <v>721</v>
      </c>
    </row>
    <row r="1199" spans="1:14" s="32" customFormat="1" ht="14.25" customHeight="1">
      <c r="A1199" s="8" t="s">
        <v>641</v>
      </c>
      <c r="B1199" s="227" t="s">
        <v>1721</v>
      </c>
      <c r="C1199" s="231"/>
      <c r="D1199" s="231"/>
      <c r="E1199" s="232"/>
      <c r="F1199" s="7"/>
      <c r="G1199" s="68"/>
      <c r="H1199" s="233"/>
      <c r="I1199" s="233"/>
      <c r="J1199" s="233"/>
      <c r="K1199" s="233"/>
      <c r="L1199" s="233"/>
      <c r="M1199" s="230"/>
      <c r="N1199" s="284"/>
    </row>
    <row r="1200" spans="1:14" s="32" customFormat="1" ht="14.25" customHeight="1">
      <c r="A1200" s="3" t="s">
        <v>641</v>
      </c>
      <c r="B1200" s="36" t="s">
        <v>153</v>
      </c>
      <c r="C1200" s="214">
        <v>4058075557710</v>
      </c>
      <c r="D1200" s="214"/>
      <c r="E1200" s="215"/>
      <c r="F1200" s="216"/>
      <c r="G1200" s="66" t="str">
        <f>HYPERLINK("https://ledvance.com/pt/product-datasheet/200170/132610","Ficha de Produto")</f>
        <v>Ficha de Produto</v>
      </c>
      <c r="H1200" s="34">
        <v>4</v>
      </c>
      <c r="I1200" s="34" t="s">
        <v>6236</v>
      </c>
      <c r="J1200" s="34" t="s">
        <v>6216</v>
      </c>
      <c r="K1200" s="34" t="s">
        <v>876</v>
      </c>
      <c r="L1200" s="34" t="s">
        <v>765</v>
      </c>
      <c r="M1200" s="30">
        <v>241.7</v>
      </c>
      <c r="N1200" s="283" t="s">
        <v>721</v>
      </c>
    </row>
    <row r="1201" spans="1:14" s="32" customFormat="1" ht="14.25" customHeight="1">
      <c r="A1201" s="3" t="s">
        <v>641</v>
      </c>
      <c r="B1201" s="36" t="s">
        <v>154</v>
      </c>
      <c r="C1201" s="214">
        <v>4058075557734</v>
      </c>
      <c r="D1201" s="214"/>
      <c r="E1201" s="215"/>
      <c r="F1201" s="216"/>
      <c r="G1201" s="66" t="str">
        <f>HYPERLINK("https://ledvance.com/pt/product-datasheet/200170/132613","Ficha de Produto")</f>
        <v>Ficha de Produto</v>
      </c>
      <c r="H1201" s="34">
        <v>4</v>
      </c>
      <c r="I1201" s="34" t="s">
        <v>6236</v>
      </c>
      <c r="J1201" s="34" t="s">
        <v>6216</v>
      </c>
      <c r="K1201" s="34" t="s">
        <v>876</v>
      </c>
      <c r="L1201" s="34" t="s">
        <v>765</v>
      </c>
      <c r="M1201" s="30">
        <v>241.7</v>
      </c>
      <c r="N1201" s="283" t="s">
        <v>721</v>
      </c>
    </row>
    <row r="1202" spans="1:14" s="32" customFormat="1" ht="14.25" customHeight="1">
      <c r="A1202" s="3" t="s">
        <v>641</v>
      </c>
      <c r="B1202" s="36" t="s">
        <v>155</v>
      </c>
      <c r="C1202" s="214">
        <v>4058075557758</v>
      </c>
      <c r="D1202" s="214"/>
      <c r="E1202" s="215"/>
      <c r="F1202" s="216"/>
      <c r="G1202" s="66" t="str">
        <f>HYPERLINK("https://ledvance.com/pt/product-datasheet/200170/132616","Ficha de Produto")</f>
        <v>Ficha de Produto</v>
      </c>
      <c r="H1202" s="34">
        <v>4</v>
      </c>
      <c r="I1202" s="34" t="s">
        <v>1771</v>
      </c>
      <c r="J1202" s="34" t="s">
        <v>6216</v>
      </c>
      <c r="K1202" s="34" t="s">
        <v>876</v>
      </c>
      <c r="L1202" s="34" t="s">
        <v>765</v>
      </c>
      <c r="M1202" s="30">
        <v>241.7</v>
      </c>
      <c r="N1202" s="283" t="s">
        <v>721</v>
      </c>
    </row>
    <row r="1203" spans="1:14" s="32" customFormat="1" ht="14.25" customHeight="1">
      <c r="A1203" s="3" t="s">
        <v>641</v>
      </c>
      <c r="B1203" s="36" t="s">
        <v>156</v>
      </c>
      <c r="C1203" s="214">
        <v>4058075557796</v>
      </c>
      <c r="D1203" s="214"/>
      <c r="E1203" s="215"/>
      <c r="F1203" s="216"/>
      <c r="G1203" s="66" t="str">
        <f>HYPERLINK("https://ledvance.com/pt/product-datasheet/200170/132619","Ficha de Produto")</f>
        <v>Ficha de Produto</v>
      </c>
      <c r="H1203" s="34">
        <v>4</v>
      </c>
      <c r="I1203" s="34" t="s">
        <v>6217</v>
      </c>
      <c r="J1203" s="34" t="s">
        <v>6216</v>
      </c>
      <c r="K1203" s="34" t="s">
        <v>876</v>
      </c>
      <c r="L1203" s="34" t="s">
        <v>765</v>
      </c>
      <c r="M1203" s="30">
        <v>241.7</v>
      </c>
      <c r="N1203" s="283" t="s">
        <v>721</v>
      </c>
    </row>
    <row r="1204" spans="1:14" s="32" customFormat="1" ht="14.25" customHeight="1">
      <c r="A1204" s="3" t="s">
        <v>641</v>
      </c>
      <c r="B1204" s="36" t="s">
        <v>157</v>
      </c>
      <c r="C1204" s="214">
        <v>4058075557819</v>
      </c>
      <c r="D1204" s="214"/>
      <c r="E1204" s="215"/>
      <c r="F1204" s="216"/>
      <c r="G1204" s="66" t="str">
        <f>HYPERLINK("https://ledvance.com/pt/product-datasheet/200170/132622","Ficha de Produto")</f>
        <v>Ficha de Produto</v>
      </c>
      <c r="H1204" s="34">
        <v>4</v>
      </c>
      <c r="I1204" s="34" t="s">
        <v>933</v>
      </c>
      <c r="J1204" s="34" t="s">
        <v>6233</v>
      </c>
      <c r="K1204" s="34" t="s">
        <v>876</v>
      </c>
      <c r="L1204" s="34" t="s">
        <v>765</v>
      </c>
      <c r="M1204" s="30">
        <v>271.8</v>
      </c>
      <c r="N1204" s="283" t="s">
        <v>721</v>
      </c>
    </row>
    <row r="1205" spans="1:14" s="32" customFormat="1" ht="14.25" customHeight="1">
      <c r="A1205" s="3" t="s">
        <v>641</v>
      </c>
      <c r="B1205" s="36" t="s">
        <v>158</v>
      </c>
      <c r="C1205" s="214">
        <v>4058075557857</v>
      </c>
      <c r="D1205" s="214"/>
      <c r="E1205" s="215"/>
      <c r="F1205" s="216"/>
      <c r="G1205" s="66" t="str">
        <f>HYPERLINK("https://ledvance.com/pt/product-datasheet/200170/132625","Ficha de Produto")</f>
        <v>Ficha de Produto</v>
      </c>
      <c r="H1205" s="34">
        <v>4</v>
      </c>
      <c r="I1205" s="34" t="s">
        <v>933</v>
      </c>
      <c r="J1205" s="34" t="s">
        <v>6233</v>
      </c>
      <c r="K1205" s="34" t="s">
        <v>876</v>
      </c>
      <c r="L1205" s="34" t="s">
        <v>765</v>
      </c>
      <c r="M1205" s="30">
        <v>271.8</v>
      </c>
      <c r="N1205" s="283" t="s">
        <v>721</v>
      </c>
    </row>
    <row r="1206" spans="1:14" s="32" customFormat="1" ht="14.25" customHeight="1">
      <c r="A1206" s="3" t="s">
        <v>641</v>
      </c>
      <c r="B1206" s="36" t="s">
        <v>159</v>
      </c>
      <c r="C1206" s="214">
        <v>4058075557871</v>
      </c>
      <c r="D1206" s="214"/>
      <c r="E1206" s="215"/>
      <c r="F1206" s="216"/>
      <c r="G1206" s="66" t="str">
        <f>HYPERLINK("https://ledvance.com/pt/product-datasheet/200170/132628","Ficha de Produto")</f>
        <v>Ficha de Produto</v>
      </c>
      <c r="H1206" s="34">
        <v>4</v>
      </c>
      <c r="I1206" s="34" t="s">
        <v>6232</v>
      </c>
      <c r="J1206" s="34" t="s">
        <v>6233</v>
      </c>
      <c r="K1206" s="34" t="s">
        <v>876</v>
      </c>
      <c r="L1206" s="34" t="s">
        <v>765</v>
      </c>
      <c r="M1206" s="30">
        <v>271.8</v>
      </c>
      <c r="N1206" s="283" t="s">
        <v>721</v>
      </c>
    </row>
    <row r="1207" spans="1:14" s="32" customFormat="1" ht="14.25" customHeight="1">
      <c r="A1207" s="3" t="s">
        <v>641</v>
      </c>
      <c r="B1207" s="36" t="s">
        <v>160</v>
      </c>
      <c r="C1207" s="214">
        <v>4058075557895</v>
      </c>
      <c r="D1207" s="214"/>
      <c r="E1207" s="215"/>
      <c r="F1207" s="216"/>
      <c r="G1207" s="66" t="str">
        <f>HYPERLINK("https://ledvance.com/pt/product-datasheet/200170/34002","Ficha de Produto")</f>
        <v>Ficha de Produto</v>
      </c>
      <c r="H1207" s="34">
        <v>4</v>
      </c>
      <c r="I1207" s="34" t="s">
        <v>1135</v>
      </c>
      <c r="J1207" s="34" t="s">
        <v>6233</v>
      </c>
      <c r="K1207" s="34" t="s">
        <v>876</v>
      </c>
      <c r="L1207" s="34" t="s">
        <v>765</v>
      </c>
      <c r="M1207" s="30">
        <v>271.8</v>
      </c>
      <c r="N1207" s="283" t="s">
        <v>721</v>
      </c>
    </row>
    <row r="1208" spans="1:14" s="32" customFormat="1" ht="14.25" customHeight="1">
      <c r="A1208" s="3" t="s">
        <v>641</v>
      </c>
      <c r="B1208" s="36" t="s">
        <v>161</v>
      </c>
      <c r="C1208" s="214">
        <v>4058075557918</v>
      </c>
      <c r="D1208" s="214"/>
      <c r="E1208" s="215"/>
      <c r="F1208" s="216"/>
      <c r="G1208" s="66" t="str">
        <f>HYPERLINK("https://ledvance.com/pt/product-datasheet/200170/132631","Ficha de Produto")</f>
        <v>Ficha de Produto</v>
      </c>
      <c r="H1208" s="34">
        <v>2</v>
      </c>
      <c r="I1208" s="34" t="s">
        <v>6237</v>
      </c>
      <c r="J1208" s="34" t="s">
        <v>6210</v>
      </c>
      <c r="K1208" s="34" t="s">
        <v>876</v>
      </c>
      <c r="L1208" s="34" t="s">
        <v>765</v>
      </c>
      <c r="M1208" s="30">
        <v>347.2</v>
      </c>
      <c r="N1208" s="283" t="s">
        <v>721</v>
      </c>
    </row>
    <row r="1209" spans="1:14" s="32" customFormat="1" ht="14.25" customHeight="1">
      <c r="A1209" s="3" t="s">
        <v>641</v>
      </c>
      <c r="B1209" s="36" t="s">
        <v>162</v>
      </c>
      <c r="C1209" s="214">
        <v>4058075557932</v>
      </c>
      <c r="D1209" s="214"/>
      <c r="E1209" s="215"/>
      <c r="F1209" s="216"/>
      <c r="G1209" s="66" t="str">
        <f>HYPERLINK("https://ledvance.com/pt/product-datasheet/200170/132634","Ficha de Produto")</f>
        <v>Ficha de Produto</v>
      </c>
      <c r="H1209" s="34">
        <v>2</v>
      </c>
      <c r="I1209" s="34" t="s">
        <v>6237</v>
      </c>
      <c r="J1209" s="34" t="s">
        <v>6210</v>
      </c>
      <c r="K1209" s="34" t="s">
        <v>876</v>
      </c>
      <c r="L1209" s="34" t="s">
        <v>765</v>
      </c>
      <c r="M1209" s="30">
        <v>347.2</v>
      </c>
      <c r="N1209" s="283" t="s">
        <v>721</v>
      </c>
    </row>
    <row r="1210" spans="1:14" s="32" customFormat="1" ht="14.25" customHeight="1">
      <c r="A1210" s="3" t="s">
        <v>641</v>
      </c>
      <c r="B1210" s="36" t="s">
        <v>163</v>
      </c>
      <c r="C1210" s="214">
        <v>4058075557956</v>
      </c>
      <c r="D1210" s="214"/>
      <c r="E1210" s="215"/>
      <c r="F1210" s="216"/>
      <c r="G1210" s="66" t="str">
        <f>HYPERLINK("https://ledvance.com/pt/product-datasheet/200170/132637","Ficha de Produto")</f>
        <v>Ficha de Produto</v>
      </c>
      <c r="H1210" s="34">
        <v>2</v>
      </c>
      <c r="I1210" s="34" t="s">
        <v>6234</v>
      </c>
      <c r="J1210" s="34" t="s">
        <v>6210</v>
      </c>
      <c r="K1210" s="34" t="s">
        <v>876</v>
      </c>
      <c r="L1210" s="34" t="s">
        <v>765</v>
      </c>
      <c r="M1210" s="30">
        <v>347.2</v>
      </c>
      <c r="N1210" s="283" t="s">
        <v>721</v>
      </c>
    </row>
    <row r="1211" spans="1:14" s="32" customFormat="1" ht="14.25" customHeight="1">
      <c r="A1211" s="3" t="s">
        <v>641</v>
      </c>
      <c r="B1211" s="36" t="s">
        <v>164</v>
      </c>
      <c r="C1211" s="214">
        <v>4058075557970</v>
      </c>
      <c r="D1211" s="214"/>
      <c r="E1211" s="215"/>
      <c r="F1211" s="216"/>
      <c r="G1211" s="66" t="str">
        <f>HYPERLINK("https://ledvance.com/pt/product-datasheet/200170/132640","Ficha de Produto")</f>
        <v>Ficha de Produto</v>
      </c>
      <c r="H1211" s="34">
        <v>2</v>
      </c>
      <c r="I1211" s="34" t="s">
        <v>6235</v>
      </c>
      <c r="J1211" s="34" t="s">
        <v>6210</v>
      </c>
      <c r="K1211" s="34" t="s">
        <v>876</v>
      </c>
      <c r="L1211" s="34" t="s">
        <v>765</v>
      </c>
      <c r="M1211" s="30">
        <v>347.2</v>
      </c>
      <c r="N1211" s="283" t="s">
        <v>721</v>
      </c>
    </row>
    <row r="1212" spans="1:14" s="32" customFormat="1" ht="14.25" customHeight="1">
      <c r="A1212" s="8" t="s">
        <v>1114</v>
      </c>
      <c r="B1212" s="227" t="s">
        <v>3617</v>
      </c>
      <c r="C1212" s="231"/>
      <c r="D1212" s="231"/>
      <c r="E1212" s="232"/>
      <c r="F1212" s="7"/>
      <c r="G1212" s="68"/>
      <c r="H1212" s="233"/>
      <c r="I1212" s="233"/>
      <c r="J1212" s="233"/>
      <c r="K1212" s="233"/>
      <c r="L1212" s="233"/>
      <c r="M1212" s="230"/>
      <c r="N1212" s="284"/>
    </row>
    <row r="1213" spans="1:14" s="32" customFormat="1" ht="14.25" customHeight="1">
      <c r="A1213" s="3" t="s">
        <v>1114</v>
      </c>
      <c r="B1213" s="36" t="s">
        <v>165</v>
      </c>
      <c r="C1213" s="214">
        <v>4058075557253</v>
      </c>
      <c r="D1213" s="214"/>
      <c r="E1213" s="215"/>
      <c r="F1213" s="216"/>
      <c r="G1213" s="66" t="str">
        <f>HYPERLINK("https://ledvance.com/pt/product-datasheet/200171/45559","Ficha de Produto")</f>
        <v>Ficha de Produto</v>
      </c>
      <c r="H1213" s="34">
        <v>100</v>
      </c>
      <c r="I1213" s="217" t="s">
        <v>1201</v>
      </c>
      <c r="J1213" s="217" t="s">
        <v>1201</v>
      </c>
      <c r="K1213" s="217" t="s">
        <v>1201</v>
      </c>
      <c r="L1213" s="34" t="s">
        <v>765</v>
      </c>
      <c r="M1213" s="30">
        <v>20</v>
      </c>
      <c r="N1213" s="283" t="s">
        <v>721</v>
      </c>
    </row>
    <row r="1214" spans="1:14" s="32" customFormat="1" ht="14.25" customHeight="1">
      <c r="A1214" s="3" t="s">
        <v>1114</v>
      </c>
      <c r="B1214" s="36" t="s">
        <v>166</v>
      </c>
      <c r="C1214" s="214">
        <v>4058075557277</v>
      </c>
      <c r="D1214" s="214"/>
      <c r="E1214" s="215"/>
      <c r="F1214" s="216"/>
      <c r="G1214" s="66" t="str">
        <f>HYPERLINK("https://ledvance.com/pt/product-datasheet/200171/45562","Ficha de Produto")</f>
        <v>Ficha de Produto</v>
      </c>
      <c r="H1214" s="34">
        <v>10</v>
      </c>
      <c r="I1214" s="217" t="s">
        <v>1201</v>
      </c>
      <c r="J1214" s="217" t="s">
        <v>1201</v>
      </c>
      <c r="K1214" s="217" t="s">
        <v>1201</v>
      </c>
      <c r="L1214" s="34" t="s">
        <v>765</v>
      </c>
      <c r="M1214" s="30">
        <v>50</v>
      </c>
      <c r="N1214" s="283" t="s">
        <v>721</v>
      </c>
    </row>
    <row r="1215" spans="1:14" s="32" customFormat="1" ht="14.25" customHeight="1">
      <c r="A1215" s="7" t="s">
        <v>1114</v>
      </c>
      <c r="B1215" s="227" t="s">
        <v>1125</v>
      </c>
      <c r="C1215" s="231"/>
      <c r="D1215" s="231"/>
      <c r="E1215" s="232"/>
      <c r="F1215" s="7"/>
      <c r="G1215" s="68"/>
      <c r="H1215" s="231"/>
      <c r="I1215" s="231"/>
      <c r="J1215" s="231"/>
      <c r="K1215" s="231"/>
      <c r="L1215" s="231"/>
      <c r="M1215" s="230"/>
      <c r="N1215" s="284"/>
    </row>
    <row r="1216" spans="1:14" s="32" customFormat="1" ht="14.25" customHeight="1">
      <c r="A1216" s="10" t="s">
        <v>1114</v>
      </c>
      <c r="B1216" s="40" t="s">
        <v>1126</v>
      </c>
      <c r="C1216" s="10">
        <v>4058075237025</v>
      </c>
      <c r="D1216" s="10"/>
      <c r="E1216" s="235"/>
      <c r="F1216" s="216"/>
      <c r="G1216" s="66" t="str">
        <f>HYPERLINK("https://ledvance.com/pt/product-datasheet/9015/131854","Ficha de Produto")</f>
        <v>Ficha de Produto</v>
      </c>
      <c r="H1216" s="34">
        <v>8</v>
      </c>
      <c r="I1216" s="217" t="s">
        <v>1201</v>
      </c>
      <c r="J1216" s="217" t="s">
        <v>1201</v>
      </c>
      <c r="K1216" s="34" t="s">
        <v>788</v>
      </c>
      <c r="L1216" s="34" t="s">
        <v>793</v>
      </c>
      <c r="M1216" s="30">
        <v>112.5</v>
      </c>
      <c r="N1216" s="283" t="s">
        <v>721</v>
      </c>
    </row>
    <row r="1217" spans="1:14" s="32" customFormat="1" ht="14.25" customHeight="1">
      <c r="A1217" s="8" t="s">
        <v>1121</v>
      </c>
      <c r="B1217" s="227" t="s">
        <v>3618</v>
      </c>
      <c r="C1217" s="231"/>
      <c r="D1217" s="231"/>
      <c r="E1217" s="232"/>
      <c r="F1217" s="7"/>
      <c r="G1217" s="68"/>
      <c r="H1217" s="233"/>
      <c r="I1217" s="233"/>
      <c r="J1217" s="233"/>
      <c r="K1217" s="233"/>
      <c r="L1217" s="233"/>
      <c r="M1217" s="230"/>
      <c r="N1217" s="284"/>
    </row>
    <row r="1218" spans="1:14" s="32" customFormat="1" ht="14.25" customHeight="1">
      <c r="A1218" s="3" t="s">
        <v>1121</v>
      </c>
      <c r="B1218" s="36" t="s">
        <v>122</v>
      </c>
      <c r="C1218" s="214">
        <v>4058075427488</v>
      </c>
      <c r="D1218" s="214"/>
      <c r="E1218" s="215"/>
      <c r="F1218" s="216"/>
      <c r="G1218" s="66" t="str">
        <f>HYPERLINK("https://ledvance.com/pt/product-datasheet/8058/48398","Ficha de Produto")</f>
        <v>Ficha de Produto</v>
      </c>
      <c r="H1218" s="34">
        <v>1</v>
      </c>
      <c r="I1218" s="217" t="s">
        <v>1201</v>
      </c>
      <c r="J1218" s="34" t="s">
        <v>6238</v>
      </c>
      <c r="K1218" s="34" t="s">
        <v>788</v>
      </c>
      <c r="L1218" s="34" t="s">
        <v>765</v>
      </c>
      <c r="M1218" s="30">
        <v>1650</v>
      </c>
      <c r="N1218" s="283" t="s">
        <v>721</v>
      </c>
    </row>
    <row r="1219" spans="1:14" s="32" customFormat="1" ht="14.25" customHeight="1">
      <c r="A1219" s="3" t="s">
        <v>1121</v>
      </c>
      <c r="B1219" s="36" t="s">
        <v>123</v>
      </c>
      <c r="C1219" s="214">
        <v>4058075446182</v>
      </c>
      <c r="D1219" s="214"/>
      <c r="E1219" s="215"/>
      <c r="F1219" s="216"/>
      <c r="G1219" s="66" t="str">
        <f>HYPERLINK("https://ledvance.com/pt/product-datasheet/141829/48324","Ficha de Produto")</f>
        <v>Ficha de Produto</v>
      </c>
      <c r="H1219" s="34">
        <v>1</v>
      </c>
      <c r="I1219" s="217" t="s">
        <v>1201</v>
      </c>
      <c r="J1219" s="34" t="s">
        <v>6239</v>
      </c>
      <c r="K1219" s="34" t="s">
        <v>788</v>
      </c>
      <c r="L1219" s="34" t="s">
        <v>765</v>
      </c>
      <c r="M1219" s="30">
        <v>369.5</v>
      </c>
      <c r="N1219" s="283" t="s">
        <v>721</v>
      </c>
    </row>
    <row r="1220" spans="1:14" s="32" customFormat="1" ht="14.25" customHeight="1">
      <c r="A1220" s="3" t="s">
        <v>1121</v>
      </c>
      <c r="B1220" s="36" t="s">
        <v>124</v>
      </c>
      <c r="C1220" s="214">
        <v>4058075544222</v>
      </c>
      <c r="D1220" s="214"/>
      <c r="E1220" s="215"/>
      <c r="F1220" s="216"/>
      <c r="G1220" s="66" t="str">
        <f>HYPERLINK("https://ledvance.com/pt/product-datasheet/8059/48427","Ficha de Produto")</f>
        <v>Ficha de Produto</v>
      </c>
      <c r="H1220" s="34">
        <v>1</v>
      </c>
      <c r="I1220" s="217" t="s">
        <v>1201</v>
      </c>
      <c r="J1220" s="34" t="s">
        <v>6239</v>
      </c>
      <c r="K1220" s="34" t="s">
        <v>788</v>
      </c>
      <c r="L1220" s="34" t="s">
        <v>765</v>
      </c>
      <c r="M1220" s="30">
        <v>284.89999999999998</v>
      </c>
      <c r="N1220" s="283" t="s">
        <v>721</v>
      </c>
    </row>
    <row r="1221" spans="1:14" s="32" customFormat="1" ht="14.25" customHeight="1">
      <c r="A1221" s="3" t="s">
        <v>1121</v>
      </c>
      <c r="B1221" s="36" t="s">
        <v>125</v>
      </c>
      <c r="C1221" s="214">
        <v>4058075463806</v>
      </c>
      <c r="D1221" s="214"/>
      <c r="E1221" s="215"/>
      <c r="F1221" s="216"/>
      <c r="G1221" s="66" t="str">
        <f>HYPERLINK("https://ledvance.com/pt/product-datasheet/141830/46654","Ficha de Produto")</f>
        <v>Ficha de Produto</v>
      </c>
      <c r="H1221" s="34">
        <v>1</v>
      </c>
      <c r="I1221" s="217" t="s">
        <v>1201</v>
      </c>
      <c r="J1221" s="34" t="s">
        <v>1110</v>
      </c>
      <c r="K1221" s="34" t="s">
        <v>788</v>
      </c>
      <c r="L1221" s="34" t="s">
        <v>765</v>
      </c>
      <c r="M1221" s="30">
        <v>245</v>
      </c>
      <c r="N1221" s="283" t="s">
        <v>721</v>
      </c>
    </row>
    <row r="1222" spans="1:14" s="32" customFormat="1" ht="14.25" customHeight="1">
      <c r="A1222" s="8" t="s">
        <v>1122</v>
      </c>
      <c r="B1222" s="227" t="s">
        <v>3619</v>
      </c>
      <c r="C1222" s="231"/>
      <c r="D1222" s="231"/>
      <c r="E1222" s="232"/>
      <c r="F1222" s="7"/>
      <c r="G1222" s="68"/>
      <c r="H1222" s="233"/>
      <c r="I1222" s="233"/>
      <c r="J1222" s="233"/>
      <c r="K1222" s="233"/>
      <c r="L1222" s="233"/>
      <c r="M1222" s="230"/>
      <c r="N1222" s="284"/>
    </row>
    <row r="1223" spans="1:14" s="32" customFormat="1" ht="14.25" customHeight="1">
      <c r="A1223" s="3" t="s">
        <v>641</v>
      </c>
      <c r="B1223" s="36" t="s">
        <v>1773</v>
      </c>
      <c r="C1223" s="218">
        <v>4099854140068</v>
      </c>
      <c r="D1223" s="218"/>
      <c r="E1223" s="218"/>
      <c r="F1223" s="222" t="s">
        <v>2019</v>
      </c>
      <c r="G1223" s="66" t="str">
        <f>HYPERLINK("https://ledvance.com/pt/product-datasheet/270204/260300","Ficha de Produto")</f>
        <v>Ficha de Produto</v>
      </c>
      <c r="H1223" s="217" t="s">
        <v>1201</v>
      </c>
      <c r="I1223" s="34" t="s">
        <v>6240</v>
      </c>
      <c r="J1223" s="34" t="s">
        <v>6157</v>
      </c>
      <c r="K1223" s="34" t="s">
        <v>6241</v>
      </c>
      <c r="L1223" s="34" t="s">
        <v>765</v>
      </c>
      <c r="M1223" s="30">
        <v>254.9</v>
      </c>
      <c r="N1223" s="283" t="s">
        <v>721</v>
      </c>
    </row>
    <row r="1224" spans="1:14" s="32" customFormat="1" ht="14.25" customHeight="1">
      <c r="A1224" s="3" t="s">
        <v>641</v>
      </c>
      <c r="B1224" s="36" t="s">
        <v>1774</v>
      </c>
      <c r="C1224" s="218">
        <v>4099854140228</v>
      </c>
      <c r="D1224" s="218"/>
      <c r="E1224" s="218"/>
      <c r="F1224" s="222" t="s">
        <v>2019</v>
      </c>
      <c r="G1224" s="66" t="str">
        <f>HYPERLINK("https://ledvance.com/pt/product-datasheet/270204/260312","Ficha de Produto")</f>
        <v>Ficha de Produto</v>
      </c>
      <c r="H1224" s="217" t="s">
        <v>1201</v>
      </c>
      <c r="I1224" s="34" t="s">
        <v>1031</v>
      </c>
      <c r="J1224" s="34" t="s">
        <v>6157</v>
      </c>
      <c r="K1224" s="34" t="s">
        <v>6241</v>
      </c>
      <c r="L1224" s="34" t="s">
        <v>765</v>
      </c>
      <c r="M1224" s="30">
        <v>287.2</v>
      </c>
      <c r="N1224" s="283" t="s">
        <v>721</v>
      </c>
    </row>
    <row r="1225" spans="1:14" s="32" customFormat="1" ht="14.25" customHeight="1">
      <c r="A1225" s="3" t="s">
        <v>641</v>
      </c>
      <c r="B1225" s="36" t="s">
        <v>1775</v>
      </c>
      <c r="C1225" s="218">
        <v>4099854140310</v>
      </c>
      <c r="D1225" s="218"/>
      <c r="E1225" s="218"/>
      <c r="F1225" s="222" t="s">
        <v>2019</v>
      </c>
      <c r="G1225" s="66" t="str">
        <f>HYPERLINK("https://ledvance.com/pt/product-datasheet/270205/260316","Ficha de Produto")</f>
        <v>Ficha de Produto</v>
      </c>
      <c r="H1225" s="217" t="s">
        <v>1201</v>
      </c>
      <c r="I1225" s="34" t="s">
        <v>819</v>
      </c>
      <c r="J1225" s="34" t="s">
        <v>6113</v>
      </c>
      <c r="K1225" s="34" t="s">
        <v>788</v>
      </c>
      <c r="L1225" s="34" t="s">
        <v>765</v>
      </c>
      <c r="M1225" s="30">
        <v>206.6</v>
      </c>
      <c r="N1225" s="283" t="s">
        <v>721</v>
      </c>
    </row>
    <row r="1226" spans="1:14" s="32" customFormat="1" ht="14.25" customHeight="1">
      <c r="A1226" s="8" t="s">
        <v>1122</v>
      </c>
      <c r="B1226" s="227" t="s">
        <v>3620</v>
      </c>
      <c r="C1226" s="231"/>
      <c r="D1226" s="231"/>
      <c r="E1226" s="232"/>
      <c r="F1226" s="7"/>
      <c r="G1226" s="68"/>
      <c r="H1226" s="233"/>
      <c r="I1226" s="233"/>
      <c r="J1226" s="233"/>
      <c r="K1226" s="233"/>
      <c r="L1226" s="233"/>
      <c r="M1226" s="230"/>
      <c r="N1226" s="284"/>
    </row>
    <row r="1227" spans="1:14" s="32" customFormat="1" ht="14.25" customHeight="1">
      <c r="A1227" s="3" t="s">
        <v>1122</v>
      </c>
      <c r="B1227" s="36" t="s">
        <v>1739</v>
      </c>
      <c r="C1227" s="214">
        <v>4058075724624</v>
      </c>
      <c r="D1227" s="214"/>
      <c r="E1227" s="215"/>
      <c r="F1227" s="214"/>
      <c r="G1227" s="66"/>
      <c r="H1227" s="217" t="s">
        <v>1201</v>
      </c>
      <c r="I1227" s="217" t="s">
        <v>1201</v>
      </c>
      <c r="J1227" s="217" t="s">
        <v>1201</v>
      </c>
      <c r="K1227" s="217" t="s">
        <v>1201</v>
      </c>
      <c r="L1227" s="217" t="s">
        <v>1201</v>
      </c>
      <c r="M1227" s="30">
        <v>1050</v>
      </c>
      <c r="N1227" s="283" t="s">
        <v>721</v>
      </c>
    </row>
    <row r="1228" spans="1:14" s="32" customFormat="1" ht="14.25" customHeight="1">
      <c r="A1228" s="3" t="s">
        <v>1122</v>
      </c>
      <c r="B1228" s="36" t="s">
        <v>1740</v>
      </c>
      <c r="C1228" s="214">
        <v>4058075724549</v>
      </c>
      <c r="D1228" s="214"/>
      <c r="E1228" s="215"/>
      <c r="F1228" s="214"/>
      <c r="G1228" s="66" t="str">
        <f>HYPERLINK("https://ledvance.com/pt/product-datasheet/237878/227899","Ficha de Produto")</f>
        <v>Ficha de Produto</v>
      </c>
      <c r="H1228" s="34">
        <v>2</v>
      </c>
      <c r="I1228" s="34" t="s">
        <v>880</v>
      </c>
      <c r="J1228" s="34" t="s">
        <v>6157</v>
      </c>
      <c r="K1228" s="34" t="s">
        <v>6241</v>
      </c>
      <c r="L1228" s="34" t="s">
        <v>765</v>
      </c>
      <c r="M1228" s="30">
        <v>287.2</v>
      </c>
      <c r="N1228" s="283" t="s">
        <v>721</v>
      </c>
    </row>
    <row r="1229" spans="1:14" s="32" customFormat="1" ht="14.25" customHeight="1">
      <c r="A1229" s="3" t="s">
        <v>1122</v>
      </c>
      <c r="B1229" s="36" t="s">
        <v>1741</v>
      </c>
      <c r="C1229" s="214">
        <v>4058075724587</v>
      </c>
      <c r="D1229" s="214"/>
      <c r="E1229" s="215"/>
      <c r="F1229" s="214"/>
      <c r="G1229" s="66" t="str">
        <f>HYPERLINK("https://ledvance.com/pt/product-datasheet/237878/227905","Ficha de Produto")</f>
        <v>Ficha de Produto</v>
      </c>
      <c r="H1229" s="34">
        <v>2</v>
      </c>
      <c r="I1229" s="34" t="s">
        <v>1031</v>
      </c>
      <c r="J1229" s="34" t="s">
        <v>6243</v>
      </c>
      <c r="K1229" s="34" t="s">
        <v>6241</v>
      </c>
      <c r="L1229" s="34" t="s">
        <v>765</v>
      </c>
      <c r="M1229" s="30">
        <v>287.2</v>
      </c>
      <c r="N1229" s="283" t="s">
        <v>721</v>
      </c>
    </row>
    <row r="1230" spans="1:14" s="32" customFormat="1" ht="14.25" customHeight="1">
      <c r="A1230" s="3" t="s">
        <v>1122</v>
      </c>
      <c r="B1230" s="36" t="s">
        <v>3621</v>
      </c>
      <c r="C1230" s="214">
        <v>4058075724600</v>
      </c>
      <c r="D1230" s="214"/>
      <c r="E1230" s="215"/>
      <c r="F1230" s="214"/>
      <c r="G1230" s="66"/>
      <c r="H1230" s="217" t="s">
        <v>1201</v>
      </c>
      <c r="I1230" s="217" t="s">
        <v>1201</v>
      </c>
      <c r="J1230" s="217" t="s">
        <v>1201</v>
      </c>
      <c r="K1230" s="217" t="s">
        <v>1201</v>
      </c>
      <c r="L1230" s="217" t="s">
        <v>1201</v>
      </c>
      <c r="M1230" s="30">
        <v>317.5</v>
      </c>
      <c r="N1230" s="283" t="s">
        <v>721</v>
      </c>
    </row>
    <row r="1231" spans="1:14" s="32" customFormat="1" ht="14.25" customHeight="1">
      <c r="A1231" s="3" t="s">
        <v>1122</v>
      </c>
      <c r="B1231" s="36" t="s">
        <v>1123</v>
      </c>
      <c r="C1231" s="214">
        <v>4058075671270</v>
      </c>
      <c r="D1231" s="214"/>
      <c r="E1231" s="215"/>
      <c r="F1231" s="216"/>
      <c r="G1231" s="66" t="str">
        <f>HYPERLINK("https://ledvance.com/pt/product-datasheet/178908/167859","Ficha de Produto")</f>
        <v>Ficha de Produto</v>
      </c>
      <c r="H1231" s="34">
        <v>4</v>
      </c>
      <c r="I1231" s="34" t="s">
        <v>956</v>
      </c>
      <c r="J1231" s="34" t="s">
        <v>6244</v>
      </c>
      <c r="K1231" s="34" t="s">
        <v>953</v>
      </c>
      <c r="L1231" s="34" t="s">
        <v>765</v>
      </c>
      <c r="M1231" s="30">
        <v>552.5</v>
      </c>
      <c r="N1231" s="283" t="s">
        <v>721</v>
      </c>
    </row>
    <row r="1232" spans="1:14" s="32" customFormat="1" ht="14.25" customHeight="1">
      <c r="A1232" s="3" t="s">
        <v>1122</v>
      </c>
      <c r="B1232" s="36" t="s">
        <v>1124</v>
      </c>
      <c r="C1232" s="214">
        <v>4058075671294</v>
      </c>
      <c r="D1232" s="214"/>
      <c r="E1232" s="215"/>
      <c r="F1232" s="216"/>
      <c r="G1232" s="66" t="str">
        <f>HYPERLINK("https://ledvance.com/pt/product-datasheet/178908/167862","Ficha de Produto")</f>
        <v>Ficha de Produto</v>
      </c>
      <c r="H1232" s="34">
        <v>4</v>
      </c>
      <c r="I1232" s="34" t="s">
        <v>957</v>
      </c>
      <c r="J1232" s="34" t="s">
        <v>6244</v>
      </c>
      <c r="K1232" s="34" t="s">
        <v>954</v>
      </c>
      <c r="L1232" s="34" t="s">
        <v>765</v>
      </c>
      <c r="M1232" s="30">
        <v>575</v>
      </c>
      <c r="N1232" s="283" t="s">
        <v>721</v>
      </c>
    </row>
    <row r="1233" spans="1:14" s="32" customFormat="1" ht="14.25" customHeight="1">
      <c r="A1233" s="8" t="s">
        <v>1115</v>
      </c>
      <c r="B1233" s="275" t="s">
        <v>1116</v>
      </c>
      <c r="C1233" s="234"/>
      <c r="D1233" s="234"/>
      <c r="E1233" s="37"/>
      <c r="F1233" s="7"/>
      <c r="G1233" s="68"/>
      <c r="H1233" s="220"/>
      <c r="I1233" s="220"/>
      <c r="J1233" s="220"/>
      <c r="K1233" s="220"/>
      <c r="L1233" s="220"/>
      <c r="M1233" s="230"/>
      <c r="N1233" s="284"/>
    </row>
    <row r="1234" spans="1:14" s="32" customFormat="1" ht="14.25" customHeight="1">
      <c r="A1234" s="8" t="s">
        <v>699</v>
      </c>
      <c r="B1234" s="276" t="s">
        <v>1117</v>
      </c>
      <c r="C1234" s="234"/>
      <c r="D1234" s="234"/>
      <c r="E1234" s="37"/>
      <c r="F1234" s="7"/>
      <c r="G1234" s="68" t="s">
        <v>6505</v>
      </c>
      <c r="H1234" s="220"/>
      <c r="I1234" s="220"/>
      <c r="J1234" s="220"/>
      <c r="K1234" s="220"/>
      <c r="L1234" s="220"/>
      <c r="M1234" s="230"/>
      <c r="N1234" s="284"/>
    </row>
    <row r="1235" spans="1:14" s="32" customFormat="1" ht="14.25" customHeight="1">
      <c r="A1235" s="3" t="s">
        <v>699</v>
      </c>
      <c r="B1235" s="36" t="s">
        <v>3622</v>
      </c>
      <c r="C1235" s="214">
        <v>4058075436084</v>
      </c>
      <c r="D1235" s="214"/>
      <c r="E1235" s="215"/>
      <c r="F1235" s="216"/>
      <c r="G1235" s="66" t="str">
        <f>HYPERLINK("https://ledvance.com/pt/product-datasheet/8376/46623","Ficha de Produto")</f>
        <v>Ficha de Produto</v>
      </c>
      <c r="H1235" s="34">
        <v>10</v>
      </c>
      <c r="I1235" s="34" t="s">
        <v>956</v>
      </c>
      <c r="J1235" s="34" t="s">
        <v>6244</v>
      </c>
      <c r="K1235" s="34" t="s">
        <v>953</v>
      </c>
      <c r="L1235" s="34" t="s">
        <v>765</v>
      </c>
      <c r="M1235" s="30">
        <v>193.7</v>
      </c>
      <c r="N1235" s="283" t="s">
        <v>721</v>
      </c>
    </row>
    <row r="1236" spans="1:14" s="32" customFormat="1" ht="14.25" customHeight="1">
      <c r="A1236" s="3" t="s">
        <v>699</v>
      </c>
      <c r="B1236" s="36" t="s">
        <v>3623</v>
      </c>
      <c r="C1236" s="214">
        <v>4058075436008</v>
      </c>
      <c r="D1236" s="214"/>
      <c r="E1236" s="215"/>
      <c r="F1236" s="216"/>
      <c r="G1236" s="66" t="str">
        <f>HYPERLINK("https://ledvance.com/pt/product-datasheet/8377/46928","Ficha de Produto")</f>
        <v>Ficha de Produto</v>
      </c>
      <c r="H1236" s="34">
        <v>10</v>
      </c>
      <c r="I1236" s="34" t="s">
        <v>957</v>
      </c>
      <c r="J1236" s="34" t="s">
        <v>6244</v>
      </c>
      <c r="K1236" s="34" t="s">
        <v>954</v>
      </c>
      <c r="L1236" s="34" t="s">
        <v>765</v>
      </c>
      <c r="M1236" s="30">
        <v>304.2</v>
      </c>
      <c r="N1236" s="283" t="s">
        <v>721</v>
      </c>
    </row>
    <row r="1237" spans="1:14" s="32" customFormat="1" ht="14.25" customHeight="1">
      <c r="A1237" s="8" t="s">
        <v>699</v>
      </c>
      <c r="B1237" s="276" t="s">
        <v>759</v>
      </c>
      <c r="C1237" s="234"/>
      <c r="D1237" s="234"/>
      <c r="E1237" s="37"/>
      <c r="F1237" s="7"/>
      <c r="G1237" s="68"/>
      <c r="H1237" s="220"/>
      <c r="I1237" s="220"/>
      <c r="J1237" s="220"/>
      <c r="K1237" s="220"/>
      <c r="L1237" s="220"/>
      <c r="M1237" s="7"/>
      <c r="N1237" s="284"/>
    </row>
    <row r="1238" spans="1:14" s="32" customFormat="1" ht="14.25" customHeight="1">
      <c r="A1238" s="3" t="s">
        <v>699</v>
      </c>
      <c r="B1238" s="103" t="s">
        <v>3624</v>
      </c>
      <c r="C1238" s="236">
        <v>4058075597525</v>
      </c>
      <c r="D1238" s="236"/>
      <c r="E1238" s="237"/>
      <c r="F1238" s="216"/>
      <c r="G1238" s="66" t="str">
        <f>HYPERLINK("https://ledvance.com/pt/product-datasheet/167621/140465","Ficha de Produto")</f>
        <v>Ficha de Produto</v>
      </c>
      <c r="H1238" s="34">
        <v>10</v>
      </c>
      <c r="I1238" s="34" t="s">
        <v>845</v>
      </c>
      <c r="J1238" s="34" t="s">
        <v>6245</v>
      </c>
      <c r="K1238" s="34" t="s">
        <v>953</v>
      </c>
      <c r="L1238" s="34" t="s">
        <v>765</v>
      </c>
      <c r="M1238" s="30">
        <v>188.4</v>
      </c>
      <c r="N1238" s="283" t="s">
        <v>721</v>
      </c>
    </row>
    <row r="1239" spans="1:14" s="32" customFormat="1" ht="14.25" customHeight="1">
      <c r="A1239" s="3" t="s">
        <v>699</v>
      </c>
      <c r="B1239" s="103" t="s">
        <v>3625</v>
      </c>
      <c r="C1239" s="236">
        <v>4058075597532</v>
      </c>
      <c r="D1239" s="236"/>
      <c r="E1239" s="237"/>
      <c r="F1239" s="216"/>
      <c r="G1239" s="66" t="str">
        <f>HYPERLINK("https://ledvance.com/pt/product-datasheet/167621/140469","Ficha de Produto")</f>
        <v>Ficha de Produto</v>
      </c>
      <c r="H1239" s="34">
        <v>10</v>
      </c>
      <c r="I1239" s="34" t="s">
        <v>840</v>
      </c>
      <c r="J1239" s="34" t="s">
        <v>6245</v>
      </c>
      <c r="K1239" s="34" t="s">
        <v>953</v>
      </c>
      <c r="L1239" s="34" t="s">
        <v>765</v>
      </c>
      <c r="M1239" s="30">
        <v>188.4</v>
      </c>
      <c r="N1239" s="283" t="s">
        <v>721</v>
      </c>
    </row>
    <row r="1240" spans="1:14" s="32" customFormat="1" ht="14.25" customHeight="1">
      <c r="A1240" s="3" t="s">
        <v>699</v>
      </c>
      <c r="B1240" s="103" t="s">
        <v>3626</v>
      </c>
      <c r="C1240" s="236">
        <v>4058075597549</v>
      </c>
      <c r="D1240" s="236"/>
      <c r="E1240" s="237"/>
      <c r="F1240" s="216"/>
      <c r="G1240" s="66" t="str">
        <f>HYPERLINK("https://ledvance.com/pt/product-datasheet/167621/140473","Ficha de Produto")</f>
        <v>Ficha de Produto</v>
      </c>
      <c r="H1240" s="34">
        <v>10</v>
      </c>
      <c r="I1240" s="34" t="s">
        <v>841</v>
      </c>
      <c r="J1240" s="34" t="s">
        <v>6245</v>
      </c>
      <c r="K1240" s="34" t="s">
        <v>953</v>
      </c>
      <c r="L1240" s="34" t="s">
        <v>765</v>
      </c>
      <c r="M1240" s="30">
        <v>188.4</v>
      </c>
      <c r="N1240" s="283" t="s">
        <v>721</v>
      </c>
    </row>
    <row r="1241" spans="1:14" s="32" customFormat="1" ht="14.25" customHeight="1">
      <c r="A1241" s="3" t="s">
        <v>699</v>
      </c>
      <c r="B1241" s="103" t="s">
        <v>3627</v>
      </c>
      <c r="C1241" s="236">
        <v>4058075597556</v>
      </c>
      <c r="D1241" s="236"/>
      <c r="E1241" s="237"/>
      <c r="F1241" s="216"/>
      <c r="G1241" s="66" t="str">
        <f>HYPERLINK("https://ledvance.com/pt/product-datasheet/167621/140477","Ficha de Produto")</f>
        <v>Ficha de Produto</v>
      </c>
      <c r="H1241" s="34">
        <v>10</v>
      </c>
      <c r="I1241" s="34" t="s">
        <v>848</v>
      </c>
      <c r="J1241" s="34" t="s">
        <v>6245</v>
      </c>
      <c r="K1241" s="34" t="s">
        <v>953</v>
      </c>
      <c r="L1241" s="34" t="s">
        <v>765</v>
      </c>
      <c r="M1241" s="30">
        <v>188.4</v>
      </c>
      <c r="N1241" s="283" t="s">
        <v>721</v>
      </c>
    </row>
    <row r="1242" spans="1:14" s="32" customFormat="1" ht="14.25" customHeight="1">
      <c r="A1242" s="8" t="s">
        <v>699</v>
      </c>
      <c r="B1242" s="276" t="s">
        <v>1198</v>
      </c>
      <c r="C1242" s="234"/>
      <c r="D1242" s="234"/>
      <c r="E1242" s="37"/>
      <c r="F1242" s="7"/>
      <c r="G1242" s="68" t="s">
        <v>6505</v>
      </c>
      <c r="H1242" s="220"/>
      <c r="I1242" s="220"/>
      <c r="J1242" s="220"/>
      <c r="K1242" s="220"/>
      <c r="L1242" s="220"/>
      <c r="M1242" s="7"/>
      <c r="N1242" s="284"/>
    </row>
    <row r="1243" spans="1:14" s="32" customFormat="1" ht="14.25" customHeight="1">
      <c r="A1243" s="3" t="s">
        <v>699</v>
      </c>
      <c r="B1243" s="36" t="s">
        <v>3628</v>
      </c>
      <c r="C1243" s="214">
        <v>4058075707474</v>
      </c>
      <c r="D1243" s="214"/>
      <c r="E1243" s="215"/>
      <c r="F1243" s="216"/>
      <c r="G1243" s="66" t="str">
        <f>HYPERLINK("https://ledvance.com/pt/product-datasheet/199426/184107","Ficha de Produto")</f>
        <v>Ficha de Produto</v>
      </c>
      <c r="H1243" s="34">
        <v>30</v>
      </c>
      <c r="I1243" s="34" t="s">
        <v>6246</v>
      </c>
      <c r="J1243" s="34" t="s">
        <v>6113</v>
      </c>
      <c r="K1243" s="34" t="s">
        <v>953</v>
      </c>
      <c r="L1243" s="34" t="s">
        <v>765</v>
      </c>
      <c r="M1243" s="30">
        <v>78.3</v>
      </c>
      <c r="N1243" s="283" t="s">
        <v>721</v>
      </c>
    </row>
    <row r="1244" spans="1:14" s="32" customFormat="1" ht="14.25" customHeight="1">
      <c r="A1244" s="3" t="s">
        <v>699</v>
      </c>
      <c r="B1244" s="36" t="s">
        <v>3629</v>
      </c>
      <c r="C1244" s="214">
        <v>4058075707498</v>
      </c>
      <c r="D1244" s="214"/>
      <c r="E1244" s="215"/>
      <c r="F1244" s="216"/>
      <c r="G1244" s="66" t="str">
        <f>HYPERLINK("https://ledvance.com/pt/product-datasheet/199426/184110","Ficha de Produto")</f>
        <v>Ficha de Produto</v>
      </c>
      <c r="H1244" s="34">
        <v>30</v>
      </c>
      <c r="I1244" s="34" t="s">
        <v>6247</v>
      </c>
      <c r="J1244" s="34" t="s">
        <v>6113</v>
      </c>
      <c r="K1244" s="34" t="s">
        <v>953</v>
      </c>
      <c r="L1244" s="34" t="s">
        <v>765</v>
      </c>
      <c r="M1244" s="30">
        <v>78.3</v>
      </c>
      <c r="N1244" s="283" t="s">
        <v>721</v>
      </c>
    </row>
    <row r="1245" spans="1:14" s="32" customFormat="1" ht="14.25" customHeight="1">
      <c r="A1245" s="3" t="s">
        <v>699</v>
      </c>
      <c r="B1245" s="36" t="s">
        <v>3630</v>
      </c>
      <c r="C1245" s="214">
        <v>4058075707511</v>
      </c>
      <c r="D1245" s="214"/>
      <c r="E1245" s="215"/>
      <c r="F1245" s="216"/>
      <c r="G1245" s="66" t="str">
        <f>HYPERLINK("https://ledvance.com/pt/product-datasheet/199426/184113","Ficha de Produto")</f>
        <v>Ficha de Produto</v>
      </c>
      <c r="H1245" s="34">
        <v>30</v>
      </c>
      <c r="I1245" s="34" t="s">
        <v>6248</v>
      </c>
      <c r="J1245" s="34" t="s">
        <v>6113</v>
      </c>
      <c r="K1245" s="34" t="s">
        <v>953</v>
      </c>
      <c r="L1245" s="34" t="s">
        <v>765</v>
      </c>
      <c r="M1245" s="30">
        <v>78.3</v>
      </c>
      <c r="N1245" s="283" t="s">
        <v>721</v>
      </c>
    </row>
    <row r="1246" spans="1:14" s="32" customFormat="1" ht="14.25" customHeight="1">
      <c r="A1246" s="3" t="s">
        <v>699</v>
      </c>
      <c r="B1246" s="36" t="s">
        <v>3631</v>
      </c>
      <c r="C1246" s="214">
        <v>4058075707535</v>
      </c>
      <c r="D1246" s="214"/>
      <c r="E1246" s="215"/>
      <c r="F1246" s="216"/>
      <c r="G1246" s="66" t="str">
        <f>HYPERLINK("https://ledvance.com/pt/product-datasheet/199426/184116","Ficha de Produto")</f>
        <v>Ficha de Produto</v>
      </c>
      <c r="H1246" s="34">
        <v>30</v>
      </c>
      <c r="I1246" s="34" t="s">
        <v>6248</v>
      </c>
      <c r="J1246" s="34" t="s">
        <v>6113</v>
      </c>
      <c r="K1246" s="34" t="s">
        <v>953</v>
      </c>
      <c r="L1246" s="34" t="s">
        <v>765</v>
      </c>
      <c r="M1246" s="30">
        <v>78.3</v>
      </c>
      <c r="N1246" s="283" t="s">
        <v>721</v>
      </c>
    </row>
    <row r="1247" spans="1:14" s="32" customFormat="1" ht="14.25" customHeight="1">
      <c r="A1247" s="3" t="s">
        <v>699</v>
      </c>
      <c r="B1247" s="36" t="s">
        <v>3632</v>
      </c>
      <c r="C1247" s="214">
        <v>4058075707559</v>
      </c>
      <c r="D1247" s="214"/>
      <c r="E1247" s="215"/>
      <c r="F1247" s="216"/>
      <c r="G1247" s="66" t="str">
        <f>HYPERLINK("https://ledvance.com/pt/product-datasheet/199427/184119","Ficha de Produto")</f>
        <v>Ficha de Produto</v>
      </c>
      <c r="H1247" s="34">
        <v>30</v>
      </c>
      <c r="I1247" s="34" t="s">
        <v>6249</v>
      </c>
      <c r="J1247" s="34" t="s">
        <v>6223</v>
      </c>
      <c r="K1247" s="34" t="s">
        <v>953</v>
      </c>
      <c r="L1247" s="34" t="s">
        <v>765</v>
      </c>
      <c r="M1247" s="30">
        <v>81.8</v>
      </c>
      <c r="N1247" s="283" t="s">
        <v>721</v>
      </c>
    </row>
    <row r="1248" spans="1:14" s="32" customFormat="1" ht="14.25" customHeight="1">
      <c r="A1248" s="3" t="s">
        <v>699</v>
      </c>
      <c r="B1248" s="36" t="s">
        <v>3633</v>
      </c>
      <c r="C1248" s="214">
        <v>4058075707573</v>
      </c>
      <c r="D1248" s="214"/>
      <c r="E1248" s="215"/>
      <c r="F1248" s="216"/>
      <c r="G1248" s="66" t="str">
        <f>HYPERLINK("https://ledvance.com/pt/product-datasheet/199427/184122","Ficha de Produto")</f>
        <v>Ficha de Produto</v>
      </c>
      <c r="H1248" s="34">
        <v>30</v>
      </c>
      <c r="I1248" s="34" t="s">
        <v>6250</v>
      </c>
      <c r="J1248" s="34" t="s">
        <v>6223</v>
      </c>
      <c r="K1248" s="34" t="s">
        <v>953</v>
      </c>
      <c r="L1248" s="34" t="s">
        <v>765</v>
      </c>
      <c r="M1248" s="30">
        <v>81.8</v>
      </c>
      <c r="N1248" s="283" t="s">
        <v>721</v>
      </c>
    </row>
    <row r="1249" spans="1:14" s="32" customFormat="1" ht="14.25" customHeight="1">
      <c r="A1249" s="3" t="s">
        <v>699</v>
      </c>
      <c r="B1249" s="36" t="s">
        <v>3634</v>
      </c>
      <c r="C1249" s="214">
        <v>4058075707597</v>
      </c>
      <c r="D1249" s="214"/>
      <c r="E1249" s="215"/>
      <c r="F1249" s="216"/>
      <c r="G1249" s="66" t="str">
        <f>HYPERLINK("https://ledvance.com/pt/product-datasheet/199427/184125","Ficha de Produto")</f>
        <v>Ficha de Produto</v>
      </c>
      <c r="H1249" s="34">
        <v>30</v>
      </c>
      <c r="I1249" s="34" t="s">
        <v>6251</v>
      </c>
      <c r="J1249" s="34" t="s">
        <v>6223</v>
      </c>
      <c r="K1249" s="34" t="s">
        <v>953</v>
      </c>
      <c r="L1249" s="34" t="s">
        <v>765</v>
      </c>
      <c r="M1249" s="30">
        <v>81.8</v>
      </c>
      <c r="N1249" s="283" t="s">
        <v>721</v>
      </c>
    </row>
    <row r="1250" spans="1:14" s="32" customFormat="1" ht="14.25" customHeight="1">
      <c r="A1250" s="3" t="s">
        <v>699</v>
      </c>
      <c r="B1250" s="36" t="s">
        <v>3635</v>
      </c>
      <c r="C1250" s="214">
        <v>4058075707610</v>
      </c>
      <c r="D1250" s="214"/>
      <c r="E1250" s="215"/>
      <c r="F1250" s="216"/>
      <c r="G1250" s="66" t="str">
        <f>HYPERLINK("https://ledvance.com/pt/product-datasheet/199427/184128","Ficha de Produto")</f>
        <v>Ficha de Produto</v>
      </c>
      <c r="H1250" s="34">
        <v>30</v>
      </c>
      <c r="I1250" s="34" t="s">
        <v>6251</v>
      </c>
      <c r="J1250" s="34" t="s">
        <v>6223</v>
      </c>
      <c r="K1250" s="34" t="s">
        <v>953</v>
      </c>
      <c r="L1250" s="34" t="s">
        <v>765</v>
      </c>
      <c r="M1250" s="30">
        <v>81.8</v>
      </c>
      <c r="N1250" s="283" t="s">
        <v>721</v>
      </c>
    </row>
    <row r="1251" spans="1:14" s="32" customFormat="1" ht="14.25" customHeight="1">
      <c r="A1251" s="3" t="s">
        <v>699</v>
      </c>
      <c r="B1251" s="36" t="s">
        <v>3636</v>
      </c>
      <c r="C1251" s="214">
        <v>4058075707634</v>
      </c>
      <c r="D1251" s="214"/>
      <c r="E1251" s="215"/>
      <c r="F1251" s="216"/>
      <c r="G1251" s="66" t="str">
        <f>HYPERLINK("https://ledvance.com/pt/product-datasheet/199428/184131","Ficha de Produto")</f>
        <v>Ficha de Produto</v>
      </c>
      <c r="H1251" s="34">
        <v>30</v>
      </c>
      <c r="I1251" s="34" t="s">
        <v>6252</v>
      </c>
      <c r="J1251" s="34" t="s">
        <v>6169</v>
      </c>
      <c r="K1251" s="34" t="s">
        <v>953</v>
      </c>
      <c r="L1251" s="34" t="s">
        <v>765</v>
      </c>
      <c r="M1251" s="30">
        <v>106.6</v>
      </c>
      <c r="N1251" s="283" t="s">
        <v>721</v>
      </c>
    </row>
    <row r="1252" spans="1:14" s="32" customFormat="1" ht="14.25" customHeight="1">
      <c r="A1252" s="3" t="s">
        <v>699</v>
      </c>
      <c r="B1252" s="36" t="s">
        <v>3637</v>
      </c>
      <c r="C1252" s="214">
        <v>4058075707658</v>
      </c>
      <c r="D1252" s="214"/>
      <c r="E1252" s="215"/>
      <c r="F1252" s="216"/>
      <c r="G1252" s="66" t="str">
        <f>HYPERLINK("https://ledvance.com/pt/product-datasheet/199428/184134","Ficha de Produto")</f>
        <v>Ficha de Produto</v>
      </c>
      <c r="H1252" s="34">
        <v>30</v>
      </c>
      <c r="I1252" s="34" t="s">
        <v>851</v>
      </c>
      <c r="J1252" s="34" t="s">
        <v>6169</v>
      </c>
      <c r="K1252" s="34" t="s">
        <v>953</v>
      </c>
      <c r="L1252" s="34" t="s">
        <v>765</v>
      </c>
      <c r="M1252" s="30">
        <v>106.6</v>
      </c>
      <c r="N1252" s="283" t="s">
        <v>721</v>
      </c>
    </row>
    <row r="1253" spans="1:14" s="32" customFormat="1" ht="14.25" customHeight="1">
      <c r="A1253" s="3" t="s">
        <v>699</v>
      </c>
      <c r="B1253" s="36" t="s">
        <v>3638</v>
      </c>
      <c r="C1253" s="214">
        <v>4058075707672</v>
      </c>
      <c r="D1253" s="214"/>
      <c r="E1253" s="215"/>
      <c r="F1253" s="216"/>
      <c r="G1253" s="66" t="str">
        <f>HYPERLINK("https://ledvance.com/pt/product-datasheet/199428/184137","Ficha de Produto")</f>
        <v>Ficha de Produto</v>
      </c>
      <c r="H1253" s="34">
        <v>30</v>
      </c>
      <c r="I1253" s="34" t="s">
        <v>6192</v>
      </c>
      <c r="J1253" s="34" t="s">
        <v>6169</v>
      </c>
      <c r="K1253" s="34" t="s">
        <v>953</v>
      </c>
      <c r="L1253" s="34" t="s">
        <v>765</v>
      </c>
      <c r="M1253" s="30">
        <v>106.6</v>
      </c>
      <c r="N1253" s="283" t="s">
        <v>721</v>
      </c>
    </row>
    <row r="1254" spans="1:14" s="32" customFormat="1" ht="14.25" customHeight="1">
      <c r="A1254" s="3" t="s">
        <v>699</v>
      </c>
      <c r="B1254" s="36" t="s">
        <v>3639</v>
      </c>
      <c r="C1254" s="214">
        <v>4058075707696</v>
      </c>
      <c r="D1254" s="214"/>
      <c r="E1254" s="215"/>
      <c r="F1254" s="216"/>
      <c r="G1254" s="66" t="str">
        <f>HYPERLINK("https://ledvance.com/pt/product-datasheet/199428/184140","Ficha de Produto")</f>
        <v>Ficha de Produto</v>
      </c>
      <c r="H1254" s="34">
        <v>30</v>
      </c>
      <c r="I1254" s="34" t="s">
        <v>6192</v>
      </c>
      <c r="J1254" s="34" t="s">
        <v>6169</v>
      </c>
      <c r="K1254" s="34" t="s">
        <v>953</v>
      </c>
      <c r="L1254" s="34" t="s">
        <v>765</v>
      </c>
      <c r="M1254" s="30">
        <v>106.6</v>
      </c>
      <c r="N1254" s="283" t="s">
        <v>721</v>
      </c>
    </row>
    <row r="1255" spans="1:14" s="32" customFormat="1" ht="14.25" customHeight="1">
      <c r="A1255" s="3" t="s">
        <v>699</v>
      </c>
      <c r="B1255" s="36" t="s">
        <v>3640</v>
      </c>
      <c r="C1255" s="214">
        <v>4058075707719</v>
      </c>
      <c r="D1255" s="214"/>
      <c r="E1255" s="215"/>
      <c r="F1255" s="216"/>
      <c r="G1255" s="66" t="str">
        <f>HYPERLINK("https://ledvance.com/pt/product-datasheet/199429/184143","Ficha de Produto")</f>
        <v>Ficha de Produto</v>
      </c>
      <c r="H1255" s="34">
        <v>30</v>
      </c>
      <c r="I1255" s="34" t="s">
        <v>6253</v>
      </c>
      <c r="J1255" s="34" t="s">
        <v>6254</v>
      </c>
      <c r="K1255" s="34" t="s">
        <v>953</v>
      </c>
      <c r="L1255" s="34" t="s">
        <v>765</v>
      </c>
      <c r="M1255" s="30">
        <v>117.3</v>
      </c>
      <c r="N1255" s="283" t="s">
        <v>721</v>
      </c>
    </row>
    <row r="1256" spans="1:14" s="32" customFormat="1" ht="14.25" customHeight="1">
      <c r="A1256" s="3" t="s">
        <v>699</v>
      </c>
      <c r="B1256" s="36" t="s">
        <v>3641</v>
      </c>
      <c r="C1256" s="214">
        <v>4058075707733</v>
      </c>
      <c r="D1256" s="214"/>
      <c r="E1256" s="215"/>
      <c r="F1256" s="216"/>
      <c r="G1256" s="66" t="str">
        <f>HYPERLINK("https://ledvance.com/pt/product-datasheet/199429/184146","Ficha de Produto")</f>
        <v>Ficha de Produto</v>
      </c>
      <c r="H1256" s="34">
        <v>30</v>
      </c>
      <c r="I1256" s="34" t="s">
        <v>6196</v>
      </c>
      <c r="J1256" s="34" t="s">
        <v>6254</v>
      </c>
      <c r="K1256" s="34" t="s">
        <v>953</v>
      </c>
      <c r="L1256" s="34" t="s">
        <v>765</v>
      </c>
      <c r="M1256" s="30">
        <v>117.3</v>
      </c>
      <c r="N1256" s="283" t="s">
        <v>721</v>
      </c>
    </row>
    <row r="1257" spans="1:14" s="32" customFormat="1" ht="14.25" customHeight="1">
      <c r="A1257" s="3" t="s">
        <v>699</v>
      </c>
      <c r="B1257" s="36" t="s">
        <v>3642</v>
      </c>
      <c r="C1257" s="214">
        <v>4058075707757</v>
      </c>
      <c r="D1257" s="214"/>
      <c r="E1257" s="215"/>
      <c r="F1257" s="216"/>
      <c r="G1257" s="66" t="str">
        <f>HYPERLINK("https://ledvance.com/pt/product-datasheet/199429/184149","Ficha de Produto")</f>
        <v>Ficha de Produto</v>
      </c>
      <c r="H1257" s="34">
        <v>30</v>
      </c>
      <c r="I1257" s="34" t="s">
        <v>6255</v>
      </c>
      <c r="J1257" s="34" t="s">
        <v>6254</v>
      </c>
      <c r="K1257" s="34" t="s">
        <v>953</v>
      </c>
      <c r="L1257" s="34" t="s">
        <v>765</v>
      </c>
      <c r="M1257" s="30">
        <v>117.3</v>
      </c>
      <c r="N1257" s="283" t="s">
        <v>721</v>
      </c>
    </row>
    <row r="1258" spans="1:14" s="32" customFormat="1" ht="14.25" customHeight="1">
      <c r="A1258" s="3" t="s">
        <v>699</v>
      </c>
      <c r="B1258" s="36" t="s">
        <v>3643</v>
      </c>
      <c r="C1258" s="214">
        <v>4058075707771</v>
      </c>
      <c r="D1258" s="214"/>
      <c r="E1258" s="215"/>
      <c r="F1258" s="216"/>
      <c r="G1258" s="66" t="str">
        <f>HYPERLINK("https://ledvance.com/pt/product-datasheet/199429/184152","Ficha de Produto")</f>
        <v>Ficha de Produto</v>
      </c>
      <c r="H1258" s="34">
        <v>30</v>
      </c>
      <c r="I1258" s="34" t="s">
        <v>6255</v>
      </c>
      <c r="J1258" s="34" t="s">
        <v>6254</v>
      </c>
      <c r="K1258" s="34" t="s">
        <v>953</v>
      </c>
      <c r="L1258" s="34" t="s">
        <v>765</v>
      </c>
      <c r="M1258" s="30">
        <v>117.3</v>
      </c>
      <c r="N1258" s="283" t="s">
        <v>721</v>
      </c>
    </row>
    <row r="1259" spans="1:14" s="32" customFormat="1" ht="14.25" customHeight="1">
      <c r="A1259" s="8" t="s">
        <v>699</v>
      </c>
      <c r="B1259" s="276" t="s">
        <v>1197</v>
      </c>
      <c r="C1259" s="234"/>
      <c r="D1259" s="234"/>
      <c r="E1259" s="37"/>
      <c r="F1259" s="7"/>
      <c r="G1259" s="68"/>
      <c r="H1259" s="220"/>
      <c r="I1259" s="220"/>
      <c r="J1259" s="220"/>
      <c r="K1259" s="220"/>
      <c r="L1259" s="220"/>
      <c r="M1259" s="7"/>
      <c r="N1259" s="284"/>
    </row>
    <row r="1260" spans="1:14" s="32" customFormat="1" ht="14.25" customHeight="1">
      <c r="A1260" s="3" t="s">
        <v>699</v>
      </c>
      <c r="B1260" s="36" t="s">
        <v>3644</v>
      </c>
      <c r="C1260" s="214">
        <v>4058075705838</v>
      </c>
      <c r="D1260" s="214"/>
      <c r="E1260" s="215"/>
      <c r="F1260" s="216"/>
      <c r="G1260" s="66" t="str">
        <f>HYPERLINK("https://ledvance.com/pt/product-datasheet/199430/183408","Ficha de Produto")</f>
        <v>Ficha de Produto</v>
      </c>
      <c r="H1260" s="34">
        <v>20</v>
      </c>
      <c r="I1260" s="34" t="s">
        <v>6256</v>
      </c>
      <c r="J1260" s="34" t="s">
        <v>6113</v>
      </c>
      <c r="K1260" s="34" t="s">
        <v>954</v>
      </c>
      <c r="L1260" s="34" t="s">
        <v>765</v>
      </c>
      <c r="M1260" s="30">
        <v>99.5</v>
      </c>
      <c r="N1260" s="283" t="s">
        <v>721</v>
      </c>
    </row>
    <row r="1261" spans="1:14" s="32" customFormat="1" ht="14.25" customHeight="1">
      <c r="A1261" s="3" t="s">
        <v>699</v>
      </c>
      <c r="B1261" s="36" t="s">
        <v>3645</v>
      </c>
      <c r="C1261" s="214">
        <v>4058075705852</v>
      </c>
      <c r="D1261" s="214"/>
      <c r="E1261" s="215"/>
      <c r="F1261" s="216"/>
      <c r="G1261" s="66" t="str">
        <f>HYPERLINK("https://ledvance.com/pt/product-datasheet/199430/183412","Ficha de Produto")</f>
        <v>Ficha de Produto</v>
      </c>
      <c r="H1261" s="34">
        <v>20</v>
      </c>
      <c r="I1261" s="34" t="s">
        <v>6257</v>
      </c>
      <c r="J1261" s="34" t="s">
        <v>6113</v>
      </c>
      <c r="K1261" s="34" t="s">
        <v>954</v>
      </c>
      <c r="L1261" s="34" t="s">
        <v>765</v>
      </c>
      <c r="M1261" s="30">
        <v>99.5</v>
      </c>
      <c r="N1261" s="283" t="s">
        <v>721</v>
      </c>
    </row>
    <row r="1262" spans="1:14" s="32" customFormat="1" ht="14.25" customHeight="1">
      <c r="A1262" s="3" t="s">
        <v>699</v>
      </c>
      <c r="B1262" s="36" t="s">
        <v>3646</v>
      </c>
      <c r="C1262" s="214">
        <v>4058075705876</v>
      </c>
      <c r="D1262" s="214"/>
      <c r="E1262" s="215"/>
      <c r="F1262" s="216"/>
      <c r="G1262" s="66" t="str">
        <f>HYPERLINK("https://ledvance.com/pt/product-datasheet/199430/183415","Ficha de Produto")</f>
        <v>Ficha de Produto</v>
      </c>
      <c r="H1262" s="34">
        <v>20</v>
      </c>
      <c r="I1262" s="34" t="s">
        <v>6258</v>
      </c>
      <c r="J1262" s="34" t="s">
        <v>6113</v>
      </c>
      <c r="K1262" s="34" t="s">
        <v>954</v>
      </c>
      <c r="L1262" s="34" t="s">
        <v>765</v>
      </c>
      <c r="M1262" s="30">
        <v>99.5</v>
      </c>
      <c r="N1262" s="283" t="s">
        <v>721</v>
      </c>
    </row>
    <row r="1263" spans="1:14" s="32" customFormat="1" ht="14.25" customHeight="1">
      <c r="A1263" s="3" t="s">
        <v>699</v>
      </c>
      <c r="B1263" s="36" t="s">
        <v>3647</v>
      </c>
      <c r="C1263" s="214">
        <v>4058075705890</v>
      </c>
      <c r="D1263" s="214"/>
      <c r="E1263" s="215"/>
      <c r="F1263" s="216"/>
      <c r="G1263" s="66" t="str">
        <f>HYPERLINK("https://ledvance.com/pt/product-datasheet/199430/183418","Ficha de Produto")</f>
        <v>Ficha de Produto</v>
      </c>
      <c r="H1263" s="34">
        <v>20</v>
      </c>
      <c r="I1263" s="34" t="s">
        <v>6258</v>
      </c>
      <c r="J1263" s="34" t="s">
        <v>6113</v>
      </c>
      <c r="K1263" s="34" t="s">
        <v>954</v>
      </c>
      <c r="L1263" s="34" t="s">
        <v>765</v>
      </c>
      <c r="M1263" s="30">
        <v>99.5</v>
      </c>
      <c r="N1263" s="283" t="s">
        <v>721</v>
      </c>
    </row>
    <row r="1264" spans="1:14" s="32" customFormat="1" ht="14.25" customHeight="1">
      <c r="A1264" s="3" t="s">
        <v>699</v>
      </c>
      <c r="B1264" s="36" t="s">
        <v>3648</v>
      </c>
      <c r="C1264" s="214">
        <v>4058075705913</v>
      </c>
      <c r="D1264" s="214"/>
      <c r="E1264" s="215"/>
      <c r="F1264" s="216"/>
      <c r="G1264" s="66" t="str">
        <f>HYPERLINK("https://ledvance.com/pt/product-datasheet/199431/183421","Ficha de Produto")</f>
        <v>Ficha de Produto</v>
      </c>
      <c r="H1264" s="34">
        <v>20</v>
      </c>
      <c r="I1264" s="34" t="s">
        <v>6259</v>
      </c>
      <c r="J1264" s="34" t="s">
        <v>6223</v>
      </c>
      <c r="K1264" s="34" t="s">
        <v>954</v>
      </c>
      <c r="L1264" s="34" t="s">
        <v>765</v>
      </c>
      <c r="M1264" s="30">
        <v>110.2</v>
      </c>
      <c r="N1264" s="283" t="s">
        <v>721</v>
      </c>
    </row>
    <row r="1265" spans="1:14" s="32" customFormat="1" ht="14.25" customHeight="1">
      <c r="A1265" s="3" t="s">
        <v>699</v>
      </c>
      <c r="B1265" s="36" t="s">
        <v>3649</v>
      </c>
      <c r="C1265" s="214">
        <v>4058075705937</v>
      </c>
      <c r="D1265" s="214"/>
      <c r="E1265" s="215"/>
      <c r="F1265" s="216"/>
      <c r="G1265" s="66" t="str">
        <f>HYPERLINK("https://ledvance.com/pt/product-datasheet/199431/183424","Ficha de Produto")</f>
        <v>Ficha de Produto</v>
      </c>
      <c r="H1265" s="34">
        <v>20</v>
      </c>
      <c r="I1265" s="34" t="s">
        <v>6260</v>
      </c>
      <c r="J1265" s="34" t="s">
        <v>6223</v>
      </c>
      <c r="K1265" s="34" t="s">
        <v>954</v>
      </c>
      <c r="L1265" s="34" t="s">
        <v>765</v>
      </c>
      <c r="M1265" s="30">
        <v>110.2</v>
      </c>
      <c r="N1265" s="283" t="s">
        <v>721</v>
      </c>
    </row>
    <row r="1266" spans="1:14" s="32" customFormat="1" ht="14.25" customHeight="1">
      <c r="A1266" s="3" t="s">
        <v>699</v>
      </c>
      <c r="B1266" s="36" t="s">
        <v>3650</v>
      </c>
      <c r="C1266" s="214">
        <v>4058075705951</v>
      </c>
      <c r="D1266" s="214"/>
      <c r="E1266" s="215"/>
      <c r="F1266" s="216"/>
      <c r="G1266" s="66" t="str">
        <f>HYPERLINK("https://ledvance.com/pt/product-datasheet/199431/183427","Ficha de Produto")</f>
        <v>Ficha de Produto</v>
      </c>
      <c r="H1266" s="34">
        <v>20</v>
      </c>
      <c r="I1266" s="34" t="s">
        <v>6250</v>
      </c>
      <c r="J1266" s="34" t="s">
        <v>6223</v>
      </c>
      <c r="K1266" s="34" t="s">
        <v>954</v>
      </c>
      <c r="L1266" s="34" t="s">
        <v>765</v>
      </c>
      <c r="M1266" s="30">
        <v>110.2</v>
      </c>
      <c r="N1266" s="283" t="s">
        <v>721</v>
      </c>
    </row>
    <row r="1267" spans="1:14" s="32" customFormat="1" ht="14.25" customHeight="1">
      <c r="A1267" s="3" t="s">
        <v>699</v>
      </c>
      <c r="B1267" s="36" t="s">
        <v>3651</v>
      </c>
      <c r="C1267" s="214">
        <v>4058075705975</v>
      </c>
      <c r="D1267" s="214"/>
      <c r="E1267" s="215"/>
      <c r="F1267" s="216"/>
      <c r="G1267" s="66" t="str">
        <f>HYPERLINK("https://ledvance.com/pt/product-datasheet/199431/183430","Ficha de Produto")</f>
        <v>Ficha de Produto</v>
      </c>
      <c r="H1267" s="34">
        <v>20</v>
      </c>
      <c r="I1267" s="34" t="s">
        <v>6250</v>
      </c>
      <c r="J1267" s="34" t="s">
        <v>6223</v>
      </c>
      <c r="K1267" s="34" t="s">
        <v>954</v>
      </c>
      <c r="L1267" s="34" t="s">
        <v>765</v>
      </c>
      <c r="M1267" s="30">
        <v>110.2</v>
      </c>
      <c r="N1267" s="283" t="s">
        <v>721</v>
      </c>
    </row>
    <row r="1268" spans="1:14" s="32" customFormat="1" ht="14.25" customHeight="1">
      <c r="A1268" s="3" t="s">
        <v>699</v>
      </c>
      <c r="B1268" s="36" t="s">
        <v>3652</v>
      </c>
      <c r="C1268" s="214">
        <v>4058075705999</v>
      </c>
      <c r="D1268" s="214"/>
      <c r="E1268" s="215"/>
      <c r="F1268" s="216"/>
      <c r="G1268" s="66" t="str">
        <f>HYPERLINK("https://ledvance.com/pt/product-datasheet/199432/183433","Ficha de Produto")</f>
        <v>Ficha de Produto</v>
      </c>
      <c r="H1268" s="34">
        <v>20</v>
      </c>
      <c r="I1268" s="34" t="s">
        <v>6261</v>
      </c>
      <c r="J1268" s="34" t="s">
        <v>6169</v>
      </c>
      <c r="K1268" s="34" t="s">
        <v>954</v>
      </c>
      <c r="L1268" s="34" t="s">
        <v>765</v>
      </c>
      <c r="M1268" s="30">
        <v>124.4</v>
      </c>
      <c r="N1268" s="283" t="s">
        <v>721</v>
      </c>
    </row>
    <row r="1269" spans="1:14" s="32" customFormat="1" ht="14.25" customHeight="1">
      <c r="A1269" s="3" t="s">
        <v>699</v>
      </c>
      <c r="B1269" s="36" t="s">
        <v>3653</v>
      </c>
      <c r="C1269" s="214">
        <v>4058075706019</v>
      </c>
      <c r="D1269" s="214"/>
      <c r="E1269" s="215"/>
      <c r="F1269" s="216"/>
      <c r="G1269" s="66" t="str">
        <f>HYPERLINK("https://ledvance.com/pt/product-datasheet/199432/183436","Ficha de Produto")</f>
        <v>Ficha de Produto</v>
      </c>
      <c r="H1269" s="34">
        <v>20</v>
      </c>
      <c r="I1269" s="34" t="s">
        <v>6262</v>
      </c>
      <c r="J1269" s="34" t="s">
        <v>6169</v>
      </c>
      <c r="K1269" s="34" t="s">
        <v>954</v>
      </c>
      <c r="L1269" s="34" t="s">
        <v>765</v>
      </c>
      <c r="M1269" s="30">
        <v>124.4</v>
      </c>
      <c r="N1269" s="283" t="s">
        <v>721</v>
      </c>
    </row>
    <row r="1270" spans="1:14" s="32" customFormat="1" ht="14.25" customHeight="1">
      <c r="A1270" s="3" t="s">
        <v>699</v>
      </c>
      <c r="B1270" s="36" t="s">
        <v>3654</v>
      </c>
      <c r="C1270" s="214">
        <v>4058075706033</v>
      </c>
      <c r="D1270" s="214"/>
      <c r="E1270" s="215"/>
      <c r="F1270" s="216"/>
      <c r="G1270" s="66" t="str">
        <f>HYPERLINK("https://ledvance.com/pt/product-datasheet/199432/183439","Ficha de Produto")</f>
        <v>Ficha de Produto</v>
      </c>
      <c r="H1270" s="34">
        <v>20</v>
      </c>
      <c r="I1270" s="34" t="s">
        <v>869</v>
      </c>
      <c r="J1270" s="34" t="s">
        <v>6169</v>
      </c>
      <c r="K1270" s="34" t="s">
        <v>954</v>
      </c>
      <c r="L1270" s="34" t="s">
        <v>765</v>
      </c>
      <c r="M1270" s="30">
        <v>124.4</v>
      </c>
      <c r="N1270" s="283" t="s">
        <v>721</v>
      </c>
    </row>
    <row r="1271" spans="1:14" s="32" customFormat="1" ht="14.25" customHeight="1">
      <c r="A1271" s="3" t="s">
        <v>699</v>
      </c>
      <c r="B1271" s="36" t="s">
        <v>3655</v>
      </c>
      <c r="C1271" s="214">
        <v>4058075706057</v>
      </c>
      <c r="D1271" s="214"/>
      <c r="E1271" s="215"/>
      <c r="F1271" s="216"/>
      <c r="G1271" s="66" t="str">
        <f>HYPERLINK("https://ledvance.com/pt/product-datasheet/199432/183442","Ficha de Produto")</f>
        <v>Ficha de Produto</v>
      </c>
      <c r="H1271" s="34">
        <v>20</v>
      </c>
      <c r="I1271" s="34" t="s">
        <v>869</v>
      </c>
      <c r="J1271" s="34" t="s">
        <v>6169</v>
      </c>
      <c r="K1271" s="34" t="s">
        <v>954</v>
      </c>
      <c r="L1271" s="34" t="s">
        <v>765</v>
      </c>
      <c r="M1271" s="30">
        <v>124.4</v>
      </c>
      <c r="N1271" s="283" t="s">
        <v>721</v>
      </c>
    </row>
    <row r="1272" spans="1:14" s="32" customFormat="1" ht="14.25" customHeight="1">
      <c r="A1272" s="3" t="s">
        <v>699</v>
      </c>
      <c r="B1272" s="36" t="s">
        <v>3656</v>
      </c>
      <c r="C1272" s="214">
        <v>4058075706071</v>
      </c>
      <c r="D1272" s="214"/>
      <c r="E1272" s="215"/>
      <c r="F1272" s="216"/>
      <c r="G1272" s="66" t="str">
        <f>HYPERLINK("https://ledvance.com/pt/product-datasheet/199433/183445","Ficha de Produto")</f>
        <v>Ficha de Produto</v>
      </c>
      <c r="H1272" s="34">
        <v>20</v>
      </c>
      <c r="I1272" s="34" t="s">
        <v>6263</v>
      </c>
      <c r="J1272" s="34" t="s">
        <v>6254</v>
      </c>
      <c r="K1272" s="34" t="s">
        <v>954</v>
      </c>
      <c r="L1272" s="34" t="s">
        <v>765</v>
      </c>
      <c r="M1272" s="30">
        <v>131.5</v>
      </c>
      <c r="N1272" s="283" t="s">
        <v>721</v>
      </c>
    </row>
    <row r="1273" spans="1:14" s="32" customFormat="1" ht="14.25" customHeight="1">
      <c r="A1273" s="3" t="s">
        <v>699</v>
      </c>
      <c r="B1273" s="36" t="s">
        <v>3657</v>
      </c>
      <c r="C1273" s="214">
        <v>4058075706095</v>
      </c>
      <c r="D1273" s="214"/>
      <c r="E1273" s="215"/>
      <c r="F1273" s="216"/>
      <c r="G1273" s="66" t="str">
        <f>HYPERLINK("https://ledvance.com/pt/product-datasheet/199433/183448","Ficha de Produto")</f>
        <v>Ficha de Produto</v>
      </c>
      <c r="H1273" s="34">
        <v>20</v>
      </c>
      <c r="I1273" s="34" t="s">
        <v>6264</v>
      </c>
      <c r="J1273" s="34" t="s">
        <v>6254</v>
      </c>
      <c r="K1273" s="34" t="s">
        <v>954</v>
      </c>
      <c r="L1273" s="34" t="s">
        <v>765</v>
      </c>
      <c r="M1273" s="30">
        <v>131.5</v>
      </c>
      <c r="N1273" s="283" t="s">
        <v>721</v>
      </c>
    </row>
    <row r="1274" spans="1:14" s="32" customFormat="1" ht="14.25" customHeight="1">
      <c r="A1274" s="3" t="s">
        <v>699</v>
      </c>
      <c r="B1274" s="36" t="s">
        <v>3658</v>
      </c>
      <c r="C1274" s="214">
        <v>4058075706118</v>
      </c>
      <c r="D1274" s="214"/>
      <c r="E1274" s="215"/>
      <c r="F1274" s="216"/>
      <c r="G1274" s="66" t="str">
        <f>HYPERLINK("https://ledvance.com/pt/product-datasheet/199433/183451","Ficha de Produto")</f>
        <v>Ficha de Produto</v>
      </c>
      <c r="H1274" s="34">
        <v>20</v>
      </c>
      <c r="I1274" s="34" t="s">
        <v>6265</v>
      </c>
      <c r="J1274" s="34" t="s">
        <v>6254</v>
      </c>
      <c r="K1274" s="34" t="s">
        <v>954</v>
      </c>
      <c r="L1274" s="34" t="s">
        <v>765</v>
      </c>
      <c r="M1274" s="30">
        <v>131.5</v>
      </c>
      <c r="N1274" s="283" t="s">
        <v>721</v>
      </c>
    </row>
    <row r="1275" spans="1:14" s="32" customFormat="1" ht="14.25" customHeight="1">
      <c r="A1275" s="3" t="s">
        <v>699</v>
      </c>
      <c r="B1275" s="36" t="s">
        <v>3659</v>
      </c>
      <c r="C1275" s="214">
        <v>4058075706132</v>
      </c>
      <c r="D1275" s="214"/>
      <c r="E1275" s="215"/>
      <c r="F1275" s="216"/>
      <c r="G1275" s="66" t="str">
        <f>HYPERLINK("https://ledvance.com/pt/product-datasheet/199433/183454","Ficha de Produto")</f>
        <v>Ficha de Produto</v>
      </c>
      <c r="H1275" s="34">
        <v>20</v>
      </c>
      <c r="I1275" s="34" t="s">
        <v>6265</v>
      </c>
      <c r="J1275" s="34" t="s">
        <v>6254</v>
      </c>
      <c r="K1275" s="34" t="s">
        <v>954</v>
      </c>
      <c r="L1275" s="34" t="s">
        <v>765</v>
      </c>
      <c r="M1275" s="30">
        <v>131.5</v>
      </c>
      <c r="N1275" s="283" t="s">
        <v>721</v>
      </c>
    </row>
    <row r="1276" spans="1:14" s="32" customFormat="1" ht="14.25" customHeight="1">
      <c r="A1276" s="8" t="s">
        <v>699</v>
      </c>
      <c r="B1276" s="276" t="s">
        <v>1118</v>
      </c>
      <c r="C1276" s="234"/>
      <c r="D1276" s="234"/>
      <c r="E1276" s="37"/>
      <c r="F1276" s="7"/>
      <c r="G1276" s="68"/>
      <c r="H1276" s="220"/>
      <c r="I1276" s="220"/>
      <c r="J1276" s="220"/>
      <c r="K1276" s="220"/>
      <c r="L1276" s="220"/>
      <c r="M1276" s="7"/>
      <c r="N1276" s="284"/>
    </row>
    <row r="1277" spans="1:14" s="32" customFormat="1" ht="14.25" customHeight="1">
      <c r="A1277" s="3" t="s">
        <v>699</v>
      </c>
      <c r="B1277" s="36" t="s">
        <v>3660</v>
      </c>
      <c r="C1277" s="214">
        <v>4058075436145</v>
      </c>
      <c r="D1277" s="214"/>
      <c r="E1277" s="215"/>
      <c r="F1277" s="216"/>
      <c r="G1277" s="66" t="str">
        <f>HYPERLINK("https://ledvance.com/pt/product-datasheet/8374/46591","Ficha de Produto")</f>
        <v>Ficha de Produto</v>
      </c>
      <c r="H1277" s="34">
        <v>10</v>
      </c>
      <c r="I1277" s="34" t="s">
        <v>962</v>
      </c>
      <c r="J1277" s="34" t="s">
        <v>6266</v>
      </c>
      <c r="K1277" s="34" t="s">
        <v>953</v>
      </c>
      <c r="L1277" s="34" t="s">
        <v>793</v>
      </c>
      <c r="M1277" s="30">
        <v>192.2</v>
      </c>
      <c r="N1277" s="283" t="s">
        <v>721</v>
      </c>
    </row>
    <row r="1278" spans="1:14" s="32" customFormat="1" ht="14.25" customHeight="1">
      <c r="A1278" s="3" t="s">
        <v>699</v>
      </c>
      <c r="B1278" s="36" t="s">
        <v>3661</v>
      </c>
      <c r="C1278" s="214">
        <v>4058075436206</v>
      </c>
      <c r="D1278" s="214"/>
      <c r="E1278" s="215"/>
      <c r="F1278" s="216"/>
      <c r="G1278" s="66" t="str">
        <f>HYPERLINK("https://ledvance.com/pt/product-datasheet/8374/46595","Ficha de Produto")</f>
        <v>Ficha de Produto</v>
      </c>
      <c r="H1278" s="34">
        <v>10</v>
      </c>
      <c r="I1278" s="34" t="s">
        <v>963</v>
      </c>
      <c r="J1278" s="34" t="s">
        <v>6266</v>
      </c>
      <c r="K1278" s="34" t="s">
        <v>953</v>
      </c>
      <c r="L1278" s="34" t="s">
        <v>793</v>
      </c>
      <c r="M1278" s="30">
        <v>192.2</v>
      </c>
      <c r="N1278" s="283" t="s">
        <v>721</v>
      </c>
    </row>
    <row r="1279" spans="1:14" s="32" customFormat="1" ht="14.25" customHeight="1">
      <c r="A1279" s="3" t="s">
        <v>699</v>
      </c>
      <c r="B1279" s="36" t="s">
        <v>3662</v>
      </c>
      <c r="C1279" s="214">
        <v>4058075436282</v>
      </c>
      <c r="D1279" s="214"/>
      <c r="E1279" s="215"/>
      <c r="F1279" s="216"/>
      <c r="G1279" s="66" t="str">
        <f>HYPERLINK("https://ledvance.com/pt/product-datasheet/8374/46599","Ficha de Produto")</f>
        <v>Ficha de Produto</v>
      </c>
      <c r="H1279" s="34">
        <v>10</v>
      </c>
      <c r="I1279" s="34" t="s">
        <v>964</v>
      </c>
      <c r="J1279" s="34" t="s">
        <v>6266</v>
      </c>
      <c r="K1279" s="34" t="s">
        <v>953</v>
      </c>
      <c r="L1279" s="34" t="s">
        <v>793</v>
      </c>
      <c r="M1279" s="30">
        <v>192.2</v>
      </c>
      <c r="N1279" s="283" t="s">
        <v>721</v>
      </c>
    </row>
    <row r="1280" spans="1:14" s="32" customFormat="1" ht="14.25" customHeight="1">
      <c r="A1280" s="3" t="s">
        <v>699</v>
      </c>
      <c r="B1280" s="36" t="s">
        <v>3663</v>
      </c>
      <c r="C1280" s="214">
        <v>4058075436312</v>
      </c>
      <c r="D1280" s="214"/>
      <c r="E1280" s="215"/>
      <c r="F1280" s="216"/>
      <c r="G1280" s="66" t="str">
        <f>HYPERLINK("https://ledvance.com/pt/product-datasheet/8374/46603","Ficha de Produto")</f>
        <v>Ficha de Produto</v>
      </c>
      <c r="H1280" s="34">
        <v>10</v>
      </c>
      <c r="I1280" s="34" t="s">
        <v>964</v>
      </c>
      <c r="J1280" s="34" t="s">
        <v>6266</v>
      </c>
      <c r="K1280" s="34" t="s">
        <v>953</v>
      </c>
      <c r="L1280" s="34" t="s">
        <v>793</v>
      </c>
      <c r="M1280" s="30">
        <v>192.2</v>
      </c>
      <c r="N1280" s="283" t="s">
        <v>721</v>
      </c>
    </row>
    <row r="1281" spans="1:14" s="32" customFormat="1" ht="14.25" customHeight="1">
      <c r="A1281" s="3" t="s">
        <v>699</v>
      </c>
      <c r="B1281" s="36" t="s">
        <v>3664</v>
      </c>
      <c r="C1281" s="214">
        <v>4058075436053</v>
      </c>
      <c r="D1281" s="214"/>
      <c r="E1281" s="215"/>
      <c r="F1281" s="216"/>
      <c r="G1281" s="66" t="str">
        <f>HYPERLINK("https://ledvance.com/pt/product-datasheet/8375/46607","Ficha de Produto")</f>
        <v>Ficha de Produto</v>
      </c>
      <c r="H1281" s="34">
        <v>10</v>
      </c>
      <c r="I1281" s="34" t="s">
        <v>965</v>
      </c>
      <c r="J1281" s="34" t="s">
        <v>6266</v>
      </c>
      <c r="K1281" s="34" t="s">
        <v>876</v>
      </c>
      <c r="L1281" s="34" t="s">
        <v>793</v>
      </c>
      <c r="M1281" s="30">
        <v>259.10000000000002</v>
      </c>
      <c r="N1281" s="283" t="s">
        <v>721</v>
      </c>
    </row>
    <row r="1282" spans="1:14" s="32" customFormat="1" ht="14.25" customHeight="1">
      <c r="A1282" s="3" t="s">
        <v>699</v>
      </c>
      <c r="B1282" s="36" t="s">
        <v>3665</v>
      </c>
      <c r="C1282" s="214">
        <v>4058075436114</v>
      </c>
      <c r="D1282" s="214"/>
      <c r="E1282" s="215"/>
      <c r="F1282" s="216"/>
      <c r="G1282" s="66" t="str">
        <f>HYPERLINK("https://ledvance.com/pt/product-datasheet/8375/46611","Ficha de Produto")</f>
        <v>Ficha de Produto</v>
      </c>
      <c r="H1282" s="34">
        <v>10</v>
      </c>
      <c r="I1282" s="34" t="s">
        <v>966</v>
      </c>
      <c r="J1282" s="34" t="s">
        <v>6266</v>
      </c>
      <c r="K1282" s="34" t="s">
        <v>876</v>
      </c>
      <c r="L1282" s="34" t="s">
        <v>793</v>
      </c>
      <c r="M1282" s="30">
        <v>259.10000000000002</v>
      </c>
      <c r="N1282" s="283" t="s">
        <v>721</v>
      </c>
    </row>
    <row r="1283" spans="1:14" s="32" customFormat="1" ht="14.25" customHeight="1">
      <c r="A1283" s="3" t="s">
        <v>699</v>
      </c>
      <c r="B1283" s="36" t="s">
        <v>3666</v>
      </c>
      <c r="C1283" s="214">
        <v>4058075436176</v>
      </c>
      <c r="D1283" s="214"/>
      <c r="E1283" s="215"/>
      <c r="F1283" s="216"/>
      <c r="G1283" s="66" t="str">
        <f>HYPERLINK("https://ledvance.com/pt/product-datasheet/8375/46615","Ficha de Produto")</f>
        <v>Ficha de Produto</v>
      </c>
      <c r="H1283" s="34">
        <v>10</v>
      </c>
      <c r="I1283" s="34" t="s">
        <v>967</v>
      </c>
      <c r="J1283" s="34" t="s">
        <v>6266</v>
      </c>
      <c r="K1283" s="34" t="s">
        <v>876</v>
      </c>
      <c r="L1283" s="34" t="s">
        <v>793</v>
      </c>
      <c r="M1283" s="30">
        <v>259.10000000000002</v>
      </c>
      <c r="N1283" s="283" t="s">
        <v>721</v>
      </c>
    </row>
    <row r="1284" spans="1:14" s="32" customFormat="1" ht="14.25" customHeight="1">
      <c r="A1284" s="3" t="s">
        <v>699</v>
      </c>
      <c r="B1284" s="36" t="s">
        <v>3667</v>
      </c>
      <c r="C1284" s="214">
        <v>4058075436237</v>
      </c>
      <c r="D1284" s="214"/>
      <c r="E1284" s="215"/>
      <c r="F1284" s="216"/>
      <c r="G1284" s="66" t="str">
        <f>HYPERLINK("https://ledvance.com/pt/product-datasheet/8375/46619","Ficha de Produto")</f>
        <v>Ficha de Produto</v>
      </c>
      <c r="H1284" s="34">
        <v>10</v>
      </c>
      <c r="I1284" s="34" t="s">
        <v>967</v>
      </c>
      <c r="J1284" s="34" t="s">
        <v>6266</v>
      </c>
      <c r="K1284" s="34" t="s">
        <v>876</v>
      </c>
      <c r="L1284" s="34" t="s">
        <v>793</v>
      </c>
      <c r="M1284" s="30">
        <v>259.10000000000002</v>
      </c>
      <c r="N1284" s="283" t="s">
        <v>721</v>
      </c>
    </row>
    <row r="1285" spans="1:14" s="32" customFormat="1" ht="14.25" customHeight="1">
      <c r="A1285" s="8" t="s">
        <v>699</v>
      </c>
      <c r="B1285" s="276" t="s">
        <v>1199</v>
      </c>
      <c r="C1285" s="234"/>
      <c r="D1285" s="234"/>
      <c r="E1285" s="37"/>
      <c r="F1285" s="7"/>
      <c r="G1285" s="68" t="s">
        <v>6505</v>
      </c>
      <c r="H1285" s="220"/>
      <c r="I1285" s="220"/>
      <c r="J1285" s="220"/>
      <c r="K1285" s="220"/>
      <c r="L1285" s="220"/>
      <c r="M1285" s="7"/>
      <c r="N1285" s="284"/>
    </row>
    <row r="1286" spans="1:14" s="32" customFormat="1" ht="14.25" customHeight="1">
      <c r="A1286" s="3" t="s">
        <v>699</v>
      </c>
      <c r="B1286" s="36" t="s">
        <v>3668</v>
      </c>
      <c r="C1286" s="214">
        <v>4058075707795</v>
      </c>
      <c r="D1286" s="214"/>
      <c r="E1286" s="215"/>
      <c r="F1286" s="216"/>
      <c r="G1286" s="66" t="str">
        <f>HYPERLINK("https://ledvance.com/pt/product-datasheet/199234/184156","Ficha de Produto")</f>
        <v>Ficha de Produto</v>
      </c>
      <c r="H1286" s="34">
        <v>30</v>
      </c>
      <c r="I1286" s="34" t="s">
        <v>6267</v>
      </c>
      <c r="J1286" s="34" t="s">
        <v>6125</v>
      </c>
      <c r="K1286" s="34" t="s">
        <v>953</v>
      </c>
      <c r="L1286" s="34" t="s">
        <v>793</v>
      </c>
      <c r="M1286" s="30">
        <v>30.2</v>
      </c>
      <c r="N1286" s="283" t="s">
        <v>721</v>
      </c>
    </row>
    <row r="1287" spans="1:14" s="32" customFormat="1" ht="14.25" customHeight="1">
      <c r="A1287" s="3" t="s">
        <v>699</v>
      </c>
      <c r="B1287" s="36" t="s">
        <v>3669</v>
      </c>
      <c r="C1287" s="214">
        <v>4058075707818</v>
      </c>
      <c r="D1287" s="214"/>
      <c r="E1287" s="215"/>
      <c r="F1287" s="216"/>
      <c r="G1287" s="66" t="str">
        <f>HYPERLINK("https://ledvance.com/pt/product-datasheet/199234/184159","Ficha de Produto")</f>
        <v>Ficha de Produto</v>
      </c>
      <c r="H1287" s="34">
        <v>30</v>
      </c>
      <c r="I1287" s="34" t="s">
        <v>6268</v>
      </c>
      <c r="J1287" s="34" t="s">
        <v>6125</v>
      </c>
      <c r="K1287" s="34" t="s">
        <v>953</v>
      </c>
      <c r="L1287" s="34" t="s">
        <v>793</v>
      </c>
      <c r="M1287" s="30">
        <v>30.2</v>
      </c>
      <c r="N1287" s="283" t="s">
        <v>721</v>
      </c>
    </row>
    <row r="1288" spans="1:14" s="32" customFormat="1" ht="14.25" customHeight="1">
      <c r="A1288" s="3" t="s">
        <v>699</v>
      </c>
      <c r="B1288" s="36" t="s">
        <v>3670</v>
      </c>
      <c r="C1288" s="214">
        <v>4058075707832</v>
      </c>
      <c r="D1288" s="214"/>
      <c r="E1288" s="215"/>
      <c r="F1288" s="216"/>
      <c r="G1288" s="66" t="str">
        <f>HYPERLINK("https://ledvance.com/pt/product-datasheet/199234/184162","Ficha de Produto")</f>
        <v>Ficha de Produto</v>
      </c>
      <c r="H1288" s="34">
        <v>30</v>
      </c>
      <c r="I1288" s="34" t="s">
        <v>6269</v>
      </c>
      <c r="J1288" s="34" t="s">
        <v>6125</v>
      </c>
      <c r="K1288" s="34" t="s">
        <v>953</v>
      </c>
      <c r="L1288" s="34" t="s">
        <v>793</v>
      </c>
      <c r="M1288" s="30">
        <v>30.2</v>
      </c>
      <c r="N1288" s="283" t="s">
        <v>721</v>
      </c>
    </row>
    <row r="1289" spans="1:14" s="32" customFormat="1" ht="14.25" customHeight="1">
      <c r="A1289" s="3" t="s">
        <v>699</v>
      </c>
      <c r="B1289" s="36" t="s">
        <v>3671</v>
      </c>
      <c r="C1289" s="214">
        <v>4058075707856</v>
      </c>
      <c r="D1289" s="214"/>
      <c r="E1289" s="215"/>
      <c r="F1289" s="216"/>
      <c r="G1289" s="66" t="str">
        <f>HYPERLINK("https://ledvance.com/pt/product-datasheet/199234/184165","Ficha de Produto")</f>
        <v>Ficha de Produto</v>
      </c>
      <c r="H1289" s="34">
        <v>30</v>
      </c>
      <c r="I1289" s="34" t="s">
        <v>6269</v>
      </c>
      <c r="J1289" s="34" t="s">
        <v>6125</v>
      </c>
      <c r="K1289" s="34" t="s">
        <v>953</v>
      </c>
      <c r="L1289" s="34" t="s">
        <v>793</v>
      </c>
      <c r="M1289" s="30">
        <v>30.2</v>
      </c>
      <c r="N1289" s="283" t="s">
        <v>721</v>
      </c>
    </row>
    <row r="1290" spans="1:14" s="32" customFormat="1" ht="14.25" customHeight="1">
      <c r="A1290" s="3" t="s">
        <v>699</v>
      </c>
      <c r="B1290" s="36" t="s">
        <v>3672</v>
      </c>
      <c r="C1290" s="214">
        <v>4058075707870</v>
      </c>
      <c r="D1290" s="214"/>
      <c r="E1290" s="215"/>
      <c r="F1290" s="216"/>
      <c r="G1290" s="66" t="str">
        <f>HYPERLINK("https://ledvance.com/pt/product-datasheet/199237/184168","Ficha de Produto")</f>
        <v>Ficha de Produto</v>
      </c>
      <c r="H1290" s="34">
        <v>30</v>
      </c>
      <c r="I1290" s="34" t="s">
        <v>6270</v>
      </c>
      <c r="J1290" s="34" t="s">
        <v>6157</v>
      </c>
      <c r="K1290" s="34" t="s">
        <v>953</v>
      </c>
      <c r="L1290" s="34" t="s">
        <v>793</v>
      </c>
      <c r="M1290" s="30">
        <v>33.9</v>
      </c>
      <c r="N1290" s="283" t="s">
        <v>721</v>
      </c>
    </row>
    <row r="1291" spans="1:14" s="32" customFormat="1" ht="14.25" customHeight="1">
      <c r="A1291" s="3" t="s">
        <v>699</v>
      </c>
      <c r="B1291" s="36" t="s">
        <v>3673</v>
      </c>
      <c r="C1291" s="214">
        <v>4058075707894</v>
      </c>
      <c r="D1291" s="214"/>
      <c r="E1291" s="215"/>
      <c r="F1291" s="216"/>
      <c r="G1291" s="66" t="str">
        <f>HYPERLINK("https://ledvance.com/pt/product-datasheet/199237/184171","Ficha de Produto")</f>
        <v>Ficha de Produto</v>
      </c>
      <c r="H1291" s="34">
        <v>30</v>
      </c>
      <c r="I1291" s="34" t="s">
        <v>6271</v>
      </c>
      <c r="J1291" s="34" t="s">
        <v>6157</v>
      </c>
      <c r="K1291" s="34" t="s">
        <v>953</v>
      </c>
      <c r="L1291" s="34" t="s">
        <v>793</v>
      </c>
      <c r="M1291" s="30">
        <v>33.9</v>
      </c>
      <c r="N1291" s="283" t="s">
        <v>721</v>
      </c>
    </row>
    <row r="1292" spans="1:14" s="32" customFormat="1" ht="14.25" customHeight="1">
      <c r="A1292" s="3" t="s">
        <v>699</v>
      </c>
      <c r="B1292" s="36" t="s">
        <v>3674</v>
      </c>
      <c r="C1292" s="214">
        <v>4058075707917</v>
      </c>
      <c r="D1292" s="214"/>
      <c r="E1292" s="215"/>
      <c r="F1292" s="216"/>
      <c r="G1292" s="66" t="str">
        <f>HYPERLINK("https://ledvance.com/pt/product-datasheet/199237/184174","Ficha de Produto")</f>
        <v>Ficha de Produto</v>
      </c>
      <c r="H1292" s="34">
        <v>30</v>
      </c>
      <c r="I1292" s="34" t="s">
        <v>6272</v>
      </c>
      <c r="J1292" s="34" t="s">
        <v>6157</v>
      </c>
      <c r="K1292" s="34" t="s">
        <v>953</v>
      </c>
      <c r="L1292" s="34" t="s">
        <v>793</v>
      </c>
      <c r="M1292" s="30">
        <v>33.9</v>
      </c>
      <c r="N1292" s="283" t="s">
        <v>721</v>
      </c>
    </row>
    <row r="1293" spans="1:14" s="32" customFormat="1" ht="14.25" customHeight="1">
      <c r="A1293" s="3" t="s">
        <v>699</v>
      </c>
      <c r="B1293" s="36" t="s">
        <v>3675</v>
      </c>
      <c r="C1293" s="214">
        <v>4058075707931</v>
      </c>
      <c r="D1293" s="214"/>
      <c r="E1293" s="215"/>
      <c r="F1293" s="216"/>
      <c r="G1293" s="66" t="str">
        <f>HYPERLINK("https://ledvance.com/pt/product-datasheet/199237/184177","Ficha de Produto")</f>
        <v>Ficha de Produto</v>
      </c>
      <c r="H1293" s="34">
        <v>30</v>
      </c>
      <c r="I1293" s="34" t="s">
        <v>6272</v>
      </c>
      <c r="J1293" s="34" t="s">
        <v>6157</v>
      </c>
      <c r="K1293" s="34" t="s">
        <v>953</v>
      </c>
      <c r="L1293" s="34" t="s">
        <v>793</v>
      </c>
      <c r="M1293" s="30">
        <v>33.9</v>
      </c>
      <c r="N1293" s="283" t="s">
        <v>721</v>
      </c>
    </row>
    <row r="1294" spans="1:14" s="32" customFormat="1" ht="14.25" customHeight="1">
      <c r="A1294" s="3" t="s">
        <v>699</v>
      </c>
      <c r="B1294" s="36" t="s">
        <v>3676</v>
      </c>
      <c r="C1294" s="214">
        <v>4058075707955</v>
      </c>
      <c r="D1294" s="214"/>
      <c r="E1294" s="215"/>
      <c r="F1294" s="216"/>
      <c r="G1294" s="66" t="str">
        <f>HYPERLINK("https://ledvance.com/pt/product-datasheet/199238/184180","Ficha de Produto")</f>
        <v>Ficha de Produto</v>
      </c>
      <c r="H1294" s="34">
        <v>30</v>
      </c>
      <c r="I1294" s="34" t="s">
        <v>6273</v>
      </c>
      <c r="J1294" s="34" t="s">
        <v>6169</v>
      </c>
      <c r="K1294" s="34" t="s">
        <v>953</v>
      </c>
      <c r="L1294" s="34" t="s">
        <v>793</v>
      </c>
      <c r="M1294" s="30">
        <v>45.1</v>
      </c>
      <c r="N1294" s="283" t="s">
        <v>721</v>
      </c>
    </row>
    <row r="1295" spans="1:14" s="32" customFormat="1" ht="14.25" customHeight="1">
      <c r="A1295" s="3" t="s">
        <v>699</v>
      </c>
      <c r="B1295" s="36" t="s">
        <v>3677</v>
      </c>
      <c r="C1295" s="214">
        <v>4058075707979</v>
      </c>
      <c r="D1295" s="214"/>
      <c r="E1295" s="215"/>
      <c r="F1295" s="216"/>
      <c r="G1295" s="66" t="str">
        <f>HYPERLINK("https://ledvance.com/pt/product-datasheet/199238/184183","Ficha de Produto")</f>
        <v>Ficha de Produto</v>
      </c>
      <c r="H1295" s="34">
        <v>30</v>
      </c>
      <c r="I1295" s="34" t="s">
        <v>6274</v>
      </c>
      <c r="J1295" s="34" t="s">
        <v>6169</v>
      </c>
      <c r="K1295" s="34" t="s">
        <v>953</v>
      </c>
      <c r="L1295" s="34" t="s">
        <v>793</v>
      </c>
      <c r="M1295" s="30">
        <v>45.1</v>
      </c>
      <c r="N1295" s="283" t="s">
        <v>721</v>
      </c>
    </row>
    <row r="1296" spans="1:14" s="32" customFormat="1" ht="14.25" customHeight="1">
      <c r="A1296" s="3" t="s">
        <v>699</v>
      </c>
      <c r="B1296" s="36" t="s">
        <v>3678</v>
      </c>
      <c r="C1296" s="214">
        <v>4058075707993</v>
      </c>
      <c r="D1296" s="214"/>
      <c r="E1296" s="215"/>
      <c r="F1296" s="216"/>
      <c r="G1296" s="66" t="str">
        <f>HYPERLINK("https://ledvance.com/pt/product-datasheet/199238/184186","Ficha de Produto")</f>
        <v>Ficha de Produto</v>
      </c>
      <c r="H1296" s="34">
        <v>30</v>
      </c>
      <c r="I1296" s="34" t="s">
        <v>6275</v>
      </c>
      <c r="J1296" s="34" t="s">
        <v>6169</v>
      </c>
      <c r="K1296" s="34" t="s">
        <v>953</v>
      </c>
      <c r="L1296" s="34" t="s">
        <v>793</v>
      </c>
      <c r="M1296" s="30">
        <v>45.1</v>
      </c>
      <c r="N1296" s="283" t="s">
        <v>721</v>
      </c>
    </row>
    <row r="1297" spans="1:14" s="32" customFormat="1" ht="14.25" customHeight="1">
      <c r="A1297" s="3" t="s">
        <v>699</v>
      </c>
      <c r="B1297" s="36" t="s">
        <v>3679</v>
      </c>
      <c r="C1297" s="214">
        <v>4058075708013</v>
      </c>
      <c r="D1297" s="214"/>
      <c r="E1297" s="215"/>
      <c r="F1297" s="216"/>
      <c r="G1297" s="66" t="str">
        <f>HYPERLINK("https://ledvance.com/pt/product-datasheet/199238/184189","Ficha de Produto")</f>
        <v>Ficha de Produto</v>
      </c>
      <c r="H1297" s="34">
        <v>30</v>
      </c>
      <c r="I1297" s="34" t="s">
        <v>6275</v>
      </c>
      <c r="J1297" s="34" t="s">
        <v>6169</v>
      </c>
      <c r="K1297" s="34" t="s">
        <v>953</v>
      </c>
      <c r="L1297" s="34" t="s">
        <v>793</v>
      </c>
      <c r="M1297" s="30">
        <v>45.1</v>
      </c>
      <c r="N1297" s="283" t="s">
        <v>721</v>
      </c>
    </row>
    <row r="1298" spans="1:14" s="32" customFormat="1" ht="14.25" customHeight="1">
      <c r="A1298" s="3" t="s">
        <v>699</v>
      </c>
      <c r="B1298" s="36" t="s">
        <v>3680</v>
      </c>
      <c r="C1298" s="214">
        <v>4058075708037</v>
      </c>
      <c r="D1298" s="214"/>
      <c r="E1298" s="215"/>
      <c r="F1298" s="216"/>
      <c r="G1298" s="66" t="str">
        <f>HYPERLINK("https://ledvance.com/pt/product-datasheet/199239/184192","Ficha de Produto")</f>
        <v>Ficha de Produto</v>
      </c>
      <c r="H1298" s="34">
        <v>30</v>
      </c>
      <c r="I1298" s="34" t="s">
        <v>6276</v>
      </c>
      <c r="J1298" s="34" t="s">
        <v>6172</v>
      </c>
      <c r="K1298" s="34" t="s">
        <v>953</v>
      </c>
      <c r="L1298" s="34" t="s">
        <v>793</v>
      </c>
      <c r="M1298" s="30">
        <v>52.6</v>
      </c>
      <c r="N1298" s="283" t="s">
        <v>721</v>
      </c>
    </row>
    <row r="1299" spans="1:14" s="32" customFormat="1" ht="14.25" customHeight="1">
      <c r="A1299" s="3" t="s">
        <v>699</v>
      </c>
      <c r="B1299" s="36" t="s">
        <v>3681</v>
      </c>
      <c r="C1299" s="214">
        <v>4058075708051</v>
      </c>
      <c r="D1299" s="214"/>
      <c r="E1299" s="215"/>
      <c r="F1299" s="216"/>
      <c r="G1299" s="66" t="str">
        <f>HYPERLINK("https://ledvance.com/pt/product-datasheet/199239/184195","Ficha de Produto")</f>
        <v>Ficha de Produto</v>
      </c>
      <c r="H1299" s="34">
        <v>30</v>
      </c>
      <c r="I1299" s="34" t="s">
        <v>6277</v>
      </c>
      <c r="J1299" s="34" t="s">
        <v>6172</v>
      </c>
      <c r="K1299" s="34" t="s">
        <v>953</v>
      </c>
      <c r="L1299" s="34" t="s">
        <v>793</v>
      </c>
      <c r="M1299" s="30">
        <v>52.6</v>
      </c>
      <c r="N1299" s="283" t="s">
        <v>721</v>
      </c>
    </row>
    <row r="1300" spans="1:14" s="32" customFormat="1" ht="14.25" customHeight="1">
      <c r="A1300" s="3" t="s">
        <v>699</v>
      </c>
      <c r="B1300" s="36" t="s">
        <v>3682</v>
      </c>
      <c r="C1300" s="214">
        <v>4058075708075</v>
      </c>
      <c r="D1300" s="214"/>
      <c r="E1300" s="215"/>
      <c r="F1300" s="216"/>
      <c r="G1300" s="66" t="str">
        <f>HYPERLINK("https://ledvance.com/pt/product-datasheet/199239/184198","Ficha de Produto")</f>
        <v>Ficha de Produto</v>
      </c>
      <c r="H1300" s="34">
        <v>30</v>
      </c>
      <c r="I1300" s="34" t="s">
        <v>6278</v>
      </c>
      <c r="J1300" s="34" t="s">
        <v>6172</v>
      </c>
      <c r="K1300" s="34" t="s">
        <v>953</v>
      </c>
      <c r="L1300" s="34" t="s">
        <v>793</v>
      </c>
      <c r="M1300" s="30">
        <v>52.6</v>
      </c>
      <c r="N1300" s="283" t="s">
        <v>721</v>
      </c>
    </row>
    <row r="1301" spans="1:14" s="32" customFormat="1" ht="14.25" customHeight="1">
      <c r="A1301" s="3" t="s">
        <v>699</v>
      </c>
      <c r="B1301" s="36" t="s">
        <v>3683</v>
      </c>
      <c r="C1301" s="214">
        <v>4058075708099</v>
      </c>
      <c r="D1301" s="214"/>
      <c r="E1301" s="215"/>
      <c r="F1301" s="216"/>
      <c r="G1301" s="66" t="str">
        <f>HYPERLINK("https://ledvance.com/pt/product-datasheet/199239/184201","Ficha de Produto")</f>
        <v>Ficha de Produto</v>
      </c>
      <c r="H1301" s="34">
        <v>30</v>
      </c>
      <c r="I1301" s="34" t="s">
        <v>6278</v>
      </c>
      <c r="J1301" s="34" t="s">
        <v>6172</v>
      </c>
      <c r="K1301" s="34" t="s">
        <v>953</v>
      </c>
      <c r="L1301" s="34" t="s">
        <v>793</v>
      </c>
      <c r="M1301" s="30">
        <v>52.6</v>
      </c>
      <c r="N1301" s="283" t="s">
        <v>721</v>
      </c>
    </row>
    <row r="1302" spans="1:14" s="32" customFormat="1" ht="14.25" customHeight="1">
      <c r="A1302" s="8" t="s">
        <v>699</v>
      </c>
      <c r="B1302" s="276" t="s">
        <v>1200</v>
      </c>
      <c r="C1302" s="234"/>
      <c r="D1302" s="234"/>
      <c r="E1302" s="37"/>
      <c r="F1302" s="7"/>
      <c r="G1302" s="68"/>
      <c r="H1302" s="220"/>
      <c r="I1302" s="220"/>
      <c r="J1302" s="220"/>
      <c r="K1302" s="220"/>
      <c r="L1302" s="220"/>
      <c r="M1302" s="7"/>
      <c r="N1302" s="284"/>
    </row>
    <row r="1303" spans="1:14" s="32" customFormat="1" ht="14.25" customHeight="1">
      <c r="A1303" s="3" t="s">
        <v>699</v>
      </c>
      <c r="B1303" s="36" t="s">
        <v>3684</v>
      </c>
      <c r="C1303" s="214">
        <v>4058075705425</v>
      </c>
      <c r="D1303" s="214"/>
      <c r="E1303" s="215"/>
      <c r="F1303" s="216"/>
      <c r="G1303" s="66" t="str">
        <f>HYPERLINK("https://ledvance.com/pt/product-datasheet/199242/183457","Ficha de Produto")</f>
        <v>Ficha de Produto</v>
      </c>
      <c r="H1303" s="34">
        <v>20</v>
      </c>
      <c r="I1303" s="34" t="s">
        <v>6256</v>
      </c>
      <c r="J1303" s="34" t="s">
        <v>6125</v>
      </c>
      <c r="K1303" s="34" t="s">
        <v>876</v>
      </c>
      <c r="L1303" s="34" t="s">
        <v>793</v>
      </c>
      <c r="M1303" s="30">
        <v>48.9</v>
      </c>
      <c r="N1303" s="283" t="s">
        <v>721</v>
      </c>
    </row>
    <row r="1304" spans="1:14" s="32" customFormat="1" ht="14.25" customHeight="1">
      <c r="A1304" s="3" t="s">
        <v>699</v>
      </c>
      <c r="B1304" s="36" t="s">
        <v>3685</v>
      </c>
      <c r="C1304" s="214">
        <v>4058075705463</v>
      </c>
      <c r="D1304" s="214"/>
      <c r="E1304" s="215"/>
      <c r="F1304" s="216"/>
      <c r="G1304" s="66" t="str">
        <f>HYPERLINK("https://ledvance.com/pt/product-datasheet/199242/183460","Ficha de Produto")</f>
        <v>Ficha de Produto</v>
      </c>
      <c r="H1304" s="34">
        <v>20</v>
      </c>
      <c r="I1304" s="34" t="s">
        <v>6279</v>
      </c>
      <c r="J1304" s="34" t="s">
        <v>6125</v>
      </c>
      <c r="K1304" s="34" t="s">
        <v>876</v>
      </c>
      <c r="L1304" s="34" t="s">
        <v>793</v>
      </c>
      <c r="M1304" s="30">
        <v>48.9</v>
      </c>
      <c r="N1304" s="283" t="s">
        <v>721</v>
      </c>
    </row>
    <row r="1305" spans="1:14" s="32" customFormat="1" ht="14.25" customHeight="1">
      <c r="A1305" s="3" t="s">
        <v>699</v>
      </c>
      <c r="B1305" s="36" t="s">
        <v>3686</v>
      </c>
      <c r="C1305" s="214">
        <v>4058075705487</v>
      </c>
      <c r="D1305" s="214"/>
      <c r="E1305" s="215"/>
      <c r="F1305" s="216"/>
      <c r="G1305" s="66" t="str">
        <f>HYPERLINK("https://ledvance.com/pt/product-datasheet/199242/183463","Ficha de Produto")</f>
        <v>Ficha de Produto</v>
      </c>
      <c r="H1305" s="34">
        <v>20</v>
      </c>
      <c r="I1305" s="34" t="s">
        <v>6280</v>
      </c>
      <c r="J1305" s="34" t="s">
        <v>6125</v>
      </c>
      <c r="K1305" s="34" t="s">
        <v>876</v>
      </c>
      <c r="L1305" s="34" t="s">
        <v>793</v>
      </c>
      <c r="M1305" s="30">
        <v>48.9</v>
      </c>
      <c r="N1305" s="283" t="s">
        <v>721</v>
      </c>
    </row>
    <row r="1306" spans="1:14" s="32" customFormat="1" ht="14.25" customHeight="1">
      <c r="A1306" s="3" t="s">
        <v>699</v>
      </c>
      <c r="B1306" s="36" t="s">
        <v>3687</v>
      </c>
      <c r="C1306" s="214">
        <v>4058075705500</v>
      </c>
      <c r="D1306" s="214"/>
      <c r="E1306" s="215"/>
      <c r="F1306" s="216"/>
      <c r="G1306" s="66" t="str">
        <f>HYPERLINK("https://ledvance.com/pt/product-datasheet/199242/183466","Ficha de Produto")</f>
        <v>Ficha de Produto</v>
      </c>
      <c r="H1306" s="34">
        <v>20</v>
      </c>
      <c r="I1306" s="34" t="s">
        <v>6280</v>
      </c>
      <c r="J1306" s="34" t="s">
        <v>6125</v>
      </c>
      <c r="K1306" s="34" t="s">
        <v>876</v>
      </c>
      <c r="L1306" s="34" t="s">
        <v>793</v>
      </c>
      <c r="M1306" s="30">
        <v>48.9</v>
      </c>
      <c r="N1306" s="283" t="s">
        <v>721</v>
      </c>
    </row>
    <row r="1307" spans="1:14" s="32" customFormat="1" ht="14.25" customHeight="1">
      <c r="A1307" s="3" t="s">
        <v>699</v>
      </c>
      <c r="B1307" s="36" t="s">
        <v>3688</v>
      </c>
      <c r="C1307" s="214">
        <v>4058075705524</v>
      </c>
      <c r="D1307" s="214"/>
      <c r="E1307" s="215"/>
      <c r="F1307" s="216"/>
      <c r="G1307" s="66" t="str">
        <f>HYPERLINK("https://ledvance.com/pt/product-datasheet/199240/183469","Ficha de Produto")</f>
        <v>Ficha de Produto</v>
      </c>
      <c r="H1307" s="34">
        <v>20</v>
      </c>
      <c r="I1307" s="34" t="s">
        <v>6281</v>
      </c>
      <c r="J1307" s="34" t="s">
        <v>6157</v>
      </c>
      <c r="K1307" s="34" t="s">
        <v>876</v>
      </c>
      <c r="L1307" s="34" t="s">
        <v>793</v>
      </c>
      <c r="M1307" s="30">
        <v>48.9</v>
      </c>
      <c r="N1307" s="283" t="s">
        <v>721</v>
      </c>
    </row>
    <row r="1308" spans="1:14" s="32" customFormat="1" ht="14.25" customHeight="1">
      <c r="A1308" s="3" t="s">
        <v>699</v>
      </c>
      <c r="B1308" s="36" t="s">
        <v>3689</v>
      </c>
      <c r="C1308" s="214">
        <v>4058075705548</v>
      </c>
      <c r="D1308" s="214"/>
      <c r="E1308" s="215"/>
      <c r="F1308" s="216"/>
      <c r="G1308" s="66" t="str">
        <f>HYPERLINK("https://ledvance.com/pt/product-datasheet/199240/183472","Ficha de Produto")</f>
        <v>Ficha de Produto</v>
      </c>
      <c r="H1308" s="34">
        <v>20</v>
      </c>
      <c r="I1308" s="34" t="s">
        <v>828</v>
      </c>
      <c r="J1308" s="34" t="s">
        <v>6157</v>
      </c>
      <c r="K1308" s="34" t="s">
        <v>876</v>
      </c>
      <c r="L1308" s="34" t="s">
        <v>793</v>
      </c>
      <c r="M1308" s="30">
        <v>48.9</v>
      </c>
      <c r="N1308" s="283" t="s">
        <v>721</v>
      </c>
    </row>
    <row r="1309" spans="1:14" s="32" customFormat="1" ht="14.25" customHeight="1">
      <c r="A1309" s="3" t="s">
        <v>699</v>
      </c>
      <c r="B1309" s="36" t="s">
        <v>3690</v>
      </c>
      <c r="C1309" s="214">
        <v>4058075705562</v>
      </c>
      <c r="D1309" s="214"/>
      <c r="E1309" s="215"/>
      <c r="F1309" s="216"/>
      <c r="G1309" s="66" t="str">
        <f>HYPERLINK("https://ledvance.com/pt/product-datasheet/199240/183475","Ficha de Produto")</f>
        <v>Ficha de Produto</v>
      </c>
      <c r="H1309" s="34">
        <v>20</v>
      </c>
      <c r="I1309" s="34" t="s">
        <v>6270</v>
      </c>
      <c r="J1309" s="34" t="s">
        <v>6157</v>
      </c>
      <c r="K1309" s="34" t="s">
        <v>876</v>
      </c>
      <c r="L1309" s="34" t="s">
        <v>793</v>
      </c>
      <c r="M1309" s="30">
        <v>48.9</v>
      </c>
      <c r="N1309" s="283" t="s">
        <v>721</v>
      </c>
    </row>
    <row r="1310" spans="1:14" s="32" customFormat="1" ht="14.25" customHeight="1">
      <c r="A1310" s="3" t="s">
        <v>699</v>
      </c>
      <c r="B1310" s="36" t="s">
        <v>3691</v>
      </c>
      <c r="C1310" s="214">
        <v>4058075705586</v>
      </c>
      <c r="D1310" s="214"/>
      <c r="E1310" s="215"/>
      <c r="F1310" s="216"/>
      <c r="G1310" s="66" t="str">
        <f>HYPERLINK("https://ledvance.com/pt/product-datasheet/199240/183478","Ficha de Produto")</f>
        <v>Ficha de Produto</v>
      </c>
      <c r="H1310" s="34">
        <v>20</v>
      </c>
      <c r="I1310" s="34" t="s">
        <v>6270</v>
      </c>
      <c r="J1310" s="34" t="s">
        <v>6157</v>
      </c>
      <c r="K1310" s="34" t="s">
        <v>876</v>
      </c>
      <c r="L1310" s="34" t="s">
        <v>793</v>
      </c>
      <c r="M1310" s="30">
        <v>48.9</v>
      </c>
      <c r="N1310" s="283" t="s">
        <v>721</v>
      </c>
    </row>
    <row r="1311" spans="1:14" s="32" customFormat="1" ht="14.25" customHeight="1">
      <c r="A1311" s="3" t="s">
        <v>699</v>
      </c>
      <c r="B1311" s="36" t="s">
        <v>3692</v>
      </c>
      <c r="C1311" s="214">
        <v>4058075705609</v>
      </c>
      <c r="D1311" s="214"/>
      <c r="E1311" s="215"/>
      <c r="F1311" s="216"/>
      <c r="G1311" s="66" t="str">
        <f>HYPERLINK("https://ledvance.com/pt/product-datasheet/199241/183481","Ficha de Produto")</f>
        <v>Ficha de Produto</v>
      </c>
      <c r="H1311" s="34">
        <v>20</v>
      </c>
      <c r="I1311" s="34" t="s">
        <v>878</v>
      </c>
      <c r="J1311" s="34" t="s">
        <v>6169</v>
      </c>
      <c r="K1311" s="34" t="s">
        <v>876</v>
      </c>
      <c r="L1311" s="34" t="s">
        <v>793</v>
      </c>
      <c r="M1311" s="30">
        <v>60.1</v>
      </c>
      <c r="N1311" s="283" t="s">
        <v>721</v>
      </c>
    </row>
    <row r="1312" spans="1:14" s="32" customFormat="1" ht="14.25" customHeight="1">
      <c r="A1312" s="3" t="s">
        <v>699</v>
      </c>
      <c r="B1312" s="36" t="s">
        <v>3693</v>
      </c>
      <c r="C1312" s="214">
        <v>4058075705623</v>
      </c>
      <c r="D1312" s="214"/>
      <c r="E1312" s="215"/>
      <c r="F1312" s="216"/>
      <c r="G1312" s="66" t="str">
        <f>HYPERLINK("https://ledvance.com/pt/product-datasheet/199241/183484","Ficha de Produto")</f>
        <v>Ficha de Produto</v>
      </c>
      <c r="H1312" s="34">
        <v>20</v>
      </c>
      <c r="I1312" s="34" t="s">
        <v>1443</v>
      </c>
      <c r="J1312" s="34" t="s">
        <v>6169</v>
      </c>
      <c r="K1312" s="34" t="s">
        <v>876</v>
      </c>
      <c r="L1312" s="34" t="s">
        <v>793</v>
      </c>
      <c r="M1312" s="30">
        <v>60.1</v>
      </c>
      <c r="N1312" s="283" t="s">
        <v>721</v>
      </c>
    </row>
    <row r="1313" spans="1:14" s="32" customFormat="1" ht="14.25" customHeight="1">
      <c r="A1313" s="3" t="s">
        <v>699</v>
      </c>
      <c r="B1313" s="36" t="s">
        <v>3694</v>
      </c>
      <c r="C1313" s="214">
        <v>4058075705647</v>
      </c>
      <c r="D1313" s="214"/>
      <c r="E1313" s="215"/>
      <c r="F1313" s="216"/>
      <c r="G1313" s="66" t="str">
        <f>HYPERLINK("https://ledvance.com/pt/product-datasheet/199241/183487","Ficha de Produto")</f>
        <v>Ficha de Produto</v>
      </c>
      <c r="H1313" s="34">
        <v>20</v>
      </c>
      <c r="I1313" s="34" t="s">
        <v>6282</v>
      </c>
      <c r="J1313" s="34" t="s">
        <v>6169</v>
      </c>
      <c r="K1313" s="34" t="s">
        <v>876</v>
      </c>
      <c r="L1313" s="34" t="s">
        <v>793</v>
      </c>
      <c r="M1313" s="30">
        <v>60.1</v>
      </c>
      <c r="N1313" s="283" t="s">
        <v>721</v>
      </c>
    </row>
    <row r="1314" spans="1:14" s="32" customFormat="1" ht="14.25" customHeight="1">
      <c r="A1314" s="3" t="s">
        <v>699</v>
      </c>
      <c r="B1314" s="36" t="s">
        <v>3695</v>
      </c>
      <c r="C1314" s="214">
        <v>4058075705661</v>
      </c>
      <c r="D1314" s="214"/>
      <c r="E1314" s="215"/>
      <c r="F1314" s="216"/>
      <c r="G1314" s="66" t="str">
        <f>HYPERLINK("https://ledvance.com/pt/product-datasheet/199241/183490","Ficha de Produto")</f>
        <v>Ficha de Produto</v>
      </c>
      <c r="H1314" s="34">
        <v>20</v>
      </c>
      <c r="I1314" s="34" t="s">
        <v>6282</v>
      </c>
      <c r="J1314" s="34" t="s">
        <v>6169</v>
      </c>
      <c r="K1314" s="34" t="s">
        <v>876</v>
      </c>
      <c r="L1314" s="34" t="s">
        <v>793</v>
      </c>
      <c r="M1314" s="30">
        <v>60.1</v>
      </c>
      <c r="N1314" s="283" t="s">
        <v>721</v>
      </c>
    </row>
    <row r="1315" spans="1:14" s="32" customFormat="1" ht="14.25" customHeight="1">
      <c r="A1315" s="3" t="s">
        <v>699</v>
      </c>
      <c r="B1315" s="36" t="s">
        <v>3696</v>
      </c>
      <c r="C1315" s="214">
        <v>4058075705685</v>
      </c>
      <c r="D1315" s="214"/>
      <c r="E1315" s="215"/>
      <c r="F1315" s="216"/>
      <c r="G1315" s="66" t="str">
        <f>HYPERLINK("https://ledvance.com/pt/product-datasheet/199243/183493","Ficha de Produto")</f>
        <v>Ficha de Produto</v>
      </c>
      <c r="H1315" s="34">
        <v>20</v>
      </c>
      <c r="I1315" s="34" t="s">
        <v>6283</v>
      </c>
      <c r="J1315" s="34" t="s">
        <v>6172</v>
      </c>
      <c r="K1315" s="34" t="s">
        <v>876</v>
      </c>
      <c r="L1315" s="34" t="s">
        <v>793</v>
      </c>
      <c r="M1315" s="30">
        <v>67.599999999999994</v>
      </c>
      <c r="N1315" s="283" t="s">
        <v>721</v>
      </c>
    </row>
    <row r="1316" spans="1:14" s="32" customFormat="1" ht="14.25" customHeight="1">
      <c r="A1316" s="3" t="s">
        <v>699</v>
      </c>
      <c r="B1316" s="36" t="s">
        <v>3697</v>
      </c>
      <c r="C1316" s="214">
        <v>4058075705708</v>
      </c>
      <c r="D1316" s="214"/>
      <c r="E1316" s="215"/>
      <c r="F1316" s="216"/>
      <c r="G1316" s="66" t="str">
        <f>HYPERLINK("https://ledvance.com/pt/product-datasheet/199243/183496","Ficha de Produto")</f>
        <v>Ficha de Produto</v>
      </c>
      <c r="H1316" s="34">
        <v>20</v>
      </c>
      <c r="I1316" s="34" t="s">
        <v>6284</v>
      </c>
      <c r="J1316" s="34" t="s">
        <v>6172</v>
      </c>
      <c r="K1316" s="34" t="s">
        <v>876</v>
      </c>
      <c r="L1316" s="34" t="s">
        <v>793</v>
      </c>
      <c r="M1316" s="30">
        <v>67.599999999999994</v>
      </c>
      <c r="N1316" s="283" t="s">
        <v>721</v>
      </c>
    </row>
    <row r="1317" spans="1:14" s="32" customFormat="1" ht="14.25" customHeight="1">
      <c r="A1317" s="3" t="s">
        <v>699</v>
      </c>
      <c r="B1317" s="36" t="s">
        <v>3698</v>
      </c>
      <c r="C1317" s="214">
        <v>4058075705722</v>
      </c>
      <c r="D1317" s="214"/>
      <c r="E1317" s="215"/>
      <c r="F1317" s="216"/>
      <c r="G1317" s="66" t="str">
        <f>HYPERLINK("https://ledvance.com/pt/product-datasheet/199243/183499","Ficha de Produto")</f>
        <v>Ficha de Produto</v>
      </c>
      <c r="H1317" s="34">
        <v>20</v>
      </c>
      <c r="I1317" s="34" t="s">
        <v>6285</v>
      </c>
      <c r="J1317" s="34" t="s">
        <v>6172</v>
      </c>
      <c r="K1317" s="34" t="s">
        <v>876</v>
      </c>
      <c r="L1317" s="34" t="s">
        <v>793</v>
      </c>
      <c r="M1317" s="30">
        <v>67.599999999999994</v>
      </c>
      <c r="N1317" s="283" t="s">
        <v>721</v>
      </c>
    </row>
    <row r="1318" spans="1:14" s="32" customFormat="1" ht="14.25" customHeight="1">
      <c r="A1318" s="3" t="s">
        <v>699</v>
      </c>
      <c r="B1318" s="36" t="s">
        <v>3699</v>
      </c>
      <c r="C1318" s="214">
        <v>4058075705746</v>
      </c>
      <c r="D1318" s="214"/>
      <c r="E1318" s="215"/>
      <c r="F1318" s="216"/>
      <c r="G1318" s="66" t="str">
        <f>HYPERLINK("https://ledvance.com/pt/product-datasheet/199243/183502","Ficha de Produto")</f>
        <v>Ficha de Produto</v>
      </c>
      <c r="H1318" s="34">
        <v>20</v>
      </c>
      <c r="I1318" s="34" t="s">
        <v>6285</v>
      </c>
      <c r="J1318" s="34" t="s">
        <v>6172</v>
      </c>
      <c r="K1318" s="34" t="s">
        <v>876</v>
      </c>
      <c r="L1318" s="34" t="s">
        <v>793</v>
      </c>
      <c r="M1318" s="30">
        <v>67.599999999999994</v>
      </c>
      <c r="N1318" s="283" t="s">
        <v>721</v>
      </c>
    </row>
    <row r="1319" spans="1:14" s="32" customFormat="1" ht="14.25" customHeight="1">
      <c r="A1319" s="8" t="s">
        <v>699</v>
      </c>
      <c r="B1319" s="276" t="s">
        <v>1120</v>
      </c>
      <c r="C1319" s="234"/>
      <c r="D1319" s="234"/>
      <c r="E1319" s="37"/>
      <c r="F1319" s="7"/>
      <c r="G1319" s="68" t="s">
        <v>6505</v>
      </c>
      <c r="H1319" s="220"/>
      <c r="I1319" s="220"/>
      <c r="J1319" s="220"/>
      <c r="K1319" s="220"/>
      <c r="L1319" s="220"/>
      <c r="M1319" s="7"/>
      <c r="N1319" s="284"/>
    </row>
    <row r="1320" spans="1:14" s="32" customFormat="1" ht="14.25" customHeight="1">
      <c r="A1320" s="3" t="s">
        <v>699</v>
      </c>
      <c r="B1320" s="36" t="s">
        <v>3700</v>
      </c>
      <c r="C1320" s="214">
        <v>4058075404441</v>
      </c>
      <c r="D1320" s="214"/>
      <c r="E1320" s="215"/>
      <c r="F1320" s="216"/>
      <c r="G1320" s="66" t="str">
        <f>HYPERLINK("https://ledvance.com/pt/product-datasheet/8372/46766","Ficha de Produto")</f>
        <v>Ficha de Produto</v>
      </c>
      <c r="H1320" s="34">
        <v>10</v>
      </c>
      <c r="I1320" s="34" t="s">
        <v>767</v>
      </c>
      <c r="J1320" s="34" t="s">
        <v>6286</v>
      </c>
      <c r="K1320" s="34" t="s">
        <v>953</v>
      </c>
      <c r="L1320" s="34" t="s">
        <v>800</v>
      </c>
      <c r="M1320" s="30">
        <v>65.7</v>
      </c>
      <c r="N1320" s="283" t="s">
        <v>721</v>
      </c>
    </row>
    <row r="1321" spans="1:14" s="32" customFormat="1" ht="14.25" customHeight="1">
      <c r="A1321" s="3" t="s">
        <v>699</v>
      </c>
      <c r="B1321" s="36" t="s">
        <v>3701</v>
      </c>
      <c r="C1321" s="214">
        <v>4058075404472</v>
      </c>
      <c r="D1321" s="214"/>
      <c r="E1321" s="215"/>
      <c r="F1321" s="216"/>
      <c r="G1321" s="66" t="str">
        <f>HYPERLINK("https://ledvance.com/pt/product-datasheet/8373/46770","Ficha de Produto")</f>
        <v>Ficha de Produto</v>
      </c>
      <c r="H1321" s="34">
        <v>10</v>
      </c>
      <c r="I1321" s="34" t="s">
        <v>969</v>
      </c>
      <c r="J1321" s="34" t="s">
        <v>6286</v>
      </c>
      <c r="K1321" s="34" t="s">
        <v>822</v>
      </c>
      <c r="L1321" s="34" t="s">
        <v>800</v>
      </c>
      <c r="M1321" s="30">
        <v>94.8</v>
      </c>
      <c r="N1321" s="283" t="s">
        <v>721</v>
      </c>
    </row>
    <row r="1322" spans="1:14" s="32" customFormat="1" ht="14.25" customHeight="1">
      <c r="A1322" s="8" t="s">
        <v>699</v>
      </c>
      <c r="B1322" s="276" t="s">
        <v>1119</v>
      </c>
      <c r="C1322" s="234"/>
      <c r="D1322" s="234"/>
      <c r="E1322" s="37"/>
      <c r="F1322" s="7"/>
      <c r="G1322" s="68"/>
      <c r="H1322" s="220"/>
      <c r="I1322" s="220"/>
      <c r="J1322" s="220"/>
      <c r="K1322" s="220"/>
      <c r="L1322" s="220"/>
      <c r="M1322" s="7"/>
      <c r="N1322" s="284"/>
    </row>
    <row r="1323" spans="1:14" s="32" customFormat="1" ht="14.25" customHeight="1">
      <c r="A1323" s="3" t="s">
        <v>699</v>
      </c>
      <c r="B1323" s="103" t="s">
        <v>3702</v>
      </c>
      <c r="C1323" s="236">
        <v>4058075597402</v>
      </c>
      <c r="D1323" s="236"/>
      <c r="E1323" s="237"/>
      <c r="F1323" s="216"/>
      <c r="G1323" s="66" t="str">
        <f>HYPERLINK("https://ledvance.com/pt/product-datasheet/159896/140481","Ficha de Produto")</f>
        <v>Ficha de Produto</v>
      </c>
      <c r="H1323" s="34">
        <v>1</v>
      </c>
      <c r="I1323" s="34" t="s">
        <v>1098</v>
      </c>
      <c r="J1323" s="34" t="s">
        <v>6287</v>
      </c>
      <c r="K1323" s="34" t="s">
        <v>953</v>
      </c>
      <c r="L1323" s="34" t="s">
        <v>793</v>
      </c>
      <c r="M1323" s="30">
        <v>281.10000000000002</v>
      </c>
      <c r="N1323" s="283" t="s">
        <v>721</v>
      </c>
    </row>
    <row r="1324" spans="1:14" s="32" customFormat="1" ht="14.25" customHeight="1">
      <c r="A1324" s="3" t="s">
        <v>699</v>
      </c>
      <c r="B1324" s="103" t="s">
        <v>3703</v>
      </c>
      <c r="C1324" s="236">
        <v>4058075597419</v>
      </c>
      <c r="D1324" s="236"/>
      <c r="E1324" s="237"/>
      <c r="F1324" s="216"/>
      <c r="G1324" s="66" t="str">
        <f>HYPERLINK("https://ledvance.com/pt/product-datasheet/159896/140484","Ficha de Produto")</f>
        <v>Ficha de Produto</v>
      </c>
      <c r="H1324" s="34">
        <v>1</v>
      </c>
      <c r="I1324" s="34" t="s">
        <v>1169</v>
      </c>
      <c r="J1324" s="34" t="s">
        <v>6287</v>
      </c>
      <c r="K1324" s="34" t="s">
        <v>953</v>
      </c>
      <c r="L1324" s="34" t="s">
        <v>793</v>
      </c>
      <c r="M1324" s="30">
        <v>281.10000000000002</v>
      </c>
      <c r="N1324" s="283" t="s">
        <v>721</v>
      </c>
    </row>
    <row r="1325" spans="1:14" s="32" customFormat="1" ht="14.25" customHeight="1">
      <c r="A1325" s="3" t="s">
        <v>699</v>
      </c>
      <c r="B1325" s="103" t="s">
        <v>3704</v>
      </c>
      <c r="C1325" s="236">
        <v>4058075597426</v>
      </c>
      <c r="D1325" s="236"/>
      <c r="E1325" s="237"/>
      <c r="F1325" s="216"/>
      <c r="G1325" s="66" t="str">
        <f>HYPERLINK("https://ledvance.com/pt/product-datasheet/159896/140487","Ficha de Produto")</f>
        <v>Ficha de Produto</v>
      </c>
      <c r="H1325" s="34">
        <v>1</v>
      </c>
      <c r="I1325" s="34" t="s">
        <v>1169</v>
      </c>
      <c r="J1325" s="34" t="s">
        <v>6287</v>
      </c>
      <c r="K1325" s="34" t="s">
        <v>953</v>
      </c>
      <c r="L1325" s="34" t="s">
        <v>793</v>
      </c>
      <c r="M1325" s="30">
        <v>281.10000000000002</v>
      </c>
      <c r="N1325" s="283" t="s">
        <v>721</v>
      </c>
    </row>
    <row r="1326" spans="1:14" s="32" customFormat="1" ht="14.25" customHeight="1">
      <c r="A1326" s="3" t="s">
        <v>699</v>
      </c>
      <c r="B1326" s="103" t="s">
        <v>3705</v>
      </c>
      <c r="C1326" s="236">
        <v>4058075597433</v>
      </c>
      <c r="D1326" s="236"/>
      <c r="E1326" s="237"/>
      <c r="F1326" s="216"/>
      <c r="G1326" s="66" t="str">
        <f>HYPERLINK("https://ledvance.com/pt/product-datasheet/159919/140490","Ficha de Produto")</f>
        <v>Ficha de Produto</v>
      </c>
      <c r="H1326" s="34">
        <v>1</v>
      </c>
      <c r="I1326" s="34" t="s">
        <v>838</v>
      </c>
      <c r="J1326" s="34" t="s">
        <v>6169</v>
      </c>
      <c r="K1326" s="34" t="s">
        <v>953</v>
      </c>
      <c r="L1326" s="34" t="s">
        <v>793</v>
      </c>
      <c r="M1326" s="30">
        <v>412.1</v>
      </c>
      <c r="N1326" s="283" t="s">
        <v>721</v>
      </c>
    </row>
    <row r="1327" spans="1:14" s="32" customFormat="1" ht="14.25" customHeight="1">
      <c r="A1327" s="3" t="s">
        <v>699</v>
      </c>
      <c r="B1327" s="103" t="s">
        <v>3706</v>
      </c>
      <c r="C1327" s="236">
        <v>4058075597440</v>
      </c>
      <c r="D1327" s="236"/>
      <c r="E1327" s="237"/>
      <c r="F1327" s="216"/>
      <c r="G1327" s="66" t="str">
        <f>HYPERLINK("https://ledvance.com/pt/product-datasheet/159919/140493","Ficha de Produto")</f>
        <v>Ficha de Produto</v>
      </c>
      <c r="H1327" s="34">
        <v>1</v>
      </c>
      <c r="I1327" s="34" t="s">
        <v>1170</v>
      </c>
      <c r="J1327" s="34" t="s">
        <v>6169</v>
      </c>
      <c r="K1327" s="34" t="s">
        <v>953</v>
      </c>
      <c r="L1327" s="34" t="s">
        <v>793</v>
      </c>
      <c r="M1327" s="30">
        <v>412.1</v>
      </c>
      <c r="N1327" s="283" t="s">
        <v>721</v>
      </c>
    </row>
    <row r="1328" spans="1:14" s="32" customFormat="1" ht="14.25" customHeight="1">
      <c r="A1328" s="3" t="s">
        <v>699</v>
      </c>
      <c r="B1328" s="103" t="s">
        <v>3707</v>
      </c>
      <c r="C1328" s="236">
        <v>4058075597457</v>
      </c>
      <c r="D1328" s="236"/>
      <c r="E1328" s="237"/>
      <c r="F1328" s="216"/>
      <c r="G1328" s="66" t="str">
        <f>HYPERLINK("https://ledvance.com/pt/product-datasheet/159919/140496","Ficha de Produto")</f>
        <v>Ficha de Produto</v>
      </c>
      <c r="H1328" s="34">
        <v>1</v>
      </c>
      <c r="I1328" s="34" t="s">
        <v>1170</v>
      </c>
      <c r="J1328" s="34" t="s">
        <v>6169</v>
      </c>
      <c r="K1328" s="34" t="s">
        <v>953</v>
      </c>
      <c r="L1328" s="34" t="s">
        <v>793</v>
      </c>
      <c r="M1328" s="30">
        <v>412.1</v>
      </c>
      <c r="N1328" s="283" t="s">
        <v>721</v>
      </c>
    </row>
    <row r="1329" spans="1:14" s="32" customFormat="1" ht="14.25" customHeight="1">
      <c r="A1329" s="3" t="s">
        <v>699</v>
      </c>
      <c r="B1329" s="103" t="s">
        <v>3708</v>
      </c>
      <c r="C1329" s="236">
        <v>4058075597464</v>
      </c>
      <c r="D1329" s="236"/>
      <c r="E1329" s="237"/>
      <c r="F1329" s="216"/>
      <c r="G1329" s="66" t="str">
        <f>HYPERLINK("https://ledvance.com/pt/product-datasheet/159994/140499","Ficha de Produto")</f>
        <v>Ficha de Produto</v>
      </c>
      <c r="H1329" s="34">
        <v>1</v>
      </c>
      <c r="I1329" s="34" t="s">
        <v>862</v>
      </c>
      <c r="J1329" s="34" t="s">
        <v>6287</v>
      </c>
      <c r="K1329" s="34" t="s">
        <v>822</v>
      </c>
      <c r="L1329" s="34" t="s">
        <v>793</v>
      </c>
      <c r="M1329" s="30">
        <v>224.9</v>
      </c>
      <c r="N1329" s="283" t="s">
        <v>721</v>
      </c>
    </row>
    <row r="1330" spans="1:14" s="32" customFormat="1" ht="14.25" customHeight="1">
      <c r="A1330" s="3" t="s">
        <v>699</v>
      </c>
      <c r="B1330" s="103" t="s">
        <v>3709</v>
      </c>
      <c r="C1330" s="236">
        <v>4058075597471</v>
      </c>
      <c r="D1330" s="236"/>
      <c r="E1330" s="237"/>
      <c r="F1330" s="216"/>
      <c r="G1330" s="66" t="str">
        <f>HYPERLINK("https://ledvance.com/pt/product-datasheet/159994/140502","Ficha de Produto")</f>
        <v>Ficha de Produto</v>
      </c>
      <c r="H1330" s="34">
        <v>1</v>
      </c>
      <c r="I1330" s="34" t="s">
        <v>1171</v>
      </c>
      <c r="J1330" s="34" t="s">
        <v>6287</v>
      </c>
      <c r="K1330" s="34" t="s">
        <v>822</v>
      </c>
      <c r="L1330" s="34" t="s">
        <v>793</v>
      </c>
      <c r="M1330" s="30">
        <v>224.9</v>
      </c>
      <c r="N1330" s="283" t="s">
        <v>721</v>
      </c>
    </row>
    <row r="1331" spans="1:14" s="32" customFormat="1" ht="14.25" customHeight="1">
      <c r="A1331" s="3" t="s">
        <v>699</v>
      </c>
      <c r="B1331" s="103" t="s">
        <v>3710</v>
      </c>
      <c r="C1331" s="236">
        <v>4058075597488</v>
      </c>
      <c r="D1331" s="236"/>
      <c r="E1331" s="237"/>
      <c r="F1331" s="216"/>
      <c r="G1331" s="66" t="str">
        <f>HYPERLINK("https://ledvance.com/pt/product-datasheet/159994/140505","Ficha de Produto")</f>
        <v>Ficha de Produto</v>
      </c>
      <c r="H1331" s="34">
        <v>1</v>
      </c>
      <c r="I1331" s="34" t="s">
        <v>1171</v>
      </c>
      <c r="J1331" s="34" t="s">
        <v>6287</v>
      </c>
      <c r="K1331" s="34" t="s">
        <v>822</v>
      </c>
      <c r="L1331" s="34" t="s">
        <v>793</v>
      </c>
      <c r="M1331" s="30">
        <v>224.9</v>
      </c>
      <c r="N1331" s="283" t="s">
        <v>721</v>
      </c>
    </row>
    <row r="1332" spans="1:14" s="32" customFormat="1" ht="14.25" customHeight="1">
      <c r="A1332" s="3" t="s">
        <v>699</v>
      </c>
      <c r="B1332" s="103" t="s">
        <v>3711</v>
      </c>
      <c r="C1332" s="236">
        <v>4058075597495</v>
      </c>
      <c r="D1332" s="236"/>
      <c r="E1332" s="237"/>
      <c r="F1332" s="216"/>
      <c r="G1332" s="66" t="str">
        <f>HYPERLINK("https://ledvance.com/pt/product-datasheet/159999/140508","Ficha de Produto")</f>
        <v>Ficha de Produto</v>
      </c>
      <c r="H1332" s="34">
        <v>1</v>
      </c>
      <c r="I1332" s="34" t="s">
        <v>835</v>
      </c>
      <c r="J1332" s="34" t="s">
        <v>6169</v>
      </c>
      <c r="K1332" s="34" t="s">
        <v>822</v>
      </c>
      <c r="L1332" s="34" t="s">
        <v>793</v>
      </c>
      <c r="M1332" s="30">
        <v>337.2</v>
      </c>
      <c r="N1332" s="283" t="s">
        <v>721</v>
      </c>
    </row>
    <row r="1333" spans="1:14" s="32" customFormat="1" ht="14.25" customHeight="1">
      <c r="A1333" s="3" t="s">
        <v>699</v>
      </c>
      <c r="B1333" s="103" t="s">
        <v>3712</v>
      </c>
      <c r="C1333" s="236">
        <v>4058075597501</v>
      </c>
      <c r="D1333" s="236"/>
      <c r="E1333" s="237"/>
      <c r="F1333" s="216"/>
      <c r="G1333" s="66" t="str">
        <f>HYPERLINK("https://ledvance.com/pt/product-datasheet/159999/140511","Ficha de Produto")</f>
        <v>Ficha de Produto</v>
      </c>
      <c r="H1333" s="34">
        <v>1</v>
      </c>
      <c r="I1333" s="34" t="s">
        <v>1172</v>
      </c>
      <c r="J1333" s="34" t="s">
        <v>6169</v>
      </c>
      <c r="K1333" s="34" t="s">
        <v>822</v>
      </c>
      <c r="L1333" s="34" t="s">
        <v>793</v>
      </c>
      <c r="M1333" s="30">
        <v>337.2</v>
      </c>
      <c r="N1333" s="283" t="s">
        <v>721</v>
      </c>
    </row>
    <row r="1334" spans="1:14" s="32" customFormat="1" ht="14.25" customHeight="1">
      <c r="A1334" s="3" t="s">
        <v>699</v>
      </c>
      <c r="B1334" s="103" t="s">
        <v>3713</v>
      </c>
      <c r="C1334" s="236">
        <v>4058075597518</v>
      </c>
      <c r="D1334" s="236"/>
      <c r="E1334" s="237"/>
      <c r="F1334" s="216"/>
      <c r="G1334" s="66" t="str">
        <f>HYPERLINK("https://ledvance.com/pt/product-datasheet/159999/140514","Ficha de Produto")</f>
        <v>Ficha de Produto</v>
      </c>
      <c r="H1334" s="34">
        <v>1</v>
      </c>
      <c r="I1334" s="34" t="s">
        <v>1172</v>
      </c>
      <c r="J1334" s="34" t="s">
        <v>6169</v>
      </c>
      <c r="K1334" s="34" t="s">
        <v>822</v>
      </c>
      <c r="L1334" s="34" t="s">
        <v>793</v>
      </c>
      <c r="M1334" s="30">
        <v>337.2</v>
      </c>
      <c r="N1334" s="283" t="s">
        <v>721</v>
      </c>
    </row>
    <row r="1335" spans="1:14" s="32" customFormat="1" ht="14.25" customHeight="1">
      <c r="A1335" s="8" t="s">
        <v>701</v>
      </c>
      <c r="B1335" s="276" t="s">
        <v>700</v>
      </c>
      <c r="C1335" s="7"/>
      <c r="D1335" s="7"/>
      <c r="E1335" s="7"/>
      <c r="F1335" s="7"/>
      <c r="G1335" s="68"/>
      <c r="H1335" s="7"/>
      <c r="I1335" s="7"/>
      <c r="J1335" s="7"/>
      <c r="K1335" s="7"/>
      <c r="L1335" s="7"/>
      <c r="M1335" s="7"/>
      <c r="N1335" s="284"/>
    </row>
    <row r="1336" spans="1:14" s="32" customFormat="1" ht="14.25" customHeight="1">
      <c r="A1336" s="3" t="s">
        <v>701</v>
      </c>
      <c r="B1336" s="36" t="s">
        <v>3714</v>
      </c>
      <c r="C1336" s="214">
        <v>4058075435834</v>
      </c>
      <c r="D1336" s="214"/>
      <c r="E1336" s="215"/>
      <c r="F1336" s="216"/>
      <c r="G1336" s="66" t="str">
        <f>HYPERLINK("https://ledvance.com/pt/product-datasheet/8048/112345","Ficha de Produto")</f>
        <v>Ficha de Produto</v>
      </c>
      <c r="H1336" s="34">
        <v>10</v>
      </c>
      <c r="I1336" s="217" t="s">
        <v>1201</v>
      </c>
      <c r="J1336" s="34" t="s">
        <v>6227</v>
      </c>
      <c r="K1336" s="34" t="s">
        <v>788</v>
      </c>
      <c r="L1336" s="34" t="s">
        <v>765</v>
      </c>
      <c r="M1336" s="30">
        <v>48.6</v>
      </c>
      <c r="N1336" s="283" t="s">
        <v>721</v>
      </c>
    </row>
    <row r="1337" spans="1:14" s="32" customFormat="1" ht="14.25" customHeight="1">
      <c r="A1337" s="3" t="s">
        <v>701</v>
      </c>
      <c r="B1337" s="36" t="s">
        <v>3715</v>
      </c>
      <c r="C1337" s="214">
        <v>4058075435926</v>
      </c>
      <c r="D1337" s="214"/>
      <c r="E1337" s="215"/>
      <c r="F1337" s="216"/>
      <c r="G1337" s="66" t="str">
        <f>HYPERLINK("https://ledvance.com/pt/product-datasheet/8053/112357","Ficha de Produto")</f>
        <v>Ficha de Produto</v>
      </c>
      <c r="H1337" s="34">
        <v>10</v>
      </c>
      <c r="I1337" s="217" t="s">
        <v>1201</v>
      </c>
      <c r="J1337" s="34" t="s">
        <v>970</v>
      </c>
      <c r="K1337" s="34" t="s">
        <v>788</v>
      </c>
      <c r="L1337" s="34" t="s">
        <v>765</v>
      </c>
      <c r="M1337" s="30">
        <v>48.6</v>
      </c>
      <c r="N1337" s="283" t="s">
        <v>721</v>
      </c>
    </row>
    <row r="1338" spans="1:14" s="32" customFormat="1" ht="14.25" customHeight="1">
      <c r="A1338" s="3" t="s">
        <v>701</v>
      </c>
      <c r="B1338" s="36" t="s">
        <v>3716</v>
      </c>
      <c r="C1338" s="214">
        <v>4058075435858</v>
      </c>
      <c r="D1338" s="214"/>
      <c r="E1338" s="215"/>
      <c r="F1338" s="216"/>
      <c r="G1338" s="66" t="str">
        <f>HYPERLINK("https://ledvance.com/pt/product-datasheet/8052/112349","Ficha de Produto")</f>
        <v>Ficha de Produto</v>
      </c>
      <c r="H1338" s="34">
        <v>10</v>
      </c>
      <c r="I1338" s="217" t="s">
        <v>1201</v>
      </c>
      <c r="J1338" s="34" t="s">
        <v>970</v>
      </c>
      <c r="K1338" s="34" t="s">
        <v>788</v>
      </c>
      <c r="L1338" s="34" t="s">
        <v>765</v>
      </c>
      <c r="M1338" s="30">
        <v>48.6</v>
      </c>
      <c r="N1338" s="283" t="s">
        <v>721</v>
      </c>
    </row>
    <row r="1339" spans="1:14" s="32" customFormat="1" ht="14.25" customHeight="1">
      <c r="A1339" s="3" t="s">
        <v>701</v>
      </c>
      <c r="B1339" s="36" t="s">
        <v>3717</v>
      </c>
      <c r="C1339" s="214">
        <v>4058075435940</v>
      </c>
      <c r="D1339" s="214"/>
      <c r="E1339" s="215"/>
      <c r="F1339" s="216"/>
      <c r="G1339" s="66" t="str">
        <f>HYPERLINK("https://ledvance.com/pt/product-datasheet/8056/112361","Ficha de Produto")</f>
        <v>Ficha de Produto</v>
      </c>
      <c r="H1339" s="34">
        <v>10</v>
      </c>
      <c r="I1339" s="217" t="s">
        <v>1201</v>
      </c>
      <c r="J1339" s="34" t="s">
        <v>6173</v>
      </c>
      <c r="K1339" s="34" t="s">
        <v>788</v>
      </c>
      <c r="L1339" s="34" t="s">
        <v>765</v>
      </c>
      <c r="M1339" s="30">
        <v>108.2</v>
      </c>
      <c r="N1339" s="283" t="s">
        <v>721</v>
      </c>
    </row>
    <row r="1340" spans="1:14" s="32" customFormat="1" ht="14.25" customHeight="1">
      <c r="A1340" s="3" t="s">
        <v>701</v>
      </c>
      <c r="B1340" s="36" t="s">
        <v>3718</v>
      </c>
      <c r="C1340" s="214">
        <v>4058075435896</v>
      </c>
      <c r="D1340" s="214"/>
      <c r="E1340" s="215"/>
      <c r="F1340" s="216"/>
      <c r="G1340" s="66" t="str">
        <f>HYPERLINK("https://ledvance.com/pt/product-datasheet/8055/112353","Ficha de Produto")</f>
        <v>Ficha de Produto</v>
      </c>
      <c r="H1340" s="34">
        <v>10</v>
      </c>
      <c r="I1340" s="217" t="s">
        <v>1201</v>
      </c>
      <c r="J1340" s="34" t="s">
        <v>6173</v>
      </c>
      <c r="K1340" s="34" t="s">
        <v>788</v>
      </c>
      <c r="L1340" s="34" t="s">
        <v>765</v>
      </c>
      <c r="M1340" s="30">
        <v>108.2</v>
      </c>
      <c r="N1340" s="283" t="s">
        <v>721</v>
      </c>
    </row>
    <row r="1341" spans="1:14" s="32" customFormat="1" ht="14.25" customHeight="1">
      <c r="A1341" s="8" t="s">
        <v>701</v>
      </c>
      <c r="B1341" s="276" t="s">
        <v>1233</v>
      </c>
      <c r="C1341" s="7"/>
      <c r="D1341" s="7"/>
      <c r="E1341" s="7"/>
      <c r="F1341" s="7"/>
      <c r="G1341" s="68"/>
      <c r="H1341" s="7"/>
      <c r="I1341" s="7"/>
      <c r="J1341" s="7"/>
      <c r="K1341" s="7"/>
      <c r="L1341" s="7"/>
      <c r="M1341" s="7"/>
      <c r="N1341" s="284"/>
    </row>
    <row r="1342" spans="1:14" s="32" customFormat="1" ht="14.25" customHeight="1">
      <c r="A1342" s="3" t="s">
        <v>701</v>
      </c>
      <c r="B1342" s="103" t="s">
        <v>3719</v>
      </c>
      <c r="C1342" s="214">
        <v>4058075451322</v>
      </c>
      <c r="D1342" s="214"/>
      <c r="E1342" s="214"/>
      <c r="F1342" s="216"/>
      <c r="G1342" s="66" t="str">
        <f>HYPERLINK("https://ledvance.com/pt/product-datasheet/8418/106134","Ficha de Produto")</f>
        <v>Ficha de Produto</v>
      </c>
      <c r="H1342" s="238">
        <v>100</v>
      </c>
      <c r="I1342" s="217" t="s">
        <v>1201</v>
      </c>
      <c r="J1342" s="217" t="s">
        <v>1201</v>
      </c>
      <c r="K1342" s="34" t="s">
        <v>953</v>
      </c>
      <c r="L1342" s="34" t="s">
        <v>800</v>
      </c>
      <c r="M1342" s="30">
        <v>11.5</v>
      </c>
      <c r="N1342" s="283" t="s">
        <v>721</v>
      </c>
    </row>
    <row r="1343" spans="1:14" s="32" customFormat="1" ht="14.25" customHeight="1">
      <c r="A1343" s="3" t="s">
        <v>701</v>
      </c>
      <c r="B1343" s="103" t="s">
        <v>3720</v>
      </c>
      <c r="C1343" s="214">
        <v>4058075451353</v>
      </c>
      <c r="D1343" s="214"/>
      <c r="E1343" s="214"/>
      <c r="F1343" s="216"/>
      <c r="G1343" s="66" t="str">
        <f>HYPERLINK("https://ledvance.com/pt/product-datasheet/8418/106138","Ficha de Produto")</f>
        <v>Ficha de Produto</v>
      </c>
      <c r="H1343" s="238">
        <v>100</v>
      </c>
      <c r="I1343" s="217" t="s">
        <v>1201</v>
      </c>
      <c r="J1343" s="217" t="s">
        <v>1201</v>
      </c>
      <c r="K1343" s="34" t="s">
        <v>953</v>
      </c>
      <c r="L1343" s="34" t="s">
        <v>800</v>
      </c>
      <c r="M1343" s="30">
        <v>7.8</v>
      </c>
      <c r="N1343" s="283" t="s">
        <v>721</v>
      </c>
    </row>
    <row r="1344" spans="1:14" s="32" customFormat="1" ht="14.25" customHeight="1">
      <c r="A1344" s="3" t="s">
        <v>701</v>
      </c>
      <c r="B1344" s="103" t="s">
        <v>3721</v>
      </c>
      <c r="C1344" s="214">
        <v>4058075451384</v>
      </c>
      <c r="D1344" s="214"/>
      <c r="E1344" s="214"/>
      <c r="F1344" s="216"/>
      <c r="G1344" s="66" t="str">
        <f>HYPERLINK("https://ledvance.com/pt/product-datasheet/8418/106142","Ficha de Produto")</f>
        <v>Ficha de Produto</v>
      </c>
      <c r="H1344" s="238">
        <v>100</v>
      </c>
      <c r="I1344" s="217" t="s">
        <v>1201</v>
      </c>
      <c r="J1344" s="217" t="s">
        <v>1201</v>
      </c>
      <c r="K1344" s="34" t="s">
        <v>953</v>
      </c>
      <c r="L1344" s="34" t="s">
        <v>800</v>
      </c>
      <c r="M1344" s="30">
        <v>10.7</v>
      </c>
      <c r="N1344" s="283" t="s">
        <v>721</v>
      </c>
    </row>
    <row r="1345" spans="1:14" s="32" customFormat="1" ht="14.25" customHeight="1">
      <c r="A1345" s="3" t="s">
        <v>701</v>
      </c>
      <c r="B1345" s="40" t="s">
        <v>3722</v>
      </c>
      <c r="C1345" s="214">
        <v>4058075451414</v>
      </c>
      <c r="D1345" s="214"/>
      <c r="E1345" s="214"/>
      <c r="F1345" s="216"/>
      <c r="G1345" s="66" t="str">
        <f>HYPERLINK("https://ledvance.com/pt/product-datasheet/8418/106146","Ficha de Produto")</f>
        <v>Ficha de Produto</v>
      </c>
      <c r="H1345" s="238">
        <v>100</v>
      </c>
      <c r="I1345" s="217" t="s">
        <v>1201</v>
      </c>
      <c r="J1345" s="217" t="s">
        <v>1201</v>
      </c>
      <c r="K1345" s="34" t="s">
        <v>876</v>
      </c>
      <c r="L1345" s="34" t="s">
        <v>800</v>
      </c>
      <c r="M1345" s="30">
        <v>11.5</v>
      </c>
      <c r="N1345" s="283" t="s">
        <v>721</v>
      </c>
    </row>
    <row r="1346" spans="1:14" s="32" customFormat="1" ht="14.25" customHeight="1">
      <c r="A1346" s="3" t="s">
        <v>701</v>
      </c>
      <c r="B1346" s="40" t="s">
        <v>3723</v>
      </c>
      <c r="C1346" s="214">
        <v>4058075451445</v>
      </c>
      <c r="D1346" s="214"/>
      <c r="E1346" s="214"/>
      <c r="F1346" s="216"/>
      <c r="G1346" s="66" t="str">
        <f>HYPERLINK("https://ledvance.com/pt/product-datasheet/8418/106150","Ficha de Produto")</f>
        <v>Ficha de Produto</v>
      </c>
      <c r="H1346" s="238">
        <v>100</v>
      </c>
      <c r="I1346" s="217" t="s">
        <v>1201</v>
      </c>
      <c r="J1346" s="217" t="s">
        <v>1201</v>
      </c>
      <c r="K1346" s="34" t="s">
        <v>876</v>
      </c>
      <c r="L1346" s="34" t="s">
        <v>800</v>
      </c>
      <c r="M1346" s="30">
        <v>7.8</v>
      </c>
      <c r="N1346" s="283" t="s">
        <v>721</v>
      </c>
    </row>
    <row r="1347" spans="1:14" s="32" customFormat="1" ht="14.25" customHeight="1">
      <c r="A1347" s="3" t="s">
        <v>701</v>
      </c>
      <c r="B1347" s="40" t="s">
        <v>3724</v>
      </c>
      <c r="C1347" s="214">
        <v>4058075451537</v>
      </c>
      <c r="D1347" s="214"/>
      <c r="E1347" s="214"/>
      <c r="F1347" s="216"/>
      <c r="G1347" s="66" t="str">
        <f>HYPERLINK("https://ledvance.com/pt/product-datasheet/8418/106154","Ficha de Produto")</f>
        <v>Ficha de Produto</v>
      </c>
      <c r="H1347" s="238">
        <v>100</v>
      </c>
      <c r="I1347" s="217" t="s">
        <v>1201</v>
      </c>
      <c r="J1347" s="217" t="s">
        <v>1201</v>
      </c>
      <c r="K1347" s="34" t="s">
        <v>876</v>
      </c>
      <c r="L1347" s="34" t="s">
        <v>800</v>
      </c>
      <c r="M1347" s="30">
        <v>10.7</v>
      </c>
      <c r="N1347" s="283" t="s">
        <v>721</v>
      </c>
    </row>
    <row r="1348" spans="1:14" s="32" customFormat="1" ht="14.25" customHeight="1">
      <c r="A1348" s="3" t="s">
        <v>701</v>
      </c>
      <c r="B1348" s="40" t="s">
        <v>3725</v>
      </c>
      <c r="C1348" s="236">
        <v>4058075654075</v>
      </c>
      <c r="D1348" s="236"/>
      <c r="E1348" s="236"/>
      <c r="F1348" s="216"/>
      <c r="G1348" s="66" t="str">
        <f>HYPERLINK("https://ledvance.com/pt/product-datasheet/167665/165753","Ficha de Produto")</f>
        <v>Ficha de Produto</v>
      </c>
      <c r="H1348" s="238">
        <v>150</v>
      </c>
      <c r="I1348" s="217" t="s">
        <v>1201</v>
      </c>
      <c r="J1348" s="217" t="s">
        <v>1201</v>
      </c>
      <c r="K1348" s="34" t="s">
        <v>953</v>
      </c>
      <c r="L1348" s="34" t="s">
        <v>800</v>
      </c>
      <c r="M1348" s="30">
        <v>4</v>
      </c>
      <c r="N1348" s="283" t="s">
        <v>721</v>
      </c>
    </row>
    <row r="1349" spans="1:14" s="32" customFormat="1" ht="14.25" customHeight="1">
      <c r="A1349" s="3" t="s">
        <v>701</v>
      </c>
      <c r="B1349" s="103" t="s">
        <v>3726</v>
      </c>
      <c r="C1349" s="236">
        <v>4058075654099</v>
      </c>
      <c r="D1349" s="236"/>
      <c r="E1349" s="236"/>
      <c r="F1349" s="216"/>
      <c r="G1349" s="66" t="str">
        <f>HYPERLINK("https://ledvance.com/pt/product-datasheet/167665/165756","Ficha de Produto")</f>
        <v>Ficha de Produto</v>
      </c>
      <c r="H1349" s="238">
        <v>300</v>
      </c>
      <c r="I1349" s="217" t="s">
        <v>1201</v>
      </c>
      <c r="J1349" s="217" t="s">
        <v>1201</v>
      </c>
      <c r="K1349" s="34" t="s">
        <v>953</v>
      </c>
      <c r="L1349" s="34" t="s">
        <v>800</v>
      </c>
      <c r="M1349" s="30">
        <v>5</v>
      </c>
      <c r="N1349" s="283" t="s">
        <v>721</v>
      </c>
    </row>
    <row r="1350" spans="1:14" s="32" customFormat="1" ht="14.25" customHeight="1">
      <c r="A1350" s="3" t="s">
        <v>701</v>
      </c>
      <c r="B1350" s="103" t="s">
        <v>3727</v>
      </c>
      <c r="C1350" s="236">
        <v>4058075654112</v>
      </c>
      <c r="D1350" s="236"/>
      <c r="E1350" s="236"/>
      <c r="F1350" s="216"/>
      <c r="G1350" s="66" t="str">
        <f>HYPERLINK("https://ledvance.com/pt/product-datasheet/167665/253640","Ficha de Produto")</f>
        <v>Ficha de Produto</v>
      </c>
      <c r="H1350" s="238">
        <v>400</v>
      </c>
      <c r="I1350" s="217" t="s">
        <v>1201</v>
      </c>
      <c r="J1350" s="217" t="s">
        <v>1201</v>
      </c>
      <c r="K1350" s="34" t="s">
        <v>953</v>
      </c>
      <c r="L1350" s="34" t="s">
        <v>800</v>
      </c>
      <c r="M1350" s="30">
        <v>3.9</v>
      </c>
      <c r="N1350" s="283" t="s">
        <v>721</v>
      </c>
    </row>
    <row r="1351" spans="1:14" s="32" customFormat="1" ht="14.25" customHeight="1">
      <c r="A1351" s="3" t="s">
        <v>701</v>
      </c>
      <c r="B1351" s="40" t="s">
        <v>3728</v>
      </c>
      <c r="C1351" s="10">
        <v>4058075727403</v>
      </c>
      <c r="D1351" s="10"/>
      <c r="E1351" s="239"/>
      <c r="F1351" s="216"/>
      <c r="G1351" s="66" t="str">
        <f>HYPERLINK("https://ledvance.com/pt/product-datasheet/200718/193643","Ficha de Produto")</f>
        <v>Ficha de Produto</v>
      </c>
      <c r="H1351" s="238">
        <v>100</v>
      </c>
      <c r="I1351" s="217" t="s">
        <v>1201</v>
      </c>
      <c r="J1351" s="217" t="s">
        <v>1201</v>
      </c>
      <c r="K1351" s="34" t="s">
        <v>953</v>
      </c>
      <c r="L1351" s="34" t="s">
        <v>800</v>
      </c>
      <c r="M1351" s="30">
        <v>8.1</v>
      </c>
      <c r="N1351" s="283" t="s">
        <v>721</v>
      </c>
    </row>
    <row r="1352" spans="1:14" s="32" customFormat="1" ht="14.25" customHeight="1">
      <c r="A1352" s="3" t="s">
        <v>701</v>
      </c>
      <c r="B1352" s="40" t="s">
        <v>3729</v>
      </c>
      <c r="C1352" s="10">
        <v>4058075727465</v>
      </c>
      <c r="D1352" s="10"/>
      <c r="E1352" s="239"/>
      <c r="F1352" s="216"/>
      <c r="G1352" s="66" t="str">
        <f>HYPERLINK("https://ledvance.com/pt/product-datasheet/200718/193668","Ficha de Produto")</f>
        <v>Ficha de Produto</v>
      </c>
      <c r="H1352" s="238">
        <v>100</v>
      </c>
      <c r="I1352" s="217" t="s">
        <v>1201</v>
      </c>
      <c r="J1352" s="217" t="s">
        <v>1201</v>
      </c>
      <c r="K1352" s="34" t="s">
        <v>954</v>
      </c>
      <c r="L1352" s="34" t="s">
        <v>800</v>
      </c>
      <c r="M1352" s="30">
        <v>10.4</v>
      </c>
      <c r="N1352" s="283" t="s">
        <v>721</v>
      </c>
    </row>
    <row r="1353" spans="1:14" s="32" customFormat="1" ht="14.25" customHeight="1">
      <c r="A1353" s="3" t="s">
        <v>701</v>
      </c>
      <c r="B1353" s="40" t="s">
        <v>3730</v>
      </c>
      <c r="C1353" s="10">
        <v>4058075727526</v>
      </c>
      <c r="D1353" s="10"/>
      <c r="E1353" s="239"/>
      <c r="F1353" s="216"/>
      <c r="G1353" s="66" t="str">
        <f>HYPERLINK("https://ledvance.com/pt/product-datasheet/200718/193657","Ficha de Produto")</f>
        <v>Ficha de Produto</v>
      </c>
      <c r="H1353" s="238">
        <v>100</v>
      </c>
      <c r="I1353" s="217" t="s">
        <v>1201</v>
      </c>
      <c r="J1353" s="217" t="s">
        <v>1201</v>
      </c>
      <c r="K1353" s="34" t="s">
        <v>953</v>
      </c>
      <c r="L1353" s="34" t="s">
        <v>800</v>
      </c>
      <c r="M1353" s="30">
        <v>4.8</v>
      </c>
      <c r="N1353" s="283" t="s">
        <v>721</v>
      </c>
    </row>
    <row r="1354" spans="1:14" s="32" customFormat="1" ht="14.25" customHeight="1">
      <c r="A1354" s="3" t="s">
        <v>701</v>
      </c>
      <c r="B1354" s="40" t="s">
        <v>3731</v>
      </c>
      <c r="C1354" s="10">
        <v>4058075727557</v>
      </c>
      <c r="D1354" s="10"/>
      <c r="E1354" s="239"/>
      <c r="F1354" s="216"/>
      <c r="G1354" s="66" t="str">
        <f>HYPERLINK("https://ledvance.com/pt/product-datasheet/200718/193676","Ficha de Produto")</f>
        <v>Ficha de Produto</v>
      </c>
      <c r="H1354" s="238">
        <v>100</v>
      </c>
      <c r="I1354" s="217" t="s">
        <v>1201</v>
      </c>
      <c r="J1354" s="217" t="s">
        <v>1201</v>
      </c>
      <c r="K1354" s="34" t="s">
        <v>954</v>
      </c>
      <c r="L1354" s="34" t="s">
        <v>800</v>
      </c>
      <c r="M1354" s="30">
        <v>6.5</v>
      </c>
      <c r="N1354" s="283" t="s">
        <v>721</v>
      </c>
    </row>
    <row r="1355" spans="1:14" s="32" customFormat="1" ht="14.25" customHeight="1">
      <c r="A1355" s="3" t="s">
        <v>701</v>
      </c>
      <c r="B1355" s="40" t="s">
        <v>3732</v>
      </c>
      <c r="C1355" s="10">
        <v>4058075727434</v>
      </c>
      <c r="D1355" s="10"/>
      <c r="E1355" s="239"/>
      <c r="F1355" s="216"/>
      <c r="G1355" s="66" t="str">
        <f>HYPERLINK("https://ledvance.com/pt/product-datasheet/200718/193649","Ficha de Produto")</f>
        <v>Ficha de Produto</v>
      </c>
      <c r="H1355" s="238">
        <v>100</v>
      </c>
      <c r="I1355" s="217" t="s">
        <v>1201</v>
      </c>
      <c r="J1355" s="217" t="s">
        <v>1201</v>
      </c>
      <c r="K1355" s="34" t="s">
        <v>953</v>
      </c>
      <c r="L1355" s="34" t="s">
        <v>800</v>
      </c>
      <c r="M1355" s="30">
        <v>8.1</v>
      </c>
      <c r="N1355" s="283" t="s">
        <v>721</v>
      </c>
    </row>
    <row r="1356" spans="1:14" s="32" customFormat="1" ht="14.25" customHeight="1">
      <c r="A1356" s="3" t="s">
        <v>701</v>
      </c>
      <c r="B1356" s="40" t="s">
        <v>3733</v>
      </c>
      <c r="C1356" s="10">
        <v>4058075727496</v>
      </c>
      <c r="D1356" s="10"/>
      <c r="E1356" s="239"/>
      <c r="F1356" s="216"/>
      <c r="G1356" s="66" t="str">
        <f>HYPERLINK("https://ledvance.com/pt/product-datasheet/200718/193672","Ficha de Produto")</f>
        <v>Ficha de Produto</v>
      </c>
      <c r="H1356" s="238">
        <v>100</v>
      </c>
      <c r="I1356" s="217" t="s">
        <v>1201</v>
      </c>
      <c r="J1356" s="217" t="s">
        <v>1201</v>
      </c>
      <c r="K1356" s="34" t="s">
        <v>954</v>
      </c>
      <c r="L1356" s="34" t="s">
        <v>800</v>
      </c>
      <c r="M1356" s="30">
        <v>12.7</v>
      </c>
      <c r="N1356" s="283" t="s">
        <v>721</v>
      </c>
    </row>
    <row r="1357" spans="1:14" s="32" customFormat="1" ht="14.25" customHeight="1">
      <c r="A1357" s="3" t="s">
        <v>701</v>
      </c>
      <c r="B1357" s="40" t="s">
        <v>3734</v>
      </c>
      <c r="C1357" s="214">
        <v>4058075451087</v>
      </c>
      <c r="D1357" s="214"/>
      <c r="E1357" s="214"/>
      <c r="F1357" s="216"/>
      <c r="G1357" s="66" t="str">
        <f>HYPERLINK("https://ledvance.com/pt/product-datasheet/8419/106102","Ficha de Produto")</f>
        <v>Ficha de Produto</v>
      </c>
      <c r="H1357" s="238">
        <v>100</v>
      </c>
      <c r="I1357" s="217" t="s">
        <v>1201</v>
      </c>
      <c r="J1357" s="217" t="s">
        <v>1201</v>
      </c>
      <c r="K1357" s="34" t="s">
        <v>953</v>
      </c>
      <c r="L1357" s="34" t="s">
        <v>800</v>
      </c>
      <c r="M1357" s="30">
        <v>12.3</v>
      </c>
      <c r="N1357" s="283" t="s">
        <v>721</v>
      </c>
    </row>
    <row r="1358" spans="1:14" s="32" customFormat="1" ht="14.25" customHeight="1">
      <c r="A1358" s="3" t="s">
        <v>701</v>
      </c>
      <c r="B1358" s="40" t="s">
        <v>3735</v>
      </c>
      <c r="C1358" s="214">
        <v>4058075451117</v>
      </c>
      <c r="D1358" s="214"/>
      <c r="E1358" s="214"/>
      <c r="F1358" s="216"/>
      <c r="G1358" s="66" t="str">
        <f>HYPERLINK("https://ledvance.com/pt/product-datasheet/8419/106106","Ficha de Produto")</f>
        <v>Ficha de Produto</v>
      </c>
      <c r="H1358" s="238">
        <v>100</v>
      </c>
      <c r="I1358" s="217" t="s">
        <v>1201</v>
      </c>
      <c r="J1358" s="217" t="s">
        <v>1201</v>
      </c>
      <c r="K1358" s="34" t="s">
        <v>953</v>
      </c>
      <c r="L1358" s="34" t="s">
        <v>800</v>
      </c>
      <c r="M1358" s="30">
        <v>7.8</v>
      </c>
      <c r="N1358" s="283" t="s">
        <v>721</v>
      </c>
    </row>
    <row r="1359" spans="1:14" s="32" customFormat="1" ht="14.25" customHeight="1">
      <c r="A1359" s="3" t="s">
        <v>701</v>
      </c>
      <c r="B1359" s="40" t="s">
        <v>3736</v>
      </c>
      <c r="C1359" s="214">
        <v>4058075451148</v>
      </c>
      <c r="D1359" s="214"/>
      <c r="E1359" s="214"/>
      <c r="F1359" s="216"/>
      <c r="G1359" s="66" t="str">
        <f>HYPERLINK("https://ledvance.com/pt/product-datasheet/8419/106110","Ficha de Produto")</f>
        <v>Ficha de Produto</v>
      </c>
      <c r="H1359" s="238">
        <v>100</v>
      </c>
      <c r="I1359" s="217" t="s">
        <v>1201</v>
      </c>
      <c r="J1359" s="217" t="s">
        <v>1201</v>
      </c>
      <c r="K1359" s="34" t="s">
        <v>953</v>
      </c>
      <c r="L1359" s="34" t="s">
        <v>800</v>
      </c>
      <c r="M1359" s="30">
        <v>11.5</v>
      </c>
      <c r="N1359" s="283" t="s">
        <v>721</v>
      </c>
    </row>
    <row r="1360" spans="1:14" s="32" customFormat="1" ht="14.25" customHeight="1">
      <c r="A1360" s="3" t="s">
        <v>701</v>
      </c>
      <c r="B1360" s="40" t="s">
        <v>3737</v>
      </c>
      <c r="C1360" s="214">
        <v>4058075451179</v>
      </c>
      <c r="D1360" s="214"/>
      <c r="E1360" s="214"/>
      <c r="F1360" s="216"/>
      <c r="G1360" s="66" t="str">
        <f>HYPERLINK("https://ledvance.com/pt/product-datasheet/8419/106114","Ficha de Produto")</f>
        <v>Ficha de Produto</v>
      </c>
      <c r="H1360" s="238">
        <v>100</v>
      </c>
      <c r="I1360" s="217" t="s">
        <v>1201</v>
      </c>
      <c r="J1360" s="217" t="s">
        <v>1201</v>
      </c>
      <c r="K1360" s="34" t="s">
        <v>876</v>
      </c>
      <c r="L1360" s="34" t="s">
        <v>800</v>
      </c>
      <c r="M1360" s="30">
        <v>12.3</v>
      </c>
      <c r="N1360" s="283" t="s">
        <v>721</v>
      </c>
    </row>
    <row r="1361" spans="1:14" s="32" customFormat="1" ht="14.25" customHeight="1">
      <c r="A1361" s="3" t="s">
        <v>701</v>
      </c>
      <c r="B1361" s="40" t="s">
        <v>3738</v>
      </c>
      <c r="C1361" s="214">
        <v>4058075451209</v>
      </c>
      <c r="D1361" s="214"/>
      <c r="E1361" s="214"/>
      <c r="F1361" s="216"/>
      <c r="G1361" s="66" t="str">
        <f>HYPERLINK("https://ledvance.com/pt/product-datasheet/8419/106118","Ficha de Produto")</f>
        <v>Ficha de Produto</v>
      </c>
      <c r="H1361" s="238">
        <v>100</v>
      </c>
      <c r="I1361" s="217" t="s">
        <v>1201</v>
      </c>
      <c r="J1361" s="217" t="s">
        <v>1201</v>
      </c>
      <c r="K1361" s="34" t="s">
        <v>876</v>
      </c>
      <c r="L1361" s="34" t="s">
        <v>800</v>
      </c>
      <c r="M1361" s="30">
        <v>7.8</v>
      </c>
      <c r="N1361" s="283" t="s">
        <v>721</v>
      </c>
    </row>
    <row r="1362" spans="1:14" s="32" customFormat="1" ht="14.25" customHeight="1">
      <c r="A1362" s="3" t="s">
        <v>701</v>
      </c>
      <c r="B1362" s="40" t="s">
        <v>3739</v>
      </c>
      <c r="C1362" s="214">
        <v>4058075451230</v>
      </c>
      <c r="D1362" s="214"/>
      <c r="E1362" s="214"/>
      <c r="F1362" s="216"/>
      <c r="G1362" s="66" t="str">
        <f>HYPERLINK("https://ledvance.com/pt/product-datasheet/8419/106122","Ficha de Produto")</f>
        <v>Ficha de Produto</v>
      </c>
      <c r="H1362" s="238">
        <v>100</v>
      </c>
      <c r="I1362" s="217" t="s">
        <v>1201</v>
      </c>
      <c r="J1362" s="217" t="s">
        <v>1201</v>
      </c>
      <c r="K1362" s="34" t="s">
        <v>876</v>
      </c>
      <c r="L1362" s="34" t="s">
        <v>800</v>
      </c>
      <c r="M1362" s="30">
        <v>11.5</v>
      </c>
      <c r="N1362" s="283" t="s">
        <v>721</v>
      </c>
    </row>
    <row r="1363" spans="1:14" s="32" customFormat="1" ht="14.25" customHeight="1">
      <c r="A1363" s="3" t="s">
        <v>701</v>
      </c>
      <c r="B1363" s="40" t="s">
        <v>3740</v>
      </c>
      <c r="C1363" s="214">
        <v>4058075407800</v>
      </c>
      <c r="D1363" s="214"/>
      <c r="E1363" s="214"/>
      <c r="F1363" s="216"/>
      <c r="G1363" s="66" t="str">
        <f>HYPERLINK("https://ledvance.com/pt/product-datasheet/8417/105775","Ficha de Produto")</f>
        <v>Ficha de Produto</v>
      </c>
      <c r="H1363" s="238">
        <v>100</v>
      </c>
      <c r="I1363" s="217" t="s">
        <v>1201</v>
      </c>
      <c r="J1363" s="217" t="s">
        <v>1201</v>
      </c>
      <c r="K1363" s="34" t="s">
        <v>953</v>
      </c>
      <c r="L1363" s="34" t="s">
        <v>800</v>
      </c>
      <c r="M1363" s="30">
        <v>7.8</v>
      </c>
      <c r="N1363" s="283" t="s">
        <v>721</v>
      </c>
    </row>
    <row r="1364" spans="1:14" s="32" customFormat="1" ht="14.25" customHeight="1">
      <c r="A1364" s="3" t="s">
        <v>701</v>
      </c>
      <c r="B1364" s="40" t="s">
        <v>3741</v>
      </c>
      <c r="C1364" s="214">
        <v>4058075407831</v>
      </c>
      <c r="D1364" s="214"/>
      <c r="E1364" s="214"/>
      <c r="F1364" s="216"/>
      <c r="G1364" s="66" t="str">
        <f>HYPERLINK("https://ledvance.com/pt/product-datasheet/8417/105779","Ficha de Produto")</f>
        <v>Ficha de Produto</v>
      </c>
      <c r="H1364" s="238">
        <v>100</v>
      </c>
      <c r="I1364" s="217" t="s">
        <v>1201</v>
      </c>
      <c r="J1364" s="217" t="s">
        <v>1201</v>
      </c>
      <c r="K1364" s="34" t="s">
        <v>953</v>
      </c>
      <c r="L1364" s="34" t="s">
        <v>800</v>
      </c>
      <c r="M1364" s="30">
        <v>2.6</v>
      </c>
      <c r="N1364" s="283" t="s">
        <v>721</v>
      </c>
    </row>
    <row r="1365" spans="1:14" s="32" customFormat="1" ht="14.25" customHeight="1">
      <c r="A1365" s="3" t="s">
        <v>701</v>
      </c>
      <c r="B1365" s="40" t="s">
        <v>3742</v>
      </c>
      <c r="C1365" s="214">
        <v>4058075407862</v>
      </c>
      <c r="D1365" s="214"/>
      <c r="E1365" s="214"/>
      <c r="F1365" s="216"/>
      <c r="G1365" s="66" t="str">
        <f>HYPERLINK("https://ledvance.com/pt/product-datasheet/8417/105783","Ficha de Produto")</f>
        <v>Ficha de Produto</v>
      </c>
      <c r="H1365" s="238">
        <v>100</v>
      </c>
      <c r="I1365" s="217" t="s">
        <v>1201</v>
      </c>
      <c r="J1365" s="217" t="s">
        <v>1201</v>
      </c>
      <c r="K1365" s="34" t="s">
        <v>953</v>
      </c>
      <c r="L1365" s="34" t="s">
        <v>800</v>
      </c>
      <c r="M1365" s="30">
        <v>7.8</v>
      </c>
      <c r="N1365" s="283" t="s">
        <v>721</v>
      </c>
    </row>
    <row r="1366" spans="1:14" s="32" customFormat="1" ht="14.25" customHeight="1">
      <c r="A1366" s="3" t="s">
        <v>701</v>
      </c>
      <c r="B1366" s="40" t="s">
        <v>3743</v>
      </c>
      <c r="C1366" s="214">
        <v>4058075407893</v>
      </c>
      <c r="D1366" s="214"/>
      <c r="E1366" s="214"/>
      <c r="F1366" s="216"/>
      <c r="G1366" s="66" t="str">
        <f>HYPERLINK("https://ledvance.com/pt/product-datasheet/8417/105787","Ficha de Produto")</f>
        <v>Ficha de Produto</v>
      </c>
      <c r="H1366" s="238">
        <v>100</v>
      </c>
      <c r="I1366" s="217" t="s">
        <v>1201</v>
      </c>
      <c r="J1366" s="217" t="s">
        <v>1201</v>
      </c>
      <c r="K1366" s="34" t="s">
        <v>822</v>
      </c>
      <c r="L1366" s="34" t="s">
        <v>800</v>
      </c>
      <c r="M1366" s="30">
        <v>7.8</v>
      </c>
      <c r="N1366" s="283" t="s">
        <v>721</v>
      </c>
    </row>
    <row r="1367" spans="1:14" s="32" customFormat="1" ht="14.25" customHeight="1">
      <c r="A1367" s="3" t="s">
        <v>701</v>
      </c>
      <c r="B1367" s="40" t="s">
        <v>3744</v>
      </c>
      <c r="C1367" s="214">
        <v>4058075407923</v>
      </c>
      <c r="D1367" s="214"/>
      <c r="E1367" s="214"/>
      <c r="F1367" s="216"/>
      <c r="G1367" s="66" t="str">
        <f>HYPERLINK("https://ledvance.com/pt/product-datasheet/8417/105791","Ficha de Produto")</f>
        <v>Ficha de Produto</v>
      </c>
      <c r="H1367" s="238">
        <v>100</v>
      </c>
      <c r="I1367" s="217" t="s">
        <v>1201</v>
      </c>
      <c r="J1367" s="217" t="s">
        <v>1201</v>
      </c>
      <c r="K1367" s="34" t="s">
        <v>822</v>
      </c>
      <c r="L1367" s="34" t="s">
        <v>800</v>
      </c>
      <c r="M1367" s="30">
        <v>3.9</v>
      </c>
      <c r="N1367" s="283" t="s">
        <v>721</v>
      </c>
    </row>
    <row r="1368" spans="1:14" s="32" customFormat="1" ht="14.25" customHeight="1">
      <c r="A1368" s="3" t="s">
        <v>701</v>
      </c>
      <c r="B1368" s="40" t="s">
        <v>3745</v>
      </c>
      <c r="C1368" s="214">
        <v>4058075407954</v>
      </c>
      <c r="D1368" s="214"/>
      <c r="E1368" s="214"/>
      <c r="F1368" s="216"/>
      <c r="G1368" s="66" t="str">
        <f>HYPERLINK("https://ledvance.com/pt/product-datasheet/8417/105795","Ficha de Produto")</f>
        <v>Ficha de Produto</v>
      </c>
      <c r="H1368" s="238">
        <v>100</v>
      </c>
      <c r="I1368" s="217" t="s">
        <v>1201</v>
      </c>
      <c r="J1368" s="217" t="s">
        <v>1201</v>
      </c>
      <c r="K1368" s="34" t="s">
        <v>822</v>
      </c>
      <c r="L1368" s="34" t="s">
        <v>800</v>
      </c>
      <c r="M1368" s="30">
        <v>7.8</v>
      </c>
      <c r="N1368" s="283" t="s">
        <v>721</v>
      </c>
    </row>
    <row r="1369" spans="1:14" s="32" customFormat="1" ht="14.25" customHeight="1">
      <c r="A1369" s="3" t="s">
        <v>701</v>
      </c>
      <c r="B1369" s="40" t="s">
        <v>3746</v>
      </c>
      <c r="C1369" s="214">
        <v>4058075451568</v>
      </c>
      <c r="D1369" s="214"/>
      <c r="E1369" s="214"/>
      <c r="F1369" s="34"/>
      <c r="G1369" s="66" t="str">
        <f>HYPERLINK("https://ledvance.com/pt/product-datasheet/8418/106158","Ficha de Produto")</f>
        <v>Ficha de Produto</v>
      </c>
      <c r="H1369" s="238">
        <v>200</v>
      </c>
      <c r="I1369" s="217" t="s">
        <v>1201</v>
      </c>
      <c r="J1369" s="217" t="s">
        <v>1201</v>
      </c>
      <c r="K1369" s="34"/>
      <c r="L1369" s="34" t="s">
        <v>800</v>
      </c>
      <c r="M1369" s="30">
        <v>4.9000000000000004</v>
      </c>
      <c r="N1369" s="283" t="s">
        <v>721</v>
      </c>
    </row>
    <row r="1370" spans="1:14" s="32" customFormat="1" ht="14.25" customHeight="1">
      <c r="A1370" s="3" t="s">
        <v>701</v>
      </c>
      <c r="B1370" s="40" t="s">
        <v>3747</v>
      </c>
      <c r="C1370" s="214">
        <v>4058075451261</v>
      </c>
      <c r="D1370" s="214"/>
      <c r="E1370" s="214"/>
      <c r="F1370" s="216"/>
      <c r="G1370" s="66" t="str">
        <f>HYPERLINK("https://ledvance.com/pt/product-datasheet/8419/106126","Ficha de Produto")</f>
        <v>Ficha de Produto</v>
      </c>
      <c r="H1370" s="238">
        <v>200</v>
      </c>
      <c r="I1370" s="217" t="s">
        <v>1201</v>
      </c>
      <c r="J1370" s="217" t="s">
        <v>1201</v>
      </c>
      <c r="K1370" s="34" t="s">
        <v>876</v>
      </c>
      <c r="L1370" s="34" t="s">
        <v>800</v>
      </c>
      <c r="M1370" s="30">
        <v>5.0999999999999996</v>
      </c>
      <c r="N1370" s="283" t="s">
        <v>721</v>
      </c>
    </row>
    <row r="1371" spans="1:14" s="32" customFormat="1" ht="14.25" customHeight="1">
      <c r="A1371" s="3" t="s">
        <v>701</v>
      </c>
      <c r="B1371" s="40" t="s">
        <v>3748</v>
      </c>
      <c r="C1371" s="214">
        <v>4058075407985</v>
      </c>
      <c r="D1371" s="214"/>
      <c r="E1371" s="214"/>
      <c r="F1371" s="216"/>
      <c r="G1371" s="66" t="str">
        <f>HYPERLINK("https://ledvance.com/pt/product-datasheet/8417/105799","Ficha de Produto")</f>
        <v>Ficha de Produto</v>
      </c>
      <c r="H1371" s="238">
        <v>200</v>
      </c>
      <c r="I1371" s="217" t="s">
        <v>1201</v>
      </c>
      <c r="J1371" s="217" t="s">
        <v>1201</v>
      </c>
      <c r="K1371" s="34" t="s">
        <v>822</v>
      </c>
      <c r="L1371" s="34" t="s">
        <v>800</v>
      </c>
      <c r="M1371" s="30">
        <v>3.5</v>
      </c>
      <c r="N1371" s="283" t="s">
        <v>721</v>
      </c>
    </row>
    <row r="1372" spans="1:14" s="32" customFormat="1" ht="14.25" customHeight="1">
      <c r="A1372" s="3" t="s">
        <v>701</v>
      </c>
      <c r="B1372" s="40" t="s">
        <v>3749</v>
      </c>
      <c r="C1372" s="10">
        <v>4058075727649</v>
      </c>
      <c r="D1372" s="214"/>
      <c r="E1372" s="10"/>
      <c r="F1372" s="34"/>
      <c r="G1372" s="66" t="str">
        <f>HYPERLINK("https://ledvance.com/pt/product-datasheet/200718/193684","Ficha de Produto")</f>
        <v>Ficha de Produto</v>
      </c>
      <c r="H1372" s="238">
        <v>200</v>
      </c>
      <c r="I1372" s="217" t="s">
        <v>1201</v>
      </c>
      <c r="J1372" s="217" t="s">
        <v>1201</v>
      </c>
      <c r="K1372" s="34" t="s">
        <v>954</v>
      </c>
      <c r="L1372" s="34" t="s">
        <v>800</v>
      </c>
      <c r="M1372" s="30">
        <v>20.5</v>
      </c>
      <c r="N1372" s="283" t="s">
        <v>721</v>
      </c>
    </row>
    <row r="1373" spans="1:14" s="32" customFormat="1" ht="14.25" customHeight="1">
      <c r="A1373" s="3" t="s">
        <v>701</v>
      </c>
      <c r="B1373" s="40" t="s">
        <v>3750</v>
      </c>
      <c r="C1373" s="214">
        <v>4058075451292</v>
      </c>
      <c r="D1373" s="214"/>
      <c r="E1373" s="214"/>
      <c r="F1373" s="216"/>
      <c r="G1373" s="66" t="str">
        <f>HYPERLINK("https://ledvance.com/pt/product-datasheet/8419/106130","Ficha de Produto")</f>
        <v>Ficha de Produto</v>
      </c>
      <c r="H1373" s="238">
        <v>100</v>
      </c>
      <c r="I1373" s="217" t="s">
        <v>1201</v>
      </c>
      <c r="J1373" s="217" t="s">
        <v>1201</v>
      </c>
      <c r="K1373" s="34" t="s">
        <v>876</v>
      </c>
      <c r="L1373" s="34" t="s">
        <v>800</v>
      </c>
      <c r="M1373" s="30">
        <v>1.2</v>
      </c>
      <c r="N1373" s="283" t="s">
        <v>721</v>
      </c>
    </row>
    <row r="1374" spans="1:14" s="32" customFormat="1" ht="14.25" customHeight="1">
      <c r="A1374" s="3" t="s">
        <v>701</v>
      </c>
      <c r="B1374" s="40" t="s">
        <v>3751</v>
      </c>
      <c r="C1374" s="214">
        <v>4058075411708</v>
      </c>
      <c r="D1374" s="214"/>
      <c r="E1374" s="214"/>
      <c r="F1374" s="216"/>
      <c r="G1374" s="66" t="str">
        <f>HYPERLINK("https://ledvance.com/pt/product-datasheet/8417/105803","Ficha de Produto")</f>
        <v>Ficha de Produto</v>
      </c>
      <c r="H1374" s="238">
        <v>100</v>
      </c>
      <c r="I1374" s="217" t="s">
        <v>1201</v>
      </c>
      <c r="J1374" s="217" t="s">
        <v>1201</v>
      </c>
      <c r="K1374" s="34" t="s">
        <v>822</v>
      </c>
      <c r="L1374" s="34" t="s">
        <v>800</v>
      </c>
      <c r="M1374" s="30">
        <v>0.8</v>
      </c>
      <c r="N1374" s="283" t="s">
        <v>721</v>
      </c>
    </row>
    <row r="1375" spans="1:14" s="32" customFormat="1" ht="14.25" customHeight="1">
      <c r="A1375" s="3" t="s">
        <v>701</v>
      </c>
      <c r="B1375" s="40" t="s">
        <v>3752</v>
      </c>
      <c r="C1375" s="214">
        <v>4058075451599</v>
      </c>
      <c r="D1375" s="214"/>
      <c r="E1375" s="214"/>
      <c r="F1375" s="216"/>
      <c r="G1375" s="66" t="str">
        <f>HYPERLINK("https://ledvance.com/pt/product-datasheet/8418/106162","Ficha de Produto")</f>
        <v>Ficha de Produto</v>
      </c>
      <c r="H1375" s="238">
        <v>100</v>
      </c>
      <c r="I1375" s="217" t="s">
        <v>1201</v>
      </c>
      <c r="J1375" s="217" t="s">
        <v>1201</v>
      </c>
      <c r="K1375" s="34" t="s">
        <v>954</v>
      </c>
      <c r="L1375" s="34" t="s">
        <v>800</v>
      </c>
      <c r="M1375" s="30">
        <v>1.4</v>
      </c>
      <c r="N1375" s="283" t="s">
        <v>721</v>
      </c>
    </row>
    <row r="1376" spans="1:14" s="32" customFormat="1" ht="14.25" customHeight="1">
      <c r="A1376" s="3" t="s">
        <v>701</v>
      </c>
      <c r="B1376" s="40" t="s">
        <v>3753</v>
      </c>
      <c r="C1376" s="10">
        <v>4058075727618</v>
      </c>
      <c r="D1376" s="10"/>
      <c r="E1376" s="10"/>
      <c r="F1376" s="216"/>
      <c r="G1376" s="66" t="str">
        <f>HYPERLINK("https://ledvance.com/pt/product-datasheet/200718/193680","Ficha de Produto")</f>
        <v>Ficha de Produto</v>
      </c>
      <c r="H1376" s="238">
        <v>100</v>
      </c>
      <c r="I1376" s="217" t="s">
        <v>1201</v>
      </c>
      <c r="J1376" s="217" t="s">
        <v>1201</v>
      </c>
      <c r="K1376" s="34" t="s">
        <v>954</v>
      </c>
      <c r="L1376" s="34" t="s">
        <v>800</v>
      </c>
      <c r="M1376" s="30">
        <v>1.1000000000000001</v>
      </c>
      <c r="N1376" s="283" t="s">
        <v>721</v>
      </c>
    </row>
    <row r="1377" spans="1:14" s="32" customFormat="1" ht="14.25" customHeight="1">
      <c r="A1377" s="3" t="s">
        <v>701</v>
      </c>
      <c r="B1377" s="40" t="s">
        <v>3754</v>
      </c>
      <c r="C1377" s="10">
        <v>4058075727588</v>
      </c>
      <c r="D1377" s="10"/>
      <c r="E1377" s="10"/>
      <c r="F1377" s="216"/>
      <c r="G1377" s="66" t="str">
        <f>HYPERLINK("https://ledvance.com/pt/product-datasheet/200718/193664","Ficha de Produto")</f>
        <v>Ficha de Produto</v>
      </c>
      <c r="H1377" s="238">
        <v>100</v>
      </c>
      <c r="I1377" s="217" t="s">
        <v>1201</v>
      </c>
      <c r="J1377" s="217" t="s">
        <v>1201</v>
      </c>
      <c r="K1377" s="34" t="s">
        <v>953</v>
      </c>
      <c r="L1377" s="34" t="s">
        <v>800</v>
      </c>
      <c r="M1377" s="30">
        <v>1.1000000000000001</v>
      </c>
      <c r="N1377" s="283" t="s">
        <v>721</v>
      </c>
    </row>
    <row r="1378" spans="1:14" s="32" customFormat="1" ht="14.25" customHeight="1">
      <c r="A1378" s="8" t="s">
        <v>701</v>
      </c>
      <c r="B1378" s="276" t="s">
        <v>1238</v>
      </c>
      <c r="C1378" s="7"/>
      <c r="D1378" s="7"/>
      <c r="E1378" s="7"/>
      <c r="F1378" s="7"/>
      <c r="G1378" s="68"/>
      <c r="H1378" s="7"/>
      <c r="I1378" s="7"/>
      <c r="J1378" s="7"/>
      <c r="K1378" s="7"/>
      <c r="L1378" s="7"/>
      <c r="M1378" s="7"/>
      <c r="N1378" s="284"/>
    </row>
    <row r="1379" spans="1:14" s="32" customFormat="1" ht="14.25" customHeight="1">
      <c r="A1379" s="3" t="s">
        <v>701</v>
      </c>
      <c r="B1379" s="103" t="s">
        <v>3755</v>
      </c>
      <c r="C1379" s="214">
        <v>4058075278103</v>
      </c>
      <c r="D1379" s="214"/>
      <c r="E1379" s="214"/>
      <c r="F1379" s="216"/>
      <c r="G1379" s="66" t="str">
        <f>HYPERLINK("https://ledvance.com/pt/product-datasheet/8393/115389","Ficha de Produto")</f>
        <v>Ficha de Produto</v>
      </c>
      <c r="H1379" s="34">
        <v>50</v>
      </c>
      <c r="I1379" s="217" t="s">
        <v>1201</v>
      </c>
      <c r="J1379" s="217" t="s">
        <v>1201</v>
      </c>
      <c r="K1379" s="217" t="s">
        <v>1201</v>
      </c>
      <c r="L1379" s="34" t="s">
        <v>800</v>
      </c>
      <c r="M1379" s="30">
        <v>6</v>
      </c>
      <c r="N1379" s="283" t="s">
        <v>721</v>
      </c>
    </row>
    <row r="1380" spans="1:14" s="32" customFormat="1" ht="14.25" customHeight="1">
      <c r="A1380" s="3" t="s">
        <v>701</v>
      </c>
      <c r="B1380" s="103" t="s">
        <v>3756</v>
      </c>
      <c r="C1380" s="214">
        <v>4058075401440</v>
      </c>
      <c r="D1380" s="214"/>
      <c r="E1380" s="214"/>
      <c r="F1380" s="216"/>
      <c r="G1380" s="66" t="str">
        <f>HYPERLINK("https://ledvance.com/pt/product-datasheet/8393/105551","Ficha de Produto")</f>
        <v>Ficha de Produto</v>
      </c>
      <c r="H1380" s="34">
        <v>25</v>
      </c>
      <c r="I1380" s="217" t="s">
        <v>1201</v>
      </c>
      <c r="J1380" s="217" t="s">
        <v>1201</v>
      </c>
      <c r="K1380" s="217" t="s">
        <v>1201</v>
      </c>
      <c r="L1380" s="34" t="s">
        <v>800</v>
      </c>
      <c r="M1380" s="30">
        <v>18.399999999999999</v>
      </c>
      <c r="N1380" s="283" t="s">
        <v>721</v>
      </c>
    </row>
    <row r="1381" spans="1:14" s="32" customFormat="1" ht="14.25" customHeight="1">
      <c r="A1381" s="3" t="s">
        <v>701</v>
      </c>
      <c r="B1381" s="103" t="s">
        <v>3757</v>
      </c>
      <c r="C1381" s="214">
        <v>4058075279391</v>
      </c>
      <c r="D1381" s="214"/>
      <c r="E1381" s="214"/>
      <c r="F1381" s="216"/>
      <c r="G1381" s="66" t="str">
        <f>HYPERLINK("https://ledvance.com/pt/product-datasheet/8396/115393","Ficha de Produto")</f>
        <v>Ficha de Produto</v>
      </c>
      <c r="H1381" s="34">
        <v>50</v>
      </c>
      <c r="I1381" s="217" t="s">
        <v>1201</v>
      </c>
      <c r="J1381" s="217" t="s">
        <v>1201</v>
      </c>
      <c r="K1381" s="217" t="s">
        <v>1201</v>
      </c>
      <c r="L1381" s="34" t="s">
        <v>800</v>
      </c>
      <c r="M1381" s="30">
        <v>4</v>
      </c>
      <c r="N1381" s="283" t="s">
        <v>721</v>
      </c>
    </row>
    <row r="1382" spans="1:14" s="32" customFormat="1" ht="14.25" customHeight="1">
      <c r="A1382" s="3" t="s">
        <v>701</v>
      </c>
      <c r="B1382" s="103" t="s">
        <v>3758</v>
      </c>
      <c r="C1382" s="214">
        <v>4058075401952</v>
      </c>
      <c r="D1382" s="214"/>
      <c r="E1382" s="214"/>
      <c r="F1382" s="216"/>
      <c r="G1382" s="66" t="str">
        <f>HYPERLINK("https://ledvance.com/pt/product-datasheet/8396/105023","Ficha de Produto")</f>
        <v>Ficha de Produto</v>
      </c>
      <c r="H1382" s="34">
        <v>25</v>
      </c>
      <c r="I1382" s="217" t="s">
        <v>1201</v>
      </c>
      <c r="J1382" s="217" t="s">
        <v>1201</v>
      </c>
      <c r="K1382" s="217" t="s">
        <v>1201</v>
      </c>
      <c r="L1382" s="34" t="s">
        <v>800</v>
      </c>
      <c r="M1382" s="30">
        <v>10.1</v>
      </c>
      <c r="N1382" s="283" t="s">
        <v>721</v>
      </c>
    </row>
    <row r="1383" spans="1:14" s="32" customFormat="1" ht="14.25" customHeight="1">
      <c r="A1383" s="3" t="s">
        <v>701</v>
      </c>
      <c r="B1383" s="103" t="s">
        <v>3759</v>
      </c>
      <c r="C1383" s="214">
        <v>4058075402317</v>
      </c>
      <c r="D1383" s="214"/>
      <c r="E1383" s="214"/>
      <c r="F1383" s="216"/>
      <c r="G1383" s="66" t="str">
        <f>HYPERLINK("https://ledvance.com/pt/product-datasheet/8396/105071","Ficha de Produto")</f>
        <v>Ficha de Produto</v>
      </c>
      <c r="H1383" s="34">
        <v>50</v>
      </c>
      <c r="I1383" s="217" t="s">
        <v>1201</v>
      </c>
      <c r="J1383" s="217" t="s">
        <v>1201</v>
      </c>
      <c r="K1383" s="217" t="s">
        <v>1201</v>
      </c>
      <c r="L1383" s="34" t="s">
        <v>800</v>
      </c>
      <c r="M1383" s="30">
        <v>5.7</v>
      </c>
      <c r="N1383" s="283" t="s">
        <v>721</v>
      </c>
    </row>
    <row r="1384" spans="1:14" s="32" customFormat="1" ht="14.25" customHeight="1">
      <c r="A1384" s="3" t="s">
        <v>701</v>
      </c>
      <c r="B1384" s="103" t="s">
        <v>3760</v>
      </c>
      <c r="C1384" s="214">
        <v>4058075402133</v>
      </c>
      <c r="D1384" s="214"/>
      <c r="E1384" s="214"/>
      <c r="F1384" s="216"/>
      <c r="G1384" s="66" t="str">
        <f>HYPERLINK("https://ledvance.com/pt/product-datasheet/8396/105047","Ficha de Produto")</f>
        <v>Ficha de Produto</v>
      </c>
      <c r="H1384" s="34">
        <v>25</v>
      </c>
      <c r="I1384" s="217" t="s">
        <v>1201</v>
      </c>
      <c r="J1384" s="217" t="s">
        <v>1201</v>
      </c>
      <c r="K1384" s="217" t="s">
        <v>1201</v>
      </c>
      <c r="L1384" s="34" t="s">
        <v>800</v>
      </c>
      <c r="M1384" s="30">
        <v>12.4</v>
      </c>
      <c r="N1384" s="283" t="s">
        <v>721</v>
      </c>
    </row>
    <row r="1385" spans="1:14" s="32" customFormat="1" ht="14.25" customHeight="1">
      <c r="A1385" s="3" t="s">
        <v>701</v>
      </c>
      <c r="B1385" s="103" t="s">
        <v>3761</v>
      </c>
      <c r="C1385" s="214">
        <v>4058075277335</v>
      </c>
      <c r="D1385" s="214"/>
      <c r="E1385" s="214"/>
      <c r="F1385" s="216"/>
      <c r="G1385" s="66" t="str">
        <f>HYPERLINK("https://ledvance.com/pt/product-datasheet/8393/115397","Ficha de Produto")</f>
        <v>Ficha de Produto</v>
      </c>
      <c r="H1385" s="34">
        <v>50</v>
      </c>
      <c r="I1385" s="217" t="s">
        <v>1201</v>
      </c>
      <c r="J1385" s="217" t="s">
        <v>1201</v>
      </c>
      <c r="K1385" s="217" t="s">
        <v>1201</v>
      </c>
      <c r="L1385" s="34" t="s">
        <v>800</v>
      </c>
      <c r="M1385" s="30">
        <v>2</v>
      </c>
      <c r="N1385" s="283" t="s">
        <v>721</v>
      </c>
    </row>
    <row r="1386" spans="1:14" s="32" customFormat="1" ht="14.25" customHeight="1">
      <c r="A1386" s="3" t="s">
        <v>701</v>
      </c>
      <c r="B1386" s="103" t="s">
        <v>3762</v>
      </c>
      <c r="C1386" s="214">
        <v>4058075277366</v>
      </c>
      <c r="D1386" s="214"/>
      <c r="E1386" s="214"/>
      <c r="F1386" s="216"/>
      <c r="G1386" s="66" t="str">
        <f>HYPERLINK("https://ledvance.com/pt/product-datasheet/8393/115401","Ficha de Produto")</f>
        <v>Ficha de Produto</v>
      </c>
      <c r="H1386" s="34">
        <v>50</v>
      </c>
      <c r="I1386" s="217" t="s">
        <v>1201</v>
      </c>
      <c r="J1386" s="217" t="s">
        <v>1201</v>
      </c>
      <c r="K1386" s="217" t="s">
        <v>1201</v>
      </c>
      <c r="L1386" s="34" t="s">
        <v>800</v>
      </c>
      <c r="M1386" s="30">
        <v>2</v>
      </c>
      <c r="N1386" s="283" t="s">
        <v>721</v>
      </c>
    </row>
    <row r="1387" spans="1:14" s="32" customFormat="1" ht="14.25" customHeight="1">
      <c r="A1387" s="3" t="s">
        <v>701</v>
      </c>
      <c r="B1387" s="103" t="s">
        <v>3763</v>
      </c>
      <c r="C1387" s="214">
        <v>4058075276611</v>
      </c>
      <c r="D1387" s="214"/>
      <c r="E1387" s="214"/>
      <c r="F1387" s="216"/>
      <c r="G1387" s="66" t="str">
        <f>HYPERLINK("https://ledvance.com/pt/product-datasheet/8393/116843","Ficha de Produto")</f>
        <v>Ficha de Produto</v>
      </c>
      <c r="H1387" s="34">
        <v>50</v>
      </c>
      <c r="I1387" s="217" t="s">
        <v>1201</v>
      </c>
      <c r="J1387" s="217" t="s">
        <v>1201</v>
      </c>
      <c r="K1387" s="217" t="s">
        <v>1201</v>
      </c>
      <c r="L1387" s="34" t="s">
        <v>800</v>
      </c>
      <c r="M1387" s="30">
        <v>2</v>
      </c>
      <c r="N1387" s="283" t="s">
        <v>721</v>
      </c>
    </row>
    <row r="1388" spans="1:14" s="32" customFormat="1" ht="14.25" customHeight="1">
      <c r="A1388" s="3" t="s">
        <v>701</v>
      </c>
      <c r="B1388" s="103" t="s">
        <v>3764</v>
      </c>
      <c r="C1388" s="214">
        <v>4058075278134</v>
      </c>
      <c r="D1388" s="214"/>
      <c r="E1388" s="214"/>
      <c r="F1388" s="216"/>
      <c r="G1388" s="66" t="str">
        <f>HYPERLINK("https://ledvance.com/pt/product-datasheet/8393/115405","Ficha de Produto")</f>
        <v>Ficha de Produto</v>
      </c>
      <c r="H1388" s="34">
        <v>50</v>
      </c>
      <c r="I1388" s="217" t="s">
        <v>1201</v>
      </c>
      <c r="J1388" s="217" t="s">
        <v>1201</v>
      </c>
      <c r="K1388" s="217" t="s">
        <v>1201</v>
      </c>
      <c r="L1388" s="34" t="s">
        <v>800</v>
      </c>
      <c r="M1388" s="30">
        <v>11.7</v>
      </c>
      <c r="N1388" s="283" t="s">
        <v>721</v>
      </c>
    </row>
    <row r="1389" spans="1:14" s="32" customFormat="1" ht="14.25" customHeight="1">
      <c r="A1389" s="3" t="s">
        <v>701</v>
      </c>
      <c r="B1389" s="103" t="s">
        <v>3765</v>
      </c>
      <c r="C1389" s="214">
        <v>4058075401471</v>
      </c>
      <c r="D1389" s="214"/>
      <c r="E1389" s="214"/>
      <c r="F1389" s="216"/>
      <c r="G1389" s="66" t="str">
        <f>HYPERLINK("https://ledvance.com/pt/product-datasheet/8393/105555","Ficha de Produto")</f>
        <v>Ficha de Produto</v>
      </c>
      <c r="H1389" s="34">
        <v>25</v>
      </c>
      <c r="I1389" s="217" t="s">
        <v>1201</v>
      </c>
      <c r="J1389" s="217" t="s">
        <v>1201</v>
      </c>
      <c r="K1389" s="217" t="s">
        <v>1201</v>
      </c>
      <c r="L1389" s="34" t="s">
        <v>800</v>
      </c>
      <c r="M1389" s="30">
        <v>24.5</v>
      </c>
      <c r="N1389" s="283" t="s">
        <v>721</v>
      </c>
    </row>
    <row r="1390" spans="1:14" s="32" customFormat="1" ht="14.25" customHeight="1">
      <c r="A1390" s="3" t="s">
        <v>701</v>
      </c>
      <c r="B1390" s="103" t="s">
        <v>3766</v>
      </c>
      <c r="C1390" s="214">
        <v>4058075279421</v>
      </c>
      <c r="D1390" s="214"/>
      <c r="E1390" s="214"/>
      <c r="F1390" s="216"/>
      <c r="G1390" s="66" t="str">
        <f>HYPERLINK("https://ledvance.com/pt/product-datasheet/8396/115409","Ficha de Produto")</f>
        <v>Ficha de Produto</v>
      </c>
      <c r="H1390" s="34">
        <v>50</v>
      </c>
      <c r="I1390" s="217" t="s">
        <v>1201</v>
      </c>
      <c r="J1390" s="217" t="s">
        <v>1201</v>
      </c>
      <c r="K1390" s="217" t="s">
        <v>1201</v>
      </c>
      <c r="L1390" s="34" t="s">
        <v>800</v>
      </c>
      <c r="M1390" s="30">
        <v>4</v>
      </c>
      <c r="N1390" s="283" t="s">
        <v>721</v>
      </c>
    </row>
    <row r="1391" spans="1:14" s="32" customFormat="1" ht="14.25" customHeight="1">
      <c r="A1391" s="3" t="s">
        <v>701</v>
      </c>
      <c r="B1391" s="103" t="s">
        <v>3767</v>
      </c>
      <c r="C1391" s="214">
        <v>4058075401983</v>
      </c>
      <c r="D1391" s="214"/>
      <c r="E1391" s="214"/>
      <c r="F1391" s="216"/>
      <c r="G1391" s="66" t="str">
        <f>HYPERLINK("https://ledvance.com/pt/product-datasheet/8396/105027","Ficha de Produto")</f>
        <v>Ficha de Produto</v>
      </c>
      <c r="H1391" s="34">
        <v>25</v>
      </c>
      <c r="I1391" s="217" t="s">
        <v>1201</v>
      </c>
      <c r="J1391" s="217" t="s">
        <v>1201</v>
      </c>
      <c r="K1391" s="217" t="s">
        <v>1201</v>
      </c>
      <c r="L1391" s="34" t="s">
        <v>800</v>
      </c>
      <c r="M1391" s="30">
        <v>7.5</v>
      </c>
      <c r="N1391" s="283" t="s">
        <v>721</v>
      </c>
    </row>
    <row r="1392" spans="1:14" s="32" customFormat="1" ht="14.25" customHeight="1">
      <c r="A1392" s="3" t="s">
        <v>701</v>
      </c>
      <c r="B1392" s="103" t="s">
        <v>3768</v>
      </c>
      <c r="C1392" s="214">
        <v>4058075402348</v>
      </c>
      <c r="D1392" s="214"/>
      <c r="E1392" s="214"/>
      <c r="F1392" s="216"/>
      <c r="G1392" s="66" t="str">
        <f>HYPERLINK("https://ledvance.com/pt/product-datasheet/8396/105075","Ficha de Produto")</f>
        <v>Ficha de Produto</v>
      </c>
      <c r="H1392" s="34">
        <v>50</v>
      </c>
      <c r="I1392" s="217" t="s">
        <v>1201</v>
      </c>
      <c r="J1392" s="217" t="s">
        <v>1201</v>
      </c>
      <c r="K1392" s="217" t="s">
        <v>1201</v>
      </c>
      <c r="L1392" s="34" t="s">
        <v>800</v>
      </c>
      <c r="M1392" s="30">
        <v>5.7</v>
      </c>
      <c r="N1392" s="283" t="s">
        <v>721</v>
      </c>
    </row>
    <row r="1393" spans="1:14" s="32" customFormat="1" ht="14.25" customHeight="1">
      <c r="A1393" s="3" t="s">
        <v>701</v>
      </c>
      <c r="B1393" s="103" t="s">
        <v>3769</v>
      </c>
      <c r="C1393" s="214">
        <v>4058075402164</v>
      </c>
      <c r="D1393" s="214"/>
      <c r="E1393" s="214"/>
      <c r="F1393" s="216"/>
      <c r="G1393" s="66" t="str">
        <f>HYPERLINK("https://ledvance.com/pt/product-datasheet/8396/105051","Ficha de Produto")</f>
        <v>Ficha de Produto</v>
      </c>
      <c r="H1393" s="34">
        <v>25</v>
      </c>
      <c r="I1393" s="217" t="s">
        <v>1201</v>
      </c>
      <c r="J1393" s="217" t="s">
        <v>1201</v>
      </c>
      <c r="K1393" s="217" t="s">
        <v>1201</v>
      </c>
      <c r="L1393" s="34" t="s">
        <v>800</v>
      </c>
      <c r="M1393" s="30">
        <v>12.4</v>
      </c>
      <c r="N1393" s="283" t="s">
        <v>721</v>
      </c>
    </row>
    <row r="1394" spans="1:14" s="32" customFormat="1" ht="14.25" customHeight="1">
      <c r="A1394" s="3" t="s">
        <v>701</v>
      </c>
      <c r="B1394" s="103" t="s">
        <v>3770</v>
      </c>
      <c r="C1394" s="214">
        <v>4058075277397</v>
      </c>
      <c r="D1394" s="214"/>
      <c r="E1394" s="214"/>
      <c r="F1394" s="216"/>
      <c r="G1394" s="66" t="str">
        <f>HYPERLINK("https://ledvance.com/pt/product-datasheet/8393/115413","Ficha de Produto")</f>
        <v>Ficha de Produto</v>
      </c>
      <c r="H1394" s="34">
        <v>50</v>
      </c>
      <c r="I1394" s="217" t="s">
        <v>1201</v>
      </c>
      <c r="J1394" s="217" t="s">
        <v>1201</v>
      </c>
      <c r="K1394" s="217" t="s">
        <v>1201</v>
      </c>
      <c r="L1394" s="34" t="s">
        <v>800</v>
      </c>
      <c r="M1394" s="30">
        <v>2</v>
      </c>
      <c r="N1394" s="283" t="s">
        <v>721</v>
      </c>
    </row>
    <row r="1395" spans="1:14" s="32" customFormat="1" ht="14.25" customHeight="1">
      <c r="A1395" s="3" t="s">
        <v>701</v>
      </c>
      <c r="B1395" s="103" t="s">
        <v>3771</v>
      </c>
      <c r="C1395" s="214">
        <v>4058075277427</v>
      </c>
      <c r="D1395" s="214"/>
      <c r="E1395" s="214"/>
      <c r="F1395" s="216"/>
      <c r="G1395" s="66" t="str">
        <f>HYPERLINK("https://ledvance.com/pt/product-datasheet/8393/115417","Ficha de Produto")</f>
        <v>Ficha de Produto</v>
      </c>
      <c r="H1395" s="34">
        <v>50</v>
      </c>
      <c r="I1395" s="217" t="s">
        <v>1201</v>
      </c>
      <c r="J1395" s="217" t="s">
        <v>1201</v>
      </c>
      <c r="K1395" s="217" t="s">
        <v>1201</v>
      </c>
      <c r="L1395" s="34" t="s">
        <v>800</v>
      </c>
      <c r="M1395" s="30">
        <v>2</v>
      </c>
      <c r="N1395" s="283" t="s">
        <v>721</v>
      </c>
    </row>
    <row r="1396" spans="1:14" s="32" customFormat="1" ht="14.25" customHeight="1">
      <c r="A1396" s="3" t="s">
        <v>701</v>
      </c>
      <c r="B1396" s="103" t="s">
        <v>3772</v>
      </c>
      <c r="C1396" s="214">
        <v>4058075276659</v>
      </c>
      <c r="D1396" s="214"/>
      <c r="E1396" s="214"/>
      <c r="F1396" s="216"/>
      <c r="G1396" s="66" t="str">
        <f>HYPERLINK("https://ledvance.com/pt/product-datasheet/8393/116847","Ficha de Produto")</f>
        <v>Ficha de Produto</v>
      </c>
      <c r="H1396" s="34">
        <v>50</v>
      </c>
      <c r="I1396" s="217" t="s">
        <v>1201</v>
      </c>
      <c r="J1396" s="217" t="s">
        <v>1201</v>
      </c>
      <c r="K1396" s="217" t="s">
        <v>1201</v>
      </c>
      <c r="L1396" s="34" t="s">
        <v>800</v>
      </c>
      <c r="M1396" s="30">
        <v>2</v>
      </c>
      <c r="N1396" s="283" t="s">
        <v>721</v>
      </c>
    </row>
    <row r="1397" spans="1:14" s="32" customFormat="1" ht="14.25" customHeight="1">
      <c r="A1397" s="3" t="s">
        <v>701</v>
      </c>
      <c r="B1397" s="103" t="s">
        <v>3773</v>
      </c>
      <c r="C1397" s="214">
        <v>4058075278165</v>
      </c>
      <c r="D1397" s="214"/>
      <c r="E1397" s="214"/>
      <c r="F1397" s="216"/>
      <c r="G1397" s="66" t="str">
        <f>HYPERLINK("https://ledvance.com/pt/product-datasheet/8393/115421","Ficha de Produto")</f>
        <v>Ficha de Produto</v>
      </c>
      <c r="H1397" s="34">
        <v>50</v>
      </c>
      <c r="I1397" s="217" t="s">
        <v>1201</v>
      </c>
      <c r="J1397" s="217" t="s">
        <v>1201</v>
      </c>
      <c r="K1397" s="217" t="s">
        <v>1201</v>
      </c>
      <c r="L1397" s="34" t="s">
        <v>800</v>
      </c>
      <c r="M1397" s="30">
        <v>11.7</v>
      </c>
      <c r="N1397" s="283" t="s">
        <v>721</v>
      </c>
    </row>
    <row r="1398" spans="1:14" s="32" customFormat="1" ht="14.25" customHeight="1">
      <c r="A1398" s="3" t="s">
        <v>701</v>
      </c>
      <c r="B1398" s="103" t="s">
        <v>3774</v>
      </c>
      <c r="C1398" s="214">
        <v>4058075401501</v>
      </c>
      <c r="D1398" s="214"/>
      <c r="E1398" s="214"/>
      <c r="F1398" s="216"/>
      <c r="G1398" s="66" t="str">
        <f>HYPERLINK("https://ledvance.com/pt/product-datasheet/8393/105559","Ficha de Produto")</f>
        <v>Ficha de Produto</v>
      </c>
      <c r="H1398" s="34">
        <v>25</v>
      </c>
      <c r="I1398" s="217" t="s">
        <v>1201</v>
      </c>
      <c r="J1398" s="217" t="s">
        <v>1201</v>
      </c>
      <c r="K1398" s="217" t="s">
        <v>1201</v>
      </c>
      <c r="L1398" s="34" t="s">
        <v>800</v>
      </c>
      <c r="M1398" s="30">
        <v>19.5</v>
      </c>
      <c r="N1398" s="283" t="s">
        <v>721</v>
      </c>
    </row>
    <row r="1399" spans="1:14" s="32" customFormat="1" ht="14.25" customHeight="1">
      <c r="A1399" s="3" t="s">
        <v>701</v>
      </c>
      <c r="B1399" s="103" t="s">
        <v>3775</v>
      </c>
      <c r="C1399" s="214">
        <v>4058075277458</v>
      </c>
      <c r="D1399" s="214"/>
      <c r="E1399" s="214"/>
      <c r="F1399" s="216"/>
      <c r="G1399" s="66" t="str">
        <f>HYPERLINK("https://ledvance.com/pt/product-datasheet/8393/115425","Ficha de Produto")</f>
        <v>Ficha de Produto</v>
      </c>
      <c r="H1399" s="34">
        <v>50</v>
      </c>
      <c r="I1399" s="217" t="s">
        <v>1201</v>
      </c>
      <c r="J1399" s="217" t="s">
        <v>1201</v>
      </c>
      <c r="K1399" s="217" t="s">
        <v>1201</v>
      </c>
      <c r="L1399" s="34" t="s">
        <v>800</v>
      </c>
      <c r="M1399" s="30">
        <v>2.2000000000000002</v>
      </c>
      <c r="N1399" s="283" t="s">
        <v>721</v>
      </c>
    </row>
    <row r="1400" spans="1:14" s="32" customFormat="1" ht="14.25" customHeight="1">
      <c r="A1400" s="3" t="s">
        <v>701</v>
      </c>
      <c r="B1400" s="103" t="s">
        <v>3776</v>
      </c>
      <c r="C1400" s="214">
        <v>4058075277489</v>
      </c>
      <c r="D1400" s="214"/>
      <c r="E1400" s="214"/>
      <c r="F1400" s="216"/>
      <c r="G1400" s="66" t="str">
        <f>HYPERLINK("https://ledvance.com/pt/product-datasheet/8393/115429","Ficha de Produto")</f>
        <v>Ficha de Produto</v>
      </c>
      <c r="H1400" s="34">
        <v>50</v>
      </c>
      <c r="I1400" s="217" t="s">
        <v>1201</v>
      </c>
      <c r="J1400" s="217" t="s">
        <v>1201</v>
      </c>
      <c r="K1400" s="217" t="s">
        <v>1201</v>
      </c>
      <c r="L1400" s="34" t="s">
        <v>800</v>
      </c>
      <c r="M1400" s="30">
        <v>2.2000000000000002</v>
      </c>
      <c r="N1400" s="283" t="s">
        <v>721</v>
      </c>
    </row>
    <row r="1401" spans="1:14" s="32" customFormat="1" ht="14.25" customHeight="1">
      <c r="A1401" s="3" t="s">
        <v>701</v>
      </c>
      <c r="B1401" s="103" t="s">
        <v>3777</v>
      </c>
      <c r="C1401" s="214">
        <v>4058075276680</v>
      </c>
      <c r="D1401" s="214"/>
      <c r="E1401" s="214"/>
      <c r="F1401" s="216"/>
      <c r="G1401" s="66" t="str">
        <f>HYPERLINK("https://ledvance.com/pt/product-datasheet/8393/116851","Ficha de Produto")</f>
        <v>Ficha de Produto</v>
      </c>
      <c r="H1401" s="34">
        <v>50</v>
      </c>
      <c r="I1401" s="217" t="s">
        <v>1201</v>
      </c>
      <c r="J1401" s="217" t="s">
        <v>1201</v>
      </c>
      <c r="K1401" s="217" t="s">
        <v>1201</v>
      </c>
      <c r="L1401" s="34" t="s">
        <v>800</v>
      </c>
      <c r="M1401" s="30">
        <v>2</v>
      </c>
      <c r="N1401" s="283" t="s">
        <v>721</v>
      </c>
    </row>
    <row r="1402" spans="1:14" s="32" customFormat="1" ht="14.25" customHeight="1">
      <c r="A1402" s="8" t="s">
        <v>701</v>
      </c>
      <c r="B1402" s="276" t="s">
        <v>1239</v>
      </c>
      <c r="C1402" s="7"/>
      <c r="D1402" s="7"/>
      <c r="E1402" s="7"/>
      <c r="F1402" s="7"/>
      <c r="G1402" s="68"/>
      <c r="H1402" s="7"/>
      <c r="I1402" s="7"/>
      <c r="J1402" s="7"/>
      <c r="K1402" s="7"/>
      <c r="L1402" s="7"/>
      <c r="M1402" s="7"/>
      <c r="N1402" s="284"/>
    </row>
    <row r="1403" spans="1:14" s="32" customFormat="1" ht="14.25" customHeight="1">
      <c r="A1403" s="3" t="s">
        <v>701</v>
      </c>
      <c r="B1403" s="103" t="s">
        <v>3778</v>
      </c>
      <c r="C1403" s="214">
        <v>4058075278196</v>
      </c>
      <c r="D1403" s="214"/>
      <c r="E1403" s="214"/>
      <c r="F1403" s="216"/>
      <c r="G1403" s="66" t="str">
        <f>HYPERLINK("https://ledvance.com/pt/product-datasheet/8394/115433","Ficha de Produto")</f>
        <v>Ficha de Produto</v>
      </c>
      <c r="H1403" s="34">
        <v>50</v>
      </c>
      <c r="I1403" s="217" t="s">
        <v>1201</v>
      </c>
      <c r="J1403" s="217" t="s">
        <v>1201</v>
      </c>
      <c r="K1403" s="217" t="s">
        <v>1201</v>
      </c>
      <c r="L1403" s="34" t="s">
        <v>800</v>
      </c>
      <c r="M1403" s="30">
        <v>4.5999999999999996</v>
      </c>
      <c r="N1403" s="283" t="s">
        <v>721</v>
      </c>
    </row>
    <row r="1404" spans="1:14" s="32" customFormat="1" ht="14.25" customHeight="1">
      <c r="A1404" s="3" t="s">
        <v>701</v>
      </c>
      <c r="B1404" s="103" t="s">
        <v>3779</v>
      </c>
      <c r="C1404" s="214">
        <v>4058075401532</v>
      </c>
      <c r="D1404" s="214"/>
      <c r="E1404" s="214"/>
      <c r="F1404" s="216"/>
      <c r="G1404" s="66" t="str">
        <f>HYPERLINK("https://ledvance.com/pt/product-datasheet/8394/105563","Ficha de Produto")</f>
        <v>Ficha de Produto</v>
      </c>
      <c r="H1404" s="34">
        <v>25</v>
      </c>
      <c r="I1404" s="217" t="s">
        <v>1201</v>
      </c>
      <c r="J1404" s="217" t="s">
        <v>1201</v>
      </c>
      <c r="K1404" s="217" t="s">
        <v>1201</v>
      </c>
      <c r="L1404" s="34" t="s">
        <v>800</v>
      </c>
      <c r="M1404" s="30">
        <v>9.9</v>
      </c>
      <c r="N1404" s="283" t="s">
        <v>721</v>
      </c>
    </row>
    <row r="1405" spans="1:14" s="32" customFormat="1" ht="14.25" customHeight="1">
      <c r="A1405" s="3" t="s">
        <v>701</v>
      </c>
      <c r="B1405" s="103" t="s">
        <v>3780</v>
      </c>
      <c r="C1405" s="214">
        <v>4058075305762</v>
      </c>
      <c r="D1405" s="214"/>
      <c r="E1405" s="214"/>
      <c r="F1405" s="216"/>
      <c r="G1405" s="66" t="str">
        <f>HYPERLINK("https://ledvance.com/pt/product-datasheet/8396/115357","Ficha de Produto")</f>
        <v>Ficha de Produto</v>
      </c>
      <c r="H1405" s="34">
        <v>50</v>
      </c>
      <c r="I1405" s="217" t="s">
        <v>1201</v>
      </c>
      <c r="J1405" s="217" t="s">
        <v>1201</v>
      </c>
      <c r="K1405" s="217" t="s">
        <v>1201</v>
      </c>
      <c r="L1405" s="34" t="s">
        <v>800</v>
      </c>
      <c r="M1405" s="30">
        <v>3.2</v>
      </c>
      <c r="N1405" s="283" t="s">
        <v>721</v>
      </c>
    </row>
    <row r="1406" spans="1:14" s="32" customFormat="1" ht="14.25" customHeight="1">
      <c r="A1406" s="3" t="s">
        <v>701</v>
      </c>
      <c r="B1406" s="103" t="s">
        <v>3781</v>
      </c>
      <c r="C1406" s="214">
        <v>4058075401860</v>
      </c>
      <c r="D1406" s="214"/>
      <c r="E1406" s="214"/>
      <c r="F1406" s="216"/>
      <c r="G1406" s="66" t="str">
        <f>HYPERLINK("https://ledvance.com/pt/product-datasheet/8396/105607","Ficha de Produto")</f>
        <v>Ficha de Produto</v>
      </c>
      <c r="H1406" s="34">
        <v>25</v>
      </c>
      <c r="I1406" s="217" t="s">
        <v>1201</v>
      </c>
      <c r="J1406" s="217" t="s">
        <v>1201</v>
      </c>
      <c r="K1406" s="217" t="s">
        <v>1201</v>
      </c>
      <c r="L1406" s="34" t="s">
        <v>800</v>
      </c>
      <c r="M1406" s="30">
        <v>7.5</v>
      </c>
      <c r="N1406" s="283" t="s">
        <v>721</v>
      </c>
    </row>
    <row r="1407" spans="1:14" s="32" customFormat="1" ht="14.25" customHeight="1">
      <c r="A1407" s="3" t="s">
        <v>701</v>
      </c>
      <c r="B1407" s="103" t="s">
        <v>3782</v>
      </c>
      <c r="C1407" s="214">
        <v>4058075402225</v>
      </c>
      <c r="D1407" s="214"/>
      <c r="E1407" s="214"/>
      <c r="F1407" s="216"/>
      <c r="G1407" s="66" t="str">
        <f>HYPERLINK("https://ledvance.com/pt/product-datasheet/8396/105059","Ficha de Produto")</f>
        <v>Ficha de Produto</v>
      </c>
      <c r="H1407" s="34">
        <v>50</v>
      </c>
      <c r="I1407" s="217" t="s">
        <v>1201</v>
      </c>
      <c r="J1407" s="217" t="s">
        <v>1201</v>
      </c>
      <c r="K1407" s="217" t="s">
        <v>1201</v>
      </c>
      <c r="L1407" s="34" t="s">
        <v>800</v>
      </c>
      <c r="M1407" s="30">
        <v>5.8</v>
      </c>
      <c r="N1407" s="283" t="s">
        <v>721</v>
      </c>
    </row>
    <row r="1408" spans="1:14" s="32" customFormat="1" ht="14.25" customHeight="1">
      <c r="A1408" s="3" t="s">
        <v>701</v>
      </c>
      <c r="B1408" s="103" t="s">
        <v>3783</v>
      </c>
      <c r="C1408" s="214">
        <v>4058075402041</v>
      </c>
      <c r="D1408" s="214"/>
      <c r="E1408" s="214"/>
      <c r="F1408" s="216"/>
      <c r="G1408" s="66" t="str">
        <f>HYPERLINK("https://ledvance.com/pt/product-datasheet/8396/105035","Ficha de Produto")</f>
        <v>Ficha de Produto</v>
      </c>
      <c r="H1408" s="34">
        <v>25</v>
      </c>
      <c r="I1408" s="217" t="s">
        <v>1201</v>
      </c>
      <c r="J1408" s="217" t="s">
        <v>1201</v>
      </c>
      <c r="K1408" s="217" t="s">
        <v>1201</v>
      </c>
      <c r="L1408" s="34" t="s">
        <v>800</v>
      </c>
      <c r="M1408" s="30">
        <v>12.4</v>
      </c>
      <c r="N1408" s="283" t="s">
        <v>721</v>
      </c>
    </row>
    <row r="1409" spans="1:14" s="32" customFormat="1" ht="14.25" customHeight="1">
      <c r="A1409" s="3" t="s">
        <v>701</v>
      </c>
      <c r="B1409" s="103" t="s">
        <v>3784</v>
      </c>
      <c r="C1409" s="214">
        <v>4058075277519</v>
      </c>
      <c r="D1409" s="214"/>
      <c r="E1409" s="214"/>
      <c r="F1409" s="216"/>
      <c r="G1409" s="66" t="str">
        <f>HYPERLINK("https://ledvance.com/pt/product-datasheet/8394/115441","Ficha de Produto")</f>
        <v>Ficha de Produto</v>
      </c>
      <c r="H1409" s="34">
        <v>50</v>
      </c>
      <c r="I1409" s="217" t="s">
        <v>1201</v>
      </c>
      <c r="J1409" s="217" t="s">
        <v>1201</v>
      </c>
      <c r="K1409" s="217" t="s">
        <v>1201</v>
      </c>
      <c r="L1409" s="34" t="s">
        <v>800</v>
      </c>
      <c r="M1409" s="30">
        <v>2.1</v>
      </c>
      <c r="N1409" s="283" t="s">
        <v>721</v>
      </c>
    </row>
    <row r="1410" spans="1:14" s="32" customFormat="1" ht="14.25" customHeight="1">
      <c r="A1410" s="3" t="s">
        <v>701</v>
      </c>
      <c r="B1410" s="103" t="s">
        <v>3785</v>
      </c>
      <c r="C1410" s="214">
        <v>4058075277540</v>
      </c>
      <c r="D1410" s="214"/>
      <c r="E1410" s="214"/>
      <c r="F1410" s="216"/>
      <c r="G1410" s="66" t="str">
        <f>HYPERLINK("https://ledvance.com/pt/product-datasheet/8394/115445","Ficha de Produto")</f>
        <v>Ficha de Produto</v>
      </c>
      <c r="H1410" s="34">
        <v>50</v>
      </c>
      <c r="I1410" s="217" t="s">
        <v>1201</v>
      </c>
      <c r="J1410" s="217" t="s">
        <v>1201</v>
      </c>
      <c r="K1410" s="217" t="s">
        <v>1201</v>
      </c>
      <c r="L1410" s="34" t="s">
        <v>800</v>
      </c>
      <c r="M1410" s="30">
        <v>2.1</v>
      </c>
      <c r="N1410" s="283" t="s">
        <v>721</v>
      </c>
    </row>
    <row r="1411" spans="1:14" s="32" customFormat="1" ht="14.25" customHeight="1">
      <c r="A1411" s="3" t="s">
        <v>701</v>
      </c>
      <c r="B1411" s="103" t="s">
        <v>3786</v>
      </c>
      <c r="C1411" s="214">
        <v>4058075276710</v>
      </c>
      <c r="D1411" s="214"/>
      <c r="E1411" s="214"/>
      <c r="F1411" s="216"/>
      <c r="G1411" s="66" t="str">
        <f>HYPERLINK("https://ledvance.com/pt/product-datasheet/8394/116855","Ficha de Produto")</f>
        <v>Ficha de Produto</v>
      </c>
      <c r="H1411" s="34">
        <v>50</v>
      </c>
      <c r="I1411" s="217" t="s">
        <v>1201</v>
      </c>
      <c r="J1411" s="217" t="s">
        <v>1201</v>
      </c>
      <c r="K1411" s="217" t="s">
        <v>1201</v>
      </c>
      <c r="L1411" s="34" t="s">
        <v>800</v>
      </c>
      <c r="M1411" s="30">
        <v>2.1</v>
      </c>
      <c r="N1411" s="283" t="s">
        <v>721</v>
      </c>
    </row>
    <row r="1412" spans="1:14" s="32" customFormat="1" ht="14.25" customHeight="1">
      <c r="A1412" s="3" t="s">
        <v>701</v>
      </c>
      <c r="B1412" s="103" t="s">
        <v>3787</v>
      </c>
      <c r="C1412" s="214">
        <v>4058075278226</v>
      </c>
      <c r="D1412" s="214"/>
      <c r="E1412" s="214"/>
      <c r="F1412" s="216"/>
      <c r="G1412" s="66" t="str">
        <f>HYPERLINK("https://ledvance.com/pt/product-datasheet/8394/115449","Ficha de Produto")</f>
        <v>Ficha de Produto</v>
      </c>
      <c r="H1412" s="34">
        <v>50</v>
      </c>
      <c r="I1412" s="217" t="s">
        <v>1201</v>
      </c>
      <c r="J1412" s="217" t="s">
        <v>1201</v>
      </c>
      <c r="K1412" s="217" t="s">
        <v>1201</v>
      </c>
      <c r="L1412" s="34" t="s">
        <v>800</v>
      </c>
      <c r="M1412" s="30">
        <v>4.5999999999999996</v>
      </c>
      <c r="N1412" s="283" t="s">
        <v>721</v>
      </c>
    </row>
    <row r="1413" spans="1:14" s="32" customFormat="1" ht="14.25" customHeight="1">
      <c r="A1413" s="3" t="s">
        <v>701</v>
      </c>
      <c r="B1413" s="103" t="s">
        <v>3788</v>
      </c>
      <c r="C1413" s="214">
        <v>4058075401563</v>
      </c>
      <c r="D1413" s="214"/>
      <c r="E1413" s="214"/>
      <c r="F1413" s="216"/>
      <c r="G1413" s="66" t="str">
        <f>HYPERLINK("https://ledvance.com/pt/product-datasheet/8394/105567","Ficha de Produto")</f>
        <v>Ficha de Produto</v>
      </c>
      <c r="H1413" s="34">
        <v>25</v>
      </c>
      <c r="I1413" s="217" t="s">
        <v>1201</v>
      </c>
      <c r="J1413" s="217" t="s">
        <v>1201</v>
      </c>
      <c r="K1413" s="217" t="s">
        <v>1201</v>
      </c>
      <c r="L1413" s="34" t="s">
        <v>800</v>
      </c>
      <c r="M1413" s="30">
        <v>9.9</v>
      </c>
      <c r="N1413" s="283" t="s">
        <v>721</v>
      </c>
    </row>
    <row r="1414" spans="1:14" s="32" customFormat="1" ht="14.25" customHeight="1">
      <c r="A1414" s="3" t="s">
        <v>701</v>
      </c>
      <c r="B1414" s="103" t="s">
        <v>3789</v>
      </c>
      <c r="C1414" s="214">
        <v>4058075279339</v>
      </c>
      <c r="D1414" s="214"/>
      <c r="E1414" s="214"/>
      <c r="F1414" s="216"/>
      <c r="G1414" s="66" t="str">
        <f>HYPERLINK("https://ledvance.com/pt/product-datasheet/8396/115437","Ficha de Produto")</f>
        <v>Ficha de Produto</v>
      </c>
      <c r="H1414" s="34">
        <v>50</v>
      </c>
      <c r="I1414" s="217" t="s">
        <v>1201</v>
      </c>
      <c r="J1414" s="217" t="s">
        <v>1201</v>
      </c>
      <c r="K1414" s="217" t="s">
        <v>1201</v>
      </c>
      <c r="L1414" s="34" t="s">
        <v>800</v>
      </c>
      <c r="M1414" s="30">
        <v>3.2</v>
      </c>
      <c r="N1414" s="283" t="s">
        <v>721</v>
      </c>
    </row>
    <row r="1415" spans="1:14" s="32" customFormat="1" ht="14.25" customHeight="1">
      <c r="A1415" s="3" t="s">
        <v>701</v>
      </c>
      <c r="B1415" s="103" t="s">
        <v>3790</v>
      </c>
      <c r="C1415" s="214">
        <v>4058075401839</v>
      </c>
      <c r="D1415" s="214"/>
      <c r="E1415" s="214"/>
      <c r="F1415" s="216"/>
      <c r="G1415" s="66" t="str">
        <f>HYPERLINK("https://ledvance.com/pt/product-datasheet/8396/105603","Ficha de Produto")</f>
        <v>Ficha de Produto</v>
      </c>
      <c r="H1415" s="34">
        <v>25</v>
      </c>
      <c r="I1415" s="217" t="s">
        <v>1201</v>
      </c>
      <c r="J1415" s="217" t="s">
        <v>1201</v>
      </c>
      <c r="K1415" s="217" t="s">
        <v>1201</v>
      </c>
      <c r="L1415" s="34" t="s">
        <v>800</v>
      </c>
      <c r="M1415" s="30">
        <v>9.4</v>
      </c>
      <c r="N1415" s="283" t="s">
        <v>721</v>
      </c>
    </row>
    <row r="1416" spans="1:14" s="32" customFormat="1" ht="14.25" customHeight="1">
      <c r="A1416" s="3" t="s">
        <v>701</v>
      </c>
      <c r="B1416" s="103" t="s">
        <v>3791</v>
      </c>
      <c r="C1416" s="214">
        <v>4058075402195</v>
      </c>
      <c r="D1416" s="214"/>
      <c r="E1416" s="214"/>
      <c r="F1416" s="216"/>
      <c r="G1416" s="66" t="str">
        <f>HYPERLINK("https://ledvance.com/pt/product-datasheet/8396/105055","Ficha de Produto")</f>
        <v>Ficha de Produto</v>
      </c>
      <c r="H1416" s="34">
        <v>50</v>
      </c>
      <c r="I1416" s="217" t="s">
        <v>1201</v>
      </c>
      <c r="J1416" s="217" t="s">
        <v>1201</v>
      </c>
      <c r="K1416" s="217" t="s">
        <v>1201</v>
      </c>
      <c r="L1416" s="34" t="s">
        <v>800</v>
      </c>
      <c r="M1416" s="30">
        <v>5.8</v>
      </c>
      <c r="N1416" s="283" t="s">
        <v>721</v>
      </c>
    </row>
    <row r="1417" spans="1:14" s="32" customFormat="1" ht="14.25" customHeight="1">
      <c r="A1417" s="3" t="s">
        <v>701</v>
      </c>
      <c r="B1417" s="103" t="s">
        <v>3792</v>
      </c>
      <c r="C1417" s="214">
        <v>4058075402010</v>
      </c>
      <c r="D1417" s="214"/>
      <c r="E1417" s="214"/>
      <c r="F1417" s="216"/>
      <c r="G1417" s="66" t="str">
        <f>HYPERLINK("https://ledvance.com/pt/product-datasheet/8396/105031","Ficha de Produto")</f>
        <v>Ficha de Produto</v>
      </c>
      <c r="H1417" s="34">
        <v>25</v>
      </c>
      <c r="I1417" s="217" t="s">
        <v>1201</v>
      </c>
      <c r="J1417" s="217" t="s">
        <v>1201</v>
      </c>
      <c r="K1417" s="217" t="s">
        <v>1201</v>
      </c>
      <c r="L1417" s="34" t="s">
        <v>800</v>
      </c>
      <c r="M1417" s="30">
        <v>12.4</v>
      </c>
      <c r="N1417" s="283" t="s">
        <v>721</v>
      </c>
    </row>
    <row r="1418" spans="1:14" s="32" customFormat="1" ht="14.25" customHeight="1">
      <c r="A1418" s="3" t="s">
        <v>701</v>
      </c>
      <c r="B1418" s="103" t="s">
        <v>3793</v>
      </c>
      <c r="C1418" s="214">
        <v>4058075277571</v>
      </c>
      <c r="D1418" s="214"/>
      <c r="E1418" s="214"/>
      <c r="F1418" s="216"/>
      <c r="G1418" s="66" t="str">
        <f>HYPERLINK("https://ledvance.com/pt/product-datasheet/8394/115453","Ficha de Produto")</f>
        <v>Ficha de Produto</v>
      </c>
      <c r="H1418" s="34">
        <v>50</v>
      </c>
      <c r="I1418" s="217" t="s">
        <v>1201</v>
      </c>
      <c r="J1418" s="217" t="s">
        <v>1201</v>
      </c>
      <c r="K1418" s="217" t="s">
        <v>1201</v>
      </c>
      <c r="L1418" s="34" t="s">
        <v>800</v>
      </c>
      <c r="M1418" s="30">
        <v>2.1</v>
      </c>
      <c r="N1418" s="283" t="s">
        <v>721</v>
      </c>
    </row>
    <row r="1419" spans="1:14" s="32" customFormat="1" ht="14.25" customHeight="1">
      <c r="A1419" s="3" t="s">
        <v>701</v>
      </c>
      <c r="B1419" s="103" t="s">
        <v>3794</v>
      </c>
      <c r="C1419" s="214">
        <v>4058075277601</v>
      </c>
      <c r="D1419" s="214"/>
      <c r="E1419" s="214"/>
      <c r="F1419" s="216"/>
      <c r="G1419" s="66" t="str">
        <f>HYPERLINK("https://ledvance.com/pt/product-datasheet/8394/115457","Ficha de Produto")</f>
        <v>Ficha de Produto</v>
      </c>
      <c r="H1419" s="34">
        <v>50</v>
      </c>
      <c r="I1419" s="217" t="s">
        <v>1201</v>
      </c>
      <c r="J1419" s="217" t="s">
        <v>1201</v>
      </c>
      <c r="K1419" s="217" t="s">
        <v>1201</v>
      </c>
      <c r="L1419" s="34" t="s">
        <v>800</v>
      </c>
      <c r="M1419" s="30">
        <v>2.1</v>
      </c>
      <c r="N1419" s="283" t="s">
        <v>721</v>
      </c>
    </row>
    <row r="1420" spans="1:14" s="32" customFormat="1" ht="14.25" customHeight="1">
      <c r="A1420" s="3" t="s">
        <v>701</v>
      </c>
      <c r="B1420" s="103" t="s">
        <v>3795</v>
      </c>
      <c r="C1420" s="214">
        <v>4058075276741</v>
      </c>
      <c r="D1420" s="214"/>
      <c r="E1420" s="214"/>
      <c r="F1420" s="216"/>
      <c r="G1420" s="66" t="str">
        <f>HYPERLINK("https://ledvance.com/pt/product-datasheet/8394/116859","Ficha de Produto")</f>
        <v>Ficha de Produto</v>
      </c>
      <c r="H1420" s="34">
        <v>50</v>
      </c>
      <c r="I1420" s="217" t="s">
        <v>1201</v>
      </c>
      <c r="J1420" s="217" t="s">
        <v>1201</v>
      </c>
      <c r="K1420" s="217" t="s">
        <v>1201</v>
      </c>
      <c r="L1420" s="34" t="s">
        <v>800</v>
      </c>
      <c r="M1420" s="30">
        <v>2.1</v>
      </c>
      <c r="N1420" s="283" t="s">
        <v>721</v>
      </c>
    </row>
    <row r="1421" spans="1:14" s="32" customFormat="1" ht="14.25" customHeight="1">
      <c r="A1421" s="3" t="s">
        <v>701</v>
      </c>
      <c r="B1421" s="103" t="s">
        <v>3796</v>
      </c>
      <c r="C1421" s="214">
        <v>4058075278257</v>
      </c>
      <c r="D1421" s="214"/>
      <c r="E1421" s="214"/>
      <c r="F1421" s="216"/>
      <c r="G1421" s="66" t="str">
        <f>HYPERLINK("https://ledvance.com/pt/product-datasheet/8394/115513","Ficha de Produto")</f>
        <v>Ficha de Produto</v>
      </c>
      <c r="H1421" s="34">
        <v>50</v>
      </c>
      <c r="I1421" s="217" t="s">
        <v>1201</v>
      </c>
      <c r="J1421" s="217" t="s">
        <v>1201</v>
      </c>
      <c r="K1421" s="217" t="s">
        <v>1201</v>
      </c>
      <c r="L1421" s="34" t="s">
        <v>800</v>
      </c>
      <c r="M1421" s="30">
        <v>4.5999999999999996</v>
      </c>
      <c r="N1421" s="283" t="s">
        <v>721</v>
      </c>
    </row>
    <row r="1422" spans="1:14" s="32" customFormat="1" ht="14.25" customHeight="1">
      <c r="A1422" s="3" t="s">
        <v>701</v>
      </c>
      <c r="B1422" s="103" t="s">
        <v>3797</v>
      </c>
      <c r="C1422" s="214">
        <v>4058075401594</v>
      </c>
      <c r="D1422" s="214"/>
      <c r="E1422" s="214"/>
      <c r="F1422" s="216"/>
      <c r="G1422" s="66" t="str">
        <f>HYPERLINK("https://ledvance.com/pt/product-datasheet/8394/105571","Ficha de Produto")</f>
        <v>Ficha de Produto</v>
      </c>
      <c r="H1422" s="34">
        <v>25</v>
      </c>
      <c r="I1422" s="217" t="s">
        <v>1201</v>
      </c>
      <c r="J1422" s="217" t="s">
        <v>1201</v>
      </c>
      <c r="K1422" s="217" t="s">
        <v>1201</v>
      </c>
      <c r="L1422" s="34" t="s">
        <v>800</v>
      </c>
      <c r="M1422" s="30">
        <v>12.4</v>
      </c>
      <c r="N1422" s="283" t="s">
        <v>721</v>
      </c>
    </row>
    <row r="1423" spans="1:14" s="32" customFormat="1" ht="14.25" customHeight="1">
      <c r="A1423" s="3" t="s">
        <v>701</v>
      </c>
      <c r="B1423" s="103" t="s">
        <v>3798</v>
      </c>
      <c r="C1423" s="214">
        <v>4058075279360</v>
      </c>
      <c r="D1423" s="214"/>
      <c r="E1423" s="214"/>
      <c r="F1423" s="216"/>
      <c r="G1423" s="66" t="str">
        <f>HYPERLINK("https://ledvance.com/pt/product-datasheet/8396/115501","Ficha de Produto")</f>
        <v>Ficha de Produto</v>
      </c>
      <c r="H1423" s="34">
        <v>50</v>
      </c>
      <c r="I1423" s="217" t="s">
        <v>1201</v>
      </c>
      <c r="J1423" s="217" t="s">
        <v>1201</v>
      </c>
      <c r="K1423" s="217" t="s">
        <v>1201</v>
      </c>
      <c r="L1423" s="34" t="s">
        <v>800</v>
      </c>
      <c r="M1423" s="30">
        <v>3.2</v>
      </c>
      <c r="N1423" s="283" t="s">
        <v>721</v>
      </c>
    </row>
    <row r="1424" spans="1:14" s="32" customFormat="1" ht="14.25" customHeight="1">
      <c r="A1424" s="3" t="s">
        <v>701</v>
      </c>
      <c r="B1424" s="103" t="s">
        <v>3799</v>
      </c>
      <c r="C1424" s="214">
        <v>4058075401891</v>
      </c>
      <c r="D1424" s="214"/>
      <c r="E1424" s="214"/>
      <c r="F1424" s="216"/>
      <c r="G1424" s="66" t="str">
        <f>HYPERLINK("https://ledvance.com/pt/product-datasheet/8396/105015","Ficha de Produto")</f>
        <v>Ficha de Produto</v>
      </c>
      <c r="H1424" s="34">
        <v>25</v>
      </c>
      <c r="I1424" s="217" t="s">
        <v>1201</v>
      </c>
      <c r="J1424" s="217" t="s">
        <v>1201</v>
      </c>
      <c r="K1424" s="217" t="s">
        <v>1201</v>
      </c>
      <c r="L1424" s="34" t="s">
        <v>800</v>
      </c>
      <c r="M1424" s="30">
        <v>7.5</v>
      </c>
      <c r="N1424" s="283" t="s">
        <v>721</v>
      </c>
    </row>
    <row r="1425" spans="1:14" s="32" customFormat="1" ht="14.25" customHeight="1">
      <c r="A1425" s="3" t="s">
        <v>701</v>
      </c>
      <c r="B1425" s="103" t="s">
        <v>3800</v>
      </c>
      <c r="C1425" s="214">
        <v>4058075402256</v>
      </c>
      <c r="D1425" s="214"/>
      <c r="E1425" s="214"/>
      <c r="F1425" s="216"/>
      <c r="G1425" s="66" t="str">
        <f>HYPERLINK("https://ledvance.com/pt/product-datasheet/8396/105063","Ficha de Produto")</f>
        <v>Ficha de Produto</v>
      </c>
      <c r="H1425" s="34">
        <v>50</v>
      </c>
      <c r="I1425" s="217" t="s">
        <v>1201</v>
      </c>
      <c r="J1425" s="217" t="s">
        <v>1201</v>
      </c>
      <c r="K1425" s="217" t="s">
        <v>1201</v>
      </c>
      <c r="L1425" s="34" t="s">
        <v>800</v>
      </c>
      <c r="M1425" s="30">
        <v>5.8</v>
      </c>
      <c r="N1425" s="283" t="s">
        <v>721</v>
      </c>
    </row>
    <row r="1426" spans="1:14" s="32" customFormat="1" ht="14.25" customHeight="1">
      <c r="A1426" s="3" t="s">
        <v>701</v>
      </c>
      <c r="B1426" s="103" t="s">
        <v>3801</v>
      </c>
      <c r="C1426" s="214">
        <v>4058075402072</v>
      </c>
      <c r="D1426" s="214"/>
      <c r="E1426" s="214"/>
      <c r="F1426" s="216"/>
      <c r="G1426" s="66" t="str">
        <f>HYPERLINK("https://ledvance.com/pt/product-datasheet/8396/105039","Ficha de Produto")</f>
        <v>Ficha de Produto</v>
      </c>
      <c r="H1426" s="34">
        <v>25</v>
      </c>
      <c r="I1426" s="217" t="s">
        <v>1201</v>
      </c>
      <c r="J1426" s="217" t="s">
        <v>1201</v>
      </c>
      <c r="K1426" s="217" t="s">
        <v>1201</v>
      </c>
      <c r="L1426" s="34" t="s">
        <v>800</v>
      </c>
      <c r="M1426" s="30">
        <v>12.4</v>
      </c>
      <c r="N1426" s="283" t="s">
        <v>721</v>
      </c>
    </row>
    <row r="1427" spans="1:14" s="32" customFormat="1" ht="14.25" customHeight="1">
      <c r="A1427" s="3" t="s">
        <v>701</v>
      </c>
      <c r="B1427" s="103" t="s">
        <v>3802</v>
      </c>
      <c r="C1427" s="214">
        <v>4058075277632</v>
      </c>
      <c r="D1427" s="214"/>
      <c r="E1427" s="214"/>
      <c r="F1427" s="216"/>
      <c r="G1427" s="66" t="str">
        <f>HYPERLINK("https://ledvance.com/pt/product-datasheet/8394/115517","Ficha de Produto")</f>
        <v>Ficha de Produto</v>
      </c>
      <c r="H1427" s="34">
        <v>50</v>
      </c>
      <c r="I1427" s="217" t="s">
        <v>1201</v>
      </c>
      <c r="J1427" s="217" t="s">
        <v>1201</v>
      </c>
      <c r="K1427" s="217" t="s">
        <v>1201</v>
      </c>
      <c r="L1427" s="34" t="s">
        <v>800</v>
      </c>
      <c r="M1427" s="30">
        <v>2.1</v>
      </c>
      <c r="N1427" s="283" t="s">
        <v>721</v>
      </c>
    </row>
    <row r="1428" spans="1:14" s="32" customFormat="1" ht="14.25" customHeight="1">
      <c r="A1428" s="3" t="s">
        <v>701</v>
      </c>
      <c r="B1428" s="103" t="s">
        <v>3803</v>
      </c>
      <c r="C1428" s="214">
        <v>4058075277663</v>
      </c>
      <c r="D1428" s="214"/>
      <c r="E1428" s="214"/>
      <c r="F1428" s="216"/>
      <c r="G1428" s="66" t="str">
        <f>HYPERLINK("https://ledvance.com/pt/product-datasheet/8394/115521","Ficha de Produto")</f>
        <v>Ficha de Produto</v>
      </c>
      <c r="H1428" s="34">
        <v>50</v>
      </c>
      <c r="I1428" s="217" t="s">
        <v>1201</v>
      </c>
      <c r="J1428" s="217" t="s">
        <v>1201</v>
      </c>
      <c r="K1428" s="217" t="s">
        <v>1201</v>
      </c>
      <c r="L1428" s="34" t="s">
        <v>800</v>
      </c>
      <c r="M1428" s="30">
        <v>2.1</v>
      </c>
      <c r="N1428" s="283" t="s">
        <v>721</v>
      </c>
    </row>
    <row r="1429" spans="1:14" s="32" customFormat="1" ht="14.25" customHeight="1">
      <c r="A1429" s="3" t="s">
        <v>701</v>
      </c>
      <c r="B1429" s="103" t="s">
        <v>3804</v>
      </c>
      <c r="C1429" s="214">
        <v>4058075276772</v>
      </c>
      <c r="D1429" s="214"/>
      <c r="E1429" s="214"/>
      <c r="F1429" s="216"/>
      <c r="G1429" s="66" t="str">
        <f>HYPERLINK("https://ledvance.com/pt/product-datasheet/8394/116863","Ficha de Produto")</f>
        <v>Ficha de Produto</v>
      </c>
      <c r="H1429" s="34">
        <v>50</v>
      </c>
      <c r="I1429" s="217" t="s">
        <v>1201</v>
      </c>
      <c r="J1429" s="217" t="s">
        <v>1201</v>
      </c>
      <c r="K1429" s="217" t="s">
        <v>1201</v>
      </c>
      <c r="L1429" s="34" t="s">
        <v>800</v>
      </c>
      <c r="M1429" s="30">
        <v>2.1</v>
      </c>
      <c r="N1429" s="283" t="s">
        <v>721</v>
      </c>
    </row>
    <row r="1430" spans="1:14" s="32" customFormat="1" ht="14.25" customHeight="1">
      <c r="A1430" s="3" t="s">
        <v>701</v>
      </c>
      <c r="B1430" s="103" t="s">
        <v>3805</v>
      </c>
      <c r="C1430" s="214">
        <v>4058075278288</v>
      </c>
      <c r="D1430" s="214"/>
      <c r="E1430" s="214"/>
      <c r="F1430" s="216"/>
      <c r="G1430" s="66" t="str">
        <f>HYPERLINK("https://ledvance.com/pt/product-datasheet/8394/115525","Ficha de Produto")</f>
        <v>Ficha de Produto</v>
      </c>
      <c r="H1430" s="34">
        <v>50</v>
      </c>
      <c r="I1430" s="217" t="s">
        <v>1201</v>
      </c>
      <c r="J1430" s="217" t="s">
        <v>1201</v>
      </c>
      <c r="K1430" s="217" t="s">
        <v>1201</v>
      </c>
      <c r="L1430" s="34" t="s">
        <v>800</v>
      </c>
      <c r="M1430" s="30">
        <v>4.5999999999999996</v>
      </c>
      <c r="N1430" s="283" t="s">
        <v>721</v>
      </c>
    </row>
    <row r="1431" spans="1:14" s="32" customFormat="1" ht="14.25" customHeight="1">
      <c r="A1431" s="3" t="s">
        <v>701</v>
      </c>
      <c r="B1431" s="103" t="s">
        <v>3806</v>
      </c>
      <c r="C1431" s="214">
        <v>4058075401624</v>
      </c>
      <c r="D1431" s="214"/>
      <c r="E1431" s="214"/>
      <c r="F1431" s="216"/>
      <c r="G1431" s="66" t="str">
        <f>HYPERLINK("https://ledvance.com/pt/product-datasheet/8394/105575","Ficha de Produto")</f>
        <v>Ficha de Produto</v>
      </c>
      <c r="H1431" s="34">
        <v>25</v>
      </c>
      <c r="I1431" s="217" t="s">
        <v>1201</v>
      </c>
      <c r="J1431" s="217" t="s">
        <v>1201</v>
      </c>
      <c r="K1431" s="217" t="s">
        <v>1201</v>
      </c>
      <c r="L1431" s="34" t="s">
        <v>800</v>
      </c>
      <c r="M1431" s="30">
        <v>9.9</v>
      </c>
      <c r="N1431" s="283" t="s">
        <v>721</v>
      </c>
    </row>
    <row r="1432" spans="1:14" s="32" customFormat="1" ht="14.25" customHeight="1">
      <c r="A1432" s="3" t="s">
        <v>701</v>
      </c>
      <c r="B1432" s="103" t="s">
        <v>3807</v>
      </c>
      <c r="C1432" s="214">
        <v>4058075277694</v>
      </c>
      <c r="D1432" s="214"/>
      <c r="E1432" s="214"/>
      <c r="F1432" s="216"/>
      <c r="G1432" s="66" t="str">
        <f>HYPERLINK("https://ledvance.com/pt/product-datasheet/8394/115529","Ficha de Produto")</f>
        <v>Ficha de Produto</v>
      </c>
      <c r="H1432" s="34">
        <v>50</v>
      </c>
      <c r="I1432" s="217" t="s">
        <v>1201</v>
      </c>
      <c r="J1432" s="217" t="s">
        <v>1201</v>
      </c>
      <c r="K1432" s="217" t="s">
        <v>1201</v>
      </c>
      <c r="L1432" s="34" t="s">
        <v>800</v>
      </c>
      <c r="M1432" s="30">
        <v>2.1</v>
      </c>
      <c r="N1432" s="283" t="s">
        <v>721</v>
      </c>
    </row>
    <row r="1433" spans="1:14" s="32" customFormat="1" ht="14.25" customHeight="1">
      <c r="A1433" s="3" t="s">
        <v>701</v>
      </c>
      <c r="B1433" s="103" t="s">
        <v>3808</v>
      </c>
      <c r="C1433" s="214">
        <v>4058075277724</v>
      </c>
      <c r="D1433" s="214"/>
      <c r="E1433" s="214"/>
      <c r="F1433" s="216"/>
      <c r="G1433" s="66" t="str">
        <f>HYPERLINK("https://ledvance.com/pt/product-datasheet/8394/115533","Ficha de Produto")</f>
        <v>Ficha de Produto</v>
      </c>
      <c r="H1433" s="34">
        <v>50</v>
      </c>
      <c r="I1433" s="217" t="s">
        <v>1201</v>
      </c>
      <c r="J1433" s="217" t="s">
        <v>1201</v>
      </c>
      <c r="K1433" s="217" t="s">
        <v>1201</v>
      </c>
      <c r="L1433" s="34" t="s">
        <v>800</v>
      </c>
      <c r="M1433" s="30">
        <v>2.1</v>
      </c>
      <c r="N1433" s="283" t="s">
        <v>721</v>
      </c>
    </row>
    <row r="1434" spans="1:14" s="32" customFormat="1" ht="14.25" customHeight="1">
      <c r="A1434" s="3" t="s">
        <v>701</v>
      </c>
      <c r="B1434" s="103" t="s">
        <v>3809</v>
      </c>
      <c r="C1434" s="214">
        <v>4058075276857</v>
      </c>
      <c r="D1434" s="214"/>
      <c r="E1434" s="214"/>
      <c r="F1434" s="216"/>
      <c r="G1434" s="66" t="str">
        <f>HYPERLINK("https://ledvance.com/pt/product-datasheet/8394/116867","Ficha de Produto")</f>
        <v>Ficha de Produto</v>
      </c>
      <c r="H1434" s="34">
        <v>50</v>
      </c>
      <c r="I1434" s="217" t="s">
        <v>1201</v>
      </c>
      <c r="J1434" s="217" t="s">
        <v>1201</v>
      </c>
      <c r="K1434" s="217" t="s">
        <v>1201</v>
      </c>
      <c r="L1434" s="34" t="s">
        <v>800</v>
      </c>
      <c r="M1434" s="30">
        <v>2.1</v>
      </c>
      <c r="N1434" s="283" t="s">
        <v>721</v>
      </c>
    </row>
    <row r="1435" spans="1:14" s="32" customFormat="1" ht="14.25" customHeight="1">
      <c r="A1435" s="3" t="s">
        <v>701</v>
      </c>
      <c r="B1435" s="103" t="s">
        <v>3810</v>
      </c>
      <c r="C1435" s="214">
        <v>4058075278318</v>
      </c>
      <c r="D1435" s="214"/>
      <c r="E1435" s="214"/>
      <c r="F1435" s="216"/>
      <c r="G1435" s="66" t="str">
        <f>HYPERLINK("https://ledvance.com/pt/product-datasheet/8395/115461","Ficha de Produto")</f>
        <v>Ficha de Produto</v>
      </c>
      <c r="H1435" s="34">
        <v>50</v>
      </c>
      <c r="I1435" s="217" t="s">
        <v>1201</v>
      </c>
      <c r="J1435" s="217" t="s">
        <v>1201</v>
      </c>
      <c r="K1435" s="217" t="s">
        <v>1201</v>
      </c>
      <c r="L1435" s="34" t="s">
        <v>800</v>
      </c>
      <c r="M1435" s="30">
        <v>5.8</v>
      </c>
      <c r="N1435" s="283" t="s">
        <v>721</v>
      </c>
    </row>
    <row r="1436" spans="1:14" s="32" customFormat="1" ht="14.25" customHeight="1">
      <c r="A1436" s="3" t="s">
        <v>701</v>
      </c>
      <c r="B1436" s="103" t="s">
        <v>3811</v>
      </c>
      <c r="C1436" s="214">
        <v>4058075401655</v>
      </c>
      <c r="D1436" s="214"/>
      <c r="E1436" s="214"/>
      <c r="F1436" s="216"/>
      <c r="G1436" s="66" t="str">
        <f>HYPERLINK("https://ledvance.com/pt/product-datasheet/8395/105579","Ficha de Produto")</f>
        <v>Ficha de Produto</v>
      </c>
      <c r="H1436" s="34">
        <v>25</v>
      </c>
      <c r="I1436" s="217" t="s">
        <v>1201</v>
      </c>
      <c r="J1436" s="217" t="s">
        <v>1201</v>
      </c>
      <c r="K1436" s="217" t="s">
        <v>1201</v>
      </c>
      <c r="L1436" s="34" t="s">
        <v>800</v>
      </c>
      <c r="M1436" s="30">
        <v>12.4</v>
      </c>
      <c r="N1436" s="283" t="s">
        <v>721</v>
      </c>
    </row>
    <row r="1437" spans="1:14" s="32" customFormat="1" ht="14.25" customHeight="1">
      <c r="A1437" s="3" t="s">
        <v>701</v>
      </c>
      <c r="B1437" s="103" t="s">
        <v>3812</v>
      </c>
      <c r="C1437" s="214">
        <v>4058075277755</v>
      </c>
      <c r="D1437" s="214"/>
      <c r="E1437" s="214"/>
      <c r="F1437" s="216"/>
      <c r="G1437" s="66" t="str">
        <f>HYPERLINK("https://ledvance.com/pt/product-datasheet/8395/115465","Ficha de Produto")</f>
        <v>Ficha de Produto</v>
      </c>
      <c r="H1437" s="34">
        <v>50</v>
      </c>
      <c r="I1437" s="217" t="s">
        <v>1201</v>
      </c>
      <c r="J1437" s="217" t="s">
        <v>1201</v>
      </c>
      <c r="K1437" s="217" t="s">
        <v>1201</v>
      </c>
      <c r="L1437" s="34" t="s">
        <v>800</v>
      </c>
      <c r="M1437" s="30">
        <v>2.1</v>
      </c>
      <c r="N1437" s="283" t="s">
        <v>721</v>
      </c>
    </row>
    <row r="1438" spans="1:14" s="32" customFormat="1" ht="14.25" customHeight="1">
      <c r="A1438" s="3" t="s">
        <v>701</v>
      </c>
      <c r="B1438" s="103" t="s">
        <v>3813</v>
      </c>
      <c r="C1438" s="214">
        <v>4058075277786</v>
      </c>
      <c r="D1438" s="214"/>
      <c r="E1438" s="214"/>
      <c r="F1438" s="216"/>
      <c r="G1438" s="66" t="str">
        <f>HYPERLINK("https://ledvance.com/pt/product-datasheet/8395/115469","Ficha de Produto")</f>
        <v>Ficha de Produto</v>
      </c>
      <c r="H1438" s="34">
        <v>50</v>
      </c>
      <c r="I1438" s="217" t="s">
        <v>1201</v>
      </c>
      <c r="J1438" s="217" t="s">
        <v>1201</v>
      </c>
      <c r="K1438" s="217" t="s">
        <v>1201</v>
      </c>
      <c r="L1438" s="34" t="s">
        <v>800</v>
      </c>
      <c r="M1438" s="30">
        <v>2.1</v>
      </c>
      <c r="N1438" s="283" t="s">
        <v>721</v>
      </c>
    </row>
    <row r="1439" spans="1:14" s="32" customFormat="1" ht="14.25" customHeight="1">
      <c r="A1439" s="3" t="s">
        <v>701</v>
      </c>
      <c r="B1439" s="103" t="s">
        <v>3814</v>
      </c>
      <c r="C1439" s="214">
        <v>4058075276888</v>
      </c>
      <c r="D1439" s="214"/>
      <c r="E1439" s="214"/>
      <c r="F1439" s="216"/>
      <c r="G1439" s="66" t="str">
        <f>HYPERLINK("https://ledvance.com/pt/product-datasheet/8395/116871","Ficha de Produto")</f>
        <v>Ficha de Produto</v>
      </c>
      <c r="H1439" s="34">
        <v>50</v>
      </c>
      <c r="I1439" s="217" t="s">
        <v>1201</v>
      </c>
      <c r="J1439" s="217" t="s">
        <v>1201</v>
      </c>
      <c r="K1439" s="217" t="s">
        <v>1201</v>
      </c>
      <c r="L1439" s="34" t="s">
        <v>800</v>
      </c>
      <c r="M1439" s="30">
        <v>2.1</v>
      </c>
      <c r="N1439" s="283" t="s">
        <v>721</v>
      </c>
    </row>
    <row r="1440" spans="1:14" s="32" customFormat="1" ht="14.25" customHeight="1">
      <c r="A1440" s="3" t="s">
        <v>701</v>
      </c>
      <c r="B1440" s="103" t="s">
        <v>3815</v>
      </c>
      <c r="C1440" s="214">
        <v>4058075278400</v>
      </c>
      <c r="D1440" s="214"/>
      <c r="E1440" s="214"/>
      <c r="F1440" s="216"/>
      <c r="G1440" s="66" t="str">
        <f>HYPERLINK("https://ledvance.com/pt/product-datasheet/8395/116819","Ficha de Produto")</f>
        <v>Ficha de Produto</v>
      </c>
      <c r="H1440" s="34">
        <v>50</v>
      </c>
      <c r="I1440" s="217" t="s">
        <v>1201</v>
      </c>
      <c r="J1440" s="217" t="s">
        <v>1201</v>
      </c>
      <c r="K1440" s="217" t="s">
        <v>1201</v>
      </c>
      <c r="L1440" s="34" t="s">
        <v>800</v>
      </c>
      <c r="M1440" s="30">
        <v>7.5</v>
      </c>
      <c r="N1440" s="283" t="s">
        <v>721</v>
      </c>
    </row>
    <row r="1441" spans="1:14" s="32" customFormat="1" ht="14.25" customHeight="1">
      <c r="A1441" s="3" t="s">
        <v>701</v>
      </c>
      <c r="B1441" s="103" t="s">
        <v>3816</v>
      </c>
      <c r="C1441" s="214">
        <v>4058075401747</v>
      </c>
      <c r="D1441" s="214"/>
      <c r="E1441" s="214"/>
      <c r="F1441" s="216"/>
      <c r="G1441" s="66" t="str">
        <f>HYPERLINK("https://ledvance.com/pt/product-datasheet/8395/105591","Ficha de Produto")</f>
        <v>Ficha de Produto</v>
      </c>
      <c r="H1441" s="34">
        <v>25</v>
      </c>
      <c r="I1441" s="217" t="s">
        <v>1201</v>
      </c>
      <c r="J1441" s="217" t="s">
        <v>1201</v>
      </c>
      <c r="K1441" s="217" t="s">
        <v>1201</v>
      </c>
      <c r="L1441" s="34" t="s">
        <v>800</v>
      </c>
      <c r="M1441" s="30">
        <v>15.3</v>
      </c>
      <c r="N1441" s="283" t="s">
        <v>721</v>
      </c>
    </row>
    <row r="1442" spans="1:14" s="32" customFormat="1" ht="14.25" customHeight="1">
      <c r="A1442" s="3" t="s">
        <v>701</v>
      </c>
      <c r="B1442" s="103" t="s">
        <v>3817</v>
      </c>
      <c r="C1442" s="214">
        <v>4058075305793</v>
      </c>
      <c r="D1442" s="214"/>
      <c r="E1442" s="214"/>
      <c r="F1442" s="216"/>
      <c r="G1442" s="66" t="str">
        <f>HYPERLINK("https://ledvance.com/pt/product-datasheet/8396/115353","Ficha de Produto")</f>
        <v>Ficha de Produto</v>
      </c>
      <c r="H1442" s="34">
        <v>50</v>
      </c>
      <c r="I1442" s="217" t="s">
        <v>1201</v>
      </c>
      <c r="J1442" s="217" t="s">
        <v>1201</v>
      </c>
      <c r="K1442" s="217" t="s">
        <v>1201</v>
      </c>
      <c r="L1442" s="34" t="s">
        <v>800</v>
      </c>
      <c r="M1442" s="30">
        <v>3.2</v>
      </c>
      <c r="N1442" s="283" t="s">
        <v>721</v>
      </c>
    </row>
    <row r="1443" spans="1:14" s="32" customFormat="1" ht="14.25" customHeight="1">
      <c r="A1443" s="3" t="s">
        <v>701</v>
      </c>
      <c r="B1443" s="103" t="s">
        <v>3818</v>
      </c>
      <c r="C1443" s="214">
        <v>4058075401921</v>
      </c>
      <c r="D1443" s="214"/>
      <c r="E1443" s="214"/>
      <c r="F1443" s="216"/>
      <c r="G1443" s="66" t="str">
        <f>HYPERLINK("https://ledvance.com/pt/product-datasheet/8396/105019","Ficha de Produto")</f>
        <v>Ficha de Produto</v>
      </c>
      <c r="H1443" s="34">
        <v>25</v>
      </c>
      <c r="I1443" s="217" t="s">
        <v>1201</v>
      </c>
      <c r="J1443" s="217" t="s">
        <v>1201</v>
      </c>
      <c r="K1443" s="217" t="s">
        <v>1201</v>
      </c>
      <c r="L1443" s="34" t="s">
        <v>800</v>
      </c>
      <c r="M1443" s="30">
        <v>9.4</v>
      </c>
      <c r="N1443" s="283" t="s">
        <v>721</v>
      </c>
    </row>
    <row r="1444" spans="1:14" s="32" customFormat="1" ht="14.25" customHeight="1">
      <c r="A1444" s="3" t="s">
        <v>701</v>
      </c>
      <c r="B1444" s="103" t="s">
        <v>3819</v>
      </c>
      <c r="C1444" s="214">
        <v>4058075402287</v>
      </c>
      <c r="D1444" s="214"/>
      <c r="E1444" s="214"/>
      <c r="F1444" s="216"/>
      <c r="G1444" s="66" t="str">
        <f>HYPERLINK("https://ledvance.com/pt/product-datasheet/8396/105067","Ficha de Produto")</f>
        <v>Ficha de Produto</v>
      </c>
      <c r="H1444" s="34">
        <v>50</v>
      </c>
      <c r="I1444" s="217" t="s">
        <v>1201</v>
      </c>
      <c r="J1444" s="217" t="s">
        <v>1201</v>
      </c>
      <c r="K1444" s="217" t="s">
        <v>1201</v>
      </c>
      <c r="L1444" s="34" t="s">
        <v>800</v>
      </c>
      <c r="M1444" s="30">
        <v>5.8</v>
      </c>
      <c r="N1444" s="283" t="s">
        <v>721</v>
      </c>
    </row>
    <row r="1445" spans="1:14" s="32" customFormat="1" ht="14.25" customHeight="1">
      <c r="A1445" s="3" t="s">
        <v>701</v>
      </c>
      <c r="B1445" s="103" t="s">
        <v>3820</v>
      </c>
      <c r="C1445" s="214">
        <v>4058075402102</v>
      </c>
      <c r="D1445" s="214"/>
      <c r="E1445" s="214"/>
      <c r="F1445" s="216"/>
      <c r="G1445" s="66" t="str">
        <f>HYPERLINK("https://ledvance.com/pt/product-datasheet/8396/105043","Ficha de Produto")</f>
        <v>Ficha de Produto</v>
      </c>
      <c r="H1445" s="34">
        <v>25</v>
      </c>
      <c r="I1445" s="217" t="s">
        <v>1201</v>
      </c>
      <c r="J1445" s="217" t="s">
        <v>1201</v>
      </c>
      <c r="K1445" s="217" t="s">
        <v>1201</v>
      </c>
      <c r="L1445" s="34" t="s">
        <v>800</v>
      </c>
      <c r="M1445" s="30">
        <v>12.4</v>
      </c>
      <c r="N1445" s="283" t="s">
        <v>721</v>
      </c>
    </row>
    <row r="1446" spans="1:14" s="32" customFormat="1" ht="14.25" customHeight="1">
      <c r="A1446" s="3" t="s">
        <v>701</v>
      </c>
      <c r="B1446" s="103" t="s">
        <v>3821</v>
      </c>
      <c r="C1446" s="214">
        <v>4058075277939</v>
      </c>
      <c r="D1446" s="214"/>
      <c r="E1446" s="214"/>
      <c r="F1446" s="216"/>
      <c r="G1446" s="66" t="str">
        <f>HYPERLINK("https://ledvance.com/pt/product-datasheet/8395/116827","Ficha de Produto")</f>
        <v>Ficha de Produto</v>
      </c>
      <c r="H1446" s="34">
        <v>50</v>
      </c>
      <c r="I1446" s="217" t="s">
        <v>1201</v>
      </c>
      <c r="J1446" s="217" t="s">
        <v>1201</v>
      </c>
      <c r="K1446" s="217" t="s">
        <v>1201</v>
      </c>
      <c r="L1446" s="34" t="s">
        <v>800</v>
      </c>
      <c r="M1446" s="30">
        <v>2.1</v>
      </c>
      <c r="N1446" s="283" t="s">
        <v>721</v>
      </c>
    </row>
    <row r="1447" spans="1:14" s="32" customFormat="1" ht="14.25" customHeight="1">
      <c r="A1447" s="3" t="s">
        <v>701</v>
      </c>
      <c r="B1447" s="103" t="s">
        <v>3822</v>
      </c>
      <c r="C1447" s="214">
        <v>4058075275836</v>
      </c>
      <c r="D1447" s="214"/>
      <c r="E1447" s="214"/>
      <c r="F1447" s="216"/>
      <c r="G1447" s="66" t="str">
        <f>HYPERLINK("https://ledvance.com/pt/product-datasheet/8395/116831","Ficha de Produto")</f>
        <v>Ficha de Produto</v>
      </c>
      <c r="H1447" s="34">
        <v>50</v>
      </c>
      <c r="I1447" s="217" t="s">
        <v>1201</v>
      </c>
      <c r="J1447" s="217" t="s">
        <v>1201</v>
      </c>
      <c r="K1447" s="217" t="s">
        <v>1201</v>
      </c>
      <c r="L1447" s="34" t="s">
        <v>800</v>
      </c>
      <c r="M1447" s="30">
        <v>2.1</v>
      </c>
      <c r="N1447" s="283" t="s">
        <v>721</v>
      </c>
    </row>
    <row r="1448" spans="1:14" s="32" customFormat="1" ht="14.25" customHeight="1">
      <c r="A1448" s="3" t="s">
        <v>701</v>
      </c>
      <c r="B1448" s="103" t="s">
        <v>3823</v>
      </c>
      <c r="C1448" s="214">
        <v>4058075276970</v>
      </c>
      <c r="D1448" s="214"/>
      <c r="E1448" s="214"/>
      <c r="F1448" s="216"/>
      <c r="G1448" s="66" t="str">
        <f>HYPERLINK("https://ledvance.com/pt/product-datasheet/8395/116883","Ficha de Produto")</f>
        <v>Ficha de Produto</v>
      </c>
      <c r="H1448" s="34">
        <v>50</v>
      </c>
      <c r="I1448" s="217" t="s">
        <v>1201</v>
      </c>
      <c r="J1448" s="217" t="s">
        <v>1201</v>
      </c>
      <c r="K1448" s="217" t="s">
        <v>1201</v>
      </c>
      <c r="L1448" s="34" t="s">
        <v>800</v>
      </c>
      <c r="M1448" s="30">
        <v>2.1</v>
      </c>
      <c r="N1448" s="283" t="s">
        <v>721</v>
      </c>
    </row>
    <row r="1449" spans="1:14" s="32" customFormat="1" ht="14.25" customHeight="1">
      <c r="A1449" s="8" t="s">
        <v>701</v>
      </c>
      <c r="B1449" s="276" t="s">
        <v>1240</v>
      </c>
      <c r="C1449" s="7"/>
      <c r="D1449" s="7"/>
      <c r="E1449" s="7"/>
      <c r="F1449" s="7"/>
      <c r="G1449" s="68"/>
      <c r="H1449" s="7"/>
      <c r="I1449" s="7"/>
      <c r="J1449" s="7"/>
      <c r="K1449" s="7"/>
      <c r="L1449" s="7"/>
      <c r="M1449" s="7"/>
      <c r="N1449" s="284"/>
    </row>
    <row r="1450" spans="1:14" s="32" customFormat="1" ht="14.25" customHeight="1">
      <c r="A1450" s="3" t="s">
        <v>701</v>
      </c>
      <c r="B1450" s="103" t="s">
        <v>3824</v>
      </c>
      <c r="C1450" s="214">
        <v>4058075279278</v>
      </c>
      <c r="D1450" s="214"/>
      <c r="E1450" s="214"/>
      <c r="F1450" s="216"/>
      <c r="G1450" s="66" t="str">
        <f>HYPERLINK("https://ledvance.com/pt/product-datasheet/8395/116823","Ficha de Produto")</f>
        <v>Ficha de Produto</v>
      </c>
      <c r="H1450" s="34">
        <v>50</v>
      </c>
      <c r="I1450" s="217" t="s">
        <v>1201</v>
      </c>
      <c r="J1450" s="217" t="s">
        <v>1201</v>
      </c>
      <c r="K1450" s="217" t="s">
        <v>1201</v>
      </c>
      <c r="L1450" s="34" t="s">
        <v>800</v>
      </c>
      <c r="M1450" s="30">
        <v>8.3000000000000007</v>
      </c>
      <c r="N1450" s="283" t="s">
        <v>721</v>
      </c>
    </row>
    <row r="1451" spans="1:14" s="32" customFormat="1" ht="14.25" customHeight="1">
      <c r="A1451" s="3" t="s">
        <v>701</v>
      </c>
      <c r="B1451" s="103" t="s">
        <v>3825</v>
      </c>
      <c r="C1451" s="214">
        <v>4058075401778</v>
      </c>
      <c r="D1451" s="214"/>
      <c r="E1451" s="214"/>
      <c r="F1451" s="216"/>
      <c r="G1451" s="66" t="str">
        <f>HYPERLINK("https://ledvance.com/pt/product-datasheet/8395/105595","Ficha de Produto")</f>
        <v>Ficha de Produto</v>
      </c>
      <c r="H1451" s="34">
        <v>25</v>
      </c>
      <c r="I1451" s="217" t="s">
        <v>1201</v>
      </c>
      <c r="J1451" s="217" t="s">
        <v>1201</v>
      </c>
      <c r="K1451" s="217" t="s">
        <v>1201</v>
      </c>
      <c r="L1451" s="34" t="s">
        <v>800</v>
      </c>
      <c r="M1451" s="30">
        <v>16.899999999999999</v>
      </c>
      <c r="N1451" s="283" t="s">
        <v>721</v>
      </c>
    </row>
    <row r="1452" spans="1:14" s="32" customFormat="1" ht="14.25" customHeight="1">
      <c r="A1452" s="3" t="s">
        <v>701</v>
      </c>
      <c r="B1452" s="103" t="s">
        <v>3826</v>
      </c>
      <c r="C1452" s="214">
        <v>4058075275867</v>
      </c>
      <c r="D1452" s="214"/>
      <c r="E1452" s="214"/>
      <c r="F1452" s="216"/>
      <c r="G1452" s="66" t="str">
        <f>HYPERLINK("https://ledvance.com/pt/product-datasheet/8395/116835","Ficha de Produto")</f>
        <v>Ficha de Produto</v>
      </c>
      <c r="H1452" s="34">
        <v>50</v>
      </c>
      <c r="I1452" s="217" t="s">
        <v>1201</v>
      </c>
      <c r="J1452" s="217" t="s">
        <v>1201</v>
      </c>
      <c r="K1452" s="217" t="s">
        <v>1201</v>
      </c>
      <c r="L1452" s="34" t="s">
        <v>800</v>
      </c>
      <c r="M1452" s="30">
        <v>2.1</v>
      </c>
      <c r="N1452" s="283" t="s">
        <v>721</v>
      </c>
    </row>
    <row r="1453" spans="1:14" s="32" customFormat="1" ht="14.25" customHeight="1">
      <c r="A1453" s="3" t="s">
        <v>701</v>
      </c>
      <c r="B1453" s="103" t="s">
        <v>3827</v>
      </c>
      <c r="C1453" s="214">
        <v>4058075276529</v>
      </c>
      <c r="D1453" s="214"/>
      <c r="E1453" s="214"/>
      <c r="F1453" s="216"/>
      <c r="G1453" s="66" t="str">
        <f>HYPERLINK("https://ledvance.com/pt/product-datasheet/8395/116839","Ficha de Produto")</f>
        <v>Ficha de Produto</v>
      </c>
      <c r="H1453" s="34">
        <v>50</v>
      </c>
      <c r="I1453" s="217" t="s">
        <v>1201</v>
      </c>
      <c r="J1453" s="217" t="s">
        <v>1201</v>
      </c>
      <c r="K1453" s="217" t="s">
        <v>1201</v>
      </c>
      <c r="L1453" s="34" t="s">
        <v>800</v>
      </c>
      <c r="M1453" s="30">
        <v>2.1</v>
      </c>
      <c r="N1453" s="283" t="s">
        <v>721</v>
      </c>
    </row>
    <row r="1454" spans="1:14" s="32" customFormat="1" ht="14.25" customHeight="1">
      <c r="A1454" s="3" t="s">
        <v>701</v>
      </c>
      <c r="B1454" s="103" t="s">
        <v>3828</v>
      </c>
      <c r="C1454" s="214">
        <v>4058075277007</v>
      </c>
      <c r="D1454" s="214"/>
      <c r="E1454" s="214"/>
      <c r="F1454" s="216"/>
      <c r="G1454" s="66" t="str">
        <f>HYPERLINK("https://ledvance.com/pt/product-datasheet/8395/116887","Ficha de Produto")</f>
        <v>Ficha de Produto</v>
      </c>
      <c r="H1454" s="34">
        <v>50</v>
      </c>
      <c r="I1454" s="217" t="s">
        <v>1201</v>
      </c>
      <c r="J1454" s="217" t="s">
        <v>1201</v>
      </c>
      <c r="K1454" s="217" t="s">
        <v>1201</v>
      </c>
      <c r="L1454" s="34" t="s">
        <v>800</v>
      </c>
      <c r="M1454" s="30">
        <v>2.1</v>
      </c>
      <c r="N1454" s="283" t="s">
        <v>721</v>
      </c>
    </row>
    <row r="1455" spans="1:14" s="32" customFormat="1" ht="14.25" customHeight="1">
      <c r="A1455" s="3" t="s">
        <v>701</v>
      </c>
      <c r="B1455" s="103" t="s">
        <v>3829</v>
      </c>
      <c r="C1455" s="214">
        <v>4058075278349</v>
      </c>
      <c r="D1455" s="214"/>
      <c r="E1455" s="214"/>
      <c r="F1455" s="216"/>
      <c r="G1455" s="66" t="str">
        <f>HYPERLINK("https://ledvance.com/pt/product-datasheet/8395/115473","Ficha de Produto")</f>
        <v>Ficha de Produto</v>
      </c>
      <c r="H1455" s="34">
        <v>50</v>
      </c>
      <c r="I1455" s="217" t="s">
        <v>1201</v>
      </c>
      <c r="J1455" s="217" t="s">
        <v>1201</v>
      </c>
      <c r="K1455" s="217" t="s">
        <v>1201</v>
      </c>
      <c r="L1455" s="34" t="s">
        <v>800</v>
      </c>
      <c r="M1455" s="30">
        <v>9.4</v>
      </c>
      <c r="N1455" s="283" t="s">
        <v>721</v>
      </c>
    </row>
    <row r="1456" spans="1:14" s="32" customFormat="1" ht="14.25" customHeight="1">
      <c r="A1456" s="3" t="s">
        <v>701</v>
      </c>
      <c r="B1456" s="103" t="s">
        <v>3830</v>
      </c>
      <c r="C1456" s="214">
        <v>4058075401686</v>
      </c>
      <c r="D1456" s="214"/>
      <c r="E1456" s="214"/>
      <c r="F1456" s="216"/>
      <c r="G1456" s="66" t="str">
        <f>HYPERLINK("https://ledvance.com/pt/product-datasheet/8395/105583","Ficha de Produto")</f>
        <v>Ficha de Produto</v>
      </c>
      <c r="H1456" s="34">
        <v>25</v>
      </c>
      <c r="I1456" s="217" t="s">
        <v>1201</v>
      </c>
      <c r="J1456" s="217" t="s">
        <v>1201</v>
      </c>
      <c r="K1456" s="217" t="s">
        <v>1201</v>
      </c>
      <c r="L1456" s="34" t="s">
        <v>800</v>
      </c>
      <c r="M1456" s="30">
        <v>21.1</v>
      </c>
      <c r="N1456" s="283" t="s">
        <v>721</v>
      </c>
    </row>
    <row r="1457" spans="1:14" s="32" customFormat="1" ht="14.25" customHeight="1">
      <c r="A1457" s="3" t="s">
        <v>701</v>
      </c>
      <c r="B1457" s="103" t="s">
        <v>3831</v>
      </c>
      <c r="C1457" s="214">
        <v>4058075277816</v>
      </c>
      <c r="D1457" s="214"/>
      <c r="E1457" s="214"/>
      <c r="F1457" s="216"/>
      <c r="G1457" s="66" t="str">
        <f>HYPERLINK("https://ledvance.com/pt/product-datasheet/8395/115477","Ficha de Produto")</f>
        <v>Ficha de Produto</v>
      </c>
      <c r="H1457" s="34">
        <v>50</v>
      </c>
      <c r="I1457" s="217" t="s">
        <v>1201</v>
      </c>
      <c r="J1457" s="217" t="s">
        <v>1201</v>
      </c>
      <c r="K1457" s="217" t="s">
        <v>1201</v>
      </c>
      <c r="L1457" s="34" t="s">
        <v>800</v>
      </c>
      <c r="M1457" s="30">
        <v>2.1</v>
      </c>
      <c r="N1457" s="283" t="s">
        <v>721</v>
      </c>
    </row>
    <row r="1458" spans="1:14" s="32" customFormat="1" ht="14.25" customHeight="1">
      <c r="A1458" s="3" t="s">
        <v>701</v>
      </c>
      <c r="B1458" s="103" t="s">
        <v>3832</v>
      </c>
      <c r="C1458" s="214">
        <v>4058075277847</v>
      </c>
      <c r="D1458" s="214"/>
      <c r="E1458" s="214"/>
      <c r="F1458" s="216"/>
      <c r="G1458" s="66" t="str">
        <f>HYPERLINK("https://ledvance.com/pt/product-datasheet/8395/115481","Ficha de Produto")</f>
        <v>Ficha de Produto</v>
      </c>
      <c r="H1458" s="34">
        <v>50</v>
      </c>
      <c r="I1458" s="217" t="s">
        <v>1201</v>
      </c>
      <c r="J1458" s="217" t="s">
        <v>1201</v>
      </c>
      <c r="K1458" s="217" t="s">
        <v>1201</v>
      </c>
      <c r="L1458" s="34" t="s">
        <v>800</v>
      </c>
      <c r="M1458" s="30">
        <v>2.1</v>
      </c>
      <c r="N1458" s="283" t="s">
        <v>721</v>
      </c>
    </row>
    <row r="1459" spans="1:14" s="32" customFormat="1" ht="14.25" customHeight="1">
      <c r="A1459" s="3" t="s">
        <v>701</v>
      </c>
      <c r="B1459" s="103" t="s">
        <v>3833</v>
      </c>
      <c r="C1459" s="214">
        <v>4058075276918</v>
      </c>
      <c r="D1459" s="214"/>
      <c r="E1459" s="214"/>
      <c r="F1459" s="216"/>
      <c r="G1459" s="66" t="str">
        <f>HYPERLINK("https://ledvance.com/pt/product-datasheet/8395/116875","Ficha de Produto")</f>
        <v>Ficha de Produto</v>
      </c>
      <c r="H1459" s="34">
        <v>50</v>
      </c>
      <c r="I1459" s="217" t="s">
        <v>1201</v>
      </c>
      <c r="J1459" s="217" t="s">
        <v>1201</v>
      </c>
      <c r="K1459" s="217" t="s">
        <v>1201</v>
      </c>
      <c r="L1459" s="34" t="s">
        <v>800</v>
      </c>
      <c r="M1459" s="30">
        <v>2.1</v>
      </c>
      <c r="N1459" s="283" t="s">
        <v>721</v>
      </c>
    </row>
    <row r="1460" spans="1:14" s="32" customFormat="1" ht="14.25" customHeight="1">
      <c r="A1460" s="3" t="s">
        <v>701</v>
      </c>
      <c r="B1460" s="103" t="s">
        <v>3834</v>
      </c>
      <c r="C1460" s="214">
        <v>4058075278370</v>
      </c>
      <c r="D1460" s="214"/>
      <c r="E1460" s="214"/>
      <c r="F1460" s="216"/>
      <c r="G1460" s="66" t="str">
        <f>HYPERLINK("https://ledvance.com/pt/product-datasheet/8395/115485","Ficha de Produto")</f>
        <v>Ficha de Produto</v>
      </c>
      <c r="H1460" s="34">
        <v>50</v>
      </c>
      <c r="I1460" s="217" t="s">
        <v>1201</v>
      </c>
      <c r="J1460" s="217" t="s">
        <v>1201</v>
      </c>
      <c r="K1460" s="217" t="s">
        <v>1201</v>
      </c>
      <c r="L1460" s="34" t="s">
        <v>800</v>
      </c>
      <c r="M1460" s="30">
        <v>11.7</v>
      </c>
      <c r="N1460" s="283" t="s">
        <v>721</v>
      </c>
    </row>
    <row r="1461" spans="1:14" s="32" customFormat="1" ht="14.25" customHeight="1">
      <c r="A1461" s="3" t="s">
        <v>701</v>
      </c>
      <c r="B1461" s="103" t="s">
        <v>3835</v>
      </c>
      <c r="C1461" s="214">
        <v>4058075401716</v>
      </c>
      <c r="D1461" s="214"/>
      <c r="E1461" s="214"/>
      <c r="F1461" s="216"/>
      <c r="G1461" s="66" t="str">
        <f>HYPERLINK("https://ledvance.com/pt/product-datasheet/8395/105587","Ficha de Produto")</f>
        <v>Ficha de Produto</v>
      </c>
      <c r="H1461" s="34">
        <v>25</v>
      </c>
      <c r="I1461" s="217" t="s">
        <v>1201</v>
      </c>
      <c r="J1461" s="217" t="s">
        <v>1201</v>
      </c>
      <c r="K1461" s="217" t="s">
        <v>1201</v>
      </c>
      <c r="L1461" s="34" t="s">
        <v>800</v>
      </c>
      <c r="M1461" s="30">
        <v>24.6</v>
      </c>
      <c r="N1461" s="283" t="s">
        <v>721</v>
      </c>
    </row>
    <row r="1462" spans="1:14" s="32" customFormat="1" ht="14.25" customHeight="1">
      <c r="A1462" s="3" t="s">
        <v>701</v>
      </c>
      <c r="B1462" s="103" t="s">
        <v>3836</v>
      </c>
      <c r="C1462" s="214">
        <v>4058075277878</v>
      </c>
      <c r="D1462" s="214"/>
      <c r="E1462" s="214"/>
      <c r="F1462" s="216"/>
      <c r="G1462" s="66" t="str">
        <f>HYPERLINK("https://ledvance.com/pt/product-datasheet/8395/115489","Ficha de Produto")</f>
        <v>Ficha de Produto</v>
      </c>
      <c r="H1462" s="34">
        <v>50</v>
      </c>
      <c r="I1462" s="217" t="s">
        <v>1201</v>
      </c>
      <c r="J1462" s="217" t="s">
        <v>1201</v>
      </c>
      <c r="K1462" s="217" t="s">
        <v>1201</v>
      </c>
      <c r="L1462" s="34" t="s">
        <v>800</v>
      </c>
      <c r="M1462" s="30">
        <v>2.1</v>
      </c>
      <c r="N1462" s="283" t="s">
        <v>721</v>
      </c>
    </row>
    <row r="1463" spans="1:14" s="32" customFormat="1" ht="14.25" customHeight="1">
      <c r="A1463" s="3" t="s">
        <v>701</v>
      </c>
      <c r="B1463" s="103" t="s">
        <v>3837</v>
      </c>
      <c r="C1463" s="214">
        <v>4058075277908</v>
      </c>
      <c r="D1463" s="214"/>
      <c r="E1463" s="214"/>
      <c r="F1463" s="216"/>
      <c r="G1463" s="66" t="str">
        <f>HYPERLINK("https://ledvance.com/pt/product-datasheet/8395/115493","Ficha de Produto")</f>
        <v>Ficha de Produto</v>
      </c>
      <c r="H1463" s="34">
        <v>50</v>
      </c>
      <c r="I1463" s="217" t="s">
        <v>1201</v>
      </c>
      <c r="J1463" s="217" t="s">
        <v>1201</v>
      </c>
      <c r="K1463" s="217" t="s">
        <v>1201</v>
      </c>
      <c r="L1463" s="34" t="s">
        <v>800</v>
      </c>
      <c r="M1463" s="30">
        <v>2.1</v>
      </c>
      <c r="N1463" s="283" t="s">
        <v>721</v>
      </c>
    </row>
    <row r="1464" spans="1:14" s="32" customFormat="1" ht="14.25" customHeight="1">
      <c r="A1464" s="3" t="s">
        <v>701</v>
      </c>
      <c r="B1464" s="103" t="s">
        <v>3838</v>
      </c>
      <c r="C1464" s="214">
        <v>4058075276949</v>
      </c>
      <c r="D1464" s="214"/>
      <c r="E1464" s="214"/>
      <c r="F1464" s="216"/>
      <c r="G1464" s="66" t="str">
        <f>HYPERLINK("https://ledvance.com/pt/product-datasheet/8395/116879","Ficha de Produto")</f>
        <v>Ficha de Produto</v>
      </c>
      <c r="H1464" s="34">
        <v>50</v>
      </c>
      <c r="I1464" s="217" t="s">
        <v>1201</v>
      </c>
      <c r="J1464" s="217" t="s">
        <v>1201</v>
      </c>
      <c r="K1464" s="217" t="s">
        <v>1201</v>
      </c>
      <c r="L1464" s="34" t="s">
        <v>800</v>
      </c>
      <c r="M1464" s="30">
        <v>2.1</v>
      </c>
      <c r="N1464" s="283" t="s">
        <v>721</v>
      </c>
    </row>
    <row r="1465" spans="1:14" s="32" customFormat="1" ht="14.25" customHeight="1">
      <c r="A1465" s="3" t="s">
        <v>701</v>
      </c>
      <c r="B1465" s="103" t="s">
        <v>3839</v>
      </c>
      <c r="C1465" s="214">
        <v>4058075279308</v>
      </c>
      <c r="D1465" s="214"/>
      <c r="E1465" s="214"/>
      <c r="F1465" s="216"/>
      <c r="G1465" s="66" t="str">
        <f>HYPERLINK("https://ledvance.com/pt/product-datasheet/8395/115497","Ficha de Produto")</f>
        <v>Ficha de Produto</v>
      </c>
      <c r="H1465" s="34">
        <v>50</v>
      </c>
      <c r="I1465" s="217" t="s">
        <v>1201</v>
      </c>
      <c r="J1465" s="217" t="s">
        <v>1201</v>
      </c>
      <c r="K1465" s="217" t="s">
        <v>1201</v>
      </c>
      <c r="L1465" s="34" t="s">
        <v>800</v>
      </c>
      <c r="M1465" s="30">
        <v>10.3</v>
      </c>
      <c r="N1465" s="283" t="s">
        <v>721</v>
      </c>
    </row>
    <row r="1466" spans="1:14" s="32" customFormat="1" ht="14.25" customHeight="1">
      <c r="A1466" s="3" t="s">
        <v>701</v>
      </c>
      <c r="B1466" s="103" t="s">
        <v>3840</v>
      </c>
      <c r="C1466" s="214">
        <v>4058075401808</v>
      </c>
      <c r="D1466" s="214"/>
      <c r="E1466" s="214"/>
      <c r="F1466" s="216"/>
      <c r="G1466" s="66" t="str">
        <f>HYPERLINK("https://ledvance.com/pt/product-datasheet/8395/105599","Ficha de Produto")</f>
        <v>Ficha de Produto</v>
      </c>
      <c r="H1466" s="34">
        <v>25</v>
      </c>
      <c r="I1466" s="217" t="s">
        <v>1201</v>
      </c>
      <c r="J1466" s="217" t="s">
        <v>1201</v>
      </c>
      <c r="K1466" s="217" t="s">
        <v>1201</v>
      </c>
      <c r="L1466" s="34" t="s">
        <v>800</v>
      </c>
      <c r="M1466" s="30">
        <v>21.1</v>
      </c>
      <c r="N1466" s="283" t="s">
        <v>721</v>
      </c>
    </row>
    <row r="1467" spans="1:14" s="32" customFormat="1" ht="14.25" customHeight="1">
      <c r="A1467" s="3" t="s">
        <v>701</v>
      </c>
      <c r="B1467" s="103" t="s">
        <v>3841</v>
      </c>
      <c r="C1467" s="214">
        <v>4058075276550</v>
      </c>
      <c r="D1467" s="214"/>
      <c r="E1467" s="214"/>
      <c r="F1467" s="216"/>
      <c r="G1467" s="66" t="str">
        <f>HYPERLINK("https://ledvance.com/pt/product-datasheet/8395/115505","Ficha de Produto")</f>
        <v>Ficha de Produto</v>
      </c>
      <c r="H1467" s="34">
        <v>50</v>
      </c>
      <c r="I1467" s="217" t="s">
        <v>1201</v>
      </c>
      <c r="J1467" s="217" t="s">
        <v>1201</v>
      </c>
      <c r="K1467" s="217" t="s">
        <v>1201</v>
      </c>
      <c r="L1467" s="34" t="s">
        <v>800</v>
      </c>
      <c r="M1467" s="30">
        <v>2.1</v>
      </c>
      <c r="N1467" s="283" t="s">
        <v>721</v>
      </c>
    </row>
    <row r="1468" spans="1:14" s="32" customFormat="1" ht="14.25" customHeight="1">
      <c r="A1468" s="3" t="s">
        <v>701</v>
      </c>
      <c r="B1468" s="103" t="s">
        <v>3842</v>
      </c>
      <c r="C1468" s="214">
        <v>4058075276581</v>
      </c>
      <c r="D1468" s="214"/>
      <c r="E1468" s="214"/>
      <c r="F1468" s="216"/>
      <c r="G1468" s="66" t="str">
        <f>HYPERLINK("https://ledvance.com/pt/product-datasheet/8395/115509","Ficha de Produto")</f>
        <v>Ficha de Produto</v>
      </c>
      <c r="H1468" s="34">
        <v>50</v>
      </c>
      <c r="I1468" s="217" t="s">
        <v>1201</v>
      </c>
      <c r="J1468" s="217" t="s">
        <v>1201</v>
      </c>
      <c r="K1468" s="217" t="s">
        <v>1201</v>
      </c>
      <c r="L1468" s="34" t="s">
        <v>800</v>
      </c>
      <c r="M1468" s="30">
        <v>2.1</v>
      </c>
      <c r="N1468" s="283" t="s">
        <v>721</v>
      </c>
    </row>
    <row r="1469" spans="1:14" s="32" customFormat="1" ht="14.25" customHeight="1">
      <c r="A1469" s="3" t="s">
        <v>701</v>
      </c>
      <c r="B1469" s="103" t="s">
        <v>3843</v>
      </c>
      <c r="C1469" s="214">
        <v>4058075277038</v>
      </c>
      <c r="D1469" s="214"/>
      <c r="E1469" s="214"/>
      <c r="F1469" s="216"/>
      <c r="G1469" s="66" t="str">
        <f>HYPERLINK("https://ledvance.com/pt/product-datasheet/8395/116891","Ficha de Produto")</f>
        <v>Ficha de Produto</v>
      </c>
      <c r="H1469" s="34">
        <v>50</v>
      </c>
      <c r="I1469" s="217" t="s">
        <v>1201</v>
      </c>
      <c r="J1469" s="217" t="s">
        <v>1201</v>
      </c>
      <c r="K1469" s="217" t="s">
        <v>1201</v>
      </c>
      <c r="L1469" s="34" t="s">
        <v>800</v>
      </c>
      <c r="M1469" s="30">
        <v>2.1</v>
      </c>
      <c r="N1469" s="283" t="s">
        <v>721</v>
      </c>
    </row>
    <row r="1470" spans="1:14" s="32" customFormat="1" ht="14.25" customHeight="1">
      <c r="A1470" s="8" t="s">
        <v>702</v>
      </c>
      <c r="B1470" s="276" t="s">
        <v>703</v>
      </c>
      <c r="C1470" s="7"/>
      <c r="D1470" s="7"/>
      <c r="E1470" s="7"/>
      <c r="F1470" s="7"/>
      <c r="G1470" s="68"/>
      <c r="H1470" s="7"/>
      <c r="I1470" s="7"/>
      <c r="J1470" s="7"/>
      <c r="K1470" s="7"/>
      <c r="L1470" s="7"/>
      <c r="M1470" s="7"/>
      <c r="N1470" s="284"/>
    </row>
    <row r="1471" spans="1:14" s="32" customFormat="1" ht="14.25" customHeight="1">
      <c r="A1471" s="8" t="s">
        <v>702</v>
      </c>
      <c r="B1471" s="276" t="s">
        <v>704</v>
      </c>
      <c r="C1471" s="7"/>
      <c r="D1471" s="7"/>
      <c r="E1471" s="7"/>
      <c r="F1471" s="7"/>
      <c r="G1471" s="68"/>
      <c r="H1471" s="7"/>
      <c r="I1471" s="7"/>
      <c r="J1471" s="7"/>
      <c r="K1471" s="7"/>
      <c r="L1471" s="7"/>
      <c r="M1471" s="7"/>
      <c r="N1471" s="284"/>
    </row>
    <row r="1472" spans="1:14" s="32" customFormat="1" ht="14.25" customHeight="1">
      <c r="A1472" s="3" t="s">
        <v>702</v>
      </c>
      <c r="B1472" s="103" t="s">
        <v>3844</v>
      </c>
      <c r="C1472" s="214">
        <v>4058075421820</v>
      </c>
      <c r="D1472" s="214"/>
      <c r="E1472" s="214"/>
      <c r="F1472" s="216"/>
      <c r="G1472" s="66" t="str">
        <f>HYPERLINK("https://ledvance.com/pt/product-datasheet/7658/109071","Ficha de Produto")</f>
        <v>Ficha de Produto</v>
      </c>
      <c r="H1472" s="34">
        <v>10</v>
      </c>
      <c r="I1472" s="217" t="s">
        <v>1201</v>
      </c>
      <c r="J1472" s="34" t="s">
        <v>6120</v>
      </c>
      <c r="K1472" s="34" t="s">
        <v>788</v>
      </c>
      <c r="L1472" s="34" t="s">
        <v>765</v>
      </c>
      <c r="M1472" s="30">
        <v>68.8</v>
      </c>
      <c r="N1472" s="283" t="s">
        <v>721</v>
      </c>
    </row>
    <row r="1473" spans="1:14" s="32" customFormat="1" ht="14.25" customHeight="1">
      <c r="A1473" s="3" t="s">
        <v>702</v>
      </c>
      <c r="B1473" s="103" t="s">
        <v>3845</v>
      </c>
      <c r="C1473" s="214">
        <v>4058075421844</v>
      </c>
      <c r="D1473" s="214"/>
      <c r="E1473" s="214"/>
      <c r="F1473" s="216"/>
      <c r="G1473" s="66" t="str">
        <f>HYPERLINK("https://ledvance.com/pt/product-datasheet/7658/109077","Ficha de Produto")</f>
        <v>Ficha de Produto</v>
      </c>
      <c r="H1473" s="34">
        <v>10</v>
      </c>
      <c r="I1473" s="217" t="s">
        <v>1201</v>
      </c>
      <c r="J1473" s="34" t="s">
        <v>6197</v>
      </c>
      <c r="K1473" s="34" t="s">
        <v>788</v>
      </c>
      <c r="L1473" s="34" t="s">
        <v>765</v>
      </c>
      <c r="M1473" s="30">
        <v>78.099999999999994</v>
      </c>
      <c r="N1473" s="283" t="s">
        <v>721</v>
      </c>
    </row>
    <row r="1474" spans="1:14" s="32" customFormat="1" ht="14.25" customHeight="1">
      <c r="A1474" s="3" t="s">
        <v>702</v>
      </c>
      <c r="B1474" s="103" t="s">
        <v>3846</v>
      </c>
      <c r="C1474" s="214">
        <v>4058075421868</v>
      </c>
      <c r="D1474" s="214"/>
      <c r="E1474" s="214"/>
      <c r="F1474" s="216"/>
      <c r="G1474" s="66" t="str">
        <f>HYPERLINK("https://ledvance.com/pt/product-datasheet/7658/109083","Ficha de Produto")</f>
        <v>Ficha de Produto</v>
      </c>
      <c r="H1474" s="34">
        <v>10</v>
      </c>
      <c r="I1474" s="217" t="s">
        <v>1201</v>
      </c>
      <c r="J1474" s="34" t="s">
        <v>6210</v>
      </c>
      <c r="K1474" s="34" t="s">
        <v>788</v>
      </c>
      <c r="L1474" s="34" t="s">
        <v>765</v>
      </c>
      <c r="M1474" s="30">
        <v>141.1</v>
      </c>
      <c r="N1474" s="283" t="s">
        <v>721</v>
      </c>
    </row>
    <row r="1475" spans="1:14" s="32" customFormat="1" ht="14.25" customHeight="1">
      <c r="A1475" s="8" t="s">
        <v>702</v>
      </c>
      <c r="B1475" s="276" t="s">
        <v>705</v>
      </c>
      <c r="C1475" s="7"/>
      <c r="D1475" s="7"/>
      <c r="E1475" s="7"/>
      <c r="F1475" s="7"/>
      <c r="G1475" s="68"/>
      <c r="H1475" s="7"/>
      <c r="I1475" s="7"/>
      <c r="J1475" s="7"/>
      <c r="K1475" s="7"/>
      <c r="L1475" s="7"/>
      <c r="M1475" s="7"/>
      <c r="N1475" s="284"/>
    </row>
    <row r="1476" spans="1:14" s="32" customFormat="1" ht="14.25" customHeight="1">
      <c r="A1476" s="3" t="s">
        <v>702</v>
      </c>
      <c r="B1476" s="103" t="s">
        <v>3847</v>
      </c>
      <c r="C1476" s="214">
        <v>4058075437784</v>
      </c>
      <c r="D1476" s="214"/>
      <c r="E1476" s="214"/>
      <c r="F1476" s="216"/>
      <c r="G1476" s="66" t="str">
        <f>HYPERLINK("https://ledvance.com/pt/product-datasheet/7675/95579","Ficha de Produto")</f>
        <v>Ficha de Produto</v>
      </c>
      <c r="H1476" s="34">
        <v>10</v>
      </c>
      <c r="I1476" s="217" t="s">
        <v>1201</v>
      </c>
      <c r="J1476" s="34" t="s">
        <v>6119</v>
      </c>
      <c r="K1476" s="34" t="s">
        <v>788</v>
      </c>
      <c r="L1476" s="34" t="s">
        <v>765</v>
      </c>
      <c r="M1476" s="30">
        <v>27.6</v>
      </c>
      <c r="N1476" s="283" t="s">
        <v>721</v>
      </c>
    </row>
    <row r="1477" spans="1:14" s="32" customFormat="1" ht="14.25" customHeight="1">
      <c r="A1477" s="3" t="s">
        <v>702</v>
      </c>
      <c r="B1477" s="103" t="s">
        <v>3848</v>
      </c>
      <c r="C1477" s="214">
        <v>4058075437807</v>
      </c>
      <c r="D1477" s="214"/>
      <c r="E1477" s="214"/>
      <c r="F1477" s="216"/>
      <c r="G1477" s="66" t="str">
        <f>HYPERLINK("https://ledvance.com/pt/product-datasheet/7675/95582","Ficha de Produto")</f>
        <v>Ficha de Produto</v>
      </c>
      <c r="H1477" s="34">
        <v>10</v>
      </c>
      <c r="I1477" s="217" t="s">
        <v>1201</v>
      </c>
      <c r="J1477" s="34" t="s">
        <v>6169</v>
      </c>
      <c r="K1477" s="34" t="s">
        <v>788</v>
      </c>
      <c r="L1477" s="34" t="s">
        <v>765</v>
      </c>
      <c r="M1477" s="30">
        <v>33.1</v>
      </c>
      <c r="N1477" s="283" t="s">
        <v>721</v>
      </c>
    </row>
    <row r="1478" spans="1:14" s="32" customFormat="1" ht="14.25" customHeight="1">
      <c r="A1478" s="3" t="s">
        <v>702</v>
      </c>
      <c r="B1478" s="103" t="s">
        <v>3849</v>
      </c>
      <c r="C1478" s="214">
        <v>4058075437821</v>
      </c>
      <c r="D1478" s="214"/>
      <c r="E1478" s="214"/>
      <c r="F1478" s="216"/>
      <c r="G1478" s="66" t="str">
        <f>HYPERLINK("https://ledvance.com/pt/product-datasheet/7675/95585","Ficha de Produto")</f>
        <v>Ficha de Produto</v>
      </c>
      <c r="H1478" s="34">
        <v>10</v>
      </c>
      <c r="I1478" s="217" t="s">
        <v>1201</v>
      </c>
      <c r="J1478" s="34" t="s">
        <v>6209</v>
      </c>
      <c r="K1478" s="34" t="s">
        <v>788</v>
      </c>
      <c r="L1478" s="34" t="s">
        <v>765</v>
      </c>
      <c r="M1478" s="30">
        <v>42.2</v>
      </c>
      <c r="N1478" s="283" t="s">
        <v>721</v>
      </c>
    </row>
    <row r="1479" spans="1:14" s="32" customFormat="1" ht="14.25" customHeight="1">
      <c r="A1479" s="3" t="s">
        <v>702</v>
      </c>
      <c r="B1479" s="103" t="s">
        <v>3850</v>
      </c>
      <c r="C1479" s="214">
        <v>4058075437845</v>
      </c>
      <c r="D1479" s="214"/>
      <c r="E1479" s="214"/>
      <c r="F1479" s="216"/>
      <c r="G1479" s="66" t="str">
        <f>HYPERLINK("https://ledvance.com/pt/product-datasheet/7675/95588","Ficha de Produto")</f>
        <v>Ficha de Produto</v>
      </c>
      <c r="H1479" s="34">
        <v>10</v>
      </c>
      <c r="I1479" s="217" t="s">
        <v>1201</v>
      </c>
      <c r="J1479" s="34" t="s">
        <v>6211</v>
      </c>
      <c r="K1479" s="34" t="s">
        <v>788</v>
      </c>
      <c r="L1479" s="34" t="s">
        <v>765</v>
      </c>
      <c r="M1479" s="30">
        <v>68.900000000000006</v>
      </c>
      <c r="N1479" s="283" t="s">
        <v>721</v>
      </c>
    </row>
    <row r="1480" spans="1:14" s="32" customFormat="1" ht="14.25" customHeight="1">
      <c r="A1480" s="8" t="s">
        <v>702</v>
      </c>
      <c r="B1480" s="276" t="s">
        <v>706</v>
      </c>
      <c r="C1480" s="7"/>
      <c r="D1480" s="7"/>
      <c r="E1480" s="7"/>
      <c r="F1480" s="7"/>
      <c r="G1480" s="68"/>
      <c r="H1480" s="7"/>
      <c r="I1480" s="7"/>
      <c r="J1480" s="7"/>
      <c r="K1480" s="7"/>
      <c r="L1480" s="7"/>
      <c r="M1480" s="7"/>
      <c r="N1480" s="284"/>
    </row>
    <row r="1481" spans="1:14" s="32" customFormat="1" ht="14.25" customHeight="1">
      <c r="A1481" s="3" t="s">
        <v>702</v>
      </c>
      <c r="B1481" s="103" t="s">
        <v>3851</v>
      </c>
      <c r="C1481" s="214">
        <v>4058075239951</v>
      </c>
      <c r="D1481" s="214"/>
      <c r="E1481" s="214"/>
      <c r="F1481" s="34"/>
      <c r="G1481" s="66" t="str">
        <f>HYPERLINK("https://ledvance.com/pt/product-datasheet/7713/113893","Ficha de Produto")</f>
        <v>Ficha de Produto</v>
      </c>
      <c r="H1481" s="34">
        <v>10</v>
      </c>
      <c r="I1481" s="217" t="s">
        <v>1201</v>
      </c>
      <c r="J1481" s="34" t="s">
        <v>6116</v>
      </c>
      <c r="K1481" s="34" t="s">
        <v>876</v>
      </c>
      <c r="L1481" s="34" t="s">
        <v>765</v>
      </c>
      <c r="M1481" s="30">
        <v>47.5</v>
      </c>
      <c r="N1481" s="283" t="s">
        <v>721</v>
      </c>
    </row>
    <row r="1482" spans="1:14" s="32" customFormat="1" ht="14.25" customHeight="1">
      <c r="A1482" s="3" t="s">
        <v>702</v>
      </c>
      <c r="B1482" s="103" t="s">
        <v>3852</v>
      </c>
      <c r="C1482" s="214">
        <v>4058075379176</v>
      </c>
      <c r="D1482" s="214"/>
      <c r="E1482" s="214"/>
      <c r="F1482" s="34"/>
      <c r="G1482" s="66" t="str">
        <f>HYPERLINK("https://ledvance.com/pt/product-datasheet/7713/113899","Ficha de Produto")</f>
        <v>Ficha de Produto</v>
      </c>
      <c r="H1482" s="34">
        <v>10</v>
      </c>
      <c r="I1482" s="217" t="s">
        <v>1201</v>
      </c>
      <c r="J1482" s="34" t="s">
        <v>6157</v>
      </c>
      <c r="K1482" s="34" t="s">
        <v>876</v>
      </c>
      <c r="L1482" s="34" t="s">
        <v>765</v>
      </c>
      <c r="M1482" s="30">
        <v>52.5</v>
      </c>
      <c r="N1482" s="283" t="s">
        <v>721</v>
      </c>
    </row>
    <row r="1483" spans="1:14" s="32" customFormat="1" ht="14.25" customHeight="1">
      <c r="A1483" s="3" t="s">
        <v>702</v>
      </c>
      <c r="B1483" s="103" t="s">
        <v>3853</v>
      </c>
      <c r="C1483" s="214">
        <v>4058075379190</v>
      </c>
      <c r="D1483" s="214"/>
      <c r="E1483" s="214"/>
      <c r="F1483" s="216"/>
      <c r="G1483" s="66" t="str">
        <f>HYPERLINK("https://ledvance.com/pt/product-datasheet/7713/33069","Ficha de Produto")</f>
        <v>Ficha de Produto</v>
      </c>
      <c r="H1483" s="34">
        <v>10</v>
      </c>
      <c r="I1483" s="217" t="s">
        <v>1201</v>
      </c>
      <c r="J1483" s="34" t="s">
        <v>6169</v>
      </c>
      <c r="K1483" s="34" t="s">
        <v>876</v>
      </c>
      <c r="L1483" s="34" t="s">
        <v>765</v>
      </c>
      <c r="M1483" s="30">
        <v>62.5</v>
      </c>
      <c r="N1483" s="283" t="s">
        <v>721</v>
      </c>
    </row>
    <row r="1484" spans="1:14" s="32" customFormat="1" ht="14.25" customHeight="1">
      <c r="A1484" s="3" t="s">
        <v>702</v>
      </c>
      <c r="B1484" s="103" t="s">
        <v>3854</v>
      </c>
      <c r="C1484" s="214">
        <v>4058075240070</v>
      </c>
      <c r="D1484" s="214"/>
      <c r="E1484" s="214"/>
      <c r="F1484" s="216"/>
      <c r="G1484" s="66" t="str">
        <f>HYPERLINK("https://ledvance.com/pt/product-datasheet/7713/113905","Ficha de Produto")</f>
        <v>Ficha de Produto</v>
      </c>
      <c r="H1484" s="34">
        <v>10</v>
      </c>
      <c r="I1484" s="217" t="s">
        <v>1201</v>
      </c>
      <c r="J1484" s="34" t="s">
        <v>6209</v>
      </c>
      <c r="K1484" s="34" t="s">
        <v>876</v>
      </c>
      <c r="L1484" s="34" t="s">
        <v>765</v>
      </c>
      <c r="M1484" s="30">
        <v>72.5</v>
      </c>
      <c r="N1484" s="283" t="s">
        <v>721</v>
      </c>
    </row>
    <row r="1485" spans="1:14" s="32" customFormat="1" ht="14.25" customHeight="1">
      <c r="A1485" s="3" t="s">
        <v>702</v>
      </c>
      <c r="B1485" s="103" t="s">
        <v>3855</v>
      </c>
      <c r="C1485" s="214">
        <v>4058075240117</v>
      </c>
      <c r="D1485" s="214"/>
      <c r="E1485" s="214"/>
      <c r="F1485" s="216"/>
      <c r="G1485" s="66" t="str">
        <f>HYPERLINK("https://ledvance.com/pt/product-datasheet/7713/113908","Ficha de Produto")</f>
        <v>Ficha de Produto</v>
      </c>
      <c r="H1485" s="34">
        <v>10</v>
      </c>
      <c r="I1485" s="217" t="s">
        <v>1201</v>
      </c>
      <c r="J1485" s="34" t="s">
        <v>6210</v>
      </c>
      <c r="K1485" s="34" t="s">
        <v>876</v>
      </c>
      <c r="L1485" s="34" t="s">
        <v>765</v>
      </c>
      <c r="M1485" s="30">
        <v>80</v>
      </c>
      <c r="N1485" s="283" t="s">
        <v>721</v>
      </c>
    </row>
    <row r="1486" spans="1:14" s="32" customFormat="1" ht="14.25" customHeight="1">
      <c r="A1486" s="3" t="s">
        <v>702</v>
      </c>
      <c r="B1486" s="103" t="s">
        <v>3856</v>
      </c>
      <c r="C1486" s="214">
        <v>4058075240155</v>
      </c>
      <c r="D1486" s="214"/>
      <c r="E1486" s="214"/>
      <c r="F1486" s="216"/>
      <c r="G1486" s="66" t="str">
        <f>HYPERLINK("https://ledvance.com/pt/product-datasheet/7713/113911","Ficha de Produto")</f>
        <v>Ficha de Produto</v>
      </c>
      <c r="H1486" s="34">
        <v>10</v>
      </c>
      <c r="I1486" s="217" t="s">
        <v>1201</v>
      </c>
      <c r="J1486" s="34" t="s">
        <v>6288</v>
      </c>
      <c r="K1486" s="34" t="s">
        <v>876</v>
      </c>
      <c r="L1486" s="34" t="s">
        <v>765</v>
      </c>
      <c r="M1486" s="30">
        <v>135</v>
      </c>
      <c r="N1486" s="283" t="s">
        <v>721</v>
      </c>
    </row>
    <row r="1487" spans="1:14" s="32" customFormat="1" ht="14.25" customHeight="1">
      <c r="A1487" s="8" t="s">
        <v>702</v>
      </c>
      <c r="B1487" s="276" t="s">
        <v>707</v>
      </c>
      <c r="C1487" s="7"/>
      <c r="D1487" s="7"/>
      <c r="E1487" s="7"/>
      <c r="F1487" s="7"/>
      <c r="G1487" s="68"/>
      <c r="H1487" s="7"/>
      <c r="I1487" s="7"/>
      <c r="J1487" s="7"/>
      <c r="K1487" s="7"/>
      <c r="L1487" s="7"/>
      <c r="M1487" s="7"/>
      <c r="N1487" s="284"/>
    </row>
    <row r="1488" spans="1:14" s="32" customFormat="1" ht="14.25" customHeight="1">
      <c r="A1488" s="3" t="s">
        <v>702</v>
      </c>
      <c r="B1488" s="103" t="s">
        <v>3857</v>
      </c>
      <c r="C1488" s="214">
        <v>4058075239890</v>
      </c>
      <c r="D1488" s="214"/>
      <c r="E1488" s="214"/>
      <c r="F1488" s="216"/>
      <c r="G1488" s="66" t="str">
        <f>HYPERLINK("https://ledvance.com/pt/product-datasheet/7708/113860","Ficha de Produto")</f>
        <v>Ficha de Produto</v>
      </c>
      <c r="H1488" s="34">
        <v>10</v>
      </c>
      <c r="I1488" s="217" t="s">
        <v>1201</v>
      </c>
      <c r="J1488" s="34" t="s">
        <v>6119</v>
      </c>
      <c r="K1488" s="34" t="s">
        <v>876</v>
      </c>
      <c r="L1488" s="34" t="s">
        <v>765</v>
      </c>
      <c r="M1488" s="30">
        <v>29.7</v>
      </c>
      <c r="N1488" s="283" t="s">
        <v>721</v>
      </c>
    </row>
    <row r="1489" spans="1:14" s="32" customFormat="1" ht="14.25" customHeight="1">
      <c r="A1489" s="3" t="s">
        <v>702</v>
      </c>
      <c r="B1489" s="103" t="s">
        <v>3858</v>
      </c>
      <c r="C1489" s="214">
        <v>4058075239913</v>
      </c>
      <c r="D1489" s="214"/>
      <c r="E1489" s="214"/>
      <c r="F1489" s="216"/>
      <c r="G1489" s="66" t="str">
        <f>HYPERLINK("https://ledvance.com/pt/product-datasheet/7708/113863","Ficha de Produto")</f>
        <v>Ficha de Produto</v>
      </c>
      <c r="H1489" s="34">
        <v>10</v>
      </c>
      <c r="I1489" s="217" t="s">
        <v>1201</v>
      </c>
      <c r="J1489" s="34" t="s">
        <v>6169</v>
      </c>
      <c r="K1489" s="34" t="s">
        <v>876</v>
      </c>
      <c r="L1489" s="34" t="s">
        <v>765</v>
      </c>
      <c r="M1489" s="30">
        <v>43.1</v>
      </c>
      <c r="N1489" s="283" t="s">
        <v>721</v>
      </c>
    </row>
    <row r="1490" spans="1:14" s="32" customFormat="1" ht="14.25" customHeight="1">
      <c r="A1490" s="3" t="s">
        <v>702</v>
      </c>
      <c r="B1490" s="103" t="s">
        <v>3859</v>
      </c>
      <c r="C1490" s="214">
        <v>4058075239937</v>
      </c>
      <c r="D1490" s="214"/>
      <c r="E1490" s="214"/>
      <c r="F1490" s="216"/>
      <c r="G1490" s="66" t="str">
        <f>HYPERLINK("https://ledvance.com/pt/product-datasheet/7708/113866","Ficha de Produto")</f>
        <v>Ficha de Produto</v>
      </c>
      <c r="H1490" s="34">
        <v>10</v>
      </c>
      <c r="I1490" s="217" t="s">
        <v>1201</v>
      </c>
      <c r="J1490" s="34" t="s">
        <v>6209</v>
      </c>
      <c r="K1490" s="34" t="s">
        <v>876</v>
      </c>
      <c r="L1490" s="34" t="s">
        <v>765</v>
      </c>
      <c r="M1490" s="30">
        <v>61.9</v>
      </c>
      <c r="N1490" s="283" t="s">
        <v>721</v>
      </c>
    </row>
    <row r="1491" spans="1:14" s="32" customFormat="1" ht="14.25" customHeight="1">
      <c r="A1491" s="3" t="s">
        <v>702</v>
      </c>
      <c r="B1491" s="103" t="s">
        <v>3860</v>
      </c>
      <c r="C1491" s="214">
        <v>4058075239975</v>
      </c>
      <c r="D1491" s="214"/>
      <c r="E1491" s="214"/>
      <c r="F1491" s="216"/>
      <c r="G1491" s="66" t="str">
        <f>HYPERLINK("https://ledvance.com/pt/product-datasheet/7708/113869","Ficha de Produto")</f>
        <v>Ficha de Produto</v>
      </c>
      <c r="H1491" s="34">
        <v>10</v>
      </c>
      <c r="I1491" s="217" t="s">
        <v>1201</v>
      </c>
      <c r="J1491" s="34" t="s">
        <v>6210</v>
      </c>
      <c r="K1491" s="34" t="s">
        <v>876</v>
      </c>
      <c r="L1491" s="34" t="s">
        <v>765</v>
      </c>
      <c r="M1491" s="30">
        <v>67</v>
      </c>
      <c r="N1491" s="283" t="s">
        <v>721</v>
      </c>
    </row>
    <row r="1492" spans="1:14" s="32" customFormat="1" ht="14.25" customHeight="1">
      <c r="A1492" s="3" t="s">
        <v>702</v>
      </c>
      <c r="B1492" s="103" t="s">
        <v>3861</v>
      </c>
      <c r="C1492" s="214">
        <v>4058075240032</v>
      </c>
      <c r="D1492" s="214"/>
      <c r="E1492" s="214"/>
      <c r="F1492" s="216"/>
      <c r="G1492" s="66" t="str">
        <f>HYPERLINK("https://ledvance.com/pt/product-datasheet/7708/113872","Ficha de Produto")</f>
        <v>Ficha de Produto</v>
      </c>
      <c r="H1492" s="34">
        <v>10</v>
      </c>
      <c r="I1492" s="217" t="s">
        <v>1201</v>
      </c>
      <c r="J1492" s="34" t="s">
        <v>6288</v>
      </c>
      <c r="K1492" s="34" t="s">
        <v>876</v>
      </c>
      <c r="L1492" s="34" t="s">
        <v>765</v>
      </c>
      <c r="M1492" s="30">
        <v>112.5</v>
      </c>
      <c r="N1492" s="283" t="s">
        <v>721</v>
      </c>
    </row>
    <row r="1493" spans="1:14" s="32" customFormat="1" ht="14.25" customHeight="1">
      <c r="A1493" s="8" t="s">
        <v>702</v>
      </c>
      <c r="B1493" s="276" t="s">
        <v>708</v>
      </c>
      <c r="C1493" s="7"/>
      <c r="D1493" s="7"/>
      <c r="E1493" s="7"/>
      <c r="F1493" s="7"/>
      <c r="G1493" s="68"/>
      <c r="H1493" s="7"/>
      <c r="I1493" s="7"/>
      <c r="J1493" s="7"/>
      <c r="K1493" s="7"/>
      <c r="L1493" s="7"/>
      <c r="M1493" s="7"/>
      <c r="N1493" s="284"/>
    </row>
    <row r="1494" spans="1:14" s="32" customFormat="1" ht="14.25" customHeight="1">
      <c r="A1494" s="3" t="s">
        <v>702</v>
      </c>
      <c r="B1494" s="277" t="s">
        <v>3156</v>
      </c>
      <c r="C1494" s="214">
        <v>4058075835856</v>
      </c>
      <c r="D1494" s="240">
        <v>4058075754928</v>
      </c>
      <c r="E1494" s="241" t="s">
        <v>176</v>
      </c>
      <c r="F1494" s="214"/>
      <c r="G1494" s="66" t="str">
        <f>HYPERLINK("https://ledvance.com/pt/product-datasheet/7662/280687","Ficha de Produto")</f>
        <v>Ficha de Produto</v>
      </c>
      <c r="H1494" s="34">
        <v>10</v>
      </c>
      <c r="I1494" s="217" t="s">
        <v>1201</v>
      </c>
      <c r="J1494" s="34" t="s">
        <v>6119</v>
      </c>
      <c r="K1494" s="34" t="s">
        <v>788</v>
      </c>
      <c r="L1494" s="34" t="s">
        <v>793</v>
      </c>
      <c r="M1494" s="30">
        <v>15</v>
      </c>
      <c r="N1494" s="283" t="s">
        <v>721</v>
      </c>
    </row>
    <row r="1495" spans="1:14" s="32" customFormat="1" ht="14.25" customHeight="1">
      <c r="A1495" s="3" t="s">
        <v>702</v>
      </c>
      <c r="B1495" s="277" t="s">
        <v>3157</v>
      </c>
      <c r="C1495" s="214">
        <v>4058075835870</v>
      </c>
      <c r="D1495" s="240">
        <v>4058075754959</v>
      </c>
      <c r="E1495" s="241" t="s">
        <v>177</v>
      </c>
      <c r="F1495" s="214"/>
      <c r="G1495" s="66" t="str">
        <f>HYPERLINK("https://ledvance.com/pt/product-datasheet/7662/280690","Ficha de Produto")</f>
        <v>Ficha de Produto</v>
      </c>
      <c r="H1495" s="34">
        <v>10</v>
      </c>
      <c r="I1495" s="217" t="s">
        <v>1201</v>
      </c>
      <c r="J1495" s="34" t="s">
        <v>6169</v>
      </c>
      <c r="K1495" s="34" t="s">
        <v>788</v>
      </c>
      <c r="L1495" s="34" t="s">
        <v>793</v>
      </c>
      <c r="M1495" s="30">
        <v>20</v>
      </c>
      <c r="N1495" s="283" t="s">
        <v>721</v>
      </c>
    </row>
    <row r="1496" spans="1:14" s="32" customFormat="1" ht="14.25" customHeight="1">
      <c r="A1496" s="3" t="s">
        <v>702</v>
      </c>
      <c r="B1496" s="277" t="s">
        <v>3158</v>
      </c>
      <c r="C1496" s="214">
        <v>4058075835894</v>
      </c>
      <c r="D1496" s="240">
        <v>4058075754980</v>
      </c>
      <c r="E1496" s="241" t="s">
        <v>178</v>
      </c>
      <c r="F1496" s="214"/>
      <c r="G1496" s="66" t="str">
        <f>HYPERLINK("https://ledvance.com/pt/product-datasheet/7662/280693","Ficha de Produto")</f>
        <v>Ficha de Produto</v>
      </c>
      <c r="H1496" s="34">
        <v>10</v>
      </c>
      <c r="I1496" s="217" t="s">
        <v>1201</v>
      </c>
      <c r="J1496" s="34" t="s">
        <v>6233</v>
      </c>
      <c r="K1496" s="34" t="s">
        <v>788</v>
      </c>
      <c r="L1496" s="34" t="s">
        <v>793</v>
      </c>
      <c r="M1496" s="30">
        <v>32.5</v>
      </c>
      <c r="N1496" s="283" t="s">
        <v>721</v>
      </c>
    </row>
    <row r="1497" spans="1:14" s="32" customFormat="1" ht="14.25" customHeight="1">
      <c r="A1497" s="3" t="s">
        <v>702</v>
      </c>
      <c r="B1497" s="277" t="s">
        <v>3159</v>
      </c>
      <c r="C1497" s="214">
        <v>4058075835917</v>
      </c>
      <c r="D1497" s="240">
        <v>4058075755000</v>
      </c>
      <c r="E1497" s="241" t="s">
        <v>179</v>
      </c>
      <c r="F1497" s="214"/>
      <c r="G1497" s="66" t="str">
        <f>HYPERLINK("https://ledvance.com/pt/product-datasheet/7662/280696","Ficha de Produto")</f>
        <v>Ficha de Produto</v>
      </c>
      <c r="H1497" s="34">
        <v>10</v>
      </c>
      <c r="I1497" s="217" t="s">
        <v>1201</v>
      </c>
      <c r="J1497" s="34" t="s">
        <v>6210</v>
      </c>
      <c r="K1497" s="34" t="s">
        <v>788</v>
      </c>
      <c r="L1497" s="34" t="s">
        <v>793</v>
      </c>
      <c r="M1497" s="30">
        <v>37.5</v>
      </c>
      <c r="N1497" s="283" t="s">
        <v>721</v>
      </c>
    </row>
    <row r="1498" spans="1:14" s="32" customFormat="1" ht="14.25" customHeight="1">
      <c r="A1498" s="8" t="s">
        <v>702</v>
      </c>
      <c r="B1498" s="276" t="s">
        <v>709</v>
      </c>
      <c r="C1498" s="7"/>
      <c r="D1498" s="7"/>
      <c r="E1498" s="7"/>
      <c r="F1498" s="7"/>
      <c r="G1498" s="68" t="s">
        <v>6505</v>
      </c>
      <c r="H1498" s="7"/>
      <c r="I1498" s="7"/>
      <c r="J1498" s="7"/>
      <c r="K1498" s="7"/>
      <c r="L1498" s="7"/>
      <c r="M1498" s="7"/>
      <c r="N1498" s="284"/>
    </row>
    <row r="1499" spans="1:14" s="32" customFormat="1" ht="14.25" customHeight="1">
      <c r="A1499" s="8" t="s">
        <v>702</v>
      </c>
      <c r="B1499" s="276" t="s">
        <v>3864</v>
      </c>
      <c r="C1499" s="7"/>
      <c r="D1499" s="7"/>
      <c r="E1499" s="7"/>
      <c r="F1499" s="7"/>
      <c r="G1499" s="68"/>
      <c r="H1499" s="7"/>
      <c r="I1499" s="7"/>
      <c r="J1499" s="7"/>
      <c r="K1499" s="7"/>
      <c r="L1499" s="7"/>
      <c r="M1499" s="7"/>
      <c r="N1499" s="284"/>
    </row>
    <row r="1500" spans="1:14" s="32" customFormat="1" ht="14.25" customHeight="1">
      <c r="A1500" s="3" t="s">
        <v>702</v>
      </c>
      <c r="B1500" s="103" t="s">
        <v>1131</v>
      </c>
      <c r="C1500" s="214">
        <v>4058075779631</v>
      </c>
      <c r="D1500" s="214"/>
      <c r="E1500" s="214"/>
      <c r="F1500" s="214"/>
      <c r="G1500" s="66" t="str">
        <f>HYPERLINK("https://ledvance.com/pt/product-datasheet/209529/209477","Ficha de Produto")</f>
        <v>Ficha de Produto</v>
      </c>
      <c r="H1500" s="34">
        <v>10</v>
      </c>
      <c r="I1500" s="217" t="s">
        <v>1201</v>
      </c>
      <c r="J1500" s="34" t="s">
        <v>6289</v>
      </c>
      <c r="K1500" s="34" t="s">
        <v>788</v>
      </c>
      <c r="L1500" s="34" t="s">
        <v>765</v>
      </c>
      <c r="M1500" s="30">
        <v>37.5</v>
      </c>
      <c r="N1500" s="283" t="s">
        <v>721</v>
      </c>
    </row>
    <row r="1501" spans="1:14" s="32" customFormat="1" ht="14.25" customHeight="1">
      <c r="A1501" s="3" t="s">
        <v>702</v>
      </c>
      <c r="B1501" s="103" t="s">
        <v>1130</v>
      </c>
      <c r="C1501" s="214">
        <v>4058075779723</v>
      </c>
      <c r="D1501" s="214"/>
      <c r="E1501" s="214"/>
      <c r="F1501" s="214"/>
      <c r="G1501" s="66" t="str">
        <f>HYPERLINK("https://ledvance.com/pt/product-datasheet/209529/209482","Ficha de Produto")</f>
        <v>Ficha de Produto</v>
      </c>
      <c r="H1501" s="34">
        <v>10</v>
      </c>
      <c r="I1501" s="217" t="s">
        <v>1201</v>
      </c>
      <c r="J1501" s="34" t="s">
        <v>6290</v>
      </c>
      <c r="K1501" s="34" t="s">
        <v>788</v>
      </c>
      <c r="L1501" s="34" t="s">
        <v>765</v>
      </c>
      <c r="M1501" s="30">
        <v>45</v>
      </c>
      <c r="N1501" s="283" t="s">
        <v>721</v>
      </c>
    </row>
    <row r="1502" spans="1:14" s="32" customFormat="1" ht="14.25" customHeight="1">
      <c r="A1502" s="3" t="s">
        <v>702</v>
      </c>
      <c r="B1502" s="103" t="s">
        <v>1129</v>
      </c>
      <c r="C1502" s="214">
        <v>4058075779662</v>
      </c>
      <c r="D1502" s="214"/>
      <c r="E1502" s="214"/>
      <c r="F1502" s="214"/>
      <c r="G1502" s="66" t="str">
        <f>HYPERLINK("https://ledvance.com/pt/product-datasheet/209529/209488","Ficha de Produto")</f>
        <v>Ficha de Produto</v>
      </c>
      <c r="H1502" s="34">
        <v>10</v>
      </c>
      <c r="I1502" s="217" t="s">
        <v>1201</v>
      </c>
      <c r="J1502" s="34" t="s">
        <v>6291</v>
      </c>
      <c r="K1502" s="34" t="s">
        <v>788</v>
      </c>
      <c r="L1502" s="34" t="s">
        <v>765</v>
      </c>
      <c r="M1502" s="30">
        <v>52.5</v>
      </c>
      <c r="N1502" s="283" t="s">
        <v>721</v>
      </c>
    </row>
    <row r="1503" spans="1:14" s="32" customFormat="1" ht="14.25" customHeight="1">
      <c r="A1503" s="3" t="s">
        <v>3862</v>
      </c>
      <c r="B1503" s="103" t="s">
        <v>1128</v>
      </c>
      <c r="C1503" s="214">
        <v>4058075483125</v>
      </c>
      <c r="D1503" s="214"/>
      <c r="E1503" s="214"/>
      <c r="F1503" s="216"/>
      <c r="G1503" s="66" t="str">
        <f>HYPERLINK("https://ledvance.com/pt/product-datasheet/7688/87436","Ficha de Produto")</f>
        <v>Ficha de Produto</v>
      </c>
      <c r="H1503" s="34">
        <v>20</v>
      </c>
      <c r="I1503" s="217" t="s">
        <v>1201</v>
      </c>
      <c r="J1503" s="217" t="s">
        <v>1201</v>
      </c>
      <c r="K1503" s="217" t="s">
        <v>1201</v>
      </c>
      <c r="L1503" s="34" t="s">
        <v>800</v>
      </c>
      <c r="M1503" s="30">
        <v>4.5</v>
      </c>
      <c r="N1503" s="283" t="s">
        <v>721</v>
      </c>
    </row>
    <row r="1504" spans="1:14" s="32" customFormat="1" ht="14.25" customHeight="1">
      <c r="A1504" s="3" t="s">
        <v>3862</v>
      </c>
      <c r="B1504" s="103" t="s">
        <v>1127</v>
      </c>
      <c r="C1504" s="214">
        <v>4058075483149</v>
      </c>
      <c r="D1504" s="214"/>
      <c r="E1504" s="214"/>
      <c r="F1504" s="216"/>
      <c r="G1504" s="66" t="str">
        <f>HYPERLINK("https://ledvance.com/pt/product-datasheet/7688/87439","Ficha de Produto")</f>
        <v>Ficha de Produto</v>
      </c>
      <c r="H1504" s="34">
        <v>10</v>
      </c>
      <c r="I1504" s="217" t="s">
        <v>1201</v>
      </c>
      <c r="J1504" s="217" t="s">
        <v>1201</v>
      </c>
      <c r="K1504" s="217" t="s">
        <v>1201</v>
      </c>
      <c r="L1504" s="34" t="s">
        <v>800</v>
      </c>
      <c r="M1504" s="30">
        <v>3.9</v>
      </c>
      <c r="N1504" s="283" t="s">
        <v>721</v>
      </c>
    </row>
    <row r="1505" spans="1:14" s="32" customFormat="1" ht="14.25" customHeight="1">
      <c r="A1505" s="8" t="s">
        <v>702</v>
      </c>
      <c r="B1505" s="276" t="s">
        <v>710</v>
      </c>
      <c r="C1505" s="7"/>
      <c r="D1505" s="7"/>
      <c r="E1505" s="7"/>
      <c r="F1505" s="7"/>
      <c r="G1505" s="68"/>
      <c r="H1505" s="7"/>
      <c r="I1505" s="7"/>
      <c r="J1505" s="7"/>
      <c r="K1505" s="7"/>
      <c r="L1505" s="7"/>
      <c r="M1505" s="7"/>
      <c r="N1505" s="284"/>
    </row>
    <row r="1506" spans="1:14" s="32" customFormat="1" ht="14.25" customHeight="1">
      <c r="A1506" s="3" t="s">
        <v>702</v>
      </c>
      <c r="B1506" s="103" t="s">
        <v>169</v>
      </c>
      <c r="C1506" s="214">
        <v>4058075239814</v>
      </c>
      <c r="D1506" s="214"/>
      <c r="E1506" s="214"/>
      <c r="F1506" s="216"/>
      <c r="G1506" s="66" t="str">
        <f>HYPERLINK("https://ledvance.com/pt/product-datasheet/7643/88513","Ficha de Produto")</f>
        <v>Ficha de Produto</v>
      </c>
      <c r="H1506" s="34">
        <v>10</v>
      </c>
      <c r="I1506" s="217" t="s">
        <v>1201</v>
      </c>
      <c r="J1506" s="34" t="s">
        <v>6114</v>
      </c>
      <c r="K1506" s="34" t="s">
        <v>788</v>
      </c>
      <c r="L1506" s="34" t="s">
        <v>765</v>
      </c>
      <c r="M1506" s="30">
        <v>15</v>
      </c>
      <c r="N1506" s="283" t="s">
        <v>721</v>
      </c>
    </row>
    <row r="1507" spans="1:14" s="32" customFormat="1" ht="14.25" customHeight="1">
      <c r="A1507" s="3" t="s">
        <v>702</v>
      </c>
      <c r="B1507" s="103" t="s">
        <v>170</v>
      </c>
      <c r="C1507" s="214">
        <v>4058075239838</v>
      </c>
      <c r="D1507" s="214"/>
      <c r="E1507" s="214"/>
      <c r="F1507" s="216"/>
      <c r="G1507" s="66" t="str">
        <f>HYPERLINK("https://ledvance.com/pt/product-datasheet/7643/88517","Ficha de Produto")</f>
        <v>Ficha de Produto</v>
      </c>
      <c r="H1507" s="34">
        <v>10</v>
      </c>
      <c r="I1507" s="217" t="s">
        <v>1201</v>
      </c>
      <c r="J1507" s="34" t="s">
        <v>6115</v>
      </c>
      <c r="K1507" s="34" t="s">
        <v>788</v>
      </c>
      <c r="L1507" s="34" t="s">
        <v>765</v>
      </c>
      <c r="M1507" s="30">
        <v>17.5</v>
      </c>
      <c r="N1507" s="283" t="s">
        <v>721</v>
      </c>
    </row>
    <row r="1508" spans="1:14" s="32" customFormat="1" ht="14.25" customHeight="1">
      <c r="A1508" s="3" t="s">
        <v>702</v>
      </c>
      <c r="B1508" s="103" t="s">
        <v>171</v>
      </c>
      <c r="C1508" s="214">
        <v>4058075239852</v>
      </c>
      <c r="D1508" s="214"/>
      <c r="E1508" s="214"/>
      <c r="F1508" s="216"/>
      <c r="G1508" s="66" t="str">
        <f>HYPERLINK("https://ledvance.com/pt/product-datasheet/7643/88521","Ficha de Produto")</f>
        <v>Ficha de Produto</v>
      </c>
      <c r="H1508" s="34">
        <v>10</v>
      </c>
      <c r="I1508" s="217" t="s">
        <v>1201</v>
      </c>
      <c r="J1508" s="34" t="s">
        <v>6121</v>
      </c>
      <c r="K1508" s="34" t="s">
        <v>788</v>
      </c>
      <c r="L1508" s="34" t="s">
        <v>765</v>
      </c>
      <c r="M1508" s="30">
        <v>19</v>
      </c>
      <c r="N1508" s="283" t="s">
        <v>721</v>
      </c>
    </row>
    <row r="1509" spans="1:14" s="32" customFormat="1" ht="14.25" customHeight="1">
      <c r="A1509" s="3" t="s">
        <v>702</v>
      </c>
      <c r="B1509" s="103" t="s">
        <v>172</v>
      </c>
      <c r="C1509" s="214">
        <v>4058075239876</v>
      </c>
      <c r="D1509" s="214"/>
      <c r="E1509" s="214"/>
      <c r="F1509" s="216"/>
      <c r="G1509" s="66" t="str">
        <f>HYPERLINK("https://ledvance.com/pt/product-datasheet/7643/88525","Ficha de Produto")</f>
        <v>Ficha de Produto</v>
      </c>
      <c r="H1509" s="34">
        <v>10</v>
      </c>
      <c r="I1509" s="217" t="s">
        <v>1201</v>
      </c>
      <c r="J1509" s="34" t="s">
        <v>6122</v>
      </c>
      <c r="K1509" s="34" t="s">
        <v>788</v>
      </c>
      <c r="L1509" s="34" t="s">
        <v>765</v>
      </c>
      <c r="M1509" s="30">
        <v>25</v>
      </c>
      <c r="N1509" s="283" t="s">
        <v>721</v>
      </c>
    </row>
    <row r="1510" spans="1:14" s="32" customFormat="1" ht="14.25" customHeight="1">
      <c r="A1510" s="3" t="s">
        <v>3862</v>
      </c>
      <c r="B1510" s="103" t="s">
        <v>711</v>
      </c>
      <c r="C1510" s="214">
        <v>4058075313170</v>
      </c>
      <c r="D1510" s="214"/>
      <c r="E1510" s="214"/>
      <c r="F1510" s="216"/>
      <c r="G1510" s="66" t="str">
        <f>HYPERLINK("https://ledvance.com/pt/product-datasheet/7687/114529","Ficha de Produto")</f>
        <v>Ficha de Produto</v>
      </c>
      <c r="H1510" s="34">
        <v>10</v>
      </c>
      <c r="I1510" s="217" t="s">
        <v>1201</v>
      </c>
      <c r="J1510" s="34"/>
      <c r="K1510" s="34"/>
      <c r="L1510" s="34" t="s">
        <v>800</v>
      </c>
      <c r="M1510" s="30">
        <v>2.4</v>
      </c>
      <c r="N1510" s="283" t="s">
        <v>721</v>
      </c>
    </row>
    <row r="1511" spans="1:14" s="32" customFormat="1" ht="14.25" customHeight="1">
      <c r="A1511" s="8" t="s">
        <v>702</v>
      </c>
      <c r="B1511" s="276" t="s">
        <v>3863</v>
      </c>
      <c r="C1511" s="7"/>
      <c r="D1511" s="242"/>
      <c r="E1511" s="243"/>
      <c r="F1511" s="7"/>
      <c r="G1511" s="68"/>
      <c r="H1511" s="7"/>
      <c r="I1511" s="7"/>
      <c r="J1511" s="7"/>
      <c r="K1511" s="7"/>
      <c r="L1511" s="7"/>
      <c r="M1511" s="7"/>
      <c r="N1511" s="284"/>
    </row>
    <row r="1512" spans="1:14" s="32" customFormat="1" ht="14.25" customHeight="1">
      <c r="A1512" s="3" t="s">
        <v>702</v>
      </c>
      <c r="B1512" s="103" t="s">
        <v>1966</v>
      </c>
      <c r="C1512" s="10">
        <v>4099854077050</v>
      </c>
      <c r="D1512" s="240">
        <v>4058075239753</v>
      </c>
      <c r="E1512" s="241" t="s">
        <v>173</v>
      </c>
      <c r="F1512" s="216"/>
      <c r="G1512" s="66" t="str">
        <f>HYPERLINK("https://ledvance.com/pt/product-datasheet/7605/240903","Ficha de Produto")</f>
        <v>Ficha de Produto</v>
      </c>
      <c r="H1512" s="34">
        <v>10</v>
      </c>
      <c r="I1512" s="217" t="s">
        <v>1201</v>
      </c>
      <c r="J1512" s="34" t="s">
        <v>6113</v>
      </c>
      <c r="K1512" s="34" t="s">
        <v>788</v>
      </c>
      <c r="L1512" s="34" t="s">
        <v>765</v>
      </c>
      <c r="M1512" s="30">
        <v>13.8</v>
      </c>
      <c r="N1512" s="283" t="s">
        <v>721</v>
      </c>
    </row>
    <row r="1513" spans="1:14" s="32" customFormat="1" ht="14.25" customHeight="1">
      <c r="A1513" s="3" t="s">
        <v>702</v>
      </c>
      <c r="B1513" s="36" t="s">
        <v>1967</v>
      </c>
      <c r="C1513" s="214">
        <v>4099854077081</v>
      </c>
      <c r="D1513" s="240">
        <v>4058075239777</v>
      </c>
      <c r="E1513" s="241" t="s">
        <v>174</v>
      </c>
      <c r="F1513" s="216"/>
      <c r="G1513" s="66" t="str">
        <f>HYPERLINK("https://ledvance.com/pt/product-datasheet/7605/240907","Ficha de Produto")</f>
        <v>Ficha de Produto</v>
      </c>
      <c r="H1513" s="34">
        <v>10</v>
      </c>
      <c r="I1513" s="217" t="s">
        <v>1201</v>
      </c>
      <c r="J1513" s="34" t="s">
        <v>6119</v>
      </c>
      <c r="K1513" s="34" t="s">
        <v>788</v>
      </c>
      <c r="L1513" s="34" t="s">
        <v>765</v>
      </c>
      <c r="M1513" s="30">
        <v>15.4</v>
      </c>
      <c r="N1513" s="283" t="s">
        <v>721</v>
      </c>
    </row>
    <row r="1514" spans="1:14" s="32" customFormat="1" ht="14.25" customHeight="1">
      <c r="A1514" s="3" t="s">
        <v>702</v>
      </c>
      <c r="B1514" s="127" t="s">
        <v>3154</v>
      </c>
      <c r="C1514" s="214">
        <v>4099854077111</v>
      </c>
      <c r="D1514" s="240">
        <v>4058075239791</v>
      </c>
      <c r="E1514" s="241" t="s">
        <v>175</v>
      </c>
      <c r="F1514" s="216"/>
      <c r="G1514" s="66" t="str">
        <f>HYPERLINK("https://ledvance.com/pt/product-datasheet/7605/240911","Ficha de Produto")</f>
        <v>Ficha de Produto</v>
      </c>
      <c r="H1514" s="34">
        <v>10</v>
      </c>
      <c r="I1514" s="217" t="s">
        <v>1201</v>
      </c>
      <c r="J1514" s="34" t="s">
        <v>6138</v>
      </c>
      <c r="K1514" s="34" t="s">
        <v>788</v>
      </c>
      <c r="L1514" s="34" t="s">
        <v>765</v>
      </c>
      <c r="M1514" s="30">
        <v>16.8</v>
      </c>
      <c r="N1514" s="283" t="s">
        <v>721</v>
      </c>
    </row>
    <row r="1515" spans="1:14" s="32" customFormat="1" ht="14.25" customHeight="1">
      <c r="A1515" s="3" t="s">
        <v>3862</v>
      </c>
      <c r="B1515" s="103" t="s">
        <v>3155</v>
      </c>
      <c r="C1515" s="214">
        <v>4099854077937</v>
      </c>
      <c r="D1515" s="240">
        <v>4058075313200</v>
      </c>
      <c r="E1515" s="241" t="s">
        <v>712</v>
      </c>
      <c r="F1515" s="216"/>
      <c r="G1515" s="66" t="str">
        <f>HYPERLINK("https://ledvance.com/pt/product-datasheet/7687/241233","Ficha de Produto")</f>
        <v>Ficha de Produto</v>
      </c>
      <c r="H1515" s="34">
        <v>10</v>
      </c>
      <c r="I1515" s="217" t="s">
        <v>1201</v>
      </c>
      <c r="J1515" s="217" t="s">
        <v>1201</v>
      </c>
      <c r="K1515" s="217" t="s">
        <v>1201</v>
      </c>
      <c r="L1515" s="34" t="s">
        <v>800</v>
      </c>
      <c r="M1515" s="30">
        <v>2.6</v>
      </c>
      <c r="N1515" s="283" t="s">
        <v>721</v>
      </c>
    </row>
    <row r="1516" spans="1:14" s="32" customFormat="1" ht="14.25" customHeight="1">
      <c r="A1516" s="11"/>
      <c r="B1516" s="278" t="s">
        <v>713</v>
      </c>
      <c r="C1516" s="7"/>
      <c r="D1516" s="7"/>
      <c r="E1516" s="7"/>
      <c r="F1516" s="7"/>
      <c r="G1516" s="68"/>
      <c r="H1516" s="7"/>
      <c r="I1516" s="7"/>
      <c r="J1516" s="7"/>
      <c r="K1516" s="7"/>
      <c r="L1516" s="7"/>
      <c r="M1516" s="7"/>
      <c r="N1516" s="284"/>
    </row>
    <row r="1517" spans="1:14" s="38" customFormat="1" ht="14.25" customHeight="1">
      <c r="A1517" s="18"/>
      <c r="B1517" s="244" t="s">
        <v>1994</v>
      </c>
      <c r="C1517" s="244"/>
      <c r="D1517" s="6"/>
      <c r="E1517" s="6"/>
      <c r="F1517" s="6"/>
      <c r="G1517" s="68"/>
      <c r="H1517" s="6"/>
      <c r="I1517" s="6"/>
      <c r="J1517" s="6"/>
      <c r="K1517" s="6"/>
      <c r="L1517" s="6"/>
      <c r="M1517" s="7"/>
      <c r="N1517" s="287"/>
    </row>
    <row r="1518" spans="1:14" s="36" customFormat="1" ht="14.25" customHeight="1">
      <c r="A1518" s="3" t="s">
        <v>1722</v>
      </c>
      <c r="B1518" s="36" t="s">
        <v>3865</v>
      </c>
      <c r="C1518" s="218">
        <v>4058075823938</v>
      </c>
      <c r="D1518" s="224">
        <v>4058075187337</v>
      </c>
      <c r="E1518" s="245" t="s">
        <v>1546</v>
      </c>
      <c r="F1518" s="246"/>
      <c r="G1518" s="66" t="str">
        <f>HYPERLINK("https://ledvance.com/pt/product-datasheet/247540/242781","Ficha de Produto")</f>
        <v>Ficha de Produto</v>
      </c>
      <c r="H1518" s="34">
        <v>10</v>
      </c>
      <c r="I1518" s="34" t="s">
        <v>929</v>
      </c>
      <c r="J1518" s="34" t="s">
        <v>6292</v>
      </c>
      <c r="K1518" s="34" t="s">
        <v>788</v>
      </c>
      <c r="L1518" s="34" t="s">
        <v>765</v>
      </c>
      <c r="M1518" s="247">
        <v>50</v>
      </c>
      <c r="N1518" s="288" t="s">
        <v>722</v>
      </c>
    </row>
    <row r="1519" spans="1:14" s="36" customFormat="1" ht="14.25" customHeight="1">
      <c r="A1519" s="3" t="s">
        <v>1722</v>
      </c>
      <c r="B1519" s="36" t="s">
        <v>3866</v>
      </c>
      <c r="C1519" s="218">
        <v>4058075823952</v>
      </c>
      <c r="D1519" s="224">
        <v>4058075187351</v>
      </c>
      <c r="E1519" s="245" t="s">
        <v>1547</v>
      </c>
      <c r="F1519" s="246"/>
      <c r="G1519" s="66" t="str">
        <f>HYPERLINK("https://ledvance.com/pt/product-datasheet/247540/242784","Ficha de Produto")</f>
        <v>Ficha de Produto</v>
      </c>
      <c r="H1519" s="34">
        <v>10</v>
      </c>
      <c r="I1519" s="34" t="s">
        <v>929</v>
      </c>
      <c r="J1519" s="34" t="s">
        <v>6292</v>
      </c>
      <c r="K1519" s="34" t="s">
        <v>788</v>
      </c>
      <c r="L1519" s="34" t="s">
        <v>765</v>
      </c>
      <c r="M1519" s="247">
        <v>50</v>
      </c>
      <c r="N1519" s="288" t="s">
        <v>722</v>
      </c>
    </row>
    <row r="1520" spans="1:14" s="36" customFormat="1" ht="14.25" customHeight="1">
      <c r="A1520" s="3" t="s">
        <v>1722</v>
      </c>
      <c r="B1520" s="36" t="s">
        <v>3867</v>
      </c>
      <c r="C1520" s="218">
        <v>4058075823976</v>
      </c>
      <c r="D1520" s="224">
        <v>4058075187375</v>
      </c>
      <c r="E1520" s="245" t="s">
        <v>1548</v>
      </c>
      <c r="F1520" s="246"/>
      <c r="G1520" s="66" t="str">
        <f>HYPERLINK("https://ledvance.com/pt/product-datasheet/247540/242796","Ficha de Produto")</f>
        <v>Ficha de Produto</v>
      </c>
      <c r="H1520" s="34">
        <v>10</v>
      </c>
      <c r="I1520" s="34" t="s">
        <v>767</v>
      </c>
      <c r="J1520" s="34" t="s">
        <v>1044</v>
      </c>
      <c r="K1520" s="34" t="s">
        <v>788</v>
      </c>
      <c r="L1520" s="34" t="s">
        <v>765</v>
      </c>
      <c r="M1520" s="247">
        <v>63.300000000000004</v>
      </c>
      <c r="N1520" s="288" t="s">
        <v>722</v>
      </c>
    </row>
    <row r="1521" spans="1:14" s="36" customFormat="1" ht="14.25" customHeight="1">
      <c r="A1521" s="3" t="s">
        <v>1722</v>
      </c>
      <c r="B1521" s="36" t="s">
        <v>3868</v>
      </c>
      <c r="C1521" s="218">
        <v>4058075823990</v>
      </c>
      <c r="D1521" s="224">
        <v>4058075187399</v>
      </c>
      <c r="E1521" s="245" t="s">
        <v>1549</v>
      </c>
      <c r="F1521" s="246"/>
      <c r="G1521" s="66" t="str">
        <f>HYPERLINK("https://ledvance.com/pt/product-datasheet/247540/242787","Ficha de Produto")</f>
        <v>Ficha de Produto</v>
      </c>
      <c r="H1521" s="34">
        <v>10</v>
      </c>
      <c r="I1521" s="34" t="s">
        <v>767</v>
      </c>
      <c r="J1521" s="34" t="s">
        <v>1044</v>
      </c>
      <c r="K1521" s="34" t="s">
        <v>788</v>
      </c>
      <c r="L1521" s="34" t="s">
        <v>765</v>
      </c>
      <c r="M1521" s="247">
        <v>63.300000000000004</v>
      </c>
      <c r="N1521" s="288" t="s">
        <v>722</v>
      </c>
    </row>
    <row r="1522" spans="1:14" s="36" customFormat="1" ht="14.25" customHeight="1">
      <c r="A1522" s="3" t="s">
        <v>1722</v>
      </c>
      <c r="B1522" s="36" t="s">
        <v>3869</v>
      </c>
      <c r="C1522" s="218">
        <v>4058075824010</v>
      </c>
      <c r="D1522" s="224">
        <v>4058075187634</v>
      </c>
      <c r="E1522" s="245" t="s">
        <v>1550</v>
      </c>
      <c r="F1522" s="246"/>
      <c r="G1522" s="66" t="str">
        <f>HYPERLINK("https://ledvance.com/pt/product-datasheet/247540/242790","Ficha de Produto")</f>
        <v>Ficha de Produto</v>
      </c>
      <c r="H1522" s="34">
        <v>10</v>
      </c>
      <c r="I1522" s="34" t="s">
        <v>834</v>
      </c>
      <c r="J1522" s="34" t="s">
        <v>821</v>
      </c>
      <c r="K1522" s="34" t="s">
        <v>788</v>
      </c>
      <c r="L1522" s="34" t="s">
        <v>765</v>
      </c>
      <c r="M1522" s="247">
        <v>67.900000000000006</v>
      </c>
      <c r="N1522" s="288" t="s">
        <v>722</v>
      </c>
    </row>
    <row r="1523" spans="1:14" s="36" customFormat="1" ht="14.25" customHeight="1">
      <c r="A1523" s="3" t="s">
        <v>1722</v>
      </c>
      <c r="B1523" s="36" t="s">
        <v>3870</v>
      </c>
      <c r="C1523" s="218">
        <v>4058075824034</v>
      </c>
      <c r="D1523" s="224">
        <v>4058075187658</v>
      </c>
      <c r="E1523" s="245" t="s">
        <v>1551</v>
      </c>
      <c r="F1523" s="246"/>
      <c r="G1523" s="66" t="str">
        <f>HYPERLINK("https://ledvance.com/pt/product-datasheet/247540/242793","Ficha de Produto")</f>
        <v>Ficha de Produto</v>
      </c>
      <c r="H1523" s="34">
        <v>10</v>
      </c>
      <c r="I1523" s="34" t="s">
        <v>834</v>
      </c>
      <c r="J1523" s="34" t="s">
        <v>821</v>
      </c>
      <c r="K1523" s="34" t="s">
        <v>788</v>
      </c>
      <c r="L1523" s="34" t="s">
        <v>765</v>
      </c>
      <c r="M1523" s="247">
        <v>67.900000000000006</v>
      </c>
      <c r="N1523" s="288" t="s">
        <v>722</v>
      </c>
    </row>
    <row r="1524" spans="1:14" s="38" customFormat="1" ht="14.25" customHeight="1">
      <c r="A1524" s="8" t="s">
        <v>1722</v>
      </c>
      <c r="B1524" s="244" t="s">
        <v>1552</v>
      </c>
      <c r="C1524" s="244"/>
      <c r="D1524" s="7"/>
      <c r="E1524" s="230"/>
      <c r="F1524" s="7"/>
      <c r="G1524" s="68"/>
      <c r="H1524" s="230"/>
      <c r="I1524" s="230"/>
      <c r="J1524" s="230"/>
      <c r="K1524" s="230"/>
      <c r="L1524" s="230"/>
      <c r="M1524" s="248"/>
      <c r="N1524" s="289"/>
    </row>
    <row r="1525" spans="1:14" s="36" customFormat="1" ht="14.25" customHeight="1">
      <c r="A1525" s="3" t="s">
        <v>1722</v>
      </c>
      <c r="B1525" s="36" t="s">
        <v>3871</v>
      </c>
      <c r="C1525" s="10">
        <v>4058075232969</v>
      </c>
      <c r="D1525" s="224">
        <v>4058075232969</v>
      </c>
      <c r="E1525" s="245" t="s">
        <v>1553</v>
      </c>
      <c r="F1525" s="246"/>
      <c r="G1525" s="66" t="str">
        <f>HYPERLINK("https://ledvance.com/pt/product-datasheet/256062/90159","Ficha de Produto")</f>
        <v>Ficha de Produto</v>
      </c>
      <c r="H1525" s="217">
        <v>27</v>
      </c>
      <c r="I1525" s="217" t="s">
        <v>1201</v>
      </c>
      <c r="J1525" s="34" t="s">
        <v>952</v>
      </c>
      <c r="K1525" s="34" t="s">
        <v>6293</v>
      </c>
      <c r="L1525" s="34" t="s">
        <v>765</v>
      </c>
      <c r="M1525" s="30">
        <v>235</v>
      </c>
      <c r="N1525" s="290" t="s">
        <v>721</v>
      </c>
    </row>
    <row r="1526" spans="1:14" s="36" customFormat="1" ht="14.25" customHeight="1">
      <c r="A1526" s="3" t="s">
        <v>1722</v>
      </c>
      <c r="B1526" s="36" t="s">
        <v>3872</v>
      </c>
      <c r="C1526" s="10">
        <v>4058075232983</v>
      </c>
      <c r="D1526" s="224">
        <v>4058075232983</v>
      </c>
      <c r="E1526" s="245" t="s">
        <v>1554</v>
      </c>
      <c r="F1526" s="246"/>
      <c r="G1526" s="66" t="str">
        <f>HYPERLINK("https://ledvance.com/pt/product-datasheet/256061/90162","Ficha de Produto")</f>
        <v>Ficha de Produto</v>
      </c>
      <c r="H1526" s="217">
        <v>27</v>
      </c>
      <c r="I1526" s="217" t="s">
        <v>1201</v>
      </c>
      <c r="J1526" s="34" t="s">
        <v>952</v>
      </c>
      <c r="K1526" s="34" t="s">
        <v>6293</v>
      </c>
      <c r="L1526" s="34" t="s">
        <v>765</v>
      </c>
      <c r="M1526" s="30">
        <v>235</v>
      </c>
      <c r="N1526" s="290" t="s">
        <v>721</v>
      </c>
    </row>
    <row r="1527" spans="1:14" s="36" customFormat="1" ht="14.25" customHeight="1">
      <c r="A1527" s="3" t="s">
        <v>1722</v>
      </c>
      <c r="B1527" s="36" t="s">
        <v>1555</v>
      </c>
      <c r="C1527" s="10">
        <v>4058075374034</v>
      </c>
      <c r="D1527" s="224">
        <v>4058075374034</v>
      </c>
      <c r="E1527" s="245" t="s">
        <v>1555</v>
      </c>
      <c r="F1527" s="246"/>
      <c r="G1527" s="66" t="str">
        <f>HYPERLINK("https://ledvance.com/pt/product-datasheet/256063/116278","Ficha de Produto")</f>
        <v>Ficha de Produto</v>
      </c>
      <c r="H1527" s="217">
        <v>10</v>
      </c>
      <c r="I1527" s="217" t="s">
        <v>1201</v>
      </c>
      <c r="J1527" s="217" t="s">
        <v>1201</v>
      </c>
      <c r="K1527" s="34" t="s">
        <v>788</v>
      </c>
      <c r="L1527" s="34" t="s">
        <v>793</v>
      </c>
      <c r="M1527" s="30">
        <v>37.5</v>
      </c>
      <c r="N1527" s="290" t="s">
        <v>721</v>
      </c>
    </row>
    <row r="1528" spans="1:14" s="38" customFormat="1" ht="14.25" customHeight="1">
      <c r="A1528" s="8" t="s">
        <v>1722</v>
      </c>
      <c r="B1528" s="244" t="s">
        <v>2003</v>
      </c>
      <c r="C1528" s="244"/>
      <c r="D1528" s="7"/>
      <c r="E1528" s="230"/>
      <c r="F1528" s="7"/>
      <c r="G1528" s="68"/>
      <c r="H1528" s="230"/>
      <c r="I1528" s="230"/>
      <c r="J1528" s="230"/>
      <c r="K1528" s="230"/>
      <c r="L1528" s="230"/>
      <c r="M1528" s="248"/>
      <c r="N1528" s="289"/>
    </row>
    <row r="1529" spans="1:14" s="36" customFormat="1" ht="14.25" customHeight="1">
      <c r="A1529" s="3" t="s">
        <v>1722</v>
      </c>
      <c r="B1529" s="36" t="s">
        <v>1995</v>
      </c>
      <c r="C1529" s="10">
        <v>4099854037092</v>
      </c>
      <c r="D1529" s="224">
        <v>4058075612037</v>
      </c>
      <c r="E1529" s="245" t="s">
        <v>984</v>
      </c>
      <c r="F1529" s="246"/>
      <c r="G1529" s="66" t="str">
        <f>HYPERLINK("https://ledvance.com/pt/product-datasheet/246813/233236","Ficha de Produto")</f>
        <v>Ficha de Produto</v>
      </c>
      <c r="H1529" s="34">
        <v>10</v>
      </c>
      <c r="I1529" s="34" t="s">
        <v>1766</v>
      </c>
      <c r="J1529" s="34" t="s">
        <v>763</v>
      </c>
      <c r="K1529" s="34" t="s">
        <v>788</v>
      </c>
      <c r="L1529" s="34" t="s">
        <v>765</v>
      </c>
      <c r="M1529" s="247">
        <v>23</v>
      </c>
      <c r="N1529" s="288" t="s">
        <v>722</v>
      </c>
    </row>
    <row r="1530" spans="1:14" s="36" customFormat="1" ht="14.25" customHeight="1">
      <c r="A1530" s="3" t="s">
        <v>1722</v>
      </c>
      <c r="B1530" s="36" t="s">
        <v>1996</v>
      </c>
      <c r="C1530" s="10">
        <v>4099854037115</v>
      </c>
      <c r="D1530" s="224">
        <v>4058075612051</v>
      </c>
      <c r="E1530" s="245" t="s">
        <v>985</v>
      </c>
      <c r="F1530" s="246"/>
      <c r="G1530" s="66" t="str">
        <f>HYPERLINK("https://ledvance.com/pt/product-datasheet/246813/233239","Ficha de Produto")</f>
        <v>Ficha de Produto</v>
      </c>
      <c r="H1530" s="34">
        <v>10</v>
      </c>
      <c r="I1530" s="34" t="s">
        <v>874</v>
      </c>
      <c r="J1530" s="34" t="s">
        <v>763</v>
      </c>
      <c r="K1530" s="34" t="s">
        <v>788</v>
      </c>
      <c r="L1530" s="34" t="s">
        <v>765</v>
      </c>
      <c r="M1530" s="247">
        <v>23</v>
      </c>
      <c r="N1530" s="288" t="s">
        <v>722</v>
      </c>
    </row>
    <row r="1531" spans="1:14" s="36" customFormat="1" ht="14.25" customHeight="1">
      <c r="A1531" s="3" t="s">
        <v>1722</v>
      </c>
      <c r="B1531" s="36" t="s">
        <v>1997</v>
      </c>
      <c r="C1531" s="10">
        <v>4099854037177</v>
      </c>
      <c r="D1531" s="224">
        <v>4058075794108</v>
      </c>
      <c r="E1531" s="245" t="s">
        <v>1556</v>
      </c>
      <c r="F1531" s="246"/>
      <c r="G1531" s="66" t="str">
        <f>HYPERLINK("https://ledvance.com/pt/product-datasheet/246813/233242","Ficha de Produto")</f>
        <v>Ficha de Produto</v>
      </c>
      <c r="H1531" s="34">
        <v>10</v>
      </c>
      <c r="I1531" s="34" t="s">
        <v>874</v>
      </c>
      <c r="J1531" s="34" t="s">
        <v>763</v>
      </c>
      <c r="K1531" s="34" t="s">
        <v>788</v>
      </c>
      <c r="L1531" s="34" t="s">
        <v>765</v>
      </c>
      <c r="M1531" s="247">
        <v>23</v>
      </c>
      <c r="N1531" s="288" t="s">
        <v>722</v>
      </c>
    </row>
    <row r="1532" spans="1:14" s="36" customFormat="1" ht="14.25" customHeight="1">
      <c r="A1532" s="3" t="s">
        <v>1722</v>
      </c>
      <c r="B1532" s="36" t="s">
        <v>1998</v>
      </c>
      <c r="C1532" s="10">
        <v>4099854037191</v>
      </c>
      <c r="D1532" s="224">
        <v>4058075612075</v>
      </c>
      <c r="E1532" s="245" t="s">
        <v>986</v>
      </c>
      <c r="F1532" s="246"/>
      <c r="G1532" s="66" t="str">
        <f>HYPERLINK("https://ledvance.com/pt/product-datasheet/246813/233245","Ficha de Produto")</f>
        <v>Ficha de Produto</v>
      </c>
      <c r="H1532" s="34">
        <v>10</v>
      </c>
      <c r="I1532" s="34" t="s">
        <v>874</v>
      </c>
      <c r="J1532" s="34" t="s">
        <v>763</v>
      </c>
      <c r="K1532" s="34" t="s">
        <v>788</v>
      </c>
      <c r="L1532" s="34" t="s">
        <v>765</v>
      </c>
      <c r="M1532" s="247">
        <v>23</v>
      </c>
      <c r="N1532" s="288" t="s">
        <v>722</v>
      </c>
    </row>
    <row r="1533" spans="1:14" s="36" customFormat="1" ht="14.25" customHeight="1">
      <c r="A1533" s="3" t="s">
        <v>1722</v>
      </c>
      <c r="B1533" s="36" t="s">
        <v>1999</v>
      </c>
      <c r="C1533" s="10">
        <v>4099854037214</v>
      </c>
      <c r="D1533" s="224">
        <v>4058075612099</v>
      </c>
      <c r="E1533" s="245" t="s">
        <v>987</v>
      </c>
      <c r="F1533" s="246"/>
      <c r="G1533" s="66" t="str">
        <f>HYPERLINK("https://ledvance.com/pt/product-datasheet/246813/233248","Ficha de Produto")</f>
        <v>Ficha de Produto</v>
      </c>
      <c r="H1533" s="34">
        <v>10</v>
      </c>
      <c r="I1533" s="34" t="s">
        <v>6294</v>
      </c>
      <c r="J1533" s="34" t="s">
        <v>6295</v>
      </c>
      <c r="K1533" s="34" t="s">
        <v>788</v>
      </c>
      <c r="L1533" s="34" t="s">
        <v>765</v>
      </c>
      <c r="M1533" s="247">
        <v>28.900000000000002</v>
      </c>
      <c r="N1533" s="288" t="s">
        <v>722</v>
      </c>
    </row>
    <row r="1534" spans="1:14" s="36" customFormat="1" ht="14.25" customHeight="1">
      <c r="A1534" s="3" t="s">
        <v>1722</v>
      </c>
      <c r="B1534" s="36" t="s">
        <v>2000</v>
      </c>
      <c r="C1534" s="10">
        <v>4099854037238</v>
      </c>
      <c r="D1534" s="224">
        <v>4058075612112</v>
      </c>
      <c r="E1534" s="245" t="s">
        <v>988</v>
      </c>
      <c r="F1534" s="246"/>
      <c r="G1534" s="66" t="str">
        <f>HYPERLINK("https://ledvance.com/pt/product-datasheet/246813/233251","Ficha de Produto")</f>
        <v>Ficha de Produto</v>
      </c>
      <c r="H1534" s="34">
        <v>10</v>
      </c>
      <c r="I1534" s="34" t="s">
        <v>1031</v>
      </c>
      <c r="J1534" s="34" t="s">
        <v>6296</v>
      </c>
      <c r="K1534" s="34" t="s">
        <v>788</v>
      </c>
      <c r="L1534" s="34" t="s">
        <v>765</v>
      </c>
      <c r="M1534" s="247">
        <v>28.900000000000002</v>
      </c>
      <c r="N1534" s="288" t="s">
        <v>722</v>
      </c>
    </row>
    <row r="1535" spans="1:14" s="36" customFormat="1" ht="14.25" customHeight="1">
      <c r="A1535" s="3" t="s">
        <v>1722</v>
      </c>
      <c r="B1535" s="36" t="s">
        <v>2001</v>
      </c>
      <c r="C1535" s="10">
        <v>4099854037252</v>
      </c>
      <c r="D1535" s="224">
        <v>4058075794122</v>
      </c>
      <c r="E1535" s="245" t="s">
        <v>1557</v>
      </c>
      <c r="F1535" s="246"/>
      <c r="G1535" s="66" t="str">
        <f>HYPERLINK("https://ledvance.com/pt/product-datasheet/246813/233254","Ficha de Produto")</f>
        <v>Ficha de Produto</v>
      </c>
      <c r="H1535" s="34">
        <v>10</v>
      </c>
      <c r="I1535" s="34" t="s">
        <v>1031</v>
      </c>
      <c r="J1535" s="34" t="s">
        <v>6296</v>
      </c>
      <c r="K1535" s="34" t="s">
        <v>788</v>
      </c>
      <c r="L1535" s="34" t="s">
        <v>765</v>
      </c>
      <c r="M1535" s="247">
        <v>28.9</v>
      </c>
      <c r="N1535" s="288" t="s">
        <v>722</v>
      </c>
    </row>
    <row r="1536" spans="1:14" s="36" customFormat="1" ht="14.25" customHeight="1">
      <c r="A1536" s="3" t="s">
        <v>1722</v>
      </c>
      <c r="B1536" s="36" t="s">
        <v>2002</v>
      </c>
      <c r="C1536" s="10">
        <v>4099854037276</v>
      </c>
      <c r="D1536" s="224">
        <v>4058075612136</v>
      </c>
      <c r="E1536" s="245" t="s">
        <v>989</v>
      </c>
      <c r="F1536" s="246"/>
      <c r="G1536" s="66" t="str">
        <f>HYPERLINK("https://ledvance.com/pt/product-datasheet/246813/233257","Ficha de Produto")</f>
        <v>Ficha de Produto</v>
      </c>
      <c r="H1536" s="34">
        <v>10</v>
      </c>
      <c r="I1536" s="34" t="s">
        <v>1031</v>
      </c>
      <c r="J1536" s="34" t="s">
        <v>6296</v>
      </c>
      <c r="K1536" s="34" t="s">
        <v>788</v>
      </c>
      <c r="L1536" s="34" t="s">
        <v>765</v>
      </c>
      <c r="M1536" s="247">
        <v>28.900000000000002</v>
      </c>
      <c r="N1536" s="288" t="s">
        <v>722</v>
      </c>
    </row>
    <row r="1537" spans="1:1095" s="39" customFormat="1" ht="14.25" customHeight="1">
      <c r="A1537" s="8" t="s">
        <v>1722</v>
      </c>
      <c r="B1537" s="244" t="s">
        <v>2018</v>
      </c>
      <c r="C1537" s="244"/>
      <c r="D1537" s="7"/>
      <c r="E1537" s="230"/>
      <c r="F1537" s="7"/>
      <c r="G1537" s="68"/>
      <c r="H1537" s="230"/>
      <c r="I1537" s="230"/>
      <c r="J1537" s="230"/>
      <c r="K1537" s="230"/>
      <c r="L1537" s="230"/>
      <c r="M1537" s="248"/>
      <c r="N1537" s="291"/>
      <c r="O1537" s="38"/>
      <c r="P1537" s="38"/>
      <c r="Q1537" s="38"/>
      <c r="R1537" s="38"/>
      <c r="S1537" s="38"/>
      <c r="T1537" s="38"/>
      <c r="U1537" s="38"/>
      <c r="V1537" s="38"/>
      <c r="W1537" s="38"/>
      <c r="X1537" s="38"/>
      <c r="Y1537" s="38"/>
      <c r="Z1537" s="38"/>
      <c r="AA1537" s="38"/>
      <c r="AB1537" s="38"/>
      <c r="AC1537" s="38"/>
      <c r="AD1537" s="38"/>
      <c r="AE1537" s="38"/>
      <c r="AF1537" s="38"/>
      <c r="AG1537" s="38"/>
      <c r="AH1537" s="38"/>
      <c r="AI1537" s="38"/>
      <c r="AJ1537" s="38"/>
      <c r="AK1537" s="38"/>
      <c r="AL1537" s="38"/>
      <c r="AM1537" s="38"/>
      <c r="AN1537" s="38"/>
      <c r="AO1537" s="38"/>
      <c r="AP1537" s="38"/>
      <c r="AQ1537" s="38"/>
      <c r="AR1537" s="38"/>
      <c r="AS1537" s="38"/>
      <c r="AT1537" s="38"/>
      <c r="AU1537" s="38"/>
      <c r="AV1537" s="38"/>
      <c r="AW1537" s="38"/>
      <c r="AX1537" s="38"/>
      <c r="AY1537" s="38"/>
      <c r="AZ1537" s="38"/>
      <c r="BA1537" s="38"/>
      <c r="BB1537" s="38"/>
      <c r="BC1537" s="38"/>
      <c r="BD1537" s="38"/>
      <c r="BE1537" s="38"/>
      <c r="BF1537" s="38"/>
      <c r="BG1537" s="38"/>
      <c r="BH1537" s="38"/>
      <c r="BI1537" s="38"/>
      <c r="BJ1537" s="38"/>
      <c r="BK1537" s="38"/>
      <c r="BL1537" s="38"/>
      <c r="BM1537" s="38"/>
      <c r="BN1537" s="38"/>
      <c r="BO1537" s="38"/>
      <c r="BP1537" s="38"/>
      <c r="BQ1537" s="38"/>
      <c r="BR1537" s="38"/>
      <c r="BS1537" s="38"/>
      <c r="BT1537" s="38"/>
      <c r="BU1537" s="38"/>
      <c r="BV1537" s="38"/>
      <c r="BW1537" s="38"/>
      <c r="BX1537" s="38"/>
      <c r="BY1537" s="38"/>
      <c r="BZ1537" s="38"/>
      <c r="CA1537" s="38"/>
      <c r="CB1537" s="38"/>
      <c r="CC1537" s="38"/>
      <c r="CD1537" s="38"/>
      <c r="CE1537" s="38"/>
      <c r="CF1537" s="38"/>
      <c r="CG1537" s="38"/>
      <c r="CH1537" s="38"/>
      <c r="CI1537" s="38"/>
      <c r="CJ1537" s="38"/>
      <c r="CK1537" s="38"/>
      <c r="CL1537" s="38"/>
      <c r="CM1537" s="38"/>
      <c r="CN1537" s="38"/>
      <c r="CO1537" s="38"/>
      <c r="CP1537" s="38"/>
      <c r="CQ1537" s="38"/>
      <c r="CR1537" s="38"/>
      <c r="CS1537" s="38"/>
      <c r="CT1537" s="38"/>
      <c r="CU1537" s="38"/>
      <c r="CV1537" s="38"/>
      <c r="CW1537" s="38"/>
      <c r="CX1537" s="38"/>
      <c r="CY1537" s="38"/>
      <c r="CZ1537" s="38"/>
      <c r="DA1537" s="38"/>
      <c r="DB1537" s="38"/>
      <c r="DC1537" s="38"/>
      <c r="DD1537" s="38"/>
      <c r="DE1537" s="38"/>
      <c r="DF1537" s="38"/>
      <c r="DG1537" s="38"/>
      <c r="DH1537" s="38"/>
      <c r="DI1537" s="38"/>
      <c r="DJ1537" s="38"/>
      <c r="DK1537" s="38"/>
      <c r="DL1537" s="38"/>
      <c r="DM1537" s="38"/>
      <c r="DN1537" s="38"/>
      <c r="DO1537" s="38"/>
      <c r="DP1537" s="38"/>
      <c r="DQ1537" s="38"/>
      <c r="DR1537" s="38"/>
      <c r="DS1537" s="38"/>
      <c r="DT1537" s="38"/>
      <c r="DU1537" s="38"/>
      <c r="DV1537" s="38"/>
      <c r="DW1537" s="38"/>
      <c r="DX1537" s="38"/>
      <c r="DY1537" s="38"/>
      <c r="DZ1537" s="38"/>
      <c r="EA1537" s="38"/>
      <c r="EB1537" s="38"/>
      <c r="EC1537" s="38"/>
      <c r="ED1537" s="38"/>
      <c r="EE1537" s="38"/>
      <c r="EF1537" s="38"/>
      <c r="EG1537" s="38"/>
      <c r="EH1537" s="38"/>
      <c r="EI1537" s="38"/>
      <c r="EJ1537" s="38"/>
      <c r="EK1537" s="38"/>
      <c r="EL1537" s="38"/>
      <c r="EM1537" s="38"/>
      <c r="EN1537" s="38"/>
      <c r="EO1537" s="38"/>
      <c r="EP1537" s="38"/>
      <c r="EQ1537" s="38"/>
      <c r="ER1537" s="38"/>
      <c r="ES1537" s="38"/>
      <c r="ET1537" s="38"/>
      <c r="EU1537" s="38"/>
      <c r="EV1537" s="38"/>
      <c r="EW1537" s="38"/>
      <c r="EX1537" s="38"/>
      <c r="EY1537" s="38"/>
      <c r="EZ1537" s="38"/>
      <c r="FA1537" s="38"/>
      <c r="FB1537" s="38"/>
      <c r="FC1537" s="38"/>
      <c r="FD1537" s="38"/>
      <c r="FE1537" s="38"/>
      <c r="FF1537" s="38"/>
      <c r="FG1537" s="38"/>
      <c r="FH1537" s="38"/>
      <c r="FI1537" s="38"/>
      <c r="FJ1537" s="38"/>
      <c r="FK1537" s="38"/>
      <c r="FL1537" s="38"/>
      <c r="FM1537" s="38"/>
      <c r="FN1537" s="38"/>
      <c r="FO1537" s="38"/>
      <c r="FP1537" s="38"/>
      <c r="FQ1537" s="38"/>
      <c r="FR1537" s="38"/>
      <c r="FS1537" s="38"/>
      <c r="FT1537" s="38"/>
      <c r="FU1537" s="38"/>
      <c r="FV1537" s="38"/>
      <c r="FW1537" s="38"/>
      <c r="FX1537" s="38"/>
      <c r="FY1537" s="38"/>
      <c r="FZ1537" s="38"/>
      <c r="GA1537" s="38"/>
      <c r="GB1537" s="38"/>
      <c r="GC1537" s="38"/>
      <c r="GD1537" s="38"/>
      <c r="GE1537" s="38"/>
      <c r="GF1537" s="38"/>
      <c r="GG1537" s="38"/>
      <c r="GH1537" s="38"/>
      <c r="GI1537" s="38"/>
      <c r="GJ1537" s="38"/>
      <c r="GK1537" s="38"/>
      <c r="GL1537" s="38"/>
      <c r="GM1537" s="38"/>
      <c r="GN1537" s="38"/>
      <c r="GO1537" s="38"/>
      <c r="GP1537" s="38"/>
      <c r="GQ1537" s="38"/>
      <c r="GR1537" s="38"/>
      <c r="GS1537" s="38"/>
      <c r="GT1537" s="38"/>
      <c r="GU1537" s="38"/>
      <c r="GV1537" s="38"/>
      <c r="GW1537" s="38"/>
      <c r="GX1537" s="38"/>
      <c r="GY1537" s="38"/>
      <c r="GZ1537" s="38"/>
      <c r="HA1537" s="38"/>
      <c r="HB1537" s="38"/>
      <c r="HC1537" s="38"/>
      <c r="HD1537" s="38"/>
      <c r="HE1537" s="38"/>
      <c r="HF1537" s="38"/>
      <c r="HG1537" s="38"/>
      <c r="HH1537" s="38"/>
      <c r="HI1537" s="38"/>
      <c r="HJ1537" s="38"/>
      <c r="HK1537" s="38"/>
      <c r="HL1537" s="38"/>
      <c r="HM1537" s="38"/>
      <c r="HN1537" s="38"/>
      <c r="HO1537" s="38"/>
      <c r="HP1537" s="38"/>
      <c r="HQ1537" s="38"/>
      <c r="HR1537" s="38"/>
      <c r="HS1537" s="38"/>
      <c r="HT1537" s="38"/>
      <c r="HU1537" s="38"/>
      <c r="HV1537" s="38"/>
      <c r="HW1537" s="38"/>
      <c r="HX1537" s="38"/>
      <c r="HY1537" s="38"/>
      <c r="HZ1537" s="38"/>
      <c r="IA1537" s="38"/>
      <c r="IB1537" s="38"/>
      <c r="IC1537" s="38"/>
      <c r="ID1537" s="38"/>
      <c r="IE1537" s="38"/>
      <c r="IF1537" s="38"/>
      <c r="IG1537" s="38"/>
      <c r="IH1537" s="38"/>
      <c r="II1537" s="38"/>
      <c r="IJ1537" s="38"/>
      <c r="IK1537" s="38"/>
      <c r="IL1537" s="38"/>
      <c r="IM1537" s="38"/>
      <c r="IN1537" s="38"/>
      <c r="IO1537" s="38"/>
      <c r="IP1537" s="38"/>
      <c r="IQ1537" s="38"/>
      <c r="IR1537" s="38"/>
      <c r="IS1537" s="38"/>
      <c r="IT1537" s="38"/>
      <c r="IU1537" s="38"/>
      <c r="IV1537" s="38"/>
      <c r="IW1537" s="38"/>
      <c r="IX1537" s="38"/>
      <c r="IY1537" s="38"/>
      <c r="IZ1537" s="38"/>
      <c r="JA1537" s="38"/>
      <c r="JB1537" s="38"/>
      <c r="JC1537" s="38"/>
      <c r="JD1537" s="38"/>
      <c r="JE1537" s="38"/>
      <c r="JF1537" s="38"/>
      <c r="JG1537" s="38"/>
      <c r="JH1537" s="38"/>
      <c r="JI1537" s="38"/>
      <c r="JJ1537" s="38"/>
      <c r="JK1537" s="38"/>
      <c r="JL1537" s="38"/>
      <c r="JM1537" s="38"/>
      <c r="JN1537" s="38"/>
      <c r="JO1537" s="38"/>
      <c r="JP1537" s="38"/>
      <c r="JQ1537" s="38"/>
      <c r="JR1537" s="38"/>
      <c r="JS1537" s="38"/>
      <c r="JT1537" s="38"/>
      <c r="JU1537" s="38"/>
      <c r="JV1537" s="38"/>
      <c r="JW1537" s="38"/>
      <c r="JX1537" s="38"/>
      <c r="JY1537" s="38"/>
      <c r="JZ1537" s="38"/>
      <c r="KA1537" s="38"/>
      <c r="KB1537" s="38"/>
      <c r="KC1537" s="38"/>
      <c r="KD1537" s="38"/>
      <c r="KE1537" s="38"/>
      <c r="KF1537" s="38"/>
      <c r="KG1537" s="38"/>
      <c r="KH1537" s="38"/>
      <c r="KI1537" s="38"/>
      <c r="KJ1537" s="38"/>
      <c r="KK1537" s="38"/>
      <c r="KL1537" s="38"/>
      <c r="KM1537" s="38"/>
      <c r="KN1537" s="38"/>
      <c r="KO1537" s="38"/>
      <c r="KP1537" s="38"/>
      <c r="KQ1537" s="38"/>
      <c r="KR1537" s="38"/>
      <c r="KS1537" s="38"/>
      <c r="KT1537" s="38"/>
      <c r="KU1537" s="38"/>
      <c r="KV1537" s="38"/>
      <c r="KW1537" s="38"/>
      <c r="KX1537" s="38"/>
      <c r="KY1537" s="38"/>
      <c r="KZ1537" s="38"/>
      <c r="LA1537" s="38"/>
      <c r="LB1537" s="38"/>
      <c r="LC1537" s="38"/>
      <c r="LD1537" s="38"/>
      <c r="LE1537" s="38"/>
      <c r="LF1537" s="38"/>
      <c r="LG1537" s="38"/>
      <c r="LH1537" s="38"/>
      <c r="LI1537" s="38"/>
      <c r="LJ1537" s="38"/>
      <c r="LK1537" s="38"/>
      <c r="LL1537" s="38"/>
      <c r="LM1537" s="38"/>
      <c r="LN1537" s="38"/>
      <c r="LO1537" s="38"/>
      <c r="LP1537" s="38"/>
      <c r="LQ1537" s="38"/>
      <c r="LR1537" s="38"/>
      <c r="LS1537" s="38"/>
      <c r="LT1537" s="38"/>
      <c r="LU1537" s="38"/>
      <c r="LV1537" s="38"/>
      <c r="LW1537" s="38"/>
      <c r="LX1537" s="38"/>
      <c r="LY1537" s="38"/>
      <c r="LZ1537" s="38"/>
      <c r="MA1537" s="38"/>
      <c r="MB1537" s="38"/>
      <c r="MC1537" s="38"/>
      <c r="MD1537" s="38"/>
      <c r="ME1537" s="38"/>
      <c r="MF1537" s="38"/>
      <c r="MG1537" s="38"/>
      <c r="MH1537" s="38"/>
      <c r="MI1537" s="38"/>
      <c r="MJ1537" s="38"/>
      <c r="MK1537" s="38"/>
      <c r="ML1537" s="38"/>
      <c r="MM1537" s="38"/>
      <c r="MN1537" s="38"/>
      <c r="MO1537" s="38"/>
      <c r="MP1537" s="38"/>
      <c r="MQ1537" s="38"/>
      <c r="MR1537" s="38"/>
      <c r="MS1537" s="38"/>
      <c r="MT1537" s="38"/>
      <c r="MU1537" s="38"/>
      <c r="MV1537" s="38"/>
      <c r="MW1537" s="38"/>
      <c r="MX1537" s="38"/>
      <c r="MY1537" s="38"/>
      <c r="MZ1537" s="38"/>
      <c r="NA1537" s="38"/>
      <c r="NB1537" s="38"/>
      <c r="NC1537" s="38"/>
      <c r="ND1537" s="38"/>
      <c r="NE1537" s="38"/>
      <c r="NF1537" s="38"/>
      <c r="NG1537" s="38"/>
      <c r="NH1537" s="38"/>
      <c r="NI1537" s="38"/>
      <c r="NJ1537" s="38"/>
      <c r="NK1537" s="38"/>
      <c r="NL1537" s="38"/>
      <c r="NM1537" s="38"/>
      <c r="NN1537" s="38"/>
      <c r="NO1537" s="38"/>
      <c r="NP1537" s="38"/>
      <c r="NQ1537" s="38"/>
      <c r="NR1537" s="38"/>
      <c r="NS1537" s="38"/>
      <c r="NT1537" s="38"/>
      <c r="NU1537" s="38"/>
      <c r="NV1537" s="38"/>
      <c r="NW1537" s="38"/>
      <c r="NX1537" s="38"/>
      <c r="NY1537" s="38"/>
      <c r="NZ1537" s="38"/>
      <c r="OA1537" s="38"/>
      <c r="OB1537" s="38"/>
      <c r="OC1537" s="38"/>
      <c r="OD1537" s="38"/>
      <c r="OE1537" s="38"/>
      <c r="OF1537" s="38"/>
      <c r="OG1537" s="38"/>
      <c r="OH1537" s="38"/>
      <c r="OI1537" s="38"/>
      <c r="OJ1537" s="38"/>
      <c r="OK1537" s="38"/>
      <c r="OL1537" s="38"/>
      <c r="OM1537" s="38"/>
      <c r="ON1537" s="38"/>
      <c r="OO1537" s="38"/>
      <c r="OP1537" s="38"/>
      <c r="OQ1537" s="38"/>
      <c r="OR1537" s="38"/>
      <c r="OS1537" s="38"/>
      <c r="OT1537" s="38"/>
      <c r="OU1537" s="38"/>
      <c r="OV1537" s="38"/>
      <c r="OW1537" s="38"/>
      <c r="OX1537" s="38"/>
      <c r="OY1537" s="38"/>
      <c r="OZ1537" s="38"/>
      <c r="PA1537" s="38"/>
      <c r="PB1537" s="38"/>
      <c r="PC1537" s="38"/>
      <c r="PD1537" s="38"/>
      <c r="PE1537" s="38"/>
      <c r="PF1537" s="38"/>
      <c r="PG1537" s="38"/>
      <c r="PH1537" s="38"/>
      <c r="PI1537" s="38"/>
      <c r="PJ1537" s="38"/>
      <c r="PK1537" s="38"/>
      <c r="PL1537" s="38"/>
      <c r="PM1537" s="38"/>
      <c r="PN1537" s="38"/>
      <c r="PO1537" s="38"/>
      <c r="PP1537" s="38"/>
      <c r="PQ1537" s="38"/>
      <c r="PR1537" s="38"/>
      <c r="PS1537" s="38"/>
      <c r="PT1537" s="38"/>
      <c r="PU1537" s="38"/>
      <c r="PV1537" s="38"/>
      <c r="PW1537" s="38"/>
      <c r="PX1537" s="38"/>
      <c r="PY1537" s="38"/>
      <c r="PZ1537" s="38"/>
      <c r="QA1537" s="38"/>
      <c r="QB1537" s="38"/>
      <c r="QC1537" s="38"/>
      <c r="QD1537" s="38"/>
      <c r="QE1537" s="38"/>
      <c r="QF1537" s="38"/>
      <c r="QG1537" s="38"/>
      <c r="QH1537" s="38"/>
      <c r="QI1537" s="38"/>
      <c r="QJ1537" s="38"/>
      <c r="QK1537" s="38"/>
      <c r="QL1537" s="38"/>
      <c r="QM1537" s="38"/>
      <c r="QN1537" s="38"/>
      <c r="QO1537" s="38"/>
      <c r="QP1537" s="38"/>
      <c r="QQ1537" s="38"/>
      <c r="QR1537" s="38"/>
      <c r="QS1537" s="38"/>
      <c r="QT1537" s="38"/>
      <c r="QU1537" s="38"/>
      <c r="QV1537" s="38"/>
      <c r="QW1537" s="38"/>
      <c r="QX1537" s="38"/>
      <c r="QY1537" s="38"/>
      <c r="QZ1537" s="38"/>
      <c r="RA1537" s="38"/>
      <c r="RB1537" s="38"/>
      <c r="RC1537" s="38"/>
      <c r="RD1537" s="38"/>
      <c r="RE1537" s="38"/>
      <c r="RF1537" s="38"/>
      <c r="RG1537" s="38"/>
      <c r="RH1537" s="38"/>
      <c r="RI1537" s="38"/>
      <c r="RJ1537" s="38"/>
      <c r="RK1537" s="38"/>
      <c r="RL1537" s="38"/>
      <c r="RM1537" s="38"/>
      <c r="RN1537" s="38"/>
      <c r="RO1537" s="38"/>
      <c r="RP1537" s="38"/>
      <c r="RQ1537" s="38"/>
      <c r="RR1537" s="38"/>
      <c r="RS1537" s="38"/>
      <c r="RT1537" s="38"/>
      <c r="RU1537" s="38"/>
      <c r="RV1537" s="38"/>
      <c r="RW1537" s="38"/>
      <c r="RX1537" s="38"/>
      <c r="RY1537" s="38"/>
      <c r="RZ1537" s="38"/>
      <c r="SA1537" s="38"/>
      <c r="SB1537" s="38"/>
      <c r="SC1537" s="38"/>
      <c r="SD1537" s="38"/>
      <c r="SE1537" s="38"/>
      <c r="SF1537" s="38"/>
      <c r="SG1537" s="38"/>
      <c r="SH1537" s="38"/>
      <c r="SI1537" s="38"/>
      <c r="SJ1537" s="38"/>
      <c r="SK1537" s="38"/>
      <c r="SL1537" s="38"/>
      <c r="SM1537" s="38"/>
      <c r="SN1537" s="38"/>
      <c r="SO1537" s="38"/>
      <c r="SP1537" s="38"/>
      <c r="SQ1537" s="38"/>
      <c r="SR1537" s="38"/>
      <c r="SS1537" s="38"/>
      <c r="ST1537" s="38"/>
      <c r="SU1537" s="38"/>
      <c r="SV1537" s="38"/>
      <c r="SW1537" s="38"/>
      <c r="SX1537" s="38"/>
      <c r="SY1537" s="38"/>
      <c r="SZ1537" s="38"/>
      <c r="TA1537" s="38"/>
      <c r="TB1537" s="38"/>
      <c r="TC1537" s="38"/>
      <c r="TD1537" s="38"/>
      <c r="TE1537" s="38"/>
      <c r="TF1537" s="38"/>
      <c r="TG1537" s="38"/>
      <c r="TH1537" s="38"/>
      <c r="TI1537" s="38"/>
      <c r="TJ1537" s="38"/>
      <c r="TK1537" s="38"/>
      <c r="TL1537" s="38"/>
      <c r="TM1537" s="38"/>
      <c r="TN1537" s="38"/>
      <c r="TO1537" s="38"/>
      <c r="TP1537" s="38"/>
      <c r="TQ1537" s="38"/>
      <c r="TR1537" s="38"/>
      <c r="TS1537" s="38"/>
      <c r="TT1537" s="38"/>
      <c r="TU1537" s="38"/>
      <c r="TV1537" s="38"/>
      <c r="TW1537" s="38"/>
      <c r="TX1537" s="38"/>
      <c r="TY1537" s="38"/>
      <c r="TZ1537" s="38"/>
      <c r="UA1537" s="38"/>
      <c r="UB1537" s="38"/>
      <c r="UC1537" s="38"/>
      <c r="UD1537" s="38"/>
      <c r="UE1537" s="38"/>
      <c r="UF1537" s="38"/>
      <c r="UG1537" s="38"/>
      <c r="UH1537" s="38"/>
      <c r="UI1537" s="38"/>
      <c r="UJ1537" s="38"/>
      <c r="UK1537" s="38"/>
      <c r="UL1537" s="38"/>
      <c r="UM1537" s="38"/>
      <c r="UN1537" s="38"/>
      <c r="UO1537" s="38"/>
      <c r="UP1537" s="38"/>
      <c r="UQ1537" s="38"/>
      <c r="UR1537" s="38"/>
      <c r="US1537" s="38"/>
      <c r="UT1537" s="38"/>
      <c r="UU1537" s="38"/>
      <c r="UV1537" s="38"/>
      <c r="UW1537" s="38"/>
      <c r="UX1537" s="38"/>
      <c r="UY1537" s="38"/>
      <c r="UZ1537" s="38"/>
      <c r="VA1537" s="38"/>
      <c r="VB1537" s="38"/>
      <c r="VC1537" s="38"/>
      <c r="VD1537" s="38"/>
      <c r="VE1537" s="38"/>
      <c r="VF1537" s="38"/>
      <c r="VG1537" s="38"/>
      <c r="VH1537" s="38"/>
      <c r="VI1537" s="38"/>
      <c r="VJ1537" s="38"/>
      <c r="VK1537" s="38"/>
      <c r="VL1537" s="38"/>
      <c r="VM1537" s="38"/>
      <c r="VN1537" s="38"/>
      <c r="VO1537" s="38"/>
      <c r="VP1537" s="38"/>
      <c r="VQ1537" s="38"/>
      <c r="VR1537" s="38"/>
      <c r="VS1537" s="38"/>
      <c r="VT1537" s="38"/>
      <c r="VU1537" s="38"/>
      <c r="VV1537" s="38"/>
      <c r="VW1537" s="38"/>
      <c r="VX1537" s="38"/>
      <c r="VY1537" s="38"/>
      <c r="VZ1537" s="38"/>
      <c r="WA1537" s="38"/>
      <c r="WB1537" s="38"/>
      <c r="WC1537" s="38"/>
      <c r="WD1537" s="38"/>
      <c r="WE1537" s="38"/>
      <c r="WF1537" s="38"/>
      <c r="WG1537" s="38"/>
      <c r="WH1537" s="38"/>
      <c r="WI1537" s="38"/>
      <c r="WJ1537" s="38"/>
      <c r="WK1537" s="38"/>
      <c r="WL1537" s="38"/>
      <c r="WM1537" s="38"/>
      <c r="WN1537" s="38"/>
      <c r="WO1537" s="38"/>
      <c r="WP1537" s="38"/>
      <c r="WQ1537" s="38"/>
      <c r="WR1537" s="38"/>
      <c r="WS1537" s="38"/>
      <c r="WT1537" s="38"/>
      <c r="WU1537" s="38"/>
      <c r="WV1537" s="38"/>
      <c r="WW1537" s="38"/>
      <c r="WX1537" s="38"/>
      <c r="WY1537" s="38"/>
      <c r="WZ1537" s="38"/>
      <c r="XA1537" s="38"/>
      <c r="XB1537" s="38"/>
      <c r="XC1537" s="38"/>
      <c r="XD1537" s="38"/>
      <c r="XE1537" s="38"/>
      <c r="XF1537" s="38"/>
      <c r="XG1537" s="38"/>
      <c r="XH1537" s="38"/>
      <c r="XI1537" s="38"/>
      <c r="XJ1537" s="38"/>
      <c r="XK1537" s="38"/>
      <c r="XL1537" s="38"/>
      <c r="XM1537" s="38"/>
      <c r="XN1537" s="38"/>
      <c r="XO1537" s="38"/>
      <c r="XP1537" s="38"/>
      <c r="XQ1537" s="38"/>
      <c r="XR1537" s="38"/>
      <c r="XS1537" s="38"/>
      <c r="XT1537" s="38"/>
      <c r="XU1537" s="38"/>
      <c r="XV1537" s="38"/>
      <c r="XW1537" s="38"/>
      <c r="XX1537" s="38"/>
      <c r="XY1537" s="38"/>
      <c r="XZ1537" s="38"/>
      <c r="YA1537" s="38"/>
      <c r="YB1537" s="38"/>
      <c r="YC1537" s="38"/>
      <c r="YD1537" s="38"/>
      <c r="YE1537" s="38"/>
      <c r="YF1537" s="38"/>
      <c r="YG1537" s="38"/>
      <c r="YH1537" s="38"/>
      <c r="YI1537" s="38"/>
      <c r="YJ1537" s="38"/>
      <c r="YK1537" s="38"/>
      <c r="YL1537" s="38"/>
      <c r="YM1537" s="38"/>
      <c r="YN1537" s="38"/>
      <c r="YO1537" s="38"/>
      <c r="YP1537" s="38"/>
      <c r="YQ1537" s="38"/>
      <c r="YR1537" s="38"/>
      <c r="YS1537" s="38"/>
      <c r="YT1537" s="38"/>
      <c r="YU1537" s="38"/>
      <c r="YV1537" s="38"/>
      <c r="YW1537" s="38"/>
      <c r="YX1537" s="38"/>
      <c r="YY1537" s="38"/>
      <c r="YZ1537" s="38"/>
      <c r="ZA1537" s="38"/>
      <c r="ZB1537" s="38"/>
      <c r="ZC1537" s="38"/>
      <c r="ZD1537" s="38"/>
      <c r="ZE1537" s="38"/>
      <c r="ZF1537" s="38"/>
      <c r="ZG1537" s="38"/>
      <c r="ZH1537" s="38"/>
      <c r="ZI1537" s="38"/>
      <c r="ZJ1537" s="38"/>
      <c r="ZK1537" s="38"/>
      <c r="ZL1537" s="38"/>
      <c r="ZM1537" s="38"/>
      <c r="ZN1537" s="38"/>
      <c r="ZO1537" s="38"/>
      <c r="ZP1537" s="38"/>
      <c r="ZQ1537" s="38"/>
      <c r="ZR1537" s="38"/>
      <c r="ZS1537" s="38"/>
      <c r="ZT1537" s="38"/>
      <c r="ZU1537" s="38"/>
      <c r="ZV1537" s="38"/>
      <c r="ZW1537" s="38"/>
      <c r="ZX1537" s="38"/>
      <c r="ZY1537" s="38"/>
      <c r="ZZ1537" s="38"/>
      <c r="AAA1537" s="38"/>
      <c r="AAB1537" s="38"/>
      <c r="AAC1537" s="38"/>
      <c r="AAD1537" s="38"/>
      <c r="AAE1537" s="38"/>
      <c r="AAF1537" s="38"/>
      <c r="AAG1537" s="38"/>
      <c r="AAH1537" s="38"/>
      <c r="AAI1537" s="38"/>
      <c r="AAJ1537" s="38"/>
      <c r="AAK1537" s="38"/>
      <c r="AAL1537" s="38"/>
      <c r="AAM1537" s="38"/>
      <c r="AAN1537" s="38"/>
      <c r="AAO1537" s="38"/>
      <c r="AAP1537" s="38"/>
      <c r="AAQ1537" s="38"/>
      <c r="AAR1537" s="38"/>
      <c r="AAS1537" s="38"/>
      <c r="AAT1537" s="38"/>
      <c r="AAU1537" s="38"/>
      <c r="AAV1537" s="38"/>
      <c r="AAW1537" s="38"/>
      <c r="AAX1537" s="38"/>
      <c r="AAY1537" s="38"/>
      <c r="AAZ1537" s="38"/>
      <c r="ABA1537" s="38"/>
      <c r="ABB1537" s="38"/>
      <c r="ABC1537" s="38"/>
      <c r="ABD1537" s="38"/>
      <c r="ABE1537" s="38"/>
      <c r="ABF1537" s="38"/>
      <c r="ABG1537" s="38"/>
      <c r="ABH1537" s="38"/>
      <c r="ABI1537" s="38"/>
      <c r="ABJ1537" s="38"/>
      <c r="ABK1537" s="38"/>
      <c r="ABL1537" s="38"/>
      <c r="ABM1537" s="38"/>
      <c r="ABN1537" s="38"/>
      <c r="ABO1537" s="38"/>
      <c r="ABP1537" s="38"/>
      <c r="ABQ1537" s="38"/>
      <c r="ABR1537" s="38"/>
      <c r="ABS1537" s="38"/>
      <c r="ABT1537" s="38"/>
      <c r="ABU1537" s="38"/>
      <c r="ABV1537" s="38"/>
      <c r="ABW1537" s="38"/>
      <c r="ABX1537" s="38"/>
      <c r="ABY1537" s="38"/>
      <c r="ABZ1537" s="38"/>
      <c r="ACA1537" s="38"/>
      <c r="ACB1537" s="38"/>
      <c r="ACC1537" s="38"/>
      <c r="ACD1537" s="38"/>
      <c r="ACE1537" s="38"/>
      <c r="ACF1537" s="38"/>
      <c r="ACG1537" s="38"/>
      <c r="ACH1537" s="38"/>
      <c r="ACI1537" s="38"/>
      <c r="ACJ1537" s="38"/>
      <c r="ACK1537" s="38"/>
      <c r="ACL1537" s="38"/>
      <c r="ACM1537" s="38"/>
      <c r="ACN1537" s="38"/>
      <c r="ACO1537" s="38"/>
      <c r="ACP1537" s="38"/>
      <c r="ACQ1537" s="38"/>
      <c r="ACR1537" s="38"/>
      <c r="ACS1537" s="38"/>
      <c r="ACT1537" s="38"/>
      <c r="ACU1537" s="38"/>
      <c r="ACV1537" s="38"/>
      <c r="ACW1537" s="38"/>
      <c r="ACX1537" s="38"/>
      <c r="ACY1537" s="38"/>
      <c r="ACZ1537" s="38"/>
      <c r="ADA1537" s="38"/>
      <c r="ADB1537" s="38"/>
      <c r="ADC1537" s="38"/>
      <c r="ADD1537" s="38"/>
      <c r="ADE1537" s="38"/>
      <c r="ADF1537" s="38"/>
      <c r="ADG1537" s="38"/>
      <c r="ADH1537" s="38"/>
      <c r="ADI1537" s="38"/>
      <c r="ADJ1537" s="38"/>
      <c r="ADK1537" s="38"/>
      <c r="ADL1537" s="38"/>
      <c r="ADM1537" s="38"/>
      <c r="ADN1537" s="38"/>
      <c r="ADO1537" s="38"/>
      <c r="ADP1537" s="38"/>
      <c r="ADQ1537" s="38"/>
      <c r="ADR1537" s="38"/>
      <c r="ADS1537" s="38"/>
      <c r="ADT1537" s="38"/>
      <c r="ADU1537" s="38"/>
      <c r="ADV1537" s="38"/>
      <c r="ADW1537" s="38"/>
      <c r="ADX1537" s="38"/>
      <c r="ADY1537" s="38"/>
      <c r="ADZ1537" s="38"/>
      <c r="AEA1537" s="38"/>
      <c r="AEB1537" s="38"/>
      <c r="AEC1537" s="38"/>
      <c r="AED1537" s="38"/>
      <c r="AEE1537" s="38"/>
      <c r="AEF1537" s="38"/>
      <c r="AEG1537" s="38"/>
      <c r="AEH1537" s="38"/>
      <c r="AEI1537" s="38"/>
      <c r="AEJ1537" s="38"/>
      <c r="AEK1537" s="38"/>
      <c r="AEL1537" s="38"/>
      <c r="AEM1537" s="38"/>
      <c r="AEN1537" s="38"/>
      <c r="AEO1537" s="38"/>
      <c r="AEP1537" s="38"/>
      <c r="AEQ1537" s="38"/>
      <c r="AER1537" s="38"/>
      <c r="AES1537" s="38"/>
      <c r="AET1537" s="38"/>
      <c r="AEU1537" s="38"/>
      <c r="AEV1537" s="38"/>
      <c r="AEW1537" s="38"/>
      <c r="AEX1537" s="38"/>
      <c r="AEY1537" s="38"/>
      <c r="AEZ1537" s="38"/>
      <c r="AFA1537" s="38"/>
      <c r="AFB1537" s="38"/>
      <c r="AFC1537" s="38"/>
      <c r="AFD1537" s="38"/>
      <c r="AFE1537" s="38"/>
      <c r="AFF1537" s="38"/>
      <c r="AFG1537" s="38"/>
      <c r="AFH1537" s="38"/>
      <c r="AFI1537" s="38"/>
      <c r="AFJ1537" s="38"/>
      <c r="AFK1537" s="38"/>
      <c r="AFL1537" s="38"/>
      <c r="AFM1537" s="38"/>
      <c r="AFN1537" s="38"/>
      <c r="AFO1537" s="38"/>
      <c r="AFP1537" s="38"/>
      <c r="AFQ1537" s="38"/>
      <c r="AFR1537" s="38"/>
      <c r="AFS1537" s="38"/>
      <c r="AFT1537" s="38"/>
      <c r="AFU1537" s="38"/>
      <c r="AFV1537" s="38"/>
      <c r="AFW1537" s="38"/>
      <c r="AFX1537" s="38"/>
      <c r="AFY1537" s="38"/>
      <c r="AFZ1537" s="38"/>
      <c r="AGA1537" s="38"/>
      <c r="AGB1537" s="38"/>
      <c r="AGC1537" s="38"/>
      <c r="AGD1537" s="38"/>
      <c r="AGE1537" s="38"/>
      <c r="AGF1537" s="38"/>
      <c r="AGG1537" s="38"/>
      <c r="AGH1537" s="38"/>
      <c r="AGI1537" s="38"/>
      <c r="AGJ1537" s="38"/>
      <c r="AGK1537" s="38"/>
      <c r="AGL1537" s="38"/>
      <c r="AGM1537" s="38"/>
      <c r="AGN1537" s="38"/>
      <c r="AGO1537" s="38"/>
      <c r="AGP1537" s="38"/>
      <c r="AGQ1537" s="38"/>
      <c r="AGR1537" s="38"/>
      <c r="AGS1537" s="38"/>
      <c r="AGT1537" s="38"/>
      <c r="AGU1537" s="38"/>
      <c r="AGV1537" s="38"/>
      <c r="AGW1537" s="38"/>
      <c r="AGX1537" s="38"/>
      <c r="AGY1537" s="38"/>
      <c r="AGZ1537" s="38"/>
      <c r="AHA1537" s="38"/>
      <c r="AHB1537" s="38"/>
      <c r="AHC1537" s="38"/>
      <c r="AHD1537" s="38"/>
      <c r="AHE1537" s="38"/>
      <c r="AHF1537" s="38"/>
      <c r="AHG1537" s="38"/>
      <c r="AHH1537" s="38"/>
      <c r="AHI1537" s="38"/>
      <c r="AHJ1537" s="38"/>
      <c r="AHK1537" s="38"/>
      <c r="AHL1537" s="38"/>
      <c r="AHM1537" s="38"/>
      <c r="AHN1537" s="38"/>
      <c r="AHO1537" s="38"/>
      <c r="AHP1537" s="38"/>
      <c r="AHQ1537" s="38"/>
      <c r="AHR1537" s="38"/>
      <c r="AHS1537" s="38"/>
      <c r="AHT1537" s="38"/>
      <c r="AHU1537" s="38"/>
      <c r="AHV1537" s="38"/>
      <c r="AHW1537" s="38"/>
      <c r="AHX1537" s="38"/>
      <c r="AHY1537" s="38"/>
      <c r="AHZ1537" s="38"/>
      <c r="AIA1537" s="38"/>
      <c r="AIB1537" s="38"/>
      <c r="AIC1537" s="38"/>
      <c r="AID1537" s="38"/>
      <c r="AIE1537" s="38"/>
      <c r="AIF1537" s="38"/>
      <c r="AIG1537" s="38"/>
      <c r="AIH1537" s="38"/>
      <c r="AII1537" s="38"/>
      <c r="AIJ1537" s="38"/>
      <c r="AIK1537" s="38"/>
      <c r="AIL1537" s="38"/>
      <c r="AIM1537" s="38"/>
      <c r="AIN1537" s="38"/>
      <c r="AIO1537" s="38"/>
      <c r="AIP1537" s="38"/>
      <c r="AIQ1537" s="38"/>
      <c r="AIR1537" s="38"/>
      <c r="AIS1537" s="38"/>
      <c r="AIT1537" s="38"/>
      <c r="AIU1537" s="38"/>
      <c r="AIV1537" s="38"/>
      <c r="AIW1537" s="38"/>
      <c r="AIX1537" s="38"/>
      <c r="AIY1537" s="38"/>
      <c r="AIZ1537" s="38"/>
      <c r="AJA1537" s="38"/>
      <c r="AJB1537" s="38"/>
      <c r="AJC1537" s="38"/>
      <c r="AJD1537" s="38"/>
      <c r="AJE1537" s="38"/>
      <c r="AJF1537" s="38"/>
      <c r="AJG1537" s="38"/>
      <c r="AJH1537" s="38"/>
      <c r="AJI1537" s="38"/>
      <c r="AJJ1537" s="38"/>
      <c r="AJK1537" s="38"/>
      <c r="AJL1537" s="38"/>
      <c r="AJM1537" s="38"/>
      <c r="AJN1537" s="38"/>
      <c r="AJO1537" s="38"/>
      <c r="AJP1537" s="38"/>
      <c r="AJQ1537" s="38"/>
      <c r="AJR1537" s="38"/>
      <c r="AJS1537" s="38"/>
      <c r="AJT1537" s="38"/>
      <c r="AJU1537" s="38"/>
      <c r="AJV1537" s="38"/>
      <c r="AJW1537" s="38"/>
      <c r="AJX1537" s="38"/>
      <c r="AJY1537" s="38"/>
      <c r="AJZ1537" s="38"/>
      <c r="AKA1537" s="38"/>
      <c r="AKB1537" s="38"/>
      <c r="AKC1537" s="38"/>
      <c r="AKD1537" s="38"/>
      <c r="AKE1537" s="38"/>
      <c r="AKF1537" s="38"/>
      <c r="AKG1537" s="38"/>
      <c r="AKH1537" s="38"/>
      <c r="AKI1537" s="38"/>
      <c r="AKJ1537" s="38"/>
      <c r="AKK1537" s="38"/>
      <c r="AKL1537" s="38"/>
      <c r="AKM1537" s="38"/>
      <c r="AKN1537" s="38"/>
      <c r="AKO1537" s="38"/>
      <c r="AKP1537" s="38"/>
      <c r="AKQ1537" s="38"/>
      <c r="AKR1537" s="38"/>
      <c r="AKS1537" s="38"/>
      <c r="AKT1537" s="38"/>
      <c r="AKU1537" s="38"/>
      <c r="AKV1537" s="38"/>
      <c r="AKW1537" s="38"/>
      <c r="AKX1537" s="38"/>
      <c r="AKY1537" s="38"/>
      <c r="AKZ1537" s="38"/>
      <c r="ALA1537" s="38"/>
      <c r="ALB1537" s="38"/>
      <c r="ALC1537" s="38"/>
      <c r="ALD1537" s="38"/>
      <c r="ALE1537" s="38"/>
      <c r="ALF1537" s="38"/>
      <c r="ALG1537" s="38"/>
      <c r="ALH1537" s="38"/>
      <c r="ALI1537" s="38"/>
      <c r="ALJ1537" s="38"/>
      <c r="ALK1537" s="38"/>
      <c r="ALL1537" s="38"/>
      <c r="ALM1537" s="38"/>
      <c r="ALN1537" s="38"/>
      <c r="ALO1537" s="38"/>
      <c r="ALP1537" s="38"/>
      <c r="ALQ1537" s="38"/>
      <c r="ALR1537" s="38"/>
      <c r="ALS1537" s="38"/>
      <c r="ALT1537" s="38"/>
      <c r="ALU1537" s="38"/>
      <c r="ALV1537" s="38"/>
      <c r="ALW1537" s="38"/>
      <c r="ALX1537" s="38"/>
      <c r="ALY1537" s="38"/>
      <c r="ALZ1537" s="38"/>
      <c r="AMA1537" s="38"/>
      <c r="AMB1537" s="38"/>
      <c r="AMC1537" s="38"/>
      <c r="AMD1537" s="38"/>
      <c r="AME1537" s="38"/>
      <c r="AMF1537" s="38"/>
      <c r="AMG1537" s="38"/>
      <c r="AMH1537" s="38"/>
      <c r="AMI1537" s="38"/>
      <c r="AMJ1537" s="38"/>
      <c r="AMK1537" s="38"/>
      <c r="AML1537" s="38"/>
      <c r="AMM1537" s="38"/>
      <c r="AMN1537" s="38"/>
      <c r="AMO1537" s="38"/>
      <c r="AMP1537" s="38"/>
      <c r="AMQ1537" s="38"/>
      <c r="AMR1537" s="38"/>
      <c r="AMS1537" s="38"/>
      <c r="AMT1537" s="38"/>
      <c r="AMU1537" s="38"/>
      <c r="AMV1537" s="38"/>
      <c r="AMW1537" s="38"/>
      <c r="AMX1537" s="38"/>
      <c r="AMY1537" s="38"/>
      <c r="AMZ1537" s="38"/>
      <c r="ANA1537" s="38"/>
      <c r="ANB1537" s="38"/>
      <c r="ANC1537" s="38"/>
      <c r="AND1537" s="38"/>
      <c r="ANE1537" s="38"/>
      <c r="ANF1537" s="38"/>
      <c r="ANG1537" s="38"/>
      <c r="ANH1537" s="38"/>
      <c r="ANI1537" s="38"/>
      <c r="ANJ1537" s="38"/>
      <c r="ANK1537" s="38"/>
      <c r="ANL1537" s="38"/>
      <c r="ANM1537" s="38"/>
      <c r="ANN1537" s="38"/>
      <c r="ANO1537" s="38"/>
      <c r="ANP1537" s="38"/>
      <c r="ANQ1537" s="38"/>
      <c r="ANR1537" s="38"/>
      <c r="ANS1537" s="38"/>
      <c r="ANT1537" s="38"/>
      <c r="ANU1537" s="38"/>
      <c r="ANV1537" s="38"/>
      <c r="ANW1537" s="38"/>
      <c r="ANX1537" s="38"/>
      <c r="ANY1537" s="38"/>
      <c r="ANZ1537" s="38"/>
      <c r="AOA1537" s="38"/>
      <c r="AOB1537" s="38"/>
      <c r="AOC1537" s="38"/>
      <c r="AOD1537" s="38"/>
      <c r="AOE1537" s="38"/>
      <c r="AOF1537" s="38"/>
      <c r="AOG1537" s="38"/>
      <c r="AOH1537" s="38"/>
      <c r="AOI1537" s="38"/>
      <c r="AOJ1537" s="38"/>
      <c r="AOK1537" s="38"/>
      <c r="AOL1537" s="38"/>
      <c r="AOM1537" s="38"/>
      <c r="AON1537" s="38"/>
      <c r="AOO1537" s="38"/>
      <c r="AOP1537" s="38"/>
      <c r="AOQ1537" s="38"/>
      <c r="AOR1537" s="38"/>
      <c r="AOS1537" s="38"/>
      <c r="AOT1537" s="38"/>
      <c r="AOU1537" s="38"/>
      <c r="AOV1537" s="38"/>
      <c r="AOW1537" s="38"/>
      <c r="AOX1537" s="38"/>
      <c r="AOY1537" s="38"/>
      <c r="AOZ1537" s="38"/>
      <c r="APA1537" s="38"/>
      <c r="APB1537" s="38"/>
      <c r="APC1537" s="38"/>
    </row>
    <row r="1538" spans="1:1095" s="36" customFormat="1" ht="14.25" customHeight="1">
      <c r="A1538" s="3" t="s">
        <v>1722</v>
      </c>
      <c r="B1538" s="36" t="s">
        <v>2004</v>
      </c>
      <c r="C1538" s="10">
        <v>4099854037290</v>
      </c>
      <c r="D1538" s="224">
        <v>4058075757424</v>
      </c>
      <c r="E1538" s="245" t="s">
        <v>1558</v>
      </c>
      <c r="F1538" s="246"/>
      <c r="G1538" s="66" t="str">
        <f>HYPERLINK("https://ledvance.com/pt/product-datasheet/246813/233260","Ficha de Produto")</f>
        <v>Ficha de Produto</v>
      </c>
      <c r="H1538" s="34">
        <v>10</v>
      </c>
      <c r="I1538" s="34" t="s">
        <v>874</v>
      </c>
      <c r="J1538" s="34" t="s">
        <v>763</v>
      </c>
      <c r="K1538" s="34" t="s">
        <v>788</v>
      </c>
      <c r="L1538" s="34" t="s">
        <v>765</v>
      </c>
      <c r="M1538" s="247">
        <v>24.3</v>
      </c>
      <c r="N1538" s="288" t="s">
        <v>722</v>
      </c>
    </row>
    <row r="1539" spans="1:1095" s="36" customFormat="1" ht="14.25" customHeight="1">
      <c r="A1539" s="3" t="s">
        <v>1722</v>
      </c>
      <c r="B1539" s="36" t="s">
        <v>2005</v>
      </c>
      <c r="C1539" s="10">
        <v>4099854037313</v>
      </c>
      <c r="D1539" s="224">
        <v>4058075757486</v>
      </c>
      <c r="E1539" s="245" t="s">
        <v>1559</v>
      </c>
      <c r="F1539" s="246"/>
      <c r="G1539" s="66" t="str">
        <f>HYPERLINK("https://ledvance.com/pt/product-datasheet/246813/233263","Ficha de Produto")</f>
        <v>Ficha de Produto</v>
      </c>
      <c r="H1539" s="34">
        <v>10</v>
      </c>
      <c r="I1539" s="34" t="s">
        <v>1031</v>
      </c>
      <c r="J1539" s="34" t="s">
        <v>6296</v>
      </c>
      <c r="K1539" s="34" t="s">
        <v>788</v>
      </c>
      <c r="L1539" s="34" t="s">
        <v>765</v>
      </c>
      <c r="M1539" s="247">
        <v>31.5</v>
      </c>
      <c r="N1539" s="288" t="s">
        <v>722</v>
      </c>
    </row>
    <row r="1540" spans="1:1095" s="39" customFormat="1" ht="14.25" customHeight="1">
      <c r="A1540" s="8" t="s">
        <v>1722</v>
      </c>
      <c r="B1540" s="244" t="s">
        <v>2008</v>
      </c>
      <c r="C1540" s="244"/>
      <c r="D1540" s="7"/>
      <c r="E1540" s="230"/>
      <c r="F1540" s="7"/>
      <c r="G1540" s="68"/>
      <c r="H1540" s="230"/>
      <c r="I1540" s="230"/>
      <c r="J1540" s="230"/>
      <c r="K1540" s="230"/>
      <c r="L1540" s="230"/>
      <c r="M1540" s="248"/>
      <c r="N1540" s="289"/>
      <c r="O1540" s="38"/>
      <c r="P1540" s="38"/>
      <c r="Q1540" s="38"/>
      <c r="R1540" s="38"/>
      <c r="S1540" s="38"/>
      <c r="T1540" s="38"/>
      <c r="U1540" s="38"/>
      <c r="V1540" s="38"/>
      <c r="W1540" s="38"/>
      <c r="X1540" s="38"/>
      <c r="Y1540" s="38"/>
      <c r="Z1540" s="38"/>
      <c r="AA1540" s="38"/>
      <c r="AB1540" s="38"/>
      <c r="AC1540" s="38"/>
      <c r="AD1540" s="38"/>
      <c r="AE1540" s="38"/>
      <c r="AF1540" s="38"/>
      <c r="AG1540" s="38"/>
      <c r="AH1540" s="38"/>
      <c r="AI1540" s="38"/>
      <c r="AJ1540" s="38"/>
      <c r="AK1540" s="38"/>
      <c r="AL1540" s="38"/>
      <c r="AM1540" s="38"/>
      <c r="AN1540" s="38"/>
      <c r="AO1540" s="38"/>
      <c r="AP1540" s="38"/>
      <c r="AQ1540" s="38"/>
      <c r="AR1540" s="38"/>
      <c r="AS1540" s="38"/>
      <c r="AT1540" s="38"/>
      <c r="AU1540" s="38"/>
      <c r="AV1540" s="38"/>
      <c r="AW1540" s="38"/>
      <c r="AX1540" s="38"/>
      <c r="AY1540" s="38"/>
      <c r="AZ1540" s="38"/>
      <c r="BA1540" s="38"/>
      <c r="BB1540" s="38"/>
      <c r="BC1540" s="38"/>
      <c r="BD1540" s="38"/>
      <c r="BE1540" s="38"/>
      <c r="BF1540" s="38"/>
      <c r="BG1540" s="38"/>
      <c r="BH1540" s="38"/>
      <c r="BI1540" s="38"/>
      <c r="BJ1540" s="38"/>
      <c r="BK1540" s="38"/>
      <c r="BL1540" s="38"/>
      <c r="BM1540" s="38"/>
      <c r="BN1540" s="38"/>
      <c r="BO1540" s="38"/>
      <c r="BP1540" s="38"/>
      <c r="BQ1540" s="38"/>
      <c r="BR1540" s="38"/>
      <c r="BS1540" s="38"/>
      <c r="BT1540" s="38"/>
      <c r="BU1540" s="38"/>
      <c r="BV1540" s="38"/>
      <c r="BW1540" s="38"/>
      <c r="BX1540" s="38"/>
      <c r="BY1540" s="38"/>
      <c r="BZ1540" s="38"/>
      <c r="CA1540" s="38"/>
      <c r="CB1540" s="38"/>
      <c r="CC1540" s="38"/>
      <c r="CD1540" s="38"/>
      <c r="CE1540" s="38"/>
      <c r="CF1540" s="38"/>
      <c r="CG1540" s="38"/>
      <c r="CH1540" s="38"/>
      <c r="CI1540" s="38"/>
      <c r="CJ1540" s="38"/>
      <c r="CK1540" s="38"/>
      <c r="CL1540" s="38"/>
      <c r="CM1540" s="38"/>
      <c r="CN1540" s="38"/>
      <c r="CO1540" s="38"/>
      <c r="CP1540" s="38"/>
      <c r="CQ1540" s="38"/>
      <c r="CR1540" s="38"/>
      <c r="CS1540" s="38"/>
      <c r="CT1540" s="38"/>
      <c r="CU1540" s="38"/>
      <c r="CV1540" s="38"/>
      <c r="CW1540" s="38"/>
      <c r="CX1540" s="38"/>
      <c r="CY1540" s="38"/>
      <c r="CZ1540" s="38"/>
      <c r="DA1540" s="38"/>
      <c r="DB1540" s="38"/>
      <c r="DC1540" s="38"/>
      <c r="DD1540" s="38"/>
      <c r="DE1540" s="38"/>
      <c r="DF1540" s="38"/>
      <c r="DG1540" s="38"/>
      <c r="DH1540" s="38"/>
      <c r="DI1540" s="38"/>
      <c r="DJ1540" s="38"/>
      <c r="DK1540" s="38"/>
      <c r="DL1540" s="38"/>
      <c r="DM1540" s="38"/>
      <c r="DN1540" s="38"/>
      <c r="DO1540" s="38"/>
      <c r="DP1540" s="38"/>
      <c r="DQ1540" s="38"/>
      <c r="DR1540" s="38"/>
      <c r="DS1540" s="38"/>
      <c r="DT1540" s="38"/>
      <c r="DU1540" s="38"/>
      <c r="DV1540" s="38"/>
      <c r="DW1540" s="38"/>
      <c r="DX1540" s="38"/>
      <c r="DY1540" s="38"/>
      <c r="DZ1540" s="38"/>
      <c r="EA1540" s="38"/>
      <c r="EB1540" s="38"/>
      <c r="EC1540" s="38"/>
      <c r="ED1540" s="38"/>
      <c r="EE1540" s="38"/>
      <c r="EF1540" s="38"/>
      <c r="EG1540" s="38"/>
      <c r="EH1540" s="38"/>
      <c r="EI1540" s="38"/>
      <c r="EJ1540" s="38"/>
      <c r="EK1540" s="38"/>
      <c r="EL1540" s="38"/>
      <c r="EM1540" s="38"/>
      <c r="EN1540" s="38"/>
      <c r="EO1540" s="38"/>
      <c r="EP1540" s="38"/>
      <c r="EQ1540" s="38"/>
      <c r="ER1540" s="38"/>
      <c r="ES1540" s="38"/>
      <c r="ET1540" s="38"/>
      <c r="EU1540" s="38"/>
      <c r="EV1540" s="38"/>
      <c r="EW1540" s="38"/>
      <c r="EX1540" s="38"/>
      <c r="EY1540" s="38"/>
      <c r="EZ1540" s="38"/>
      <c r="FA1540" s="38"/>
      <c r="FB1540" s="38"/>
      <c r="FC1540" s="38"/>
      <c r="FD1540" s="38"/>
      <c r="FE1540" s="38"/>
      <c r="FF1540" s="38"/>
      <c r="FG1540" s="38"/>
      <c r="FH1540" s="38"/>
      <c r="FI1540" s="38"/>
      <c r="FJ1540" s="38"/>
      <c r="FK1540" s="38"/>
      <c r="FL1540" s="38"/>
      <c r="FM1540" s="38"/>
      <c r="FN1540" s="38"/>
      <c r="FO1540" s="38"/>
      <c r="FP1540" s="38"/>
      <c r="FQ1540" s="38"/>
      <c r="FR1540" s="38"/>
      <c r="FS1540" s="38"/>
      <c r="FT1540" s="38"/>
      <c r="FU1540" s="38"/>
      <c r="FV1540" s="38"/>
      <c r="FW1540" s="38"/>
      <c r="FX1540" s="38"/>
      <c r="FY1540" s="38"/>
      <c r="FZ1540" s="38"/>
      <c r="GA1540" s="38"/>
      <c r="GB1540" s="38"/>
      <c r="GC1540" s="38"/>
      <c r="GD1540" s="38"/>
      <c r="GE1540" s="38"/>
      <c r="GF1540" s="38"/>
      <c r="GG1540" s="38"/>
      <c r="GH1540" s="38"/>
      <c r="GI1540" s="38"/>
      <c r="GJ1540" s="38"/>
      <c r="GK1540" s="38"/>
      <c r="GL1540" s="38"/>
      <c r="GM1540" s="38"/>
      <c r="GN1540" s="38"/>
      <c r="GO1540" s="38"/>
      <c r="GP1540" s="38"/>
      <c r="GQ1540" s="38"/>
      <c r="GR1540" s="38"/>
      <c r="GS1540" s="38"/>
      <c r="GT1540" s="38"/>
      <c r="GU1540" s="38"/>
      <c r="GV1540" s="38"/>
      <c r="GW1540" s="38"/>
      <c r="GX1540" s="38"/>
      <c r="GY1540" s="38"/>
      <c r="GZ1540" s="38"/>
      <c r="HA1540" s="38"/>
      <c r="HB1540" s="38"/>
      <c r="HC1540" s="38"/>
      <c r="HD1540" s="38"/>
      <c r="HE1540" s="38"/>
      <c r="HF1540" s="38"/>
      <c r="HG1540" s="38"/>
      <c r="HH1540" s="38"/>
      <c r="HI1540" s="38"/>
      <c r="HJ1540" s="38"/>
      <c r="HK1540" s="38"/>
      <c r="HL1540" s="38"/>
      <c r="HM1540" s="38"/>
      <c r="HN1540" s="38"/>
      <c r="HO1540" s="38"/>
      <c r="HP1540" s="38"/>
      <c r="HQ1540" s="38"/>
      <c r="HR1540" s="38"/>
      <c r="HS1540" s="38"/>
      <c r="HT1540" s="38"/>
      <c r="HU1540" s="38"/>
      <c r="HV1540" s="38"/>
      <c r="HW1540" s="38"/>
      <c r="HX1540" s="38"/>
      <c r="HY1540" s="38"/>
      <c r="HZ1540" s="38"/>
      <c r="IA1540" s="38"/>
      <c r="IB1540" s="38"/>
      <c r="IC1540" s="38"/>
      <c r="ID1540" s="38"/>
      <c r="IE1540" s="38"/>
      <c r="IF1540" s="38"/>
      <c r="IG1540" s="38"/>
      <c r="IH1540" s="38"/>
      <c r="II1540" s="38"/>
      <c r="IJ1540" s="38"/>
      <c r="IK1540" s="38"/>
      <c r="IL1540" s="38"/>
      <c r="IM1540" s="38"/>
      <c r="IN1540" s="38"/>
      <c r="IO1540" s="38"/>
      <c r="IP1540" s="38"/>
      <c r="IQ1540" s="38"/>
      <c r="IR1540" s="38"/>
      <c r="IS1540" s="38"/>
      <c r="IT1540" s="38"/>
      <c r="IU1540" s="38"/>
      <c r="IV1540" s="38"/>
      <c r="IW1540" s="38"/>
      <c r="IX1540" s="38"/>
      <c r="IY1540" s="38"/>
      <c r="IZ1540" s="38"/>
      <c r="JA1540" s="38"/>
      <c r="JB1540" s="38"/>
      <c r="JC1540" s="38"/>
      <c r="JD1540" s="38"/>
      <c r="JE1540" s="38"/>
      <c r="JF1540" s="38"/>
      <c r="JG1540" s="38"/>
      <c r="JH1540" s="38"/>
      <c r="JI1540" s="38"/>
      <c r="JJ1540" s="38"/>
      <c r="JK1540" s="38"/>
      <c r="JL1540" s="38"/>
      <c r="JM1540" s="38"/>
      <c r="JN1540" s="38"/>
      <c r="JO1540" s="38"/>
      <c r="JP1540" s="38"/>
      <c r="JQ1540" s="38"/>
      <c r="JR1540" s="38"/>
      <c r="JS1540" s="38"/>
      <c r="JT1540" s="38"/>
      <c r="JU1540" s="38"/>
      <c r="JV1540" s="38"/>
      <c r="JW1540" s="38"/>
      <c r="JX1540" s="38"/>
      <c r="JY1540" s="38"/>
      <c r="JZ1540" s="38"/>
      <c r="KA1540" s="38"/>
      <c r="KB1540" s="38"/>
      <c r="KC1540" s="38"/>
      <c r="KD1540" s="38"/>
      <c r="KE1540" s="38"/>
      <c r="KF1540" s="38"/>
      <c r="KG1540" s="38"/>
      <c r="KH1540" s="38"/>
      <c r="KI1540" s="38"/>
      <c r="KJ1540" s="38"/>
      <c r="KK1540" s="38"/>
      <c r="KL1540" s="38"/>
      <c r="KM1540" s="38"/>
      <c r="KN1540" s="38"/>
      <c r="KO1540" s="38"/>
      <c r="KP1540" s="38"/>
      <c r="KQ1540" s="38"/>
      <c r="KR1540" s="38"/>
      <c r="KS1540" s="38"/>
      <c r="KT1540" s="38"/>
      <c r="KU1540" s="38"/>
      <c r="KV1540" s="38"/>
      <c r="KW1540" s="38"/>
      <c r="KX1540" s="38"/>
      <c r="KY1540" s="38"/>
      <c r="KZ1540" s="38"/>
      <c r="LA1540" s="38"/>
      <c r="LB1540" s="38"/>
      <c r="LC1540" s="38"/>
      <c r="LD1540" s="38"/>
      <c r="LE1540" s="38"/>
      <c r="LF1540" s="38"/>
      <c r="LG1540" s="38"/>
      <c r="LH1540" s="38"/>
      <c r="LI1540" s="38"/>
      <c r="LJ1540" s="38"/>
      <c r="LK1540" s="38"/>
      <c r="LL1540" s="38"/>
      <c r="LM1540" s="38"/>
      <c r="LN1540" s="38"/>
      <c r="LO1540" s="38"/>
      <c r="LP1540" s="38"/>
      <c r="LQ1540" s="38"/>
      <c r="LR1540" s="38"/>
      <c r="LS1540" s="38"/>
      <c r="LT1540" s="38"/>
      <c r="LU1540" s="38"/>
      <c r="LV1540" s="38"/>
      <c r="LW1540" s="38"/>
      <c r="LX1540" s="38"/>
      <c r="LY1540" s="38"/>
      <c r="LZ1540" s="38"/>
      <c r="MA1540" s="38"/>
      <c r="MB1540" s="38"/>
      <c r="MC1540" s="38"/>
      <c r="MD1540" s="38"/>
      <c r="ME1540" s="38"/>
      <c r="MF1540" s="38"/>
      <c r="MG1540" s="38"/>
      <c r="MH1540" s="38"/>
      <c r="MI1540" s="38"/>
      <c r="MJ1540" s="38"/>
      <c r="MK1540" s="38"/>
      <c r="ML1540" s="38"/>
      <c r="MM1540" s="38"/>
      <c r="MN1540" s="38"/>
      <c r="MO1540" s="38"/>
      <c r="MP1540" s="38"/>
      <c r="MQ1540" s="38"/>
      <c r="MR1540" s="38"/>
      <c r="MS1540" s="38"/>
      <c r="MT1540" s="38"/>
      <c r="MU1540" s="38"/>
      <c r="MV1540" s="38"/>
      <c r="MW1540" s="38"/>
      <c r="MX1540" s="38"/>
      <c r="MY1540" s="38"/>
      <c r="MZ1540" s="38"/>
      <c r="NA1540" s="38"/>
      <c r="NB1540" s="38"/>
      <c r="NC1540" s="38"/>
      <c r="ND1540" s="38"/>
      <c r="NE1540" s="38"/>
      <c r="NF1540" s="38"/>
      <c r="NG1540" s="38"/>
      <c r="NH1540" s="38"/>
      <c r="NI1540" s="38"/>
      <c r="NJ1540" s="38"/>
      <c r="NK1540" s="38"/>
      <c r="NL1540" s="38"/>
      <c r="NM1540" s="38"/>
      <c r="NN1540" s="38"/>
      <c r="NO1540" s="38"/>
      <c r="NP1540" s="38"/>
      <c r="NQ1540" s="38"/>
      <c r="NR1540" s="38"/>
      <c r="NS1540" s="38"/>
      <c r="NT1540" s="38"/>
      <c r="NU1540" s="38"/>
      <c r="NV1540" s="38"/>
      <c r="NW1540" s="38"/>
      <c r="NX1540" s="38"/>
      <c r="NY1540" s="38"/>
      <c r="NZ1540" s="38"/>
      <c r="OA1540" s="38"/>
      <c r="OB1540" s="38"/>
      <c r="OC1540" s="38"/>
      <c r="OD1540" s="38"/>
      <c r="OE1540" s="38"/>
      <c r="OF1540" s="38"/>
      <c r="OG1540" s="38"/>
      <c r="OH1540" s="38"/>
      <c r="OI1540" s="38"/>
      <c r="OJ1540" s="38"/>
      <c r="OK1540" s="38"/>
      <c r="OL1540" s="38"/>
      <c r="OM1540" s="38"/>
      <c r="ON1540" s="38"/>
      <c r="OO1540" s="38"/>
      <c r="OP1540" s="38"/>
      <c r="OQ1540" s="38"/>
      <c r="OR1540" s="38"/>
      <c r="OS1540" s="38"/>
      <c r="OT1540" s="38"/>
      <c r="OU1540" s="38"/>
      <c r="OV1540" s="38"/>
      <c r="OW1540" s="38"/>
      <c r="OX1540" s="38"/>
      <c r="OY1540" s="38"/>
      <c r="OZ1540" s="38"/>
      <c r="PA1540" s="38"/>
      <c r="PB1540" s="38"/>
      <c r="PC1540" s="38"/>
      <c r="PD1540" s="38"/>
      <c r="PE1540" s="38"/>
      <c r="PF1540" s="38"/>
      <c r="PG1540" s="38"/>
      <c r="PH1540" s="38"/>
      <c r="PI1540" s="38"/>
      <c r="PJ1540" s="38"/>
      <c r="PK1540" s="38"/>
      <c r="PL1540" s="38"/>
      <c r="PM1540" s="38"/>
      <c r="PN1540" s="38"/>
      <c r="PO1540" s="38"/>
      <c r="PP1540" s="38"/>
      <c r="PQ1540" s="38"/>
      <c r="PR1540" s="38"/>
      <c r="PS1540" s="38"/>
      <c r="PT1540" s="38"/>
      <c r="PU1540" s="38"/>
      <c r="PV1540" s="38"/>
      <c r="PW1540" s="38"/>
      <c r="PX1540" s="38"/>
      <c r="PY1540" s="38"/>
      <c r="PZ1540" s="38"/>
      <c r="QA1540" s="38"/>
      <c r="QB1540" s="38"/>
      <c r="QC1540" s="38"/>
      <c r="QD1540" s="38"/>
      <c r="QE1540" s="38"/>
      <c r="QF1540" s="38"/>
      <c r="QG1540" s="38"/>
      <c r="QH1540" s="38"/>
      <c r="QI1540" s="38"/>
      <c r="QJ1540" s="38"/>
      <c r="QK1540" s="38"/>
      <c r="QL1540" s="38"/>
      <c r="QM1540" s="38"/>
      <c r="QN1540" s="38"/>
      <c r="QO1540" s="38"/>
      <c r="QP1540" s="38"/>
      <c r="QQ1540" s="38"/>
      <c r="QR1540" s="38"/>
      <c r="QS1540" s="38"/>
      <c r="QT1540" s="38"/>
      <c r="QU1540" s="38"/>
      <c r="QV1540" s="38"/>
      <c r="QW1540" s="38"/>
      <c r="QX1540" s="38"/>
      <c r="QY1540" s="38"/>
      <c r="QZ1540" s="38"/>
      <c r="RA1540" s="38"/>
      <c r="RB1540" s="38"/>
      <c r="RC1540" s="38"/>
      <c r="RD1540" s="38"/>
      <c r="RE1540" s="38"/>
      <c r="RF1540" s="38"/>
      <c r="RG1540" s="38"/>
      <c r="RH1540" s="38"/>
      <c r="RI1540" s="38"/>
      <c r="RJ1540" s="38"/>
      <c r="RK1540" s="38"/>
      <c r="RL1540" s="38"/>
      <c r="RM1540" s="38"/>
      <c r="RN1540" s="38"/>
      <c r="RO1540" s="38"/>
      <c r="RP1540" s="38"/>
      <c r="RQ1540" s="38"/>
      <c r="RR1540" s="38"/>
      <c r="RS1540" s="38"/>
      <c r="RT1540" s="38"/>
      <c r="RU1540" s="38"/>
      <c r="RV1540" s="38"/>
      <c r="RW1540" s="38"/>
      <c r="RX1540" s="38"/>
      <c r="RY1540" s="38"/>
      <c r="RZ1540" s="38"/>
      <c r="SA1540" s="38"/>
      <c r="SB1540" s="38"/>
      <c r="SC1540" s="38"/>
      <c r="SD1540" s="38"/>
      <c r="SE1540" s="38"/>
      <c r="SF1540" s="38"/>
      <c r="SG1540" s="38"/>
      <c r="SH1540" s="38"/>
      <c r="SI1540" s="38"/>
      <c r="SJ1540" s="38"/>
      <c r="SK1540" s="38"/>
      <c r="SL1540" s="38"/>
      <c r="SM1540" s="38"/>
      <c r="SN1540" s="38"/>
      <c r="SO1540" s="38"/>
      <c r="SP1540" s="38"/>
      <c r="SQ1540" s="38"/>
      <c r="SR1540" s="38"/>
      <c r="SS1540" s="38"/>
      <c r="ST1540" s="38"/>
      <c r="SU1540" s="38"/>
      <c r="SV1540" s="38"/>
      <c r="SW1540" s="38"/>
      <c r="SX1540" s="38"/>
      <c r="SY1540" s="38"/>
      <c r="SZ1540" s="38"/>
      <c r="TA1540" s="38"/>
      <c r="TB1540" s="38"/>
      <c r="TC1540" s="38"/>
      <c r="TD1540" s="38"/>
      <c r="TE1540" s="38"/>
      <c r="TF1540" s="38"/>
      <c r="TG1540" s="38"/>
      <c r="TH1540" s="38"/>
      <c r="TI1540" s="38"/>
      <c r="TJ1540" s="38"/>
      <c r="TK1540" s="38"/>
      <c r="TL1540" s="38"/>
      <c r="TM1540" s="38"/>
      <c r="TN1540" s="38"/>
      <c r="TO1540" s="38"/>
      <c r="TP1540" s="38"/>
      <c r="TQ1540" s="38"/>
      <c r="TR1540" s="38"/>
      <c r="TS1540" s="38"/>
      <c r="TT1540" s="38"/>
      <c r="TU1540" s="38"/>
      <c r="TV1540" s="38"/>
      <c r="TW1540" s="38"/>
      <c r="TX1540" s="38"/>
      <c r="TY1540" s="38"/>
      <c r="TZ1540" s="38"/>
      <c r="UA1540" s="38"/>
      <c r="UB1540" s="38"/>
      <c r="UC1540" s="38"/>
      <c r="UD1540" s="38"/>
      <c r="UE1540" s="38"/>
      <c r="UF1540" s="38"/>
      <c r="UG1540" s="38"/>
      <c r="UH1540" s="38"/>
      <c r="UI1540" s="38"/>
      <c r="UJ1540" s="38"/>
      <c r="UK1540" s="38"/>
      <c r="UL1540" s="38"/>
      <c r="UM1540" s="38"/>
      <c r="UN1540" s="38"/>
      <c r="UO1540" s="38"/>
      <c r="UP1540" s="38"/>
      <c r="UQ1540" s="38"/>
      <c r="UR1540" s="38"/>
      <c r="US1540" s="38"/>
      <c r="UT1540" s="38"/>
      <c r="UU1540" s="38"/>
      <c r="UV1540" s="38"/>
      <c r="UW1540" s="38"/>
      <c r="UX1540" s="38"/>
      <c r="UY1540" s="38"/>
      <c r="UZ1540" s="38"/>
      <c r="VA1540" s="38"/>
      <c r="VB1540" s="38"/>
      <c r="VC1540" s="38"/>
      <c r="VD1540" s="38"/>
      <c r="VE1540" s="38"/>
      <c r="VF1540" s="38"/>
      <c r="VG1540" s="38"/>
      <c r="VH1540" s="38"/>
      <c r="VI1540" s="38"/>
      <c r="VJ1540" s="38"/>
      <c r="VK1540" s="38"/>
      <c r="VL1540" s="38"/>
      <c r="VM1540" s="38"/>
      <c r="VN1540" s="38"/>
      <c r="VO1540" s="38"/>
      <c r="VP1540" s="38"/>
      <c r="VQ1540" s="38"/>
      <c r="VR1540" s="38"/>
      <c r="VS1540" s="38"/>
      <c r="VT1540" s="38"/>
      <c r="VU1540" s="38"/>
      <c r="VV1540" s="38"/>
      <c r="VW1540" s="38"/>
      <c r="VX1540" s="38"/>
      <c r="VY1540" s="38"/>
      <c r="VZ1540" s="38"/>
      <c r="WA1540" s="38"/>
      <c r="WB1540" s="38"/>
      <c r="WC1540" s="38"/>
      <c r="WD1540" s="38"/>
      <c r="WE1540" s="38"/>
      <c r="WF1540" s="38"/>
      <c r="WG1540" s="38"/>
      <c r="WH1540" s="38"/>
      <c r="WI1540" s="38"/>
      <c r="WJ1540" s="38"/>
      <c r="WK1540" s="38"/>
      <c r="WL1540" s="38"/>
      <c r="WM1540" s="38"/>
      <c r="WN1540" s="38"/>
      <c r="WO1540" s="38"/>
      <c r="WP1540" s="38"/>
      <c r="WQ1540" s="38"/>
      <c r="WR1540" s="38"/>
      <c r="WS1540" s="38"/>
      <c r="WT1540" s="38"/>
      <c r="WU1540" s="38"/>
      <c r="WV1540" s="38"/>
      <c r="WW1540" s="38"/>
      <c r="WX1540" s="38"/>
      <c r="WY1540" s="38"/>
      <c r="WZ1540" s="38"/>
      <c r="XA1540" s="38"/>
      <c r="XB1540" s="38"/>
      <c r="XC1540" s="38"/>
      <c r="XD1540" s="38"/>
      <c r="XE1540" s="38"/>
      <c r="XF1540" s="38"/>
      <c r="XG1540" s="38"/>
      <c r="XH1540" s="38"/>
      <c r="XI1540" s="38"/>
      <c r="XJ1540" s="38"/>
      <c r="XK1540" s="38"/>
      <c r="XL1540" s="38"/>
      <c r="XM1540" s="38"/>
      <c r="XN1540" s="38"/>
      <c r="XO1540" s="38"/>
      <c r="XP1540" s="38"/>
      <c r="XQ1540" s="38"/>
      <c r="XR1540" s="38"/>
      <c r="XS1540" s="38"/>
      <c r="XT1540" s="38"/>
      <c r="XU1540" s="38"/>
      <c r="XV1540" s="38"/>
      <c r="XW1540" s="38"/>
      <c r="XX1540" s="38"/>
      <c r="XY1540" s="38"/>
      <c r="XZ1540" s="38"/>
      <c r="YA1540" s="38"/>
      <c r="YB1540" s="38"/>
      <c r="YC1540" s="38"/>
      <c r="YD1540" s="38"/>
      <c r="YE1540" s="38"/>
      <c r="YF1540" s="38"/>
      <c r="YG1540" s="38"/>
      <c r="YH1540" s="38"/>
      <c r="YI1540" s="38"/>
      <c r="YJ1540" s="38"/>
      <c r="YK1540" s="38"/>
      <c r="YL1540" s="38"/>
      <c r="YM1540" s="38"/>
      <c r="YN1540" s="38"/>
      <c r="YO1540" s="38"/>
      <c r="YP1540" s="38"/>
      <c r="YQ1540" s="38"/>
      <c r="YR1540" s="38"/>
      <c r="YS1540" s="38"/>
      <c r="YT1540" s="38"/>
      <c r="YU1540" s="38"/>
      <c r="YV1540" s="38"/>
      <c r="YW1540" s="38"/>
      <c r="YX1540" s="38"/>
      <c r="YY1540" s="38"/>
      <c r="YZ1540" s="38"/>
      <c r="ZA1540" s="38"/>
      <c r="ZB1540" s="38"/>
      <c r="ZC1540" s="38"/>
      <c r="ZD1540" s="38"/>
      <c r="ZE1540" s="38"/>
      <c r="ZF1540" s="38"/>
      <c r="ZG1540" s="38"/>
      <c r="ZH1540" s="38"/>
      <c r="ZI1540" s="38"/>
      <c r="ZJ1540" s="38"/>
      <c r="ZK1540" s="38"/>
      <c r="ZL1540" s="38"/>
      <c r="ZM1540" s="38"/>
      <c r="ZN1540" s="38"/>
      <c r="ZO1540" s="38"/>
      <c r="ZP1540" s="38"/>
      <c r="ZQ1540" s="38"/>
      <c r="ZR1540" s="38"/>
      <c r="ZS1540" s="38"/>
      <c r="ZT1540" s="38"/>
      <c r="ZU1540" s="38"/>
      <c r="ZV1540" s="38"/>
      <c r="ZW1540" s="38"/>
      <c r="ZX1540" s="38"/>
      <c r="ZY1540" s="38"/>
      <c r="ZZ1540" s="38"/>
      <c r="AAA1540" s="38"/>
      <c r="AAB1540" s="38"/>
      <c r="AAC1540" s="38"/>
      <c r="AAD1540" s="38"/>
      <c r="AAE1540" s="38"/>
      <c r="AAF1540" s="38"/>
      <c r="AAG1540" s="38"/>
      <c r="AAH1540" s="38"/>
      <c r="AAI1540" s="38"/>
      <c r="AAJ1540" s="38"/>
      <c r="AAK1540" s="38"/>
      <c r="AAL1540" s="38"/>
      <c r="AAM1540" s="38"/>
      <c r="AAN1540" s="38"/>
      <c r="AAO1540" s="38"/>
      <c r="AAP1540" s="38"/>
      <c r="AAQ1540" s="38"/>
      <c r="AAR1540" s="38"/>
      <c r="AAS1540" s="38"/>
      <c r="AAT1540" s="38"/>
      <c r="AAU1540" s="38"/>
      <c r="AAV1540" s="38"/>
      <c r="AAW1540" s="38"/>
      <c r="AAX1540" s="38"/>
      <c r="AAY1540" s="38"/>
      <c r="AAZ1540" s="38"/>
      <c r="ABA1540" s="38"/>
      <c r="ABB1540" s="38"/>
      <c r="ABC1540" s="38"/>
      <c r="ABD1540" s="38"/>
      <c r="ABE1540" s="38"/>
      <c r="ABF1540" s="38"/>
      <c r="ABG1540" s="38"/>
      <c r="ABH1540" s="38"/>
      <c r="ABI1540" s="38"/>
      <c r="ABJ1540" s="38"/>
      <c r="ABK1540" s="38"/>
      <c r="ABL1540" s="38"/>
      <c r="ABM1540" s="38"/>
      <c r="ABN1540" s="38"/>
      <c r="ABO1540" s="38"/>
      <c r="ABP1540" s="38"/>
      <c r="ABQ1540" s="38"/>
      <c r="ABR1540" s="38"/>
      <c r="ABS1540" s="38"/>
      <c r="ABT1540" s="38"/>
      <c r="ABU1540" s="38"/>
      <c r="ABV1540" s="38"/>
      <c r="ABW1540" s="38"/>
      <c r="ABX1540" s="38"/>
      <c r="ABY1540" s="38"/>
      <c r="ABZ1540" s="38"/>
      <c r="ACA1540" s="38"/>
      <c r="ACB1540" s="38"/>
      <c r="ACC1540" s="38"/>
      <c r="ACD1540" s="38"/>
      <c r="ACE1540" s="38"/>
      <c r="ACF1540" s="38"/>
      <c r="ACG1540" s="38"/>
      <c r="ACH1540" s="38"/>
      <c r="ACI1540" s="38"/>
      <c r="ACJ1540" s="38"/>
      <c r="ACK1540" s="38"/>
      <c r="ACL1540" s="38"/>
      <c r="ACM1540" s="38"/>
      <c r="ACN1540" s="38"/>
      <c r="ACO1540" s="38"/>
      <c r="ACP1540" s="38"/>
      <c r="ACQ1540" s="38"/>
      <c r="ACR1540" s="38"/>
      <c r="ACS1540" s="38"/>
      <c r="ACT1540" s="38"/>
      <c r="ACU1540" s="38"/>
      <c r="ACV1540" s="38"/>
      <c r="ACW1540" s="38"/>
      <c r="ACX1540" s="38"/>
      <c r="ACY1540" s="38"/>
      <c r="ACZ1540" s="38"/>
      <c r="ADA1540" s="38"/>
      <c r="ADB1540" s="38"/>
      <c r="ADC1540" s="38"/>
      <c r="ADD1540" s="38"/>
      <c r="ADE1540" s="38"/>
      <c r="ADF1540" s="38"/>
      <c r="ADG1540" s="38"/>
      <c r="ADH1540" s="38"/>
      <c r="ADI1540" s="38"/>
      <c r="ADJ1540" s="38"/>
      <c r="ADK1540" s="38"/>
      <c r="ADL1540" s="38"/>
      <c r="ADM1540" s="38"/>
      <c r="ADN1540" s="38"/>
      <c r="ADO1540" s="38"/>
      <c r="ADP1540" s="38"/>
      <c r="ADQ1540" s="38"/>
      <c r="ADR1540" s="38"/>
      <c r="ADS1540" s="38"/>
      <c r="ADT1540" s="38"/>
      <c r="ADU1540" s="38"/>
      <c r="ADV1540" s="38"/>
      <c r="ADW1540" s="38"/>
      <c r="ADX1540" s="38"/>
      <c r="ADY1540" s="38"/>
      <c r="ADZ1540" s="38"/>
      <c r="AEA1540" s="38"/>
      <c r="AEB1540" s="38"/>
      <c r="AEC1540" s="38"/>
      <c r="AED1540" s="38"/>
      <c r="AEE1540" s="38"/>
      <c r="AEF1540" s="38"/>
      <c r="AEG1540" s="38"/>
      <c r="AEH1540" s="38"/>
      <c r="AEI1540" s="38"/>
      <c r="AEJ1540" s="38"/>
      <c r="AEK1540" s="38"/>
      <c r="AEL1540" s="38"/>
      <c r="AEM1540" s="38"/>
      <c r="AEN1540" s="38"/>
      <c r="AEO1540" s="38"/>
      <c r="AEP1540" s="38"/>
      <c r="AEQ1540" s="38"/>
      <c r="AER1540" s="38"/>
      <c r="AES1540" s="38"/>
      <c r="AET1540" s="38"/>
      <c r="AEU1540" s="38"/>
      <c r="AEV1540" s="38"/>
      <c r="AEW1540" s="38"/>
      <c r="AEX1540" s="38"/>
      <c r="AEY1540" s="38"/>
      <c r="AEZ1540" s="38"/>
      <c r="AFA1540" s="38"/>
      <c r="AFB1540" s="38"/>
      <c r="AFC1540" s="38"/>
      <c r="AFD1540" s="38"/>
      <c r="AFE1540" s="38"/>
      <c r="AFF1540" s="38"/>
      <c r="AFG1540" s="38"/>
      <c r="AFH1540" s="38"/>
      <c r="AFI1540" s="38"/>
      <c r="AFJ1540" s="38"/>
      <c r="AFK1540" s="38"/>
      <c r="AFL1540" s="38"/>
      <c r="AFM1540" s="38"/>
      <c r="AFN1540" s="38"/>
      <c r="AFO1540" s="38"/>
      <c r="AFP1540" s="38"/>
      <c r="AFQ1540" s="38"/>
      <c r="AFR1540" s="38"/>
      <c r="AFS1540" s="38"/>
      <c r="AFT1540" s="38"/>
      <c r="AFU1540" s="38"/>
      <c r="AFV1540" s="38"/>
      <c r="AFW1540" s="38"/>
      <c r="AFX1540" s="38"/>
      <c r="AFY1540" s="38"/>
      <c r="AFZ1540" s="38"/>
      <c r="AGA1540" s="38"/>
      <c r="AGB1540" s="38"/>
      <c r="AGC1540" s="38"/>
      <c r="AGD1540" s="38"/>
      <c r="AGE1540" s="38"/>
      <c r="AGF1540" s="38"/>
      <c r="AGG1540" s="38"/>
      <c r="AGH1540" s="38"/>
      <c r="AGI1540" s="38"/>
      <c r="AGJ1540" s="38"/>
      <c r="AGK1540" s="38"/>
      <c r="AGL1540" s="38"/>
      <c r="AGM1540" s="38"/>
      <c r="AGN1540" s="38"/>
      <c r="AGO1540" s="38"/>
      <c r="AGP1540" s="38"/>
      <c r="AGQ1540" s="38"/>
      <c r="AGR1540" s="38"/>
      <c r="AGS1540" s="38"/>
      <c r="AGT1540" s="38"/>
      <c r="AGU1540" s="38"/>
      <c r="AGV1540" s="38"/>
      <c r="AGW1540" s="38"/>
      <c r="AGX1540" s="38"/>
      <c r="AGY1540" s="38"/>
      <c r="AGZ1540" s="38"/>
      <c r="AHA1540" s="38"/>
      <c r="AHB1540" s="38"/>
      <c r="AHC1540" s="38"/>
      <c r="AHD1540" s="38"/>
      <c r="AHE1540" s="38"/>
      <c r="AHF1540" s="38"/>
      <c r="AHG1540" s="38"/>
      <c r="AHH1540" s="38"/>
      <c r="AHI1540" s="38"/>
      <c r="AHJ1540" s="38"/>
      <c r="AHK1540" s="38"/>
      <c r="AHL1540" s="38"/>
      <c r="AHM1540" s="38"/>
      <c r="AHN1540" s="38"/>
      <c r="AHO1540" s="38"/>
      <c r="AHP1540" s="38"/>
      <c r="AHQ1540" s="38"/>
      <c r="AHR1540" s="38"/>
      <c r="AHS1540" s="38"/>
      <c r="AHT1540" s="38"/>
      <c r="AHU1540" s="38"/>
      <c r="AHV1540" s="38"/>
      <c r="AHW1540" s="38"/>
      <c r="AHX1540" s="38"/>
      <c r="AHY1540" s="38"/>
      <c r="AHZ1540" s="38"/>
      <c r="AIA1540" s="38"/>
      <c r="AIB1540" s="38"/>
      <c r="AIC1540" s="38"/>
      <c r="AID1540" s="38"/>
      <c r="AIE1540" s="38"/>
      <c r="AIF1540" s="38"/>
      <c r="AIG1540" s="38"/>
      <c r="AIH1540" s="38"/>
      <c r="AII1540" s="38"/>
      <c r="AIJ1540" s="38"/>
      <c r="AIK1540" s="38"/>
      <c r="AIL1540" s="38"/>
      <c r="AIM1540" s="38"/>
      <c r="AIN1540" s="38"/>
      <c r="AIO1540" s="38"/>
      <c r="AIP1540" s="38"/>
      <c r="AIQ1540" s="38"/>
      <c r="AIR1540" s="38"/>
      <c r="AIS1540" s="38"/>
      <c r="AIT1540" s="38"/>
      <c r="AIU1540" s="38"/>
      <c r="AIV1540" s="38"/>
      <c r="AIW1540" s="38"/>
      <c r="AIX1540" s="38"/>
      <c r="AIY1540" s="38"/>
      <c r="AIZ1540" s="38"/>
      <c r="AJA1540" s="38"/>
      <c r="AJB1540" s="38"/>
      <c r="AJC1540" s="38"/>
      <c r="AJD1540" s="38"/>
      <c r="AJE1540" s="38"/>
      <c r="AJF1540" s="38"/>
      <c r="AJG1540" s="38"/>
      <c r="AJH1540" s="38"/>
      <c r="AJI1540" s="38"/>
      <c r="AJJ1540" s="38"/>
      <c r="AJK1540" s="38"/>
      <c r="AJL1540" s="38"/>
      <c r="AJM1540" s="38"/>
      <c r="AJN1540" s="38"/>
      <c r="AJO1540" s="38"/>
      <c r="AJP1540" s="38"/>
      <c r="AJQ1540" s="38"/>
      <c r="AJR1540" s="38"/>
      <c r="AJS1540" s="38"/>
      <c r="AJT1540" s="38"/>
      <c r="AJU1540" s="38"/>
      <c r="AJV1540" s="38"/>
      <c r="AJW1540" s="38"/>
      <c r="AJX1540" s="38"/>
      <c r="AJY1540" s="38"/>
      <c r="AJZ1540" s="38"/>
      <c r="AKA1540" s="38"/>
      <c r="AKB1540" s="38"/>
      <c r="AKC1540" s="38"/>
      <c r="AKD1540" s="38"/>
      <c r="AKE1540" s="38"/>
      <c r="AKF1540" s="38"/>
      <c r="AKG1540" s="38"/>
      <c r="AKH1540" s="38"/>
      <c r="AKI1540" s="38"/>
      <c r="AKJ1540" s="38"/>
      <c r="AKK1540" s="38"/>
      <c r="AKL1540" s="38"/>
      <c r="AKM1540" s="38"/>
      <c r="AKN1540" s="38"/>
      <c r="AKO1540" s="38"/>
      <c r="AKP1540" s="38"/>
      <c r="AKQ1540" s="38"/>
      <c r="AKR1540" s="38"/>
      <c r="AKS1540" s="38"/>
      <c r="AKT1540" s="38"/>
      <c r="AKU1540" s="38"/>
      <c r="AKV1540" s="38"/>
      <c r="AKW1540" s="38"/>
      <c r="AKX1540" s="38"/>
      <c r="AKY1540" s="38"/>
      <c r="AKZ1540" s="38"/>
      <c r="ALA1540" s="38"/>
      <c r="ALB1540" s="38"/>
      <c r="ALC1540" s="38"/>
      <c r="ALD1540" s="38"/>
      <c r="ALE1540" s="38"/>
      <c r="ALF1540" s="38"/>
      <c r="ALG1540" s="38"/>
      <c r="ALH1540" s="38"/>
      <c r="ALI1540" s="38"/>
      <c r="ALJ1540" s="38"/>
      <c r="ALK1540" s="38"/>
      <c r="ALL1540" s="38"/>
      <c r="ALM1540" s="38"/>
      <c r="ALN1540" s="38"/>
      <c r="ALO1540" s="38"/>
      <c r="ALP1540" s="38"/>
      <c r="ALQ1540" s="38"/>
      <c r="ALR1540" s="38"/>
      <c r="ALS1540" s="38"/>
      <c r="ALT1540" s="38"/>
      <c r="ALU1540" s="38"/>
      <c r="ALV1540" s="38"/>
      <c r="ALW1540" s="38"/>
      <c r="ALX1540" s="38"/>
      <c r="ALY1540" s="38"/>
      <c r="ALZ1540" s="38"/>
      <c r="AMA1540" s="38"/>
      <c r="AMB1540" s="38"/>
      <c r="AMC1540" s="38"/>
      <c r="AMD1540" s="38"/>
      <c r="AME1540" s="38"/>
      <c r="AMF1540" s="38"/>
      <c r="AMG1540" s="38"/>
      <c r="AMH1540" s="38"/>
      <c r="AMI1540" s="38"/>
      <c r="AMJ1540" s="38"/>
      <c r="AMK1540" s="38"/>
      <c r="AML1540" s="38"/>
      <c r="AMM1540" s="38"/>
      <c r="AMN1540" s="38"/>
      <c r="AMO1540" s="38"/>
      <c r="AMP1540" s="38"/>
      <c r="AMQ1540" s="38"/>
      <c r="AMR1540" s="38"/>
      <c r="AMS1540" s="38"/>
      <c r="AMT1540" s="38"/>
      <c r="AMU1540" s="38"/>
      <c r="AMV1540" s="38"/>
      <c r="AMW1540" s="38"/>
      <c r="AMX1540" s="38"/>
      <c r="AMY1540" s="38"/>
      <c r="AMZ1540" s="38"/>
      <c r="ANA1540" s="38"/>
      <c r="ANB1540" s="38"/>
      <c r="ANC1540" s="38"/>
      <c r="AND1540" s="38"/>
      <c r="ANE1540" s="38"/>
      <c r="ANF1540" s="38"/>
      <c r="ANG1540" s="38"/>
      <c r="ANH1540" s="38"/>
      <c r="ANI1540" s="38"/>
      <c r="ANJ1540" s="38"/>
      <c r="ANK1540" s="38"/>
      <c r="ANL1540" s="38"/>
      <c r="ANM1540" s="38"/>
      <c r="ANN1540" s="38"/>
      <c r="ANO1540" s="38"/>
      <c r="ANP1540" s="38"/>
      <c r="ANQ1540" s="38"/>
      <c r="ANR1540" s="38"/>
      <c r="ANS1540" s="38"/>
      <c r="ANT1540" s="38"/>
      <c r="ANU1540" s="38"/>
      <c r="ANV1540" s="38"/>
      <c r="ANW1540" s="38"/>
      <c r="ANX1540" s="38"/>
      <c r="ANY1540" s="38"/>
      <c r="ANZ1540" s="38"/>
      <c r="AOA1540" s="38"/>
      <c r="AOB1540" s="38"/>
      <c r="AOC1540" s="38"/>
      <c r="AOD1540" s="38"/>
      <c r="AOE1540" s="38"/>
      <c r="AOF1540" s="38"/>
      <c r="AOG1540" s="38"/>
      <c r="AOH1540" s="38"/>
      <c r="AOI1540" s="38"/>
      <c r="AOJ1540" s="38"/>
      <c r="AOK1540" s="38"/>
      <c r="AOL1540" s="38"/>
      <c r="AOM1540" s="38"/>
      <c r="AON1540" s="38"/>
      <c r="AOO1540" s="38"/>
      <c r="AOP1540" s="38"/>
      <c r="AOQ1540" s="38"/>
      <c r="AOR1540" s="38"/>
      <c r="AOS1540" s="38"/>
      <c r="AOT1540" s="38"/>
      <c r="AOU1540" s="38"/>
      <c r="AOV1540" s="38"/>
      <c r="AOW1540" s="38"/>
      <c r="AOX1540" s="38"/>
      <c r="AOY1540" s="38"/>
      <c r="AOZ1540" s="38"/>
      <c r="APA1540" s="38"/>
      <c r="APB1540" s="38"/>
      <c r="APC1540" s="38"/>
    </row>
    <row r="1541" spans="1:1095" s="36" customFormat="1" ht="14.25" customHeight="1">
      <c r="A1541" s="3" t="s">
        <v>1722</v>
      </c>
      <c r="B1541" s="36" t="s">
        <v>2006</v>
      </c>
      <c r="C1541" s="10">
        <v>4099854037337</v>
      </c>
      <c r="D1541" s="224">
        <v>4058075614475</v>
      </c>
      <c r="E1541" s="245" t="s">
        <v>757</v>
      </c>
      <c r="F1541" s="246"/>
      <c r="G1541" s="66" t="str">
        <f>HYPERLINK("https://ledvance.com/pt/product-datasheet/246821/233266","Ficha de Produto")</f>
        <v>Ficha de Produto</v>
      </c>
      <c r="H1541" s="34">
        <v>10</v>
      </c>
      <c r="I1541" s="34" t="s">
        <v>6297</v>
      </c>
      <c r="J1541" s="34" t="s">
        <v>6298</v>
      </c>
      <c r="K1541" s="34" t="s">
        <v>788</v>
      </c>
      <c r="L1541" s="34" t="s">
        <v>765</v>
      </c>
      <c r="M1541" s="247">
        <v>14.9</v>
      </c>
      <c r="N1541" s="288" t="s">
        <v>722</v>
      </c>
    </row>
    <row r="1542" spans="1:1095" s="36" customFormat="1" ht="14.25" customHeight="1">
      <c r="A1542" s="3" t="s">
        <v>1722</v>
      </c>
      <c r="B1542" s="36" t="s">
        <v>2007</v>
      </c>
      <c r="C1542" s="10">
        <v>4099854037351</v>
      </c>
      <c r="D1542" s="224">
        <v>4058075614499</v>
      </c>
      <c r="E1542" s="245" t="s">
        <v>758</v>
      </c>
      <c r="F1542" s="246"/>
      <c r="G1542" s="66" t="str">
        <f>HYPERLINK("https://ledvance.com/pt/product-datasheet/246821/233269","Ficha de Produto")</f>
        <v>Ficha de Produto</v>
      </c>
      <c r="H1542" s="34">
        <v>10</v>
      </c>
      <c r="I1542" s="34" t="s">
        <v>1042</v>
      </c>
      <c r="J1542" s="34" t="s">
        <v>6298</v>
      </c>
      <c r="K1542" s="34" t="s">
        <v>788</v>
      </c>
      <c r="L1542" s="34" t="s">
        <v>765</v>
      </c>
      <c r="M1542" s="247">
        <v>14.9</v>
      </c>
      <c r="N1542" s="288" t="s">
        <v>722</v>
      </c>
    </row>
    <row r="1543" spans="1:1095" s="36" customFormat="1" ht="14.25" customHeight="1">
      <c r="A1543" s="3" t="s">
        <v>1722</v>
      </c>
      <c r="B1543" s="36" t="s">
        <v>2009</v>
      </c>
      <c r="C1543" s="10">
        <v>4099854037375</v>
      </c>
      <c r="D1543" s="246"/>
      <c r="E1543" s="249"/>
      <c r="F1543" s="222" t="s">
        <v>3136</v>
      </c>
      <c r="G1543" s="66" t="str">
        <f>HYPERLINK("https://ledvance.com/pt/product-datasheet/246821/233272","Ficha de Produto")</f>
        <v>Ficha de Produto</v>
      </c>
      <c r="H1543" s="34">
        <v>10</v>
      </c>
      <c r="I1543" s="34" t="s">
        <v>1042</v>
      </c>
      <c r="J1543" s="34" t="s">
        <v>6298</v>
      </c>
      <c r="K1543" s="34" t="s">
        <v>788</v>
      </c>
      <c r="L1543" s="34" t="s">
        <v>765</v>
      </c>
      <c r="M1543" s="247">
        <v>14.9</v>
      </c>
      <c r="N1543" s="288" t="s">
        <v>722</v>
      </c>
    </row>
    <row r="1544" spans="1:1095" s="36" customFormat="1" ht="14.25" customHeight="1">
      <c r="A1544" s="3" t="s">
        <v>1722</v>
      </c>
      <c r="B1544" s="36" t="s">
        <v>2010</v>
      </c>
      <c r="C1544" s="10">
        <v>4099854037399</v>
      </c>
      <c r="D1544" s="246"/>
      <c r="E1544" s="249"/>
      <c r="F1544" s="222" t="s">
        <v>3136</v>
      </c>
      <c r="G1544" s="66" t="str">
        <f>HYPERLINK("https://ledvance.com/pt/product-datasheet/246821/233275","Ficha de Produto")</f>
        <v>Ficha de Produto</v>
      </c>
      <c r="H1544" s="34">
        <v>10</v>
      </c>
      <c r="I1544" s="34" t="s">
        <v>6299</v>
      </c>
      <c r="J1544" s="34" t="s">
        <v>6300</v>
      </c>
      <c r="K1544" s="34" t="s">
        <v>788</v>
      </c>
      <c r="L1544" s="34" t="s">
        <v>765</v>
      </c>
      <c r="M1544" s="247">
        <v>15</v>
      </c>
      <c r="N1544" s="288" t="s">
        <v>722</v>
      </c>
    </row>
    <row r="1545" spans="1:1095" s="36" customFormat="1" ht="14.25" customHeight="1">
      <c r="A1545" s="3" t="s">
        <v>1722</v>
      </c>
      <c r="B1545" s="36" t="s">
        <v>2011</v>
      </c>
      <c r="C1545" s="10">
        <v>4099854037412</v>
      </c>
      <c r="D1545" s="224">
        <v>4058075612150</v>
      </c>
      <c r="E1545" s="245" t="s">
        <v>990</v>
      </c>
      <c r="F1545" s="246"/>
      <c r="G1545" s="66" t="str">
        <f>HYPERLINK("https://ledvance.com/pt/product-datasheet/246821/233278","Ficha de Produto")</f>
        <v>Ficha de Produto</v>
      </c>
      <c r="H1545" s="34">
        <v>10</v>
      </c>
      <c r="I1545" s="34" t="s">
        <v>929</v>
      </c>
      <c r="J1545" s="34" t="s">
        <v>6300</v>
      </c>
      <c r="K1545" s="34" t="s">
        <v>788</v>
      </c>
      <c r="L1545" s="34" t="s">
        <v>765</v>
      </c>
      <c r="M1545" s="247">
        <v>15</v>
      </c>
      <c r="N1545" s="288" t="s">
        <v>722</v>
      </c>
    </row>
    <row r="1546" spans="1:1095" s="36" customFormat="1" ht="14.25" customHeight="1">
      <c r="A1546" s="3" t="s">
        <v>1722</v>
      </c>
      <c r="B1546" s="36" t="s">
        <v>2012</v>
      </c>
      <c r="C1546" s="10">
        <v>4099854037436</v>
      </c>
      <c r="D1546" s="224">
        <v>4058075612174</v>
      </c>
      <c r="E1546" s="245" t="s">
        <v>991</v>
      </c>
      <c r="F1546" s="246"/>
      <c r="G1546" s="66" t="str">
        <f>HYPERLINK("https://ledvance.com/pt/product-datasheet/246821/233281","Ficha de Produto")</f>
        <v>Ficha de Produto</v>
      </c>
      <c r="H1546" s="34">
        <v>10</v>
      </c>
      <c r="I1546" s="34" t="s">
        <v>929</v>
      </c>
      <c r="J1546" s="34" t="s">
        <v>6300</v>
      </c>
      <c r="K1546" s="34" t="s">
        <v>788</v>
      </c>
      <c r="L1546" s="34" t="s">
        <v>765</v>
      </c>
      <c r="M1546" s="247">
        <v>15</v>
      </c>
      <c r="N1546" s="288" t="s">
        <v>722</v>
      </c>
    </row>
    <row r="1547" spans="1:1095" s="36" customFormat="1" ht="14.25" customHeight="1">
      <c r="A1547" s="3" t="s">
        <v>1722</v>
      </c>
      <c r="B1547" s="36" t="s">
        <v>2013</v>
      </c>
      <c r="C1547" s="10">
        <v>4099854037450</v>
      </c>
      <c r="D1547" s="246"/>
      <c r="E1547" s="249"/>
      <c r="F1547" s="222" t="s">
        <v>3136</v>
      </c>
      <c r="G1547" s="66" t="str">
        <f>HYPERLINK("https://ledvance.com/pt/product-datasheet/246821/233284","Ficha de Produto")</f>
        <v>Ficha de Produto</v>
      </c>
      <c r="H1547" s="34">
        <v>10</v>
      </c>
      <c r="I1547" s="34" t="s">
        <v>799</v>
      </c>
      <c r="J1547" s="34" t="s">
        <v>6301</v>
      </c>
      <c r="K1547" s="34" t="s">
        <v>788</v>
      </c>
      <c r="L1547" s="34" t="s">
        <v>765</v>
      </c>
      <c r="M1547" s="247">
        <v>15.5</v>
      </c>
      <c r="N1547" s="288" t="s">
        <v>722</v>
      </c>
    </row>
    <row r="1548" spans="1:1095" s="36" customFormat="1" ht="14.25" customHeight="1">
      <c r="A1548" s="3" t="s">
        <v>1722</v>
      </c>
      <c r="B1548" s="36" t="s">
        <v>2020</v>
      </c>
      <c r="C1548" s="10">
        <v>4099854037474</v>
      </c>
      <c r="D1548" s="224">
        <v>4058075612198</v>
      </c>
      <c r="E1548" s="245" t="s">
        <v>992</v>
      </c>
      <c r="F1548" s="246"/>
      <c r="G1548" s="66" t="str">
        <f>HYPERLINK("https://ledvance.com/pt/product-datasheet/246821/233287","Ficha de Produto")</f>
        <v>Ficha de Produto</v>
      </c>
      <c r="H1548" s="34">
        <v>10</v>
      </c>
      <c r="I1548" s="34" t="s">
        <v>936</v>
      </c>
      <c r="J1548" s="34" t="s">
        <v>6301</v>
      </c>
      <c r="K1548" s="34" t="s">
        <v>788</v>
      </c>
      <c r="L1548" s="34" t="s">
        <v>765</v>
      </c>
      <c r="M1548" s="247">
        <v>15.5</v>
      </c>
      <c r="N1548" s="288" t="s">
        <v>722</v>
      </c>
    </row>
    <row r="1549" spans="1:1095" s="36" customFormat="1" ht="14.25" customHeight="1">
      <c r="A1549" s="3" t="s">
        <v>1722</v>
      </c>
      <c r="B1549" s="36" t="s">
        <v>2015</v>
      </c>
      <c r="C1549" s="10">
        <v>4099854037498</v>
      </c>
      <c r="D1549" s="224">
        <v>4058075612211</v>
      </c>
      <c r="E1549" s="245" t="s">
        <v>993</v>
      </c>
      <c r="F1549" s="246"/>
      <c r="G1549" s="66" t="str">
        <f>HYPERLINK("https://ledvance.com/pt/product-datasheet/246821/233290","Ficha de Produto")</f>
        <v>Ficha de Produto</v>
      </c>
      <c r="H1549" s="34">
        <v>10</v>
      </c>
      <c r="I1549" s="34" t="s">
        <v>936</v>
      </c>
      <c r="J1549" s="34" t="s">
        <v>6301</v>
      </c>
      <c r="K1549" s="34" t="s">
        <v>788</v>
      </c>
      <c r="L1549" s="34" t="s">
        <v>765</v>
      </c>
      <c r="M1549" s="247">
        <v>15.5</v>
      </c>
      <c r="N1549" s="288" t="s">
        <v>722</v>
      </c>
    </row>
    <row r="1550" spans="1:1095" s="36" customFormat="1" ht="14.25" customHeight="1">
      <c r="A1550" s="3" t="s">
        <v>1722</v>
      </c>
      <c r="B1550" s="36" t="s">
        <v>2014</v>
      </c>
      <c r="C1550" s="10">
        <v>4099854037511</v>
      </c>
      <c r="D1550" s="246"/>
      <c r="E1550" s="249"/>
      <c r="F1550" s="222" t="s">
        <v>3136</v>
      </c>
      <c r="G1550" s="66" t="str">
        <f>HYPERLINK("https://ledvance.com/pt/product-datasheet/246821/233293","Ficha de Produto")</f>
        <v>Ficha de Produto</v>
      </c>
      <c r="H1550" s="34">
        <v>10</v>
      </c>
      <c r="I1550" s="34" t="s">
        <v>820</v>
      </c>
      <c r="J1550" s="34" t="s">
        <v>6302</v>
      </c>
      <c r="K1550" s="34" t="s">
        <v>788</v>
      </c>
      <c r="L1550" s="34" t="s">
        <v>765</v>
      </c>
      <c r="M1550" s="247">
        <v>18.100000000000001</v>
      </c>
      <c r="N1550" s="288" t="s">
        <v>722</v>
      </c>
    </row>
    <row r="1551" spans="1:1095" s="36" customFormat="1" ht="14.25" customHeight="1">
      <c r="A1551" s="3" t="s">
        <v>1722</v>
      </c>
      <c r="B1551" s="36" t="s">
        <v>2016</v>
      </c>
      <c r="C1551" s="10">
        <v>4099854037535</v>
      </c>
      <c r="D1551" s="224">
        <v>4058075612235</v>
      </c>
      <c r="E1551" s="245" t="s">
        <v>994</v>
      </c>
      <c r="F1551" s="246"/>
      <c r="G1551" s="66" t="str">
        <f>HYPERLINK("https://ledvance.com/pt/product-datasheet/246821/233296","Ficha de Produto")</f>
        <v>Ficha de Produto</v>
      </c>
      <c r="H1551" s="34">
        <v>10</v>
      </c>
      <c r="I1551" s="34" t="s">
        <v>861</v>
      </c>
      <c r="J1551" s="34" t="s">
        <v>6302</v>
      </c>
      <c r="K1551" s="34" t="s">
        <v>788</v>
      </c>
      <c r="L1551" s="34" t="s">
        <v>765</v>
      </c>
      <c r="M1551" s="247">
        <v>18.100000000000001</v>
      </c>
      <c r="N1551" s="288" t="s">
        <v>722</v>
      </c>
    </row>
    <row r="1552" spans="1:1095" s="36" customFormat="1" ht="14.25" customHeight="1">
      <c r="A1552" s="3" t="s">
        <v>1722</v>
      </c>
      <c r="B1552" s="36" t="s">
        <v>2017</v>
      </c>
      <c r="C1552" s="10">
        <v>4099854037559</v>
      </c>
      <c r="D1552" s="224">
        <v>4058075612259</v>
      </c>
      <c r="E1552" s="245" t="s">
        <v>995</v>
      </c>
      <c r="F1552" s="246"/>
      <c r="G1552" s="66" t="str">
        <f>HYPERLINK("https://ledvance.com/pt/product-datasheet/246821/233299","Ficha de Produto")</f>
        <v>Ficha de Produto</v>
      </c>
      <c r="H1552" s="34">
        <v>10</v>
      </c>
      <c r="I1552" s="34" t="s">
        <v>861</v>
      </c>
      <c r="J1552" s="34" t="s">
        <v>6302</v>
      </c>
      <c r="K1552" s="34" t="s">
        <v>788</v>
      </c>
      <c r="L1552" s="34" t="s">
        <v>765</v>
      </c>
      <c r="M1552" s="247">
        <v>18.100000000000001</v>
      </c>
      <c r="N1552" s="288" t="s">
        <v>722</v>
      </c>
    </row>
    <row r="1553" spans="1:1095" s="36" customFormat="1" ht="14.25" customHeight="1">
      <c r="A1553" s="3" t="s">
        <v>1722</v>
      </c>
      <c r="B1553" s="36" t="s">
        <v>2021</v>
      </c>
      <c r="C1553" s="10">
        <v>4099854037573</v>
      </c>
      <c r="D1553" s="246"/>
      <c r="E1553" s="249"/>
      <c r="F1553" s="222" t="s">
        <v>3136</v>
      </c>
      <c r="G1553" s="66" t="str">
        <f>HYPERLINK("https://ledvance.com/pt/product-datasheet/246821/233302","Ficha de Produto")</f>
        <v>Ficha de Produto</v>
      </c>
      <c r="H1553" s="34">
        <v>10</v>
      </c>
      <c r="I1553" s="34" t="s">
        <v>6303</v>
      </c>
      <c r="J1553" s="34" t="s">
        <v>798</v>
      </c>
      <c r="K1553" s="34" t="s">
        <v>788</v>
      </c>
      <c r="L1553" s="34" t="s">
        <v>765</v>
      </c>
      <c r="M1553" s="247">
        <v>18.7</v>
      </c>
      <c r="N1553" s="288" t="s">
        <v>722</v>
      </c>
    </row>
    <row r="1554" spans="1:1095" s="36" customFormat="1" ht="14.25" customHeight="1">
      <c r="A1554" s="3" t="s">
        <v>1722</v>
      </c>
      <c r="B1554" s="36" t="s">
        <v>2022</v>
      </c>
      <c r="C1554" s="10">
        <v>4099854037597</v>
      </c>
      <c r="D1554" s="224">
        <v>4058075612273</v>
      </c>
      <c r="E1554" s="245" t="s">
        <v>996</v>
      </c>
      <c r="F1554" s="246"/>
      <c r="G1554" s="66" t="str">
        <f>HYPERLINK("https://ledvance.com/pt/product-datasheet/246821/233305","Ficha de Produto")</f>
        <v>Ficha de Produto</v>
      </c>
      <c r="H1554" s="34">
        <v>10</v>
      </c>
      <c r="I1554" s="34" t="s">
        <v>6304</v>
      </c>
      <c r="J1554" s="34" t="s">
        <v>798</v>
      </c>
      <c r="K1554" s="34" t="s">
        <v>788</v>
      </c>
      <c r="L1554" s="34" t="s">
        <v>765</v>
      </c>
      <c r="M1554" s="247">
        <v>18.7</v>
      </c>
      <c r="N1554" s="288" t="s">
        <v>722</v>
      </c>
    </row>
    <row r="1555" spans="1:1095" s="36" customFormat="1" ht="14.25" customHeight="1">
      <c r="A1555" s="3" t="s">
        <v>1722</v>
      </c>
      <c r="B1555" s="36" t="s">
        <v>2023</v>
      </c>
      <c r="C1555" s="10">
        <v>4099854037610</v>
      </c>
      <c r="D1555" s="224">
        <v>4058075612297</v>
      </c>
      <c r="E1555" s="245" t="s">
        <v>997</v>
      </c>
      <c r="F1555" s="246"/>
      <c r="G1555" s="66" t="str">
        <f>HYPERLINK("https://ledvance.com/pt/product-datasheet/246821/233308","Ficha de Produto")</f>
        <v>Ficha de Produto</v>
      </c>
      <c r="H1555" s="34">
        <v>10</v>
      </c>
      <c r="I1555" s="34" t="s">
        <v>6304</v>
      </c>
      <c r="J1555" s="34" t="s">
        <v>798</v>
      </c>
      <c r="K1555" s="34" t="s">
        <v>788</v>
      </c>
      <c r="L1555" s="34" t="s">
        <v>765</v>
      </c>
      <c r="M1555" s="247">
        <v>18.7</v>
      </c>
      <c r="N1555" s="288" t="s">
        <v>722</v>
      </c>
    </row>
    <row r="1556" spans="1:1095" s="36" customFormat="1" ht="14.25" customHeight="1">
      <c r="A1556" s="3" t="s">
        <v>1722</v>
      </c>
      <c r="B1556" s="36" t="s">
        <v>2024</v>
      </c>
      <c r="C1556" s="10">
        <v>4099854037634</v>
      </c>
      <c r="D1556" s="246"/>
      <c r="E1556" s="249"/>
      <c r="F1556" s="222" t="s">
        <v>3136</v>
      </c>
      <c r="G1556" s="66" t="str">
        <f>HYPERLINK("https://ledvance.com/pt/product-datasheet/246821/233311","Ficha de Produto")</f>
        <v>Ficha de Produto</v>
      </c>
      <c r="H1556" s="34">
        <v>10</v>
      </c>
      <c r="I1556" s="34" t="s">
        <v>6305</v>
      </c>
      <c r="J1556" s="34" t="s">
        <v>6306</v>
      </c>
      <c r="K1556" s="34" t="s">
        <v>788</v>
      </c>
      <c r="L1556" s="34" t="s">
        <v>765</v>
      </c>
      <c r="M1556" s="247">
        <v>24.400000000000002</v>
      </c>
      <c r="N1556" s="288" t="s">
        <v>722</v>
      </c>
    </row>
    <row r="1557" spans="1:1095" s="36" customFormat="1" ht="14.25" customHeight="1">
      <c r="A1557" s="3" t="s">
        <v>1722</v>
      </c>
      <c r="B1557" s="36" t="s">
        <v>2025</v>
      </c>
      <c r="C1557" s="10">
        <v>4099854037658</v>
      </c>
      <c r="D1557" s="224">
        <v>4058075612310</v>
      </c>
      <c r="E1557" s="245" t="s">
        <v>998</v>
      </c>
      <c r="F1557" s="246"/>
      <c r="G1557" s="66" t="str">
        <f>HYPERLINK("https://ledvance.com/pt/product-datasheet/246821/233314","Ficha de Produto")</f>
        <v>Ficha de Produto</v>
      </c>
      <c r="H1557" s="34">
        <v>10</v>
      </c>
      <c r="I1557" s="34" t="s">
        <v>840</v>
      </c>
      <c r="J1557" s="34" t="s">
        <v>6306</v>
      </c>
      <c r="K1557" s="34" t="s">
        <v>788</v>
      </c>
      <c r="L1557" s="34" t="s">
        <v>765</v>
      </c>
      <c r="M1557" s="247">
        <v>24.400000000000002</v>
      </c>
      <c r="N1557" s="288" t="s">
        <v>722</v>
      </c>
    </row>
    <row r="1558" spans="1:1095" s="36" customFormat="1" ht="14.25" customHeight="1">
      <c r="A1558" s="3" t="s">
        <v>1722</v>
      </c>
      <c r="B1558" s="36" t="s">
        <v>2026</v>
      </c>
      <c r="C1558" s="10">
        <v>4099854037672</v>
      </c>
      <c r="D1558" s="224">
        <v>4058075612334</v>
      </c>
      <c r="E1558" s="245" t="s">
        <v>999</v>
      </c>
      <c r="F1558" s="246"/>
      <c r="G1558" s="66" t="str">
        <f>HYPERLINK("https://ledvance.com/pt/product-datasheet/246821/233317","Ficha de Produto")</f>
        <v>Ficha de Produto</v>
      </c>
      <c r="H1558" s="34">
        <v>10</v>
      </c>
      <c r="I1558" s="34" t="s">
        <v>840</v>
      </c>
      <c r="J1558" s="34" t="s">
        <v>6306</v>
      </c>
      <c r="K1558" s="34" t="s">
        <v>788</v>
      </c>
      <c r="L1558" s="34" t="s">
        <v>765</v>
      </c>
      <c r="M1558" s="247">
        <v>24.400000000000002</v>
      </c>
      <c r="N1558" s="288" t="s">
        <v>722</v>
      </c>
    </row>
    <row r="1559" spans="1:1095" s="39" customFormat="1" ht="14.25" customHeight="1">
      <c r="A1559" s="8" t="s">
        <v>1722</v>
      </c>
      <c r="B1559" s="244" t="s">
        <v>2027</v>
      </c>
      <c r="C1559" s="244"/>
      <c r="D1559" s="7"/>
      <c r="E1559" s="230"/>
      <c r="F1559" s="7"/>
      <c r="G1559" s="68"/>
      <c r="H1559" s="230"/>
      <c r="I1559" s="230"/>
      <c r="J1559" s="230"/>
      <c r="K1559" s="230"/>
      <c r="L1559" s="230"/>
      <c r="M1559" s="248"/>
      <c r="N1559" s="289"/>
      <c r="O1559" s="38"/>
      <c r="P1559" s="38"/>
      <c r="Q1559" s="38"/>
      <c r="R1559" s="38"/>
      <c r="S1559" s="38"/>
      <c r="T1559" s="38"/>
      <c r="U1559" s="38"/>
      <c r="V1559" s="38"/>
      <c r="W1559" s="38"/>
      <c r="X1559" s="38"/>
      <c r="Y1559" s="38"/>
      <c r="Z1559" s="38"/>
      <c r="AA1559" s="38"/>
      <c r="AB1559" s="38"/>
      <c r="AC1559" s="38"/>
      <c r="AD1559" s="38"/>
      <c r="AE1559" s="38"/>
      <c r="AF1559" s="38"/>
      <c r="AG1559" s="38"/>
      <c r="AH1559" s="38"/>
      <c r="AI1559" s="38"/>
      <c r="AJ1559" s="38"/>
      <c r="AK1559" s="38"/>
      <c r="AL1559" s="38"/>
      <c r="AM1559" s="38"/>
      <c r="AN1559" s="38"/>
      <c r="AO1559" s="38"/>
      <c r="AP1559" s="38"/>
      <c r="AQ1559" s="38"/>
      <c r="AR1559" s="38"/>
      <c r="AS1559" s="38"/>
      <c r="AT1559" s="38"/>
      <c r="AU1559" s="38"/>
      <c r="AV1559" s="38"/>
      <c r="AW1559" s="38"/>
      <c r="AX1559" s="38"/>
      <c r="AY1559" s="38"/>
      <c r="AZ1559" s="38"/>
      <c r="BA1559" s="38"/>
      <c r="BB1559" s="38"/>
      <c r="BC1559" s="38"/>
      <c r="BD1559" s="38"/>
      <c r="BE1559" s="38"/>
      <c r="BF1559" s="38"/>
      <c r="BG1559" s="38"/>
      <c r="BH1559" s="38"/>
      <c r="BI1559" s="38"/>
      <c r="BJ1559" s="38"/>
      <c r="BK1559" s="38"/>
      <c r="BL1559" s="38"/>
      <c r="BM1559" s="38"/>
      <c r="BN1559" s="38"/>
      <c r="BO1559" s="38"/>
      <c r="BP1559" s="38"/>
      <c r="BQ1559" s="38"/>
      <c r="BR1559" s="38"/>
      <c r="BS1559" s="38"/>
      <c r="BT1559" s="38"/>
      <c r="BU1559" s="38"/>
      <c r="BV1559" s="38"/>
      <c r="BW1559" s="38"/>
      <c r="BX1559" s="38"/>
      <c r="BY1559" s="38"/>
      <c r="BZ1559" s="38"/>
      <c r="CA1559" s="38"/>
      <c r="CB1559" s="38"/>
      <c r="CC1559" s="38"/>
      <c r="CD1559" s="38"/>
      <c r="CE1559" s="38"/>
      <c r="CF1559" s="38"/>
      <c r="CG1559" s="38"/>
      <c r="CH1559" s="38"/>
      <c r="CI1559" s="38"/>
      <c r="CJ1559" s="38"/>
      <c r="CK1559" s="38"/>
      <c r="CL1559" s="38"/>
      <c r="CM1559" s="38"/>
      <c r="CN1559" s="38"/>
      <c r="CO1559" s="38"/>
      <c r="CP1559" s="38"/>
      <c r="CQ1559" s="38"/>
      <c r="CR1559" s="38"/>
      <c r="CS1559" s="38"/>
      <c r="CT1559" s="38"/>
      <c r="CU1559" s="38"/>
      <c r="CV1559" s="38"/>
      <c r="CW1559" s="38"/>
      <c r="CX1559" s="38"/>
      <c r="CY1559" s="38"/>
      <c r="CZ1559" s="38"/>
      <c r="DA1559" s="38"/>
      <c r="DB1559" s="38"/>
      <c r="DC1559" s="38"/>
      <c r="DD1559" s="38"/>
      <c r="DE1559" s="38"/>
      <c r="DF1559" s="38"/>
      <c r="DG1559" s="38"/>
      <c r="DH1559" s="38"/>
      <c r="DI1559" s="38"/>
      <c r="DJ1559" s="38"/>
      <c r="DK1559" s="38"/>
      <c r="DL1559" s="38"/>
      <c r="DM1559" s="38"/>
      <c r="DN1559" s="38"/>
      <c r="DO1559" s="38"/>
      <c r="DP1559" s="38"/>
      <c r="DQ1559" s="38"/>
      <c r="DR1559" s="38"/>
      <c r="DS1559" s="38"/>
      <c r="DT1559" s="38"/>
      <c r="DU1559" s="38"/>
      <c r="DV1559" s="38"/>
      <c r="DW1559" s="38"/>
      <c r="DX1559" s="38"/>
      <c r="DY1559" s="38"/>
      <c r="DZ1559" s="38"/>
      <c r="EA1559" s="38"/>
      <c r="EB1559" s="38"/>
      <c r="EC1559" s="38"/>
      <c r="ED1559" s="38"/>
      <c r="EE1559" s="38"/>
      <c r="EF1559" s="38"/>
      <c r="EG1559" s="38"/>
      <c r="EH1559" s="38"/>
      <c r="EI1559" s="38"/>
      <c r="EJ1559" s="38"/>
      <c r="EK1559" s="38"/>
      <c r="EL1559" s="38"/>
      <c r="EM1559" s="38"/>
      <c r="EN1559" s="38"/>
      <c r="EO1559" s="38"/>
      <c r="EP1559" s="38"/>
      <c r="EQ1559" s="38"/>
      <c r="ER1559" s="38"/>
      <c r="ES1559" s="38"/>
      <c r="ET1559" s="38"/>
      <c r="EU1559" s="38"/>
      <c r="EV1559" s="38"/>
      <c r="EW1559" s="38"/>
      <c r="EX1559" s="38"/>
      <c r="EY1559" s="38"/>
      <c r="EZ1559" s="38"/>
      <c r="FA1559" s="38"/>
      <c r="FB1559" s="38"/>
      <c r="FC1559" s="38"/>
      <c r="FD1559" s="38"/>
      <c r="FE1559" s="38"/>
      <c r="FF1559" s="38"/>
      <c r="FG1559" s="38"/>
      <c r="FH1559" s="38"/>
      <c r="FI1559" s="38"/>
      <c r="FJ1559" s="38"/>
      <c r="FK1559" s="38"/>
      <c r="FL1559" s="38"/>
      <c r="FM1559" s="38"/>
      <c r="FN1559" s="38"/>
      <c r="FO1559" s="38"/>
      <c r="FP1559" s="38"/>
      <c r="FQ1559" s="38"/>
      <c r="FR1559" s="38"/>
      <c r="FS1559" s="38"/>
      <c r="FT1559" s="38"/>
      <c r="FU1559" s="38"/>
      <c r="FV1559" s="38"/>
      <c r="FW1559" s="38"/>
      <c r="FX1559" s="38"/>
      <c r="FY1559" s="38"/>
      <c r="FZ1559" s="38"/>
      <c r="GA1559" s="38"/>
      <c r="GB1559" s="38"/>
      <c r="GC1559" s="38"/>
      <c r="GD1559" s="38"/>
      <c r="GE1559" s="38"/>
      <c r="GF1559" s="38"/>
      <c r="GG1559" s="38"/>
      <c r="GH1559" s="38"/>
      <c r="GI1559" s="38"/>
      <c r="GJ1559" s="38"/>
      <c r="GK1559" s="38"/>
      <c r="GL1559" s="38"/>
      <c r="GM1559" s="38"/>
      <c r="GN1559" s="38"/>
      <c r="GO1559" s="38"/>
      <c r="GP1559" s="38"/>
      <c r="GQ1559" s="38"/>
      <c r="GR1559" s="38"/>
      <c r="GS1559" s="38"/>
      <c r="GT1559" s="38"/>
      <c r="GU1559" s="38"/>
      <c r="GV1559" s="38"/>
      <c r="GW1559" s="38"/>
      <c r="GX1559" s="38"/>
      <c r="GY1559" s="38"/>
      <c r="GZ1559" s="38"/>
      <c r="HA1559" s="38"/>
      <c r="HB1559" s="38"/>
      <c r="HC1559" s="38"/>
      <c r="HD1559" s="38"/>
      <c r="HE1559" s="38"/>
      <c r="HF1559" s="38"/>
      <c r="HG1559" s="38"/>
      <c r="HH1559" s="38"/>
      <c r="HI1559" s="38"/>
      <c r="HJ1559" s="38"/>
      <c r="HK1559" s="38"/>
      <c r="HL1559" s="38"/>
      <c r="HM1559" s="38"/>
      <c r="HN1559" s="38"/>
      <c r="HO1559" s="38"/>
      <c r="HP1559" s="38"/>
      <c r="HQ1559" s="38"/>
      <c r="HR1559" s="38"/>
      <c r="HS1559" s="38"/>
      <c r="HT1559" s="38"/>
      <c r="HU1559" s="38"/>
      <c r="HV1559" s="38"/>
      <c r="HW1559" s="38"/>
      <c r="HX1559" s="38"/>
      <c r="HY1559" s="38"/>
      <c r="HZ1559" s="38"/>
      <c r="IA1559" s="38"/>
      <c r="IB1559" s="38"/>
      <c r="IC1559" s="38"/>
      <c r="ID1559" s="38"/>
      <c r="IE1559" s="38"/>
      <c r="IF1559" s="38"/>
      <c r="IG1559" s="38"/>
      <c r="IH1559" s="38"/>
      <c r="II1559" s="38"/>
      <c r="IJ1559" s="38"/>
      <c r="IK1559" s="38"/>
      <c r="IL1559" s="38"/>
      <c r="IM1559" s="38"/>
      <c r="IN1559" s="38"/>
      <c r="IO1559" s="38"/>
      <c r="IP1559" s="38"/>
      <c r="IQ1559" s="38"/>
      <c r="IR1559" s="38"/>
      <c r="IS1559" s="38"/>
      <c r="IT1559" s="38"/>
      <c r="IU1559" s="38"/>
      <c r="IV1559" s="38"/>
      <c r="IW1559" s="38"/>
      <c r="IX1559" s="38"/>
      <c r="IY1559" s="38"/>
      <c r="IZ1559" s="38"/>
      <c r="JA1559" s="38"/>
      <c r="JB1559" s="38"/>
      <c r="JC1559" s="38"/>
      <c r="JD1559" s="38"/>
      <c r="JE1559" s="38"/>
      <c r="JF1559" s="38"/>
      <c r="JG1559" s="38"/>
      <c r="JH1559" s="38"/>
      <c r="JI1559" s="38"/>
      <c r="JJ1559" s="38"/>
      <c r="JK1559" s="38"/>
      <c r="JL1559" s="38"/>
      <c r="JM1559" s="38"/>
      <c r="JN1559" s="38"/>
      <c r="JO1559" s="38"/>
      <c r="JP1559" s="38"/>
      <c r="JQ1559" s="38"/>
      <c r="JR1559" s="38"/>
      <c r="JS1559" s="38"/>
      <c r="JT1559" s="38"/>
      <c r="JU1559" s="38"/>
      <c r="JV1559" s="38"/>
      <c r="JW1559" s="38"/>
      <c r="JX1559" s="38"/>
      <c r="JY1559" s="38"/>
      <c r="JZ1559" s="38"/>
      <c r="KA1559" s="38"/>
      <c r="KB1559" s="38"/>
      <c r="KC1559" s="38"/>
      <c r="KD1559" s="38"/>
      <c r="KE1559" s="38"/>
      <c r="KF1559" s="38"/>
      <c r="KG1559" s="38"/>
      <c r="KH1559" s="38"/>
      <c r="KI1559" s="38"/>
      <c r="KJ1559" s="38"/>
      <c r="KK1559" s="38"/>
      <c r="KL1559" s="38"/>
      <c r="KM1559" s="38"/>
      <c r="KN1559" s="38"/>
      <c r="KO1559" s="38"/>
      <c r="KP1559" s="38"/>
      <c r="KQ1559" s="38"/>
      <c r="KR1559" s="38"/>
      <c r="KS1559" s="38"/>
      <c r="KT1559" s="38"/>
      <c r="KU1559" s="38"/>
      <c r="KV1559" s="38"/>
      <c r="KW1559" s="38"/>
      <c r="KX1559" s="38"/>
      <c r="KY1559" s="38"/>
      <c r="KZ1559" s="38"/>
      <c r="LA1559" s="38"/>
      <c r="LB1559" s="38"/>
      <c r="LC1559" s="38"/>
      <c r="LD1559" s="38"/>
      <c r="LE1559" s="38"/>
      <c r="LF1559" s="38"/>
      <c r="LG1559" s="38"/>
      <c r="LH1559" s="38"/>
      <c r="LI1559" s="38"/>
      <c r="LJ1559" s="38"/>
      <c r="LK1559" s="38"/>
      <c r="LL1559" s="38"/>
      <c r="LM1559" s="38"/>
      <c r="LN1559" s="38"/>
      <c r="LO1559" s="38"/>
      <c r="LP1559" s="38"/>
      <c r="LQ1559" s="38"/>
      <c r="LR1559" s="38"/>
      <c r="LS1559" s="38"/>
      <c r="LT1559" s="38"/>
      <c r="LU1559" s="38"/>
      <c r="LV1559" s="38"/>
      <c r="LW1559" s="38"/>
      <c r="LX1559" s="38"/>
      <c r="LY1559" s="38"/>
      <c r="LZ1559" s="38"/>
      <c r="MA1559" s="38"/>
      <c r="MB1559" s="38"/>
      <c r="MC1559" s="38"/>
      <c r="MD1559" s="38"/>
      <c r="ME1559" s="38"/>
      <c r="MF1559" s="38"/>
      <c r="MG1559" s="38"/>
      <c r="MH1559" s="38"/>
      <c r="MI1559" s="38"/>
      <c r="MJ1559" s="38"/>
      <c r="MK1559" s="38"/>
      <c r="ML1559" s="38"/>
      <c r="MM1559" s="38"/>
      <c r="MN1559" s="38"/>
      <c r="MO1559" s="38"/>
      <c r="MP1559" s="38"/>
      <c r="MQ1559" s="38"/>
      <c r="MR1559" s="38"/>
      <c r="MS1559" s="38"/>
      <c r="MT1559" s="38"/>
      <c r="MU1559" s="38"/>
      <c r="MV1559" s="38"/>
      <c r="MW1559" s="38"/>
      <c r="MX1559" s="38"/>
      <c r="MY1559" s="38"/>
      <c r="MZ1559" s="38"/>
      <c r="NA1559" s="38"/>
      <c r="NB1559" s="38"/>
      <c r="NC1559" s="38"/>
      <c r="ND1559" s="38"/>
      <c r="NE1559" s="38"/>
      <c r="NF1559" s="38"/>
      <c r="NG1559" s="38"/>
      <c r="NH1559" s="38"/>
      <c r="NI1559" s="38"/>
      <c r="NJ1559" s="38"/>
      <c r="NK1559" s="38"/>
      <c r="NL1559" s="38"/>
      <c r="NM1559" s="38"/>
      <c r="NN1559" s="38"/>
      <c r="NO1559" s="38"/>
      <c r="NP1559" s="38"/>
      <c r="NQ1559" s="38"/>
      <c r="NR1559" s="38"/>
      <c r="NS1559" s="38"/>
      <c r="NT1559" s="38"/>
      <c r="NU1559" s="38"/>
      <c r="NV1559" s="38"/>
      <c r="NW1559" s="38"/>
      <c r="NX1559" s="38"/>
      <c r="NY1559" s="38"/>
      <c r="NZ1559" s="38"/>
      <c r="OA1559" s="38"/>
      <c r="OB1559" s="38"/>
      <c r="OC1559" s="38"/>
      <c r="OD1559" s="38"/>
      <c r="OE1559" s="38"/>
      <c r="OF1559" s="38"/>
      <c r="OG1559" s="38"/>
      <c r="OH1559" s="38"/>
      <c r="OI1559" s="38"/>
      <c r="OJ1559" s="38"/>
      <c r="OK1559" s="38"/>
      <c r="OL1559" s="38"/>
      <c r="OM1559" s="38"/>
      <c r="ON1559" s="38"/>
      <c r="OO1559" s="38"/>
      <c r="OP1559" s="38"/>
      <c r="OQ1559" s="38"/>
      <c r="OR1559" s="38"/>
      <c r="OS1559" s="38"/>
      <c r="OT1559" s="38"/>
      <c r="OU1559" s="38"/>
      <c r="OV1559" s="38"/>
      <c r="OW1559" s="38"/>
      <c r="OX1559" s="38"/>
      <c r="OY1559" s="38"/>
      <c r="OZ1559" s="38"/>
      <c r="PA1559" s="38"/>
      <c r="PB1559" s="38"/>
      <c r="PC1559" s="38"/>
      <c r="PD1559" s="38"/>
      <c r="PE1559" s="38"/>
      <c r="PF1559" s="38"/>
      <c r="PG1559" s="38"/>
      <c r="PH1559" s="38"/>
      <c r="PI1559" s="38"/>
      <c r="PJ1559" s="38"/>
      <c r="PK1559" s="38"/>
      <c r="PL1559" s="38"/>
      <c r="PM1559" s="38"/>
      <c r="PN1559" s="38"/>
      <c r="PO1559" s="38"/>
      <c r="PP1559" s="38"/>
      <c r="PQ1559" s="38"/>
      <c r="PR1559" s="38"/>
      <c r="PS1559" s="38"/>
      <c r="PT1559" s="38"/>
      <c r="PU1559" s="38"/>
      <c r="PV1559" s="38"/>
      <c r="PW1559" s="38"/>
      <c r="PX1559" s="38"/>
      <c r="PY1559" s="38"/>
      <c r="PZ1559" s="38"/>
      <c r="QA1559" s="38"/>
      <c r="QB1559" s="38"/>
      <c r="QC1559" s="38"/>
      <c r="QD1559" s="38"/>
      <c r="QE1559" s="38"/>
      <c r="QF1559" s="38"/>
      <c r="QG1559" s="38"/>
      <c r="QH1559" s="38"/>
      <c r="QI1559" s="38"/>
      <c r="QJ1559" s="38"/>
      <c r="QK1559" s="38"/>
      <c r="QL1559" s="38"/>
      <c r="QM1559" s="38"/>
      <c r="QN1559" s="38"/>
      <c r="QO1559" s="38"/>
      <c r="QP1559" s="38"/>
      <c r="QQ1559" s="38"/>
      <c r="QR1559" s="38"/>
      <c r="QS1559" s="38"/>
      <c r="QT1559" s="38"/>
      <c r="QU1559" s="38"/>
      <c r="QV1559" s="38"/>
      <c r="QW1559" s="38"/>
      <c r="QX1559" s="38"/>
      <c r="QY1559" s="38"/>
      <c r="QZ1559" s="38"/>
      <c r="RA1559" s="38"/>
      <c r="RB1559" s="38"/>
      <c r="RC1559" s="38"/>
      <c r="RD1559" s="38"/>
      <c r="RE1559" s="38"/>
      <c r="RF1559" s="38"/>
      <c r="RG1559" s="38"/>
      <c r="RH1559" s="38"/>
      <c r="RI1559" s="38"/>
      <c r="RJ1559" s="38"/>
      <c r="RK1559" s="38"/>
      <c r="RL1559" s="38"/>
      <c r="RM1559" s="38"/>
      <c r="RN1559" s="38"/>
      <c r="RO1559" s="38"/>
      <c r="RP1559" s="38"/>
      <c r="RQ1559" s="38"/>
      <c r="RR1559" s="38"/>
      <c r="RS1559" s="38"/>
      <c r="RT1559" s="38"/>
      <c r="RU1559" s="38"/>
      <c r="RV1559" s="38"/>
      <c r="RW1559" s="38"/>
      <c r="RX1559" s="38"/>
      <c r="RY1559" s="38"/>
      <c r="RZ1559" s="38"/>
      <c r="SA1559" s="38"/>
      <c r="SB1559" s="38"/>
      <c r="SC1559" s="38"/>
      <c r="SD1559" s="38"/>
      <c r="SE1559" s="38"/>
      <c r="SF1559" s="38"/>
      <c r="SG1559" s="38"/>
      <c r="SH1559" s="38"/>
      <c r="SI1559" s="38"/>
      <c r="SJ1559" s="38"/>
      <c r="SK1559" s="38"/>
      <c r="SL1559" s="38"/>
      <c r="SM1559" s="38"/>
      <c r="SN1559" s="38"/>
      <c r="SO1559" s="38"/>
      <c r="SP1559" s="38"/>
      <c r="SQ1559" s="38"/>
      <c r="SR1559" s="38"/>
      <c r="SS1559" s="38"/>
      <c r="ST1559" s="38"/>
      <c r="SU1559" s="38"/>
      <c r="SV1559" s="38"/>
      <c r="SW1559" s="38"/>
      <c r="SX1559" s="38"/>
      <c r="SY1559" s="38"/>
      <c r="SZ1559" s="38"/>
      <c r="TA1559" s="38"/>
      <c r="TB1559" s="38"/>
      <c r="TC1559" s="38"/>
      <c r="TD1559" s="38"/>
      <c r="TE1559" s="38"/>
      <c r="TF1559" s="38"/>
      <c r="TG1559" s="38"/>
      <c r="TH1559" s="38"/>
      <c r="TI1559" s="38"/>
      <c r="TJ1559" s="38"/>
      <c r="TK1559" s="38"/>
      <c r="TL1559" s="38"/>
      <c r="TM1559" s="38"/>
      <c r="TN1559" s="38"/>
      <c r="TO1559" s="38"/>
      <c r="TP1559" s="38"/>
      <c r="TQ1559" s="38"/>
      <c r="TR1559" s="38"/>
      <c r="TS1559" s="38"/>
      <c r="TT1559" s="38"/>
      <c r="TU1559" s="38"/>
      <c r="TV1559" s="38"/>
      <c r="TW1559" s="38"/>
      <c r="TX1559" s="38"/>
      <c r="TY1559" s="38"/>
      <c r="TZ1559" s="38"/>
      <c r="UA1559" s="38"/>
      <c r="UB1559" s="38"/>
      <c r="UC1559" s="38"/>
      <c r="UD1559" s="38"/>
      <c r="UE1559" s="38"/>
      <c r="UF1559" s="38"/>
      <c r="UG1559" s="38"/>
      <c r="UH1559" s="38"/>
      <c r="UI1559" s="38"/>
      <c r="UJ1559" s="38"/>
      <c r="UK1559" s="38"/>
      <c r="UL1559" s="38"/>
      <c r="UM1559" s="38"/>
      <c r="UN1559" s="38"/>
      <c r="UO1559" s="38"/>
      <c r="UP1559" s="38"/>
      <c r="UQ1559" s="38"/>
      <c r="UR1559" s="38"/>
      <c r="US1559" s="38"/>
      <c r="UT1559" s="38"/>
      <c r="UU1559" s="38"/>
      <c r="UV1559" s="38"/>
      <c r="UW1559" s="38"/>
      <c r="UX1559" s="38"/>
      <c r="UY1559" s="38"/>
      <c r="UZ1559" s="38"/>
      <c r="VA1559" s="38"/>
      <c r="VB1559" s="38"/>
      <c r="VC1559" s="38"/>
      <c r="VD1559" s="38"/>
      <c r="VE1559" s="38"/>
      <c r="VF1559" s="38"/>
      <c r="VG1559" s="38"/>
      <c r="VH1559" s="38"/>
      <c r="VI1559" s="38"/>
      <c r="VJ1559" s="38"/>
      <c r="VK1559" s="38"/>
      <c r="VL1559" s="38"/>
      <c r="VM1559" s="38"/>
      <c r="VN1559" s="38"/>
      <c r="VO1559" s="38"/>
      <c r="VP1559" s="38"/>
      <c r="VQ1559" s="38"/>
      <c r="VR1559" s="38"/>
      <c r="VS1559" s="38"/>
      <c r="VT1559" s="38"/>
      <c r="VU1559" s="38"/>
      <c r="VV1559" s="38"/>
      <c r="VW1559" s="38"/>
      <c r="VX1559" s="38"/>
      <c r="VY1559" s="38"/>
      <c r="VZ1559" s="38"/>
      <c r="WA1559" s="38"/>
      <c r="WB1559" s="38"/>
      <c r="WC1559" s="38"/>
      <c r="WD1559" s="38"/>
      <c r="WE1559" s="38"/>
      <c r="WF1559" s="38"/>
      <c r="WG1559" s="38"/>
      <c r="WH1559" s="38"/>
      <c r="WI1559" s="38"/>
      <c r="WJ1559" s="38"/>
      <c r="WK1559" s="38"/>
      <c r="WL1559" s="38"/>
      <c r="WM1559" s="38"/>
      <c r="WN1559" s="38"/>
      <c r="WO1559" s="38"/>
      <c r="WP1559" s="38"/>
      <c r="WQ1559" s="38"/>
      <c r="WR1559" s="38"/>
      <c r="WS1559" s="38"/>
      <c r="WT1559" s="38"/>
      <c r="WU1559" s="38"/>
      <c r="WV1559" s="38"/>
      <c r="WW1559" s="38"/>
      <c r="WX1559" s="38"/>
      <c r="WY1559" s="38"/>
      <c r="WZ1559" s="38"/>
      <c r="XA1559" s="38"/>
      <c r="XB1559" s="38"/>
      <c r="XC1559" s="38"/>
      <c r="XD1559" s="38"/>
      <c r="XE1559" s="38"/>
      <c r="XF1559" s="38"/>
      <c r="XG1559" s="38"/>
      <c r="XH1559" s="38"/>
      <c r="XI1559" s="38"/>
      <c r="XJ1559" s="38"/>
      <c r="XK1559" s="38"/>
      <c r="XL1559" s="38"/>
      <c r="XM1559" s="38"/>
      <c r="XN1559" s="38"/>
      <c r="XO1559" s="38"/>
      <c r="XP1559" s="38"/>
      <c r="XQ1559" s="38"/>
      <c r="XR1559" s="38"/>
      <c r="XS1559" s="38"/>
      <c r="XT1559" s="38"/>
      <c r="XU1559" s="38"/>
      <c r="XV1559" s="38"/>
      <c r="XW1559" s="38"/>
      <c r="XX1559" s="38"/>
      <c r="XY1559" s="38"/>
      <c r="XZ1559" s="38"/>
      <c r="YA1559" s="38"/>
      <c r="YB1559" s="38"/>
      <c r="YC1559" s="38"/>
      <c r="YD1559" s="38"/>
      <c r="YE1559" s="38"/>
      <c r="YF1559" s="38"/>
      <c r="YG1559" s="38"/>
      <c r="YH1559" s="38"/>
      <c r="YI1559" s="38"/>
      <c r="YJ1559" s="38"/>
      <c r="YK1559" s="38"/>
      <c r="YL1559" s="38"/>
      <c r="YM1559" s="38"/>
      <c r="YN1559" s="38"/>
      <c r="YO1559" s="38"/>
      <c r="YP1559" s="38"/>
      <c r="YQ1559" s="38"/>
      <c r="YR1559" s="38"/>
      <c r="YS1559" s="38"/>
      <c r="YT1559" s="38"/>
      <c r="YU1559" s="38"/>
      <c r="YV1559" s="38"/>
      <c r="YW1559" s="38"/>
      <c r="YX1559" s="38"/>
      <c r="YY1559" s="38"/>
      <c r="YZ1559" s="38"/>
      <c r="ZA1559" s="38"/>
      <c r="ZB1559" s="38"/>
      <c r="ZC1559" s="38"/>
      <c r="ZD1559" s="38"/>
      <c r="ZE1559" s="38"/>
      <c r="ZF1559" s="38"/>
      <c r="ZG1559" s="38"/>
      <c r="ZH1559" s="38"/>
      <c r="ZI1559" s="38"/>
      <c r="ZJ1559" s="38"/>
      <c r="ZK1559" s="38"/>
      <c r="ZL1559" s="38"/>
      <c r="ZM1559" s="38"/>
      <c r="ZN1559" s="38"/>
      <c r="ZO1559" s="38"/>
      <c r="ZP1559" s="38"/>
      <c r="ZQ1559" s="38"/>
      <c r="ZR1559" s="38"/>
      <c r="ZS1559" s="38"/>
      <c r="ZT1559" s="38"/>
      <c r="ZU1559" s="38"/>
      <c r="ZV1559" s="38"/>
      <c r="ZW1559" s="38"/>
      <c r="ZX1559" s="38"/>
      <c r="ZY1559" s="38"/>
      <c r="ZZ1559" s="38"/>
      <c r="AAA1559" s="38"/>
      <c r="AAB1559" s="38"/>
      <c r="AAC1559" s="38"/>
      <c r="AAD1559" s="38"/>
      <c r="AAE1559" s="38"/>
      <c r="AAF1559" s="38"/>
      <c r="AAG1559" s="38"/>
      <c r="AAH1559" s="38"/>
      <c r="AAI1559" s="38"/>
      <c r="AAJ1559" s="38"/>
      <c r="AAK1559" s="38"/>
      <c r="AAL1559" s="38"/>
      <c r="AAM1559" s="38"/>
      <c r="AAN1559" s="38"/>
      <c r="AAO1559" s="38"/>
      <c r="AAP1559" s="38"/>
      <c r="AAQ1559" s="38"/>
      <c r="AAR1559" s="38"/>
      <c r="AAS1559" s="38"/>
      <c r="AAT1559" s="38"/>
      <c r="AAU1559" s="38"/>
      <c r="AAV1559" s="38"/>
      <c r="AAW1559" s="38"/>
      <c r="AAX1559" s="38"/>
      <c r="AAY1559" s="38"/>
      <c r="AAZ1559" s="38"/>
      <c r="ABA1559" s="38"/>
      <c r="ABB1559" s="38"/>
      <c r="ABC1559" s="38"/>
      <c r="ABD1559" s="38"/>
      <c r="ABE1559" s="38"/>
      <c r="ABF1559" s="38"/>
      <c r="ABG1559" s="38"/>
      <c r="ABH1559" s="38"/>
      <c r="ABI1559" s="38"/>
      <c r="ABJ1559" s="38"/>
      <c r="ABK1559" s="38"/>
      <c r="ABL1559" s="38"/>
      <c r="ABM1559" s="38"/>
      <c r="ABN1559" s="38"/>
      <c r="ABO1559" s="38"/>
      <c r="ABP1559" s="38"/>
      <c r="ABQ1559" s="38"/>
      <c r="ABR1559" s="38"/>
      <c r="ABS1559" s="38"/>
      <c r="ABT1559" s="38"/>
      <c r="ABU1559" s="38"/>
      <c r="ABV1559" s="38"/>
      <c r="ABW1559" s="38"/>
      <c r="ABX1559" s="38"/>
      <c r="ABY1559" s="38"/>
      <c r="ABZ1559" s="38"/>
      <c r="ACA1559" s="38"/>
      <c r="ACB1559" s="38"/>
      <c r="ACC1559" s="38"/>
      <c r="ACD1559" s="38"/>
      <c r="ACE1559" s="38"/>
      <c r="ACF1559" s="38"/>
      <c r="ACG1559" s="38"/>
      <c r="ACH1559" s="38"/>
      <c r="ACI1559" s="38"/>
      <c r="ACJ1559" s="38"/>
      <c r="ACK1559" s="38"/>
      <c r="ACL1559" s="38"/>
      <c r="ACM1559" s="38"/>
      <c r="ACN1559" s="38"/>
      <c r="ACO1559" s="38"/>
      <c r="ACP1559" s="38"/>
      <c r="ACQ1559" s="38"/>
      <c r="ACR1559" s="38"/>
      <c r="ACS1559" s="38"/>
      <c r="ACT1559" s="38"/>
      <c r="ACU1559" s="38"/>
      <c r="ACV1559" s="38"/>
      <c r="ACW1559" s="38"/>
      <c r="ACX1559" s="38"/>
      <c r="ACY1559" s="38"/>
      <c r="ACZ1559" s="38"/>
      <c r="ADA1559" s="38"/>
      <c r="ADB1559" s="38"/>
      <c r="ADC1559" s="38"/>
      <c r="ADD1559" s="38"/>
      <c r="ADE1559" s="38"/>
      <c r="ADF1559" s="38"/>
      <c r="ADG1559" s="38"/>
      <c r="ADH1559" s="38"/>
      <c r="ADI1559" s="38"/>
      <c r="ADJ1559" s="38"/>
      <c r="ADK1559" s="38"/>
      <c r="ADL1559" s="38"/>
      <c r="ADM1559" s="38"/>
      <c r="ADN1559" s="38"/>
      <c r="ADO1559" s="38"/>
      <c r="ADP1559" s="38"/>
      <c r="ADQ1559" s="38"/>
      <c r="ADR1559" s="38"/>
      <c r="ADS1559" s="38"/>
      <c r="ADT1559" s="38"/>
      <c r="ADU1559" s="38"/>
      <c r="ADV1559" s="38"/>
      <c r="ADW1559" s="38"/>
      <c r="ADX1559" s="38"/>
      <c r="ADY1559" s="38"/>
      <c r="ADZ1559" s="38"/>
      <c r="AEA1559" s="38"/>
      <c r="AEB1559" s="38"/>
      <c r="AEC1559" s="38"/>
      <c r="AED1559" s="38"/>
      <c r="AEE1559" s="38"/>
      <c r="AEF1559" s="38"/>
      <c r="AEG1559" s="38"/>
      <c r="AEH1559" s="38"/>
      <c r="AEI1559" s="38"/>
      <c r="AEJ1559" s="38"/>
      <c r="AEK1559" s="38"/>
      <c r="AEL1559" s="38"/>
      <c r="AEM1559" s="38"/>
      <c r="AEN1559" s="38"/>
      <c r="AEO1559" s="38"/>
      <c r="AEP1559" s="38"/>
      <c r="AEQ1559" s="38"/>
      <c r="AER1559" s="38"/>
      <c r="AES1559" s="38"/>
      <c r="AET1559" s="38"/>
      <c r="AEU1559" s="38"/>
      <c r="AEV1559" s="38"/>
      <c r="AEW1559" s="38"/>
      <c r="AEX1559" s="38"/>
      <c r="AEY1559" s="38"/>
      <c r="AEZ1559" s="38"/>
      <c r="AFA1559" s="38"/>
      <c r="AFB1559" s="38"/>
      <c r="AFC1559" s="38"/>
      <c r="AFD1559" s="38"/>
      <c r="AFE1559" s="38"/>
      <c r="AFF1559" s="38"/>
      <c r="AFG1559" s="38"/>
      <c r="AFH1559" s="38"/>
      <c r="AFI1559" s="38"/>
      <c r="AFJ1559" s="38"/>
      <c r="AFK1559" s="38"/>
      <c r="AFL1559" s="38"/>
      <c r="AFM1559" s="38"/>
      <c r="AFN1559" s="38"/>
      <c r="AFO1559" s="38"/>
      <c r="AFP1559" s="38"/>
      <c r="AFQ1559" s="38"/>
      <c r="AFR1559" s="38"/>
      <c r="AFS1559" s="38"/>
      <c r="AFT1559" s="38"/>
      <c r="AFU1559" s="38"/>
      <c r="AFV1559" s="38"/>
      <c r="AFW1559" s="38"/>
      <c r="AFX1559" s="38"/>
      <c r="AFY1559" s="38"/>
      <c r="AFZ1559" s="38"/>
      <c r="AGA1559" s="38"/>
      <c r="AGB1559" s="38"/>
      <c r="AGC1559" s="38"/>
      <c r="AGD1559" s="38"/>
      <c r="AGE1559" s="38"/>
      <c r="AGF1559" s="38"/>
      <c r="AGG1559" s="38"/>
      <c r="AGH1559" s="38"/>
      <c r="AGI1559" s="38"/>
      <c r="AGJ1559" s="38"/>
      <c r="AGK1559" s="38"/>
      <c r="AGL1559" s="38"/>
      <c r="AGM1559" s="38"/>
      <c r="AGN1559" s="38"/>
      <c r="AGO1559" s="38"/>
      <c r="AGP1559" s="38"/>
      <c r="AGQ1559" s="38"/>
      <c r="AGR1559" s="38"/>
      <c r="AGS1559" s="38"/>
      <c r="AGT1559" s="38"/>
      <c r="AGU1559" s="38"/>
      <c r="AGV1559" s="38"/>
      <c r="AGW1559" s="38"/>
      <c r="AGX1559" s="38"/>
      <c r="AGY1559" s="38"/>
      <c r="AGZ1559" s="38"/>
      <c r="AHA1559" s="38"/>
      <c r="AHB1559" s="38"/>
      <c r="AHC1559" s="38"/>
      <c r="AHD1559" s="38"/>
      <c r="AHE1559" s="38"/>
      <c r="AHF1559" s="38"/>
      <c r="AHG1559" s="38"/>
      <c r="AHH1559" s="38"/>
      <c r="AHI1559" s="38"/>
      <c r="AHJ1559" s="38"/>
      <c r="AHK1559" s="38"/>
      <c r="AHL1559" s="38"/>
      <c r="AHM1559" s="38"/>
      <c r="AHN1559" s="38"/>
      <c r="AHO1559" s="38"/>
      <c r="AHP1559" s="38"/>
      <c r="AHQ1559" s="38"/>
      <c r="AHR1559" s="38"/>
      <c r="AHS1559" s="38"/>
      <c r="AHT1559" s="38"/>
      <c r="AHU1559" s="38"/>
      <c r="AHV1559" s="38"/>
      <c r="AHW1559" s="38"/>
      <c r="AHX1559" s="38"/>
      <c r="AHY1559" s="38"/>
      <c r="AHZ1559" s="38"/>
      <c r="AIA1559" s="38"/>
      <c r="AIB1559" s="38"/>
      <c r="AIC1559" s="38"/>
      <c r="AID1559" s="38"/>
      <c r="AIE1559" s="38"/>
      <c r="AIF1559" s="38"/>
      <c r="AIG1559" s="38"/>
      <c r="AIH1559" s="38"/>
      <c r="AII1559" s="38"/>
      <c r="AIJ1559" s="38"/>
      <c r="AIK1559" s="38"/>
      <c r="AIL1559" s="38"/>
      <c r="AIM1559" s="38"/>
      <c r="AIN1559" s="38"/>
      <c r="AIO1559" s="38"/>
      <c r="AIP1559" s="38"/>
      <c r="AIQ1559" s="38"/>
      <c r="AIR1559" s="38"/>
      <c r="AIS1559" s="38"/>
      <c r="AIT1559" s="38"/>
      <c r="AIU1559" s="38"/>
      <c r="AIV1559" s="38"/>
      <c r="AIW1559" s="38"/>
      <c r="AIX1559" s="38"/>
      <c r="AIY1559" s="38"/>
      <c r="AIZ1559" s="38"/>
      <c r="AJA1559" s="38"/>
      <c r="AJB1559" s="38"/>
      <c r="AJC1559" s="38"/>
      <c r="AJD1559" s="38"/>
      <c r="AJE1559" s="38"/>
      <c r="AJF1559" s="38"/>
      <c r="AJG1559" s="38"/>
      <c r="AJH1559" s="38"/>
      <c r="AJI1559" s="38"/>
      <c r="AJJ1559" s="38"/>
      <c r="AJK1559" s="38"/>
      <c r="AJL1559" s="38"/>
      <c r="AJM1559" s="38"/>
      <c r="AJN1559" s="38"/>
      <c r="AJO1559" s="38"/>
      <c r="AJP1559" s="38"/>
      <c r="AJQ1559" s="38"/>
      <c r="AJR1559" s="38"/>
      <c r="AJS1559" s="38"/>
      <c r="AJT1559" s="38"/>
      <c r="AJU1559" s="38"/>
      <c r="AJV1559" s="38"/>
      <c r="AJW1559" s="38"/>
      <c r="AJX1559" s="38"/>
      <c r="AJY1559" s="38"/>
      <c r="AJZ1559" s="38"/>
      <c r="AKA1559" s="38"/>
      <c r="AKB1559" s="38"/>
      <c r="AKC1559" s="38"/>
      <c r="AKD1559" s="38"/>
      <c r="AKE1559" s="38"/>
      <c r="AKF1559" s="38"/>
      <c r="AKG1559" s="38"/>
      <c r="AKH1559" s="38"/>
      <c r="AKI1559" s="38"/>
      <c r="AKJ1559" s="38"/>
      <c r="AKK1559" s="38"/>
      <c r="AKL1559" s="38"/>
      <c r="AKM1559" s="38"/>
      <c r="AKN1559" s="38"/>
      <c r="AKO1559" s="38"/>
      <c r="AKP1559" s="38"/>
      <c r="AKQ1559" s="38"/>
      <c r="AKR1559" s="38"/>
      <c r="AKS1559" s="38"/>
      <c r="AKT1559" s="38"/>
      <c r="AKU1559" s="38"/>
      <c r="AKV1559" s="38"/>
      <c r="AKW1559" s="38"/>
      <c r="AKX1559" s="38"/>
      <c r="AKY1559" s="38"/>
      <c r="AKZ1559" s="38"/>
      <c r="ALA1559" s="38"/>
      <c r="ALB1559" s="38"/>
      <c r="ALC1559" s="38"/>
      <c r="ALD1559" s="38"/>
      <c r="ALE1559" s="38"/>
      <c r="ALF1559" s="38"/>
      <c r="ALG1559" s="38"/>
      <c r="ALH1559" s="38"/>
      <c r="ALI1559" s="38"/>
      <c r="ALJ1559" s="38"/>
      <c r="ALK1559" s="38"/>
      <c r="ALL1559" s="38"/>
      <c r="ALM1559" s="38"/>
      <c r="ALN1559" s="38"/>
      <c r="ALO1559" s="38"/>
      <c r="ALP1559" s="38"/>
      <c r="ALQ1559" s="38"/>
      <c r="ALR1559" s="38"/>
      <c r="ALS1559" s="38"/>
      <c r="ALT1559" s="38"/>
      <c r="ALU1559" s="38"/>
      <c r="ALV1559" s="38"/>
      <c r="ALW1559" s="38"/>
      <c r="ALX1559" s="38"/>
      <c r="ALY1559" s="38"/>
      <c r="ALZ1559" s="38"/>
      <c r="AMA1559" s="38"/>
      <c r="AMB1559" s="38"/>
      <c r="AMC1559" s="38"/>
      <c r="AMD1559" s="38"/>
      <c r="AME1559" s="38"/>
      <c r="AMF1559" s="38"/>
      <c r="AMG1559" s="38"/>
      <c r="AMH1559" s="38"/>
      <c r="AMI1559" s="38"/>
      <c r="AMJ1559" s="38"/>
      <c r="AMK1559" s="38"/>
      <c r="AML1559" s="38"/>
      <c r="AMM1559" s="38"/>
      <c r="AMN1559" s="38"/>
      <c r="AMO1559" s="38"/>
      <c r="AMP1559" s="38"/>
      <c r="AMQ1559" s="38"/>
      <c r="AMR1559" s="38"/>
      <c r="AMS1559" s="38"/>
      <c r="AMT1559" s="38"/>
      <c r="AMU1559" s="38"/>
      <c r="AMV1559" s="38"/>
      <c r="AMW1559" s="38"/>
      <c r="AMX1559" s="38"/>
      <c r="AMY1559" s="38"/>
      <c r="AMZ1559" s="38"/>
      <c r="ANA1559" s="38"/>
      <c r="ANB1559" s="38"/>
      <c r="ANC1559" s="38"/>
      <c r="AND1559" s="38"/>
      <c r="ANE1559" s="38"/>
      <c r="ANF1559" s="38"/>
      <c r="ANG1559" s="38"/>
      <c r="ANH1559" s="38"/>
      <c r="ANI1559" s="38"/>
      <c r="ANJ1559" s="38"/>
      <c r="ANK1559" s="38"/>
      <c r="ANL1559" s="38"/>
      <c r="ANM1559" s="38"/>
      <c r="ANN1559" s="38"/>
      <c r="ANO1559" s="38"/>
      <c r="ANP1559" s="38"/>
      <c r="ANQ1559" s="38"/>
      <c r="ANR1559" s="38"/>
      <c r="ANS1559" s="38"/>
      <c r="ANT1559" s="38"/>
      <c r="ANU1559" s="38"/>
      <c r="ANV1559" s="38"/>
      <c r="ANW1559" s="38"/>
      <c r="ANX1559" s="38"/>
      <c r="ANY1559" s="38"/>
      <c r="ANZ1559" s="38"/>
      <c r="AOA1559" s="38"/>
      <c r="AOB1559" s="38"/>
      <c r="AOC1559" s="38"/>
      <c r="AOD1559" s="38"/>
      <c r="AOE1559" s="38"/>
      <c r="AOF1559" s="38"/>
      <c r="AOG1559" s="38"/>
      <c r="AOH1559" s="38"/>
      <c r="AOI1559" s="38"/>
      <c r="AOJ1559" s="38"/>
      <c r="AOK1559" s="38"/>
      <c r="AOL1559" s="38"/>
      <c r="AOM1559" s="38"/>
      <c r="AON1559" s="38"/>
      <c r="AOO1559" s="38"/>
      <c r="AOP1559" s="38"/>
      <c r="AOQ1559" s="38"/>
      <c r="AOR1559" s="38"/>
      <c r="AOS1559" s="38"/>
      <c r="AOT1559" s="38"/>
      <c r="AOU1559" s="38"/>
      <c r="AOV1559" s="38"/>
      <c r="AOW1559" s="38"/>
      <c r="AOX1559" s="38"/>
      <c r="AOY1559" s="38"/>
      <c r="AOZ1559" s="38"/>
      <c r="APA1559" s="38"/>
      <c r="APB1559" s="38"/>
      <c r="APC1559" s="38"/>
    </row>
    <row r="1560" spans="1:1095" s="36" customFormat="1" ht="14.25" customHeight="1">
      <c r="A1560" s="3" t="s">
        <v>1722</v>
      </c>
      <c r="B1560" s="36" t="s">
        <v>2028</v>
      </c>
      <c r="C1560" s="10">
        <v>4099854036774</v>
      </c>
      <c r="D1560" s="224">
        <v>4058075611917</v>
      </c>
      <c r="E1560" s="245" t="s">
        <v>1000</v>
      </c>
      <c r="F1560" s="246"/>
      <c r="G1560" s="66" t="str">
        <f>HYPERLINK("https://ledvance.com/pt/product-datasheet/246656/233320","Ficha de Produto")</f>
        <v>Ficha de Produto</v>
      </c>
      <c r="H1560" s="34">
        <v>10</v>
      </c>
      <c r="I1560" s="34" t="s">
        <v>780</v>
      </c>
      <c r="J1560" s="34" t="s">
        <v>6307</v>
      </c>
      <c r="K1560" s="34" t="s">
        <v>788</v>
      </c>
      <c r="L1560" s="34" t="s">
        <v>765</v>
      </c>
      <c r="M1560" s="247">
        <v>18.900000000000002</v>
      </c>
      <c r="N1560" s="288" t="s">
        <v>722</v>
      </c>
    </row>
    <row r="1561" spans="1:1095" s="36" customFormat="1" ht="14.25" customHeight="1">
      <c r="A1561" s="3" t="s">
        <v>1722</v>
      </c>
      <c r="B1561" s="36" t="s">
        <v>2029</v>
      </c>
      <c r="C1561" s="10">
        <v>4099854036835</v>
      </c>
      <c r="D1561" s="224">
        <v>4058075611931</v>
      </c>
      <c r="E1561" s="245" t="s">
        <v>1001</v>
      </c>
      <c r="F1561" s="246"/>
      <c r="G1561" s="66" t="str">
        <f>HYPERLINK("https://ledvance.com/pt/product-datasheet/246656/233323","Ficha de Produto")</f>
        <v>Ficha de Produto</v>
      </c>
      <c r="H1561" s="34">
        <v>10</v>
      </c>
      <c r="I1561" s="34" t="s">
        <v>862</v>
      </c>
      <c r="J1561" s="34" t="s">
        <v>6307</v>
      </c>
      <c r="K1561" s="34" t="s">
        <v>788</v>
      </c>
      <c r="L1561" s="34" t="s">
        <v>765</v>
      </c>
      <c r="M1561" s="247">
        <v>18.900000000000002</v>
      </c>
      <c r="N1561" s="288" t="s">
        <v>722</v>
      </c>
    </row>
    <row r="1562" spans="1:1095" s="36" customFormat="1" ht="14.25" customHeight="1">
      <c r="A1562" s="3" t="s">
        <v>1722</v>
      </c>
      <c r="B1562" s="36" t="s">
        <v>2030</v>
      </c>
      <c r="C1562" s="10">
        <v>4099854036873</v>
      </c>
      <c r="D1562" s="224">
        <v>4058075611955</v>
      </c>
      <c r="E1562" s="245" t="s">
        <v>1002</v>
      </c>
      <c r="F1562" s="246"/>
      <c r="G1562" s="66" t="str">
        <f>HYPERLINK("https://ledvance.com/pt/product-datasheet/246656/233326","Ficha de Produto")</f>
        <v>Ficha de Produto</v>
      </c>
      <c r="H1562" s="34">
        <v>10</v>
      </c>
      <c r="I1562" s="34" t="s">
        <v>862</v>
      </c>
      <c r="J1562" s="34" t="s">
        <v>6307</v>
      </c>
      <c r="K1562" s="34" t="s">
        <v>788</v>
      </c>
      <c r="L1562" s="34" t="s">
        <v>765</v>
      </c>
      <c r="M1562" s="247">
        <v>18.900000000000002</v>
      </c>
      <c r="N1562" s="288" t="s">
        <v>722</v>
      </c>
    </row>
    <row r="1563" spans="1:1095" s="36" customFormat="1" ht="14.25" customHeight="1">
      <c r="A1563" s="3" t="s">
        <v>1722</v>
      </c>
      <c r="B1563" s="36" t="s">
        <v>2031</v>
      </c>
      <c r="C1563" s="10">
        <v>4099854037016</v>
      </c>
      <c r="D1563" s="224">
        <v>4058075611979</v>
      </c>
      <c r="E1563" s="245" t="s">
        <v>1003</v>
      </c>
      <c r="F1563" s="246"/>
      <c r="G1563" s="66" t="str">
        <f>HYPERLINK("https://ledvance.com/pt/product-datasheet/246656/233329","Ficha de Produto")</f>
        <v>Ficha de Produto</v>
      </c>
      <c r="H1563" s="34">
        <v>10</v>
      </c>
      <c r="I1563" s="34" t="s">
        <v>6308</v>
      </c>
      <c r="J1563" s="34" t="s">
        <v>6309</v>
      </c>
      <c r="K1563" s="34" t="s">
        <v>788</v>
      </c>
      <c r="L1563" s="34" t="s">
        <v>765</v>
      </c>
      <c r="M1563" s="247">
        <v>22.200000000000003</v>
      </c>
      <c r="N1563" s="288" t="s">
        <v>722</v>
      </c>
    </row>
    <row r="1564" spans="1:1095" s="36" customFormat="1" ht="14.25" customHeight="1">
      <c r="A1564" s="3" t="s">
        <v>1722</v>
      </c>
      <c r="B1564" s="36" t="s">
        <v>2032</v>
      </c>
      <c r="C1564" s="10">
        <v>4099854037030</v>
      </c>
      <c r="D1564" s="224">
        <v>4058075611993</v>
      </c>
      <c r="E1564" s="245" t="s">
        <v>1004</v>
      </c>
      <c r="F1564" s="246"/>
      <c r="G1564" s="66" t="str">
        <f>HYPERLINK("https://ledvance.com/pt/product-datasheet/246656/233332","Ficha de Produto")</f>
        <v>Ficha de Produto</v>
      </c>
      <c r="H1564" s="34">
        <v>10</v>
      </c>
      <c r="I1564" s="34" t="s">
        <v>847</v>
      </c>
      <c r="J1564" s="34" t="s">
        <v>6309</v>
      </c>
      <c r="K1564" s="34" t="s">
        <v>788</v>
      </c>
      <c r="L1564" s="34" t="s">
        <v>765</v>
      </c>
      <c r="M1564" s="247">
        <v>22.200000000000003</v>
      </c>
      <c r="N1564" s="288" t="s">
        <v>722</v>
      </c>
    </row>
    <row r="1565" spans="1:1095" s="36" customFormat="1" ht="14.25" customHeight="1">
      <c r="A1565" s="3" t="s">
        <v>1722</v>
      </c>
      <c r="B1565" s="36" t="s">
        <v>2033</v>
      </c>
      <c r="C1565" s="10">
        <v>4099854037054</v>
      </c>
      <c r="D1565" s="224">
        <v>4058075612013</v>
      </c>
      <c r="E1565" s="245" t="s">
        <v>1005</v>
      </c>
      <c r="F1565" s="246"/>
      <c r="G1565" s="66" t="str">
        <f>HYPERLINK("https://ledvance.com/pt/product-datasheet/246656/233335","Ficha de Produto")</f>
        <v>Ficha de Produto</v>
      </c>
      <c r="H1565" s="34">
        <v>10</v>
      </c>
      <c r="I1565" s="34" t="s">
        <v>847</v>
      </c>
      <c r="J1565" s="34" t="s">
        <v>6309</v>
      </c>
      <c r="K1565" s="34" t="s">
        <v>788</v>
      </c>
      <c r="L1565" s="34" t="s">
        <v>765</v>
      </c>
      <c r="M1565" s="247">
        <v>22.200000000000003</v>
      </c>
      <c r="N1565" s="288" t="s">
        <v>722</v>
      </c>
    </row>
    <row r="1566" spans="1:1095" s="39" customFormat="1" ht="14.25" customHeight="1">
      <c r="A1566" s="8" t="s">
        <v>1722</v>
      </c>
      <c r="B1566" s="244" t="s">
        <v>2034</v>
      </c>
      <c r="C1566" s="244"/>
      <c r="D1566" s="7"/>
      <c r="E1566" s="230"/>
      <c r="F1566" s="7"/>
      <c r="G1566" s="68"/>
      <c r="H1566" s="230"/>
      <c r="I1566" s="230"/>
      <c r="J1566" s="230"/>
      <c r="K1566" s="230"/>
      <c r="L1566" s="230"/>
      <c r="M1566" s="248"/>
      <c r="N1566" s="289"/>
      <c r="O1566" s="38"/>
      <c r="P1566" s="38"/>
      <c r="Q1566" s="38"/>
      <c r="R1566" s="38"/>
      <c r="S1566" s="38"/>
      <c r="T1566" s="38"/>
      <c r="U1566" s="38"/>
      <c r="V1566" s="38"/>
      <c r="W1566" s="38"/>
      <c r="X1566" s="38"/>
      <c r="Y1566" s="38"/>
      <c r="Z1566" s="38"/>
      <c r="AA1566" s="38"/>
      <c r="AB1566" s="38"/>
      <c r="AC1566" s="38"/>
      <c r="AD1566" s="38"/>
      <c r="AE1566" s="38"/>
      <c r="AF1566" s="38"/>
      <c r="AG1566" s="38"/>
      <c r="AH1566" s="38"/>
      <c r="AI1566" s="38"/>
      <c r="AJ1566" s="38"/>
      <c r="AK1566" s="38"/>
      <c r="AL1566" s="38"/>
      <c r="AM1566" s="38"/>
      <c r="AN1566" s="38"/>
      <c r="AO1566" s="38"/>
      <c r="AP1566" s="38"/>
      <c r="AQ1566" s="38"/>
      <c r="AR1566" s="38"/>
      <c r="AS1566" s="38"/>
      <c r="AT1566" s="38"/>
      <c r="AU1566" s="38"/>
      <c r="AV1566" s="38"/>
      <c r="AW1566" s="38"/>
      <c r="AX1566" s="38"/>
      <c r="AY1566" s="38"/>
      <c r="AZ1566" s="38"/>
      <c r="BA1566" s="38"/>
      <c r="BB1566" s="38"/>
      <c r="BC1566" s="38"/>
      <c r="BD1566" s="38"/>
      <c r="BE1566" s="38"/>
      <c r="BF1566" s="38"/>
      <c r="BG1566" s="38"/>
      <c r="BH1566" s="38"/>
      <c r="BI1566" s="38"/>
      <c r="BJ1566" s="38"/>
      <c r="BK1566" s="38"/>
      <c r="BL1566" s="38"/>
      <c r="BM1566" s="38"/>
      <c r="BN1566" s="38"/>
      <c r="BO1566" s="38"/>
      <c r="BP1566" s="38"/>
      <c r="BQ1566" s="38"/>
      <c r="BR1566" s="38"/>
      <c r="BS1566" s="38"/>
      <c r="BT1566" s="38"/>
      <c r="BU1566" s="38"/>
      <c r="BV1566" s="38"/>
      <c r="BW1566" s="38"/>
      <c r="BX1566" s="38"/>
      <c r="BY1566" s="38"/>
      <c r="BZ1566" s="38"/>
      <c r="CA1566" s="38"/>
      <c r="CB1566" s="38"/>
      <c r="CC1566" s="38"/>
      <c r="CD1566" s="38"/>
      <c r="CE1566" s="38"/>
      <c r="CF1566" s="38"/>
      <c r="CG1566" s="38"/>
      <c r="CH1566" s="38"/>
      <c r="CI1566" s="38"/>
      <c r="CJ1566" s="38"/>
      <c r="CK1566" s="38"/>
      <c r="CL1566" s="38"/>
      <c r="CM1566" s="38"/>
      <c r="CN1566" s="38"/>
      <c r="CO1566" s="38"/>
      <c r="CP1566" s="38"/>
      <c r="CQ1566" s="38"/>
      <c r="CR1566" s="38"/>
      <c r="CS1566" s="38"/>
      <c r="CT1566" s="38"/>
      <c r="CU1566" s="38"/>
      <c r="CV1566" s="38"/>
      <c r="CW1566" s="38"/>
      <c r="CX1566" s="38"/>
      <c r="CY1566" s="38"/>
      <c r="CZ1566" s="38"/>
      <c r="DA1566" s="38"/>
      <c r="DB1566" s="38"/>
      <c r="DC1566" s="38"/>
      <c r="DD1566" s="38"/>
      <c r="DE1566" s="38"/>
      <c r="DF1566" s="38"/>
      <c r="DG1566" s="38"/>
      <c r="DH1566" s="38"/>
      <c r="DI1566" s="38"/>
      <c r="DJ1566" s="38"/>
      <c r="DK1566" s="38"/>
      <c r="DL1566" s="38"/>
      <c r="DM1566" s="38"/>
      <c r="DN1566" s="38"/>
      <c r="DO1566" s="38"/>
      <c r="DP1566" s="38"/>
      <c r="DQ1566" s="38"/>
      <c r="DR1566" s="38"/>
      <c r="DS1566" s="38"/>
      <c r="DT1566" s="38"/>
      <c r="DU1566" s="38"/>
      <c r="DV1566" s="38"/>
      <c r="DW1566" s="38"/>
      <c r="DX1566" s="38"/>
      <c r="DY1566" s="38"/>
      <c r="DZ1566" s="38"/>
      <c r="EA1566" s="38"/>
      <c r="EB1566" s="38"/>
      <c r="EC1566" s="38"/>
      <c r="ED1566" s="38"/>
      <c r="EE1566" s="38"/>
      <c r="EF1566" s="38"/>
      <c r="EG1566" s="38"/>
      <c r="EH1566" s="38"/>
      <c r="EI1566" s="38"/>
      <c r="EJ1566" s="38"/>
      <c r="EK1566" s="38"/>
      <c r="EL1566" s="38"/>
      <c r="EM1566" s="38"/>
      <c r="EN1566" s="38"/>
      <c r="EO1566" s="38"/>
      <c r="EP1566" s="38"/>
      <c r="EQ1566" s="38"/>
      <c r="ER1566" s="38"/>
      <c r="ES1566" s="38"/>
      <c r="ET1566" s="38"/>
      <c r="EU1566" s="38"/>
      <c r="EV1566" s="38"/>
      <c r="EW1566" s="38"/>
      <c r="EX1566" s="38"/>
      <c r="EY1566" s="38"/>
      <c r="EZ1566" s="38"/>
      <c r="FA1566" s="38"/>
      <c r="FB1566" s="38"/>
      <c r="FC1566" s="38"/>
      <c r="FD1566" s="38"/>
      <c r="FE1566" s="38"/>
      <c r="FF1566" s="38"/>
      <c r="FG1566" s="38"/>
      <c r="FH1566" s="38"/>
      <c r="FI1566" s="38"/>
      <c r="FJ1566" s="38"/>
      <c r="FK1566" s="38"/>
      <c r="FL1566" s="38"/>
      <c r="FM1566" s="38"/>
      <c r="FN1566" s="38"/>
      <c r="FO1566" s="38"/>
      <c r="FP1566" s="38"/>
      <c r="FQ1566" s="38"/>
      <c r="FR1566" s="38"/>
      <c r="FS1566" s="38"/>
      <c r="FT1566" s="38"/>
      <c r="FU1566" s="38"/>
      <c r="FV1566" s="38"/>
      <c r="FW1566" s="38"/>
      <c r="FX1566" s="38"/>
      <c r="FY1566" s="38"/>
      <c r="FZ1566" s="38"/>
      <c r="GA1566" s="38"/>
      <c r="GB1566" s="38"/>
      <c r="GC1566" s="38"/>
      <c r="GD1566" s="38"/>
      <c r="GE1566" s="38"/>
      <c r="GF1566" s="38"/>
      <c r="GG1566" s="38"/>
      <c r="GH1566" s="38"/>
      <c r="GI1566" s="38"/>
      <c r="GJ1566" s="38"/>
      <c r="GK1566" s="38"/>
      <c r="GL1566" s="38"/>
      <c r="GM1566" s="38"/>
      <c r="GN1566" s="38"/>
      <c r="GO1566" s="38"/>
      <c r="GP1566" s="38"/>
      <c r="GQ1566" s="38"/>
      <c r="GR1566" s="38"/>
      <c r="GS1566" s="38"/>
      <c r="GT1566" s="38"/>
      <c r="GU1566" s="38"/>
      <c r="GV1566" s="38"/>
      <c r="GW1566" s="38"/>
      <c r="GX1566" s="38"/>
      <c r="GY1566" s="38"/>
      <c r="GZ1566" s="38"/>
      <c r="HA1566" s="38"/>
      <c r="HB1566" s="38"/>
      <c r="HC1566" s="38"/>
      <c r="HD1566" s="38"/>
      <c r="HE1566" s="38"/>
      <c r="HF1566" s="38"/>
      <c r="HG1566" s="38"/>
      <c r="HH1566" s="38"/>
      <c r="HI1566" s="38"/>
      <c r="HJ1566" s="38"/>
      <c r="HK1566" s="38"/>
      <c r="HL1566" s="38"/>
      <c r="HM1566" s="38"/>
      <c r="HN1566" s="38"/>
      <c r="HO1566" s="38"/>
      <c r="HP1566" s="38"/>
      <c r="HQ1566" s="38"/>
      <c r="HR1566" s="38"/>
      <c r="HS1566" s="38"/>
      <c r="HT1566" s="38"/>
      <c r="HU1566" s="38"/>
      <c r="HV1566" s="38"/>
      <c r="HW1566" s="38"/>
      <c r="HX1566" s="38"/>
      <c r="HY1566" s="38"/>
      <c r="HZ1566" s="38"/>
      <c r="IA1566" s="38"/>
      <c r="IB1566" s="38"/>
      <c r="IC1566" s="38"/>
      <c r="ID1566" s="38"/>
      <c r="IE1566" s="38"/>
      <c r="IF1566" s="38"/>
      <c r="IG1566" s="38"/>
      <c r="IH1566" s="38"/>
      <c r="II1566" s="38"/>
      <c r="IJ1566" s="38"/>
      <c r="IK1566" s="38"/>
      <c r="IL1566" s="38"/>
      <c r="IM1566" s="38"/>
      <c r="IN1566" s="38"/>
      <c r="IO1566" s="38"/>
      <c r="IP1566" s="38"/>
      <c r="IQ1566" s="38"/>
      <c r="IR1566" s="38"/>
      <c r="IS1566" s="38"/>
      <c r="IT1566" s="38"/>
      <c r="IU1566" s="38"/>
      <c r="IV1566" s="38"/>
      <c r="IW1566" s="38"/>
      <c r="IX1566" s="38"/>
      <c r="IY1566" s="38"/>
      <c r="IZ1566" s="38"/>
      <c r="JA1566" s="38"/>
      <c r="JB1566" s="38"/>
      <c r="JC1566" s="38"/>
      <c r="JD1566" s="38"/>
      <c r="JE1566" s="38"/>
      <c r="JF1566" s="38"/>
      <c r="JG1566" s="38"/>
      <c r="JH1566" s="38"/>
      <c r="JI1566" s="38"/>
      <c r="JJ1566" s="38"/>
      <c r="JK1566" s="38"/>
      <c r="JL1566" s="38"/>
      <c r="JM1566" s="38"/>
      <c r="JN1566" s="38"/>
      <c r="JO1566" s="38"/>
      <c r="JP1566" s="38"/>
      <c r="JQ1566" s="38"/>
      <c r="JR1566" s="38"/>
      <c r="JS1566" s="38"/>
      <c r="JT1566" s="38"/>
      <c r="JU1566" s="38"/>
      <c r="JV1566" s="38"/>
      <c r="JW1566" s="38"/>
      <c r="JX1566" s="38"/>
      <c r="JY1566" s="38"/>
      <c r="JZ1566" s="38"/>
      <c r="KA1566" s="38"/>
      <c r="KB1566" s="38"/>
      <c r="KC1566" s="38"/>
      <c r="KD1566" s="38"/>
      <c r="KE1566" s="38"/>
      <c r="KF1566" s="38"/>
      <c r="KG1566" s="38"/>
      <c r="KH1566" s="38"/>
      <c r="KI1566" s="38"/>
      <c r="KJ1566" s="38"/>
      <c r="KK1566" s="38"/>
      <c r="KL1566" s="38"/>
      <c r="KM1566" s="38"/>
      <c r="KN1566" s="38"/>
      <c r="KO1566" s="38"/>
      <c r="KP1566" s="38"/>
      <c r="KQ1566" s="38"/>
      <c r="KR1566" s="38"/>
      <c r="KS1566" s="38"/>
      <c r="KT1566" s="38"/>
      <c r="KU1566" s="38"/>
      <c r="KV1566" s="38"/>
      <c r="KW1566" s="38"/>
      <c r="KX1566" s="38"/>
      <c r="KY1566" s="38"/>
      <c r="KZ1566" s="38"/>
      <c r="LA1566" s="38"/>
      <c r="LB1566" s="38"/>
      <c r="LC1566" s="38"/>
      <c r="LD1566" s="38"/>
      <c r="LE1566" s="38"/>
      <c r="LF1566" s="38"/>
      <c r="LG1566" s="38"/>
      <c r="LH1566" s="38"/>
      <c r="LI1566" s="38"/>
      <c r="LJ1566" s="38"/>
      <c r="LK1566" s="38"/>
      <c r="LL1566" s="38"/>
      <c r="LM1566" s="38"/>
      <c r="LN1566" s="38"/>
      <c r="LO1566" s="38"/>
      <c r="LP1566" s="38"/>
      <c r="LQ1566" s="38"/>
      <c r="LR1566" s="38"/>
      <c r="LS1566" s="38"/>
      <c r="LT1566" s="38"/>
      <c r="LU1566" s="38"/>
      <c r="LV1566" s="38"/>
      <c r="LW1566" s="38"/>
      <c r="LX1566" s="38"/>
      <c r="LY1566" s="38"/>
      <c r="LZ1566" s="38"/>
      <c r="MA1566" s="38"/>
      <c r="MB1566" s="38"/>
      <c r="MC1566" s="38"/>
      <c r="MD1566" s="38"/>
      <c r="ME1566" s="38"/>
      <c r="MF1566" s="38"/>
      <c r="MG1566" s="38"/>
      <c r="MH1566" s="38"/>
      <c r="MI1566" s="38"/>
      <c r="MJ1566" s="38"/>
      <c r="MK1566" s="38"/>
      <c r="ML1566" s="38"/>
      <c r="MM1566" s="38"/>
      <c r="MN1566" s="38"/>
      <c r="MO1566" s="38"/>
      <c r="MP1566" s="38"/>
      <c r="MQ1566" s="38"/>
      <c r="MR1566" s="38"/>
      <c r="MS1566" s="38"/>
      <c r="MT1566" s="38"/>
      <c r="MU1566" s="38"/>
      <c r="MV1566" s="38"/>
      <c r="MW1566" s="38"/>
      <c r="MX1566" s="38"/>
      <c r="MY1566" s="38"/>
      <c r="MZ1566" s="38"/>
      <c r="NA1566" s="38"/>
      <c r="NB1566" s="38"/>
      <c r="NC1566" s="38"/>
      <c r="ND1566" s="38"/>
      <c r="NE1566" s="38"/>
      <c r="NF1566" s="38"/>
      <c r="NG1566" s="38"/>
      <c r="NH1566" s="38"/>
      <c r="NI1566" s="38"/>
      <c r="NJ1566" s="38"/>
      <c r="NK1566" s="38"/>
      <c r="NL1566" s="38"/>
      <c r="NM1566" s="38"/>
      <c r="NN1566" s="38"/>
      <c r="NO1566" s="38"/>
      <c r="NP1566" s="38"/>
      <c r="NQ1566" s="38"/>
      <c r="NR1566" s="38"/>
      <c r="NS1566" s="38"/>
      <c r="NT1566" s="38"/>
      <c r="NU1566" s="38"/>
      <c r="NV1566" s="38"/>
      <c r="NW1566" s="38"/>
      <c r="NX1566" s="38"/>
      <c r="NY1566" s="38"/>
      <c r="NZ1566" s="38"/>
      <c r="OA1566" s="38"/>
      <c r="OB1566" s="38"/>
      <c r="OC1566" s="38"/>
      <c r="OD1566" s="38"/>
      <c r="OE1566" s="38"/>
      <c r="OF1566" s="38"/>
      <c r="OG1566" s="38"/>
      <c r="OH1566" s="38"/>
      <c r="OI1566" s="38"/>
      <c r="OJ1566" s="38"/>
      <c r="OK1566" s="38"/>
      <c r="OL1566" s="38"/>
      <c r="OM1566" s="38"/>
      <c r="ON1566" s="38"/>
      <c r="OO1566" s="38"/>
      <c r="OP1566" s="38"/>
      <c r="OQ1566" s="38"/>
      <c r="OR1566" s="38"/>
      <c r="OS1566" s="38"/>
      <c r="OT1566" s="38"/>
      <c r="OU1566" s="38"/>
      <c r="OV1566" s="38"/>
      <c r="OW1566" s="38"/>
      <c r="OX1566" s="38"/>
      <c r="OY1566" s="38"/>
      <c r="OZ1566" s="38"/>
      <c r="PA1566" s="38"/>
      <c r="PB1566" s="38"/>
      <c r="PC1566" s="38"/>
      <c r="PD1566" s="38"/>
      <c r="PE1566" s="38"/>
      <c r="PF1566" s="38"/>
      <c r="PG1566" s="38"/>
      <c r="PH1566" s="38"/>
      <c r="PI1566" s="38"/>
      <c r="PJ1566" s="38"/>
      <c r="PK1566" s="38"/>
      <c r="PL1566" s="38"/>
      <c r="PM1566" s="38"/>
      <c r="PN1566" s="38"/>
      <c r="PO1566" s="38"/>
      <c r="PP1566" s="38"/>
      <c r="PQ1566" s="38"/>
      <c r="PR1566" s="38"/>
      <c r="PS1566" s="38"/>
      <c r="PT1566" s="38"/>
      <c r="PU1566" s="38"/>
      <c r="PV1566" s="38"/>
      <c r="PW1566" s="38"/>
      <c r="PX1566" s="38"/>
      <c r="PY1566" s="38"/>
      <c r="PZ1566" s="38"/>
      <c r="QA1566" s="38"/>
      <c r="QB1566" s="38"/>
      <c r="QC1566" s="38"/>
      <c r="QD1566" s="38"/>
      <c r="QE1566" s="38"/>
      <c r="QF1566" s="38"/>
      <c r="QG1566" s="38"/>
      <c r="QH1566" s="38"/>
      <c r="QI1566" s="38"/>
      <c r="QJ1566" s="38"/>
      <c r="QK1566" s="38"/>
      <c r="QL1566" s="38"/>
      <c r="QM1566" s="38"/>
      <c r="QN1566" s="38"/>
      <c r="QO1566" s="38"/>
      <c r="QP1566" s="38"/>
      <c r="QQ1566" s="38"/>
      <c r="QR1566" s="38"/>
      <c r="QS1566" s="38"/>
      <c r="QT1566" s="38"/>
      <c r="QU1566" s="38"/>
      <c r="QV1566" s="38"/>
      <c r="QW1566" s="38"/>
      <c r="QX1566" s="38"/>
      <c r="QY1566" s="38"/>
      <c r="QZ1566" s="38"/>
      <c r="RA1566" s="38"/>
      <c r="RB1566" s="38"/>
      <c r="RC1566" s="38"/>
      <c r="RD1566" s="38"/>
      <c r="RE1566" s="38"/>
      <c r="RF1566" s="38"/>
      <c r="RG1566" s="38"/>
      <c r="RH1566" s="38"/>
      <c r="RI1566" s="38"/>
      <c r="RJ1566" s="38"/>
      <c r="RK1566" s="38"/>
      <c r="RL1566" s="38"/>
      <c r="RM1566" s="38"/>
      <c r="RN1566" s="38"/>
      <c r="RO1566" s="38"/>
      <c r="RP1566" s="38"/>
      <c r="RQ1566" s="38"/>
      <c r="RR1566" s="38"/>
      <c r="RS1566" s="38"/>
      <c r="RT1566" s="38"/>
      <c r="RU1566" s="38"/>
      <c r="RV1566" s="38"/>
      <c r="RW1566" s="38"/>
      <c r="RX1566" s="38"/>
      <c r="RY1566" s="38"/>
      <c r="RZ1566" s="38"/>
      <c r="SA1566" s="38"/>
      <c r="SB1566" s="38"/>
      <c r="SC1566" s="38"/>
      <c r="SD1566" s="38"/>
      <c r="SE1566" s="38"/>
      <c r="SF1566" s="38"/>
      <c r="SG1566" s="38"/>
      <c r="SH1566" s="38"/>
      <c r="SI1566" s="38"/>
      <c r="SJ1566" s="38"/>
      <c r="SK1566" s="38"/>
      <c r="SL1566" s="38"/>
      <c r="SM1566" s="38"/>
      <c r="SN1566" s="38"/>
      <c r="SO1566" s="38"/>
      <c r="SP1566" s="38"/>
      <c r="SQ1566" s="38"/>
      <c r="SR1566" s="38"/>
      <c r="SS1566" s="38"/>
      <c r="ST1566" s="38"/>
      <c r="SU1566" s="38"/>
      <c r="SV1566" s="38"/>
      <c r="SW1566" s="38"/>
      <c r="SX1566" s="38"/>
      <c r="SY1566" s="38"/>
      <c r="SZ1566" s="38"/>
      <c r="TA1566" s="38"/>
      <c r="TB1566" s="38"/>
      <c r="TC1566" s="38"/>
      <c r="TD1566" s="38"/>
      <c r="TE1566" s="38"/>
      <c r="TF1566" s="38"/>
      <c r="TG1566" s="38"/>
      <c r="TH1566" s="38"/>
      <c r="TI1566" s="38"/>
      <c r="TJ1566" s="38"/>
      <c r="TK1566" s="38"/>
      <c r="TL1566" s="38"/>
      <c r="TM1566" s="38"/>
      <c r="TN1566" s="38"/>
      <c r="TO1566" s="38"/>
      <c r="TP1566" s="38"/>
      <c r="TQ1566" s="38"/>
      <c r="TR1566" s="38"/>
      <c r="TS1566" s="38"/>
      <c r="TT1566" s="38"/>
      <c r="TU1566" s="38"/>
      <c r="TV1566" s="38"/>
      <c r="TW1566" s="38"/>
      <c r="TX1566" s="38"/>
      <c r="TY1566" s="38"/>
      <c r="TZ1566" s="38"/>
      <c r="UA1566" s="38"/>
      <c r="UB1566" s="38"/>
      <c r="UC1566" s="38"/>
      <c r="UD1566" s="38"/>
      <c r="UE1566" s="38"/>
      <c r="UF1566" s="38"/>
      <c r="UG1566" s="38"/>
      <c r="UH1566" s="38"/>
      <c r="UI1566" s="38"/>
      <c r="UJ1566" s="38"/>
      <c r="UK1566" s="38"/>
      <c r="UL1566" s="38"/>
      <c r="UM1566" s="38"/>
      <c r="UN1566" s="38"/>
      <c r="UO1566" s="38"/>
      <c r="UP1566" s="38"/>
      <c r="UQ1566" s="38"/>
      <c r="UR1566" s="38"/>
      <c r="US1566" s="38"/>
      <c r="UT1566" s="38"/>
      <c r="UU1566" s="38"/>
      <c r="UV1566" s="38"/>
      <c r="UW1566" s="38"/>
      <c r="UX1566" s="38"/>
      <c r="UY1566" s="38"/>
      <c r="UZ1566" s="38"/>
      <c r="VA1566" s="38"/>
      <c r="VB1566" s="38"/>
      <c r="VC1566" s="38"/>
      <c r="VD1566" s="38"/>
      <c r="VE1566" s="38"/>
      <c r="VF1566" s="38"/>
      <c r="VG1566" s="38"/>
      <c r="VH1566" s="38"/>
      <c r="VI1566" s="38"/>
      <c r="VJ1566" s="38"/>
      <c r="VK1566" s="38"/>
      <c r="VL1566" s="38"/>
      <c r="VM1566" s="38"/>
      <c r="VN1566" s="38"/>
      <c r="VO1566" s="38"/>
      <c r="VP1566" s="38"/>
      <c r="VQ1566" s="38"/>
      <c r="VR1566" s="38"/>
      <c r="VS1566" s="38"/>
      <c r="VT1566" s="38"/>
      <c r="VU1566" s="38"/>
      <c r="VV1566" s="38"/>
      <c r="VW1566" s="38"/>
      <c r="VX1566" s="38"/>
      <c r="VY1566" s="38"/>
      <c r="VZ1566" s="38"/>
      <c r="WA1566" s="38"/>
      <c r="WB1566" s="38"/>
      <c r="WC1566" s="38"/>
      <c r="WD1566" s="38"/>
      <c r="WE1566" s="38"/>
      <c r="WF1566" s="38"/>
      <c r="WG1566" s="38"/>
      <c r="WH1566" s="38"/>
      <c r="WI1566" s="38"/>
      <c r="WJ1566" s="38"/>
      <c r="WK1566" s="38"/>
      <c r="WL1566" s="38"/>
      <c r="WM1566" s="38"/>
      <c r="WN1566" s="38"/>
      <c r="WO1566" s="38"/>
      <c r="WP1566" s="38"/>
      <c r="WQ1566" s="38"/>
      <c r="WR1566" s="38"/>
      <c r="WS1566" s="38"/>
      <c r="WT1566" s="38"/>
      <c r="WU1566" s="38"/>
      <c r="WV1566" s="38"/>
      <c r="WW1566" s="38"/>
      <c r="WX1566" s="38"/>
      <c r="WY1566" s="38"/>
      <c r="WZ1566" s="38"/>
      <c r="XA1566" s="38"/>
      <c r="XB1566" s="38"/>
      <c r="XC1566" s="38"/>
      <c r="XD1566" s="38"/>
      <c r="XE1566" s="38"/>
      <c r="XF1566" s="38"/>
      <c r="XG1566" s="38"/>
      <c r="XH1566" s="38"/>
      <c r="XI1566" s="38"/>
      <c r="XJ1566" s="38"/>
      <c r="XK1566" s="38"/>
      <c r="XL1566" s="38"/>
      <c r="XM1566" s="38"/>
      <c r="XN1566" s="38"/>
      <c r="XO1566" s="38"/>
      <c r="XP1566" s="38"/>
      <c r="XQ1566" s="38"/>
      <c r="XR1566" s="38"/>
      <c r="XS1566" s="38"/>
      <c r="XT1566" s="38"/>
      <c r="XU1566" s="38"/>
      <c r="XV1566" s="38"/>
      <c r="XW1566" s="38"/>
      <c r="XX1566" s="38"/>
      <c r="XY1566" s="38"/>
      <c r="XZ1566" s="38"/>
      <c r="YA1566" s="38"/>
      <c r="YB1566" s="38"/>
      <c r="YC1566" s="38"/>
      <c r="YD1566" s="38"/>
      <c r="YE1566" s="38"/>
      <c r="YF1566" s="38"/>
      <c r="YG1566" s="38"/>
      <c r="YH1566" s="38"/>
      <c r="YI1566" s="38"/>
      <c r="YJ1566" s="38"/>
      <c r="YK1566" s="38"/>
      <c r="YL1566" s="38"/>
      <c r="YM1566" s="38"/>
      <c r="YN1566" s="38"/>
      <c r="YO1566" s="38"/>
      <c r="YP1566" s="38"/>
      <c r="YQ1566" s="38"/>
      <c r="YR1566" s="38"/>
      <c r="YS1566" s="38"/>
      <c r="YT1566" s="38"/>
      <c r="YU1566" s="38"/>
      <c r="YV1566" s="38"/>
      <c r="YW1566" s="38"/>
      <c r="YX1566" s="38"/>
      <c r="YY1566" s="38"/>
      <c r="YZ1566" s="38"/>
      <c r="ZA1566" s="38"/>
      <c r="ZB1566" s="38"/>
      <c r="ZC1566" s="38"/>
      <c r="ZD1566" s="38"/>
      <c r="ZE1566" s="38"/>
      <c r="ZF1566" s="38"/>
      <c r="ZG1566" s="38"/>
      <c r="ZH1566" s="38"/>
      <c r="ZI1566" s="38"/>
      <c r="ZJ1566" s="38"/>
      <c r="ZK1566" s="38"/>
      <c r="ZL1566" s="38"/>
      <c r="ZM1566" s="38"/>
      <c r="ZN1566" s="38"/>
      <c r="ZO1566" s="38"/>
      <c r="ZP1566" s="38"/>
      <c r="ZQ1566" s="38"/>
      <c r="ZR1566" s="38"/>
      <c r="ZS1566" s="38"/>
      <c r="ZT1566" s="38"/>
      <c r="ZU1566" s="38"/>
      <c r="ZV1566" s="38"/>
      <c r="ZW1566" s="38"/>
      <c r="ZX1566" s="38"/>
      <c r="ZY1566" s="38"/>
      <c r="ZZ1566" s="38"/>
      <c r="AAA1566" s="38"/>
      <c r="AAB1566" s="38"/>
      <c r="AAC1566" s="38"/>
      <c r="AAD1566" s="38"/>
      <c r="AAE1566" s="38"/>
      <c r="AAF1566" s="38"/>
      <c r="AAG1566" s="38"/>
      <c r="AAH1566" s="38"/>
      <c r="AAI1566" s="38"/>
      <c r="AAJ1566" s="38"/>
      <c r="AAK1566" s="38"/>
      <c r="AAL1566" s="38"/>
      <c r="AAM1566" s="38"/>
      <c r="AAN1566" s="38"/>
      <c r="AAO1566" s="38"/>
      <c r="AAP1566" s="38"/>
      <c r="AAQ1566" s="38"/>
      <c r="AAR1566" s="38"/>
      <c r="AAS1566" s="38"/>
      <c r="AAT1566" s="38"/>
      <c r="AAU1566" s="38"/>
      <c r="AAV1566" s="38"/>
      <c r="AAW1566" s="38"/>
      <c r="AAX1566" s="38"/>
      <c r="AAY1566" s="38"/>
      <c r="AAZ1566" s="38"/>
      <c r="ABA1566" s="38"/>
      <c r="ABB1566" s="38"/>
      <c r="ABC1566" s="38"/>
      <c r="ABD1566" s="38"/>
      <c r="ABE1566" s="38"/>
      <c r="ABF1566" s="38"/>
      <c r="ABG1566" s="38"/>
      <c r="ABH1566" s="38"/>
      <c r="ABI1566" s="38"/>
      <c r="ABJ1566" s="38"/>
      <c r="ABK1566" s="38"/>
      <c r="ABL1566" s="38"/>
      <c r="ABM1566" s="38"/>
      <c r="ABN1566" s="38"/>
      <c r="ABO1566" s="38"/>
      <c r="ABP1566" s="38"/>
      <c r="ABQ1566" s="38"/>
      <c r="ABR1566" s="38"/>
      <c r="ABS1566" s="38"/>
      <c r="ABT1566" s="38"/>
      <c r="ABU1566" s="38"/>
      <c r="ABV1566" s="38"/>
      <c r="ABW1566" s="38"/>
      <c r="ABX1566" s="38"/>
      <c r="ABY1566" s="38"/>
      <c r="ABZ1566" s="38"/>
      <c r="ACA1566" s="38"/>
      <c r="ACB1566" s="38"/>
      <c r="ACC1566" s="38"/>
      <c r="ACD1566" s="38"/>
      <c r="ACE1566" s="38"/>
      <c r="ACF1566" s="38"/>
      <c r="ACG1566" s="38"/>
      <c r="ACH1566" s="38"/>
      <c r="ACI1566" s="38"/>
      <c r="ACJ1566" s="38"/>
      <c r="ACK1566" s="38"/>
      <c r="ACL1566" s="38"/>
      <c r="ACM1566" s="38"/>
      <c r="ACN1566" s="38"/>
      <c r="ACO1566" s="38"/>
      <c r="ACP1566" s="38"/>
      <c r="ACQ1566" s="38"/>
      <c r="ACR1566" s="38"/>
      <c r="ACS1566" s="38"/>
      <c r="ACT1566" s="38"/>
      <c r="ACU1566" s="38"/>
      <c r="ACV1566" s="38"/>
      <c r="ACW1566" s="38"/>
      <c r="ACX1566" s="38"/>
      <c r="ACY1566" s="38"/>
      <c r="ACZ1566" s="38"/>
      <c r="ADA1566" s="38"/>
      <c r="ADB1566" s="38"/>
      <c r="ADC1566" s="38"/>
      <c r="ADD1566" s="38"/>
      <c r="ADE1566" s="38"/>
      <c r="ADF1566" s="38"/>
      <c r="ADG1566" s="38"/>
      <c r="ADH1566" s="38"/>
      <c r="ADI1566" s="38"/>
      <c r="ADJ1566" s="38"/>
      <c r="ADK1566" s="38"/>
      <c r="ADL1566" s="38"/>
      <c r="ADM1566" s="38"/>
      <c r="ADN1566" s="38"/>
      <c r="ADO1566" s="38"/>
      <c r="ADP1566" s="38"/>
      <c r="ADQ1566" s="38"/>
      <c r="ADR1566" s="38"/>
      <c r="ADS1566" s="38"/>
      <c r="ADT1566" s="38"/>
      <c r="ADU1566" s="38"/>
      <c r="ADV1566" s="38"/>
      <c r="ADW1566" s="38"/>
      <c r="ADX1566" s="38"/>
      <c r="ADY1566" s="38"/>
      <c r="ADZ1566" s="38"/>
      <c r="AEA1566" s="38"/>
      <c r="AEB1566" s="38"/>
      <c r="AEC1566" s="38"/>
      <c r="AED1566" s="38"/>
      <c r="AEE1566" s="38"/>
      <c r="AEF1566" s="38"/>
      <c r="AEG1566" s="38"/>
      <c r="AEH1566" s="38"/>
      <c r="AEI1566" s="38"/>
      <c r="AEJ1566" s="38"/>
      <c r="AEK1566" s="38"/>
      <c r="AEL1566" s="38"/>
      <c r="AEM1566" s="38"/>
      <c r="AEN1566" s="38"/>
      <c r="AEO1566" s="38"/>
      <c r="AEP1566" s="38"/>
      <c r="AEQ1566" s="38"/>
      <c r="AER1566" s="38"/>
      <c r="AES1566" s="38"/>
      <c r="AET1566" s="38"/>
      <c r="AEU1566" s="38"/>
      <c r="AEV1566" s="38"/>
      <c r="AEW1566" s="38"/>
      <c r="AEX1566" s="38"/>
      <c r="AEY1566" s="38"/>
      <c r="AEZ1566" s="38"/>
      <c r="AFA1566" s="38"/>
      <c r="AFB1566" s="38"/>
      <c r="AFC1566" s="38"/>
      <c r="AFD1566" s="38"/>
      <c r="AFE1566" s="38"/>
      <c r="AFF1566" s="38"/>
      <c r="AFG1566" s="38"/>
      <c r="AFH1566" s="38"/>
      <c r="AFI1566" s="38"/>
      <c r="AFJ1566" s="38"/>
      <c r="AFK1566" s="38"/>
      <c r="AFL1566" s="38"/>
      <c r="AFM1566" s="38"/>
      <c r="AFN1566" s="38"/>
      <c r="AFO1566" s="38"/>
      <c r="AFP1566" s="38"/>
      <c r="AFQ1566" s="38"/>
      <c r="AFR1566" s="38"/>
      <c r="AFS1566" s="38"/>
      <c r="AFT1566" s="38"/>
      <c r="AFU1566" s="38"/>
      <c r="AFV1566" s="38"/>
      <c r="AFW1566" s="38"/>
      <c r="AFX1566" s="38"/>
      <c r="AFY1566" s="38"/>
      <c r="AFZ1566" s="38"/>
      <c r="AGA1566" s="38"/>
      <c r="AGB1566" s="38"/>
      <c r="AGC1566" s="38"/>
      <c r="AGD1566" s="38"/>
      <c r="AGE1566" s="38"/>
      <c r="AGF1566" s="38"/>
      <c r="AGG1566" s="38"/>
      <c r="AGH1566" s="38"/>
      <c r="AGI1566" s="38"/>
      <c r="AGJ1566" s="38"/>
      <c r="AGK1566" s="38"/>
      <c r="AGL1566" s="38"/>
      <c r="AGM1566" s="38"/>
      <c r="AGN1566" s="38"/>
      <c r="AGO1566" s="38"/>
      <c r="AGP1566" s="38"/>
      <c r="AGQ1566" s="38"/>
      <c r="AGR1566" s="38"/>
      <c r="AGS1566" s="38"/>
      <c r="AGT1566" s="38"/>
      <c r="AGU1566" s="38"/>
      <c r="AGV1566" s="38"/>
      <c r="AGW1566" s="38"/>
      <c r="AGX1566" s="38"/>
      <c r="AGY1566" s="38"/>
      <c r="AGZ1566" s="38"/>
      <c r="AHA1566" s="38"/>
      <c r="AHB1566" s="38"/>
      <c r="AHC1566" s="38"/>
      <c r="AHD1566" s="38"/>
      <c r="AHE1566" s="38"/>
      <c r="AHF1566" s="38"/>
      <c r="AHG1566" s="38"/>
      <c r="AHH1566" s="38"/>
      <c r="AHI1566" s="38"/>
      <c r="AHJ1566" s="38"/>
      <c r="AHK1566" s="38"/>
      <c r="AHL1566" s="38"/>
      <c r="AHM1566" s="38"/>
      <c r="AHN1566" s="38"/>
      <c r="AHO1566" s="38"/>
      <c r="AHP1566" s="38"/>
      <c r="AHQ1566" s="38"/>
      <c r="AHR1566" s="38"/>
      <c r="AHS1566" s="38"/>
      <c r="AHT1566" s="38"/>
      <c r="AHU1566" s="38"/>
      <c r="AHV1566" s="38"/>
      <c r="AHW1566" s="38"/>
      <c r="AHX1566" s="38"/>
      <c r="AHY1566" s="38"/>
      <c r="AHZ1566" s="38"/>
      <c r="AIA1566" s="38"/>
      <c r="AIB1566" s="38"/>
      <c r="AIC1566" s="38"/>
      <c r="AID1566" s="38"/>
      <c r="AIE1566" s="38"/>
      <c r="AIF1566" s="38"/>
      <c r="AIG1566" s="38"/>
      <c r="AIH1566" s="38"/>
      <c r="AII1566" s="38"/>
      <c r="AIJ1566" s="38"/>
      <c r="AIK1566" s="38"/>
      <c r="AIL1566" s="38"/>
      <c r="AIM1566" s="38"/>
      <c r="AIN1566" s="38"/>
      <c r="AIO1566" s="38"/>
      <c r="AIP1566" s="38"/>
      <c r="AIQ1566" s="38"/>
      <c r="AIR1566" s="38"/>
      <c r="AIS1566" s="38"/>
      <c r="AIT1566" s="38"/>
      <c r="AIU1566" s="38"/>
      <c r="AIV1566" s="38"/>
      <c r="AIW1566" s="38"/>
      <c r="AIX1566" s="38"/>
      <c r="AIY1566" s="38"/>
      <c r="AIZ1566" s="38"/>
      <c r="AJA1566" s="38"/>
      <c r="AJB1566" s="38"/>
      <c r="AJC1566" s="38"/>
      <c r="AJD1566" s="38"/>
      <c r="AJE1566" s="38"/>
      <c r="AJF1566" s="38"/>
      <c r="AJG1566" s="38"/>
      <c r="AJH1566" s="38"/>
      <c r="AJI1566" s="38"/>
      <c r="AJJ1566" s="38"/>
      <c r="AJK1566" s="38"/>
      <c r="AJL1566" s="38"/>
      <c r="AJM1566" s="38"/>
      <c r="AJN1566" s="38"/>
      <c r="AJO1566" s="38"/>
      <c r="AJP1566" s="38"/>
      <c r="AJQ1566" s="38"/>
      <c r="AJR1566" s="38"/>
      <c r="AJS1566" s="38"/>
      <c r="AJT1566" s="38"/>
      <c r="AJU1566" s="38"/>
      <c r="AJV1566" s="38"/>
      <c r="AJW1566" s="38"/>
      <c r="AJX1566" s="38"/>
      <c r="AJY1566" s="38"/>
      <c r="AJZ1566" s="38"/>
      <c r="AKA1566" s="38"/>
      <c r="AKB1566" s="38"/>
      <c r="AKC1566" s="38"/>
      <c r="AKD1566" s="38"/>
      <c r="AKE1566" s="38"/>
      <c r="AKF1566" s="38"/>
      <c r="AKG1566" s="38"/>
      <c r="AKH1566" s="38"/>
      <c r="AKI1566" s="38"/>
      <c r="AKJ1566" s="38"/>
      <c r="AKK1566" s="38"/>
      <c r="AKL1566" s="38"/>
      <c r="AKM1566" s="38"/>
      <c r="AKN1566" s="38"/>
      <c r="AKO1566" s="38"/>
      <c r="AKP1566" s="38"/>
      <c r="AKQ1566" s="38"/>
      <c r="AKR1566" s="38"/>
      <c r="AKS1566" s="38"/>
      <c r="AKT1566" s="38"/>
      <c r="AKU1566" s="38"/>
      <c r="AKV1566" s="38"/>
      <c r="AKW1566" s="38"/>
      <c r="AKX1566" s="38"/>
      <c r="AKY1566" s="38"/>
      <c r="AKZ1566" s="38"/>
      <c r="ALA1566" s="38"/>
      <c r="ALB1566" s="38"/>
      <c r="ALC1566" s="38"/>
      <c r="ALD1566" s="38"/>
      <c r="ALE1566" s="38"/>
      <c r="ALF1566" s="38"/>
      <c r="ALG1566" s="38"/>
      <c r="ALH1566" s="38"/>
      <c r="ALI1566" s="38"/>
      <c r="ALJ1566" s="38"/>
      <c r="ALK1566" s="38"/>
      <c r="ALL1566" s="38"/>
      <c r="ALM1566" s="38"/>
      <c r="ALN1566" s="38"/>
      <c r="ALO1566" s="38"/>
      <c r="ALP1566" s="38"/>
      <c r="ALQ1566" s="38"/>
      <c r="ALR1566" s="38"/>
      <c r="ALS1566" s="38"/>
      <c r="ALT1566" s="38"/>
      <c r="ALU1566" s="38"/>
      <c r="ALV1566" s="38"/>
      <c r="ALW1566" s="38"/>
      <c r="ALX1566" s="38"/>
      <c r="ALY1566" s="38"/>
      <c r="ALZ1566" s="38"/>
      <c r="AMA1566" s="38"/>
      <c r="AMB1566" s="38"/>
      <c r="AMC1566" s="38"/>
      <c r="AMD1566" s="38"/>
      <c r="AME1566" s="38"/>
      <c r="AMF1566" s="38"/>
      <c r="AMG1566" s="38"/>
      <c r="AMH1566" s="38"/>
      <c r="AMI1566" s="38"/>
      <c r="AMJ1566" s="38"/>
      <c r="AMK1566" s="38"/>
      <c r="AML1566" s="38"/>
      <c r="AMM1566" s="38"/>
      <c r="AMN1566" s="38"/>
      <c r="AMO1566" s="38"/>
      <c r="AMP1566" s="38"/>
      <c r="AMQ1566" s="38"/>
      <c r="AMR1566" s="38"/>
      <c r="AMS1566" s="38"/>
      <c r="AMT1566" s="38"/>
      <c r="AMU1566" s="38"/>
      <c r="AMV1566" s="38"/>
      <c r="AMW1566" s="38"/>
      <c r="AMX1566" s="38"/>
      <c r="AMY1566" s="38"/>
      <c r="AMZ1566" s="38"/>
      <c r="ANA1566" s="38"/>
      <c r="ANB1566" s="38"/>
      <c r="ANC1566" s="38"/>
      <c r="AND1566" s="38"/>
      <c r="ANE1566" s="38"/>
      <c r="ANF1566" s="38"/>
      <c r="ANG1566" s="38"/>
      <c r="ANH1566" s="38"/>
      <c r="ANI1566" s="38"/>
      <c r="ANJ1566" s="38"/>
      <c r="ANK1566" s="38"/>
      <c r="ANL1566" s="38"/>
      <c r="ANM1566" s="38"/>
      <c r="ANN1566" s="38"/>
      <c r="ANO1566" s="38"/>
      <c r="ANP1566" s="38"/>
      <c r="ANQ1566" s="38"/>
      <c r="ANR1566" s="38"/>
      <c r="ANS1566" s="38"/>
      <c r="ANT1566" s="38"/>
      <c r="ANU1566" s="38"/>
      <c r="ANV1566" s="38"/>
      <c r="ANW1566" s="38"/>
      <c r="ANX1566" s="38"/>
      <c r="ANY1566" s="38"/>
      <c r="ANZ1566" s="38"/>
      <c r="AOA1566" s="38"/>
      <c r="AOB1566" s="38"/>
      <c r="AOC1566" s="38"/>
      <c r="AOD1566" s="38"/>
      <c r="AOE1566" s="38"/>
      <c r="AOF1566" s="38"/>
      <c r="AOG1566" s="38"/>
      <c r="AOH1566" s="38"/>
      <c r="AOI1566" s="38"/>
      <c r="AOJ1566" s="38"/>
      <c r="AOK1566" s="38"/>
      <c r="AOL1566" s="38"/>
      <c r="AOM1566" s="38"/>
      <c r="AON1566" s="38"/>
      <c r="AOO1566" s="38"/>
      <c r="AOP1566" s="38"/>
      <c r="AOQ1566" s="38"/>
      <c r="AOR1566" s="38"/>
      <c r="AOS1566" s="38"/>
      <c r="AOT1566" s="38"/>
      <c r="AOU1566" s="38"/>
      <c r="AOV1566" s="38"/>
      <c r="AOW1566" s="38"/>
      <c r="AOX1566" s="38"/>
      <c r="AOY1566" s="38"/>
      <c r="AOZ1566" s="38"/>
      <c r="APA1566" s="38"/>
      <c r="APB1566" s="38"/>
      <c r="APC1566" s="38"/>
    </row>
    <row r="1567" spans="1:1095" s="36" customFormat="1" ht="14.25" customHeight="1">
      <c r="A1567" s="3" t="s">
        <v>1722</v>
      </c>
      <c r="B1567" s="36" t="s">
        <v>2035</v>
      </c>
      <c r="C1567" s="10">
        <v>4099854036958</v>
      </c>
      <c r="D1567" s="246"/>
      <c r="E1567" s="249"/>
      <c r="F1567" s="222" t="s">
        <v>3136</v>
      </c>
      <c r="G1567" s="66" t="str">
        <f>HYPERLINK("https://ledvance.com/pt/product-datasheet/246660/233338","Ficha de Produto")</f>
        <v>Ficha de Produto</v>
      </c>
      <c r="H1567" s="34">
        <v>10</v>
      </c>
      <c r="I1567" s="34" t="s">
        <v>6299</v>
      </c>
      <c r="J1567" s="34" t="s">
        <v>809</v>
      </c>
      <c r="K1567" s="34" t="s">
        <v>788</v>
      </c>
      <c r="L1567" s="34" t="s">
        <v>765</v>
      </c>
      <c r="M1567" s="247">
        <v>13.100000000000001</v>
      </c>
      <c r="N1567" s="288" t="s">
        <v>722</v>
      </c>
    </row>
    <row r="1568" spans="1:1095" s="36" customFormat="1" ht="14.25" customHeight="1">
      <c r="A1568" s="3" t="s">
        <v>1722</v>
      </c>
      <c r="B1568" s="36" t="s">
        <v>2036</v>
      </c>
      <c r="C1568" s="10">
        <v>4099854036972</v>
      </c>
      <c r="D1568" s="224">
        <v>4058075611795</v>
      </c>
      <c r="E1568" s="245" t="s">
        <v>1006</v>
      </c>
      <c r="F1568" s="246"/>
      <c r="G1568" s="66" t="str">
        <f>HYPERLINK("https://ledvance.com/pt/product-datasheet/246660/233341","Ficha de Produto")</f>
        <v>Ficha de Produto</v>
      </c>
      <c r="H1568" s="34">
        <v>10</v>
      </c>
      <c r="I1568" s="34" t="s">
        <v>929</v>
      </c>
      <c r="J1568" s="34" t="s">
        <v>809</v>
      </c>
      <c r="K1568" s="34" t="s">
        <v>788</v>
      </c>
      <c r="L1568" s="34" t="s">
        <v>765</v>
      </c>
      <c r="M1568" s="247">
        <v>13.100000000000001</v>
      </c>
      <c r="N1568" s="288" t="s">
        <v>722</v>
      </c>
    </row>
    <row r="1569" spans="1:1095" s="36" customFormat="1" ht="14.25" customHeight="1">
      <c r="A1569" s="3" t="s">
        <v>1722</v>
      </c>
      <c r="B1569" s="36" t="s">
        <v>2037</v>
      </c>
      <c r="C1569" s="10">
        <v>4099854036996</v>
      </c>
      <c r="D1569" s="224">
        <v>4058075611818</v>
      </c>
      <c r="E1569" s="245" t="s">
        <v>1007</v>
      </c>
      <c r="F1569" s="246"/>
      <c r="G1569" s="66" t="str">
        <f>HYPERLINK("https://ledvance.com/pt/product-datasheet/246660/233344","Ficha de Produto")</f>
        <v>Ficha de Produto</v>
      </c>
      <c r="H1569" s="34">
        <v>10</v>
      </c>
      <c r="I1569" s="34" t="s">
        <v>929</v>
      </c>
      <c r="J1569" s="34" t="s">
        <v>809</v>
      </c>
      <c r="K1569" s="34" t="s">
        <v>788</v>
      </c>
      <c r="L1569" s="34" t="s">
        <v>765</v>
      </c>
      <c r="M1569" s="247">
        <v>13.100000000000001</v>
      </c>
      <c r="N1569" s="288" t="s">
        <v>722</v>
      </c>
    </row>
    <row r="1570" spans="1:1095" s="36" customFormat="1" ht="14.25" customHeight="1">
      <c r="A1570" s="3" t="s">
        <v>1722</v>
      </c>
      <c r="B1570" s="36" t="s">
        <v>2038</v>
      </c>
      <c r="C1570" s="10">
        <v>4099854036897</v>
      </c>
      <c r="D1570" s="246"/>
      <c r="E1570" s="249"/>
      <c r="F1570" s="222" t="s">
        <v>3136</v>
      </c>
      <c r="G1570" s="66" t="str">
        <f>HYPERLINK("https://ledvance.com/pt/product-datasheet/246660/233348","Ficha de Produto")</f>
        <v>Ficha de Produto</v>
      </c>
      <c r="H1570" s="34">
        <v>10</v>
      </c>
      <c r="I1570" s="34" t="s">
        <v>6303</v>
      </c>
      <c r="J1570" s="34" t="s">
        <v>6310</v>
      </c>
      <c r="K1570" s="34" t="s">
        <v>788</v>
      </c>
      <c r="L1570" s="34" t="s">
        <v>765</v>
      </c>
      <c r="M1570" s="247">
        <v>16.3</v>
      </c>
      <c r="N1570" s="288" t="s">
        <v>722</v>
      </c>
    </row>
    <row r="1571" spans="1:1095" s="36" customFormat="1" ht="14.25" customHeight="1">
      <c r="A1571" s="3" t="s">
        <v>1722</v>
      </c>
      <c r="B1571" s="36" t="s">
        <v>2039</v>
      </c>
      <c r="C1571" s="10">
        <v>4099854036910</v>
      </c>
      <c r="D1571" s="224">
        <v>4058075611832</v>
      </c>
      <c r="E1571" s="245" t="s">
        <v>1008</v>
      </c>
      <c r="F1571" s="246"/>
      <c r="G1571" s="66" t="str">
        <f>HYPERLINK("https://ledvance.com/pt/product-datasheet/246660/233354","Ficha de Produto")</f>
        <v>Ficha de Produto</v>
      </c>
      <c r="H1571" s="34">
        <v>10</v>
      </c>
      <c r="I1571" s="34" t="s">
        <v>6304</v>
      </c>
      <c r="J1571" s="34" t="s">
        <v>6310</v>
      </c>
      <c r="K1571" s="34" t="s">
        <v>788</v>
      </c>
      <c r="L1571" s="34" t="s">
        <v>765</v>
      </c>
      <c r="M1571" s="247">
        <v>16.3</v>
      </c>
      <c r="N1571" s="288" t="s">
        <v>722</v>
      </c>
    </row>
    <row r="1572" spans="1:1095" s="36" customFormat="1" ht="14.25" customHeight="1">
      <c r="A1572" s="3" t="s">
        <v>1722</v>
      </c>
      <c r="B1572" s="36" t="s">
        <v>2040</v>
      </c>
      <c r="C1572" s="10">
        <v>4099854036934</v>
      </c>
      <c r="D1572" s="224">
        <v>4058075611856</v>
      </c>
      <c r="E1572" s="245" t="s">
        <v>1009</v>
      </c>
      <c r="F1572" s="246"/>
      <c r="G1572" s="66" t="str">
        <f>HYPERLINK("https://ledvance.com/pt/product-datasheet/246660/233346","Ficha de Produto")</f>
        <v>Ficha de Produto</v>
      </c>
      <c r="H1572" s="34">
        <v>10</v>
      </c>
      <c r="I1572" s="34" t="s">
        <v>6304</v>
      </c>
      <c r="J1572" s="34" t="s">
        <v>6310</v>
      </c>
      <c r="K1572" s="34" t="s">
        <v>788</v>
      </c>
      <c r="L1572" s="34" t="s">
        <v>765</v>
      </c>
      <c r="M1572" s="247">
        <v>16.3</v>
      </c>
      <c r="N1572" s="288" t="s">
        <v>722</v>
      </c>
    </row>
    <row r="1573" spans="1:1095" s="36" customFormat="1" ht="14.25" customHeight="1">
      <c r="A1573" s="3" t="s">
        <v>1722</v>
      </c>
      <c r="B1573" s="36" t="s">
        <v>2041</v>
      </c>
      <c r="C1573" s="10">
        <v>4099854037078</v>
      </c>
      <c r="D1573" s="246"/>
      <c r="E1573" s="249"/>
      <c r="F1573" s="222" t="s">
        <v>3136</v>
      </c>
      <c r="G1573" s="66" t="str">
        <f>HYPERLINK("https://ledvance.com/pt/product-datasheet/246660/233353","Ficha de Produto")</f>
        <v>Ficha de Produto</v>
      </c>
      <c r="H1573" s="34">
        <v>10</v>
      </c>
      <c r="I1573" s="34" t="s">
        <v>6305</v>
      </c>
      <c r="J1573" s="34" t="s">
        <v>775</v>
      </c>
      <c r="K1573" s="34" t="s">
        <v>788</v>
      </c>
      <c r="L1573" s="34" t="s">
        <v>765</v>
      </c>
      <c r="M1573" s="247">
        <v>20.8</v>
      </c>
      <c r="N1573" s="288" t="s">
        <v>722</v>
      </c>
    </row>
    <row r="1574" spans="1:1095" s="36" customFormat="1" ht="14.25" customHeight="1">
      <c r="A1574" s="3" t="s">
        <v>1722</v>
      </c>
      <c r="B1574" s="36" t="s">
        <v>2042</v>
      </c>
      <c r="C1574" s="10">
        <v>4099854037139</v>
      </c>
      <c r="D1574" s="224">
        <v>4058075611870</v>
      </c>
      <c r="E1574" s="245" t="s">
        <v>1010</v>
      </c>
      <c r="F1574" s="246"/>
      <c r="G1574" s="66" t="str">
        <f>HYPERLINK("https://ledvance.com/pt/product-datasheet/246660/233359","Ficha de Produto")</f>
        <v>Ficha de Produto</v>
      </c>
      <c r="H1574" s="34">
        <v>10</v>
      </c>
      <c r="I1574" s="34" t="s">
        <v>840</v>
      </c>
      <c r="J1574" s="34" t="s">
        <v>775</v>
      </c>
      <c r="K1574" s="34" t="s">
        <v>788</v>
      </c>
      <c r="L1574" s="34" t="s">
        <v>765</v>
      </c>
      <c r="M1574" s="247">
        <v>20.8</v>
      </c>
      <c r="N1574" s="288" t="s">
        <v>722</v>
      </c>
    </row>
    <row r="1575" spans="1:1095" s="36" customFormat="1" ht="14.25" customHeight="1">
      <c r="A1575" s="3" t="s">
        <v>1722</v>
      </c>
      <c r="B1575" s="36" t="s">
        <v>2043</v>
      </c>
      <c r="C1575" s="10">
        <v>4099854037153</v>
      </c>
      <c r="D1575" s="224">
        <v>4058075611894</v>
      </c>
      <c r="E1575" s="245" t="s">
        <v>1011</v>
      </c>
      <c r="F1575" s="246"/>
      <c r="G1575" s="66" t="str">
        <f>HYPERLINK("https://ledvance.com/pt/product-datasheet/246660/233362","Ficha de Produto")</f>
        <v>Ficha de Produto</v>
      </c>
      <c r="H1575" s="34">
        <v>10</v>
      </c>
      <c r="I1575" s="34" t="s">
        <v>840</v>
      </c>
      <c r="J1575" s="34" t="s">
        <v>775</v>
      </c>
      <c r="K1575" s="34" t="s">
        <v>788</v>
      </c>
      <c r="L1575" s="34" t="s">
        <v>765</v>
      </c>
      <c r="M1575" s="247">
        <v>20.8</v>
      </c>
      <c r="N1575" s="288" t="s">
        <v>722</v>
      </c>
    </row>
    <row r="1576" spans="1:1095" s="39" customFormat="1" ht="14.25" customHeight="1">
      <c r="A1576" s="8" t="s">
        <v>1722</v>
      </c>
      <c r="B1576" s="244" t="s">
        <v>2044</v>
      </c>
      <c r="C1576" s="244"/>
      <c r="D1576" s="7"/>
      <c r="E1576" s="230"/>
      <c r="F1576" s="7"/>
      <c r="G1576" s="68" t="s">
        <v>6505</v>
      </c>
      <c r="H1576" s="230"/>
      <c r="I1576" s="230"/>
      <c r="J1576" s="230"/>
      <c r="K1576" s="230"/>
      <c r="L1576" s="230"/>
      <c r="M1576" s="248"/>
      <c r="N1576" s="289"/>
      <c r="O1576" s="38"/>
      <c r="P1576" s="38"/>
      <c r="Q1576" s="38"/>
      <c r="R1576" s="38"/>
      <c r="S1576" s="38"/>
      <c r="T1576" s="38"/>
      <c r="U1576" s="38"/>
      <c r="V1576" s="38"/>
      <c r="W1576" s="38"/>
      <c r="X1576" s="38"/>
      <c r="Y1576" s="38"/>
      <c r="Z1576" s="38"/>
      <c r="AA1576" s="38"/>
      <c r="AB1576" s="38"/>
      <c r="AC1576" s="38"/>
      <c r="AD1576" s="38"/>
      <c r="AE1576" s="38"/>
      <c r="AF1576" s="38"/>
      <c r="AG1576" s="38"/>
      <c r="AH1576" s="38"/>
      <c r="AI1576" s="38"/>
      <c r="AJ1576" s="38"/>
      <c r="AK1576" s="38"/>
      <c r="AL1576" s="38"/>
      <c r="AM1576" s="38"/>
      <c r="AN1576" s="38"/>
      <c r="AO1576" s="38"/>
      <c r="AP1576" s="38"/>
      <c r="AQ1576" s="38"/>
      <c r="AR1576" s="38"/>
      <c r="AS1576" s="38"/>
      <c r="AT1576" s="38"/>
      <c r="AU1576" s="38"/>
      <c r="AV1576" s="38"/>
      <c r="AW1576" s="38"/>
      <c r="AX1576" s="38"/>
      <c r="AY1576" s="38"/>
      <c r="AZ1576" s="38"/>
      <c r="BA1576" s="38"/>
      <c r="BB1576" s="38"/>
      <c r="BC1576" s="38"/>
      <c r="BD1576" s="38"/>
      <c r="BE1576" s="38"/>
      <c r="BF1576" s="38"/>
      <c r="BG1576" s="38"/>
      <c r="BH1576" s="38"/>
      <c r="BI1576" s="38"/>
      <c r="BJ1576" s="38"/>
      <c r="BK1576" s="38"/>
      <c r="BL1576" s="38"/>
      <c r="BM1576" s="38"/>
      <c r="BN1576" s="38"/>
      <c r="BO1576" s="38"/>
      <c r="BP1576" s="38"/>
      <c r="BQ1576" s="38"/>
      <c r="BR1576" s="38"/>
      <c r="BS1576" s="38"/>
      <c r="BT1576" s="38"/>
      <c r="BU1576" s="38"/>
      <c r="BV1576" s="38"/>
      <c r="BW1576" s="38"/>
      <c r="BX1576" s="38"/>
      <c r="BY1576" s="38"/>
      <c r="BZ1576" s="38"/>
      <c r="CA1576" s="38"/>
      <c r="CB1576" s="38"/>
      <c r="CC1576" s="38"/>
      <c r="CD1576" s="38"/>
      <c r="CE1576" s="38"/>
      <c r="CF1576" s="38"/>
      <c r="CG1576" s="38"/>
      <c r="CH1576" s="38"/>
      <c r="CI1576" s="38"/>
      <c r="CJ1576" s="38"/>
      <c r="CK1576" s="38"/>
      <c r="CL1576" s="38"/>
      <c r="CM1576" s="38"/>
      <c r="CN1576" s="38"/>
      <c r="CO1576" s="38"/>
      <c r="CP1576" s="38"/>
      <c r="CQ1576" s="38"/>
      <c r="CR1576" s="38"/>
      <c r="CS1576" s="38"/>
      <c r="CT1576" s="38"/>
      <c r="CU1576" s="38"/>
      <c r="CV1576" s="38"/>
      <c r="CW1576" s="38"/>
      <c r="CX1576" s="38"/>
      <c r="CY1576" s="38"/>
      <c r="CZ1576" s="38"/>
      <c r="DA1576" s="38"/>
      <c r="DB1576" s="38"/>
      <c r="DC1576" s="38"/>
      <c r="DD1576" s="38"/>
      <c r="DE1576" s="38"/>
      <c r="DF1576" s="38"/>
      <c r="DG1576" s="38"/>
      <c r="DH1576" s="38"/>
      <c r="DI1576" s="38"/>
      <c r="DJ1576" s="38"/>
      <c r="DK1576" s="38"/>
      <c r="DL1576" s="38"/>
      <c r="DM1576" s="38"/>
      <c r="DN1576" s="38"/>
      <c r="DO1576" s="38"/>
      <c r="DP1576" s="38"/>
      <c r="DQ1576" s="38"/>
      <c r="DR1576" s="38"/>
      <c r="DS1576" s="38"/>
      <c r="DT1576" s="38"/>
      <c r="DU1576" s="38"/>
      <c r="DV1576" s="38"/>
      <c r="DW1576" s="38"/>
      <c r="DX1576" s="38"/>
      <c r="DY1576" s="38"/>
      <c r="DZ1576" s="38"/>
      <c r="EA1576" s="38"/>
      <c r="EB1576" s="38"/>
      <c r="EC1576" s="38"/>
      <c r="ED1576" s="38"/>
      <c r="EE1576" s="38"/>
      <c r="EF1576" s="38"/>
      <c r="EG1576" s="38"/>
      <c r="EH1576" s="38"/>
      <c r="EI1576" s="38"/>
      <c r="EJ1576" s="38"/>
      <c r="EK1576" s="38"/>
      <c r="EL1576" s="38"/>
      <c r="EM1576" s="38"/>
      <c r="EN1576" s="38"/>
      <c r="EO1576" s="38"/>
      <c r="EP1576" s="38"/>
      <c r="EQ1576" s="38"/>
      <c r="ER1576" s="38"/>
      <c r="ES1576" s="38"/>
      <c r="ET1576" s="38"/>
      <c r="EU1576" s="38"/>
      <c r="EV1576" s="38"/>
      <c r="EW1576" s="38"/>
      <c r="EX1576" s="38"/>
      <c r="EY1576" s="38"/>
      <c r="EZ1576" s="38"/>
      <c r="FA1576" s="38"/>
      <c r="FB1576" s="38"/>
      <c r="FC1576" s="38"/>
      <c r="FD1576" s="38"/>
      <c r="FE1576" s="38"/>
      <c r="FF1576" s="38"/>
      <c r="FG1576" s="38"/>
      <c r="FH1576" s="38"/>
      <c r="FI1576" s="38"/>
      <c r="FJ1576" s="38"/>
      <c r="FK1576" s="38"/>
      <c r="FL1576" s="38"/>
      <c r="FM1576" s="38"/>
      <c r="FN1576" s="38"/>
      <c r="FO1576" s="38"/>
      <c r="FP1576" s="38"/>
      <c r="FQ1576" s="38"/>
      <c r="FR1576" s="38"/>
      <c r="FS1576" s="38"/>
      <c r="FT1576" s="38"/>
      <c r="FU1576" s="38"/>
      <c r="FV1576" s="38"/>
      <c r="FW1576" s="38"/>
      <c r="FX1576" s="38"/>
      <c r="FY1576" s="38"/>
      <c r="FZ1576" s="38"/>
      <c r="GA1576" s="38"/>
      <c r="GB1576" s="38"/>
      <c r="GC1576" s="38"/>
      <c r="GD1576" s="38"/>
      <c r="GE1576" s="38"/>
      <c r="GF1576" s="38"/>
      <c r="GG1576" s="38"/>
      <c r="GH1576" s="38"/>
      <c r="GI1576" s="38"/>
      <c r="GJ1576" s="38"/>
      <c r="GK1576" s="38"/>
      <c r="GL1576" s="38"/>
      <c r="GM1576" s="38"/>
      <c r="GN1576" s="38"/>
      <c r="GO1576" s="38"/>
      <c r="GP1576" s="38"/>
      <c r="GQ1576" s="38"/>
      <c r="GR1576" s="38"/>
      <c r="GS1576" s="38"/>
      <c r="GT1576" s="38"/>
      <c r="GU1576" s="38"/>
      <c r="GV1576" s="38"/>
      <c r="GW1576" s="38"/>
      <c r="GX1576" s="38"/>
      <c r="GY1576" s="38"/>
      <c r="GZ1576" s="38"/>
      <c r="HA1576" s="38"/>
      <c r="HB1576" s="38"/>
      <c r="HC1576" s="38"/>
      <c r="HD1576" s="38"/>
      <c r="HE1576" s="38"/>
      <c r="HF1576" s="38"/>
      <c r="HG1576" s="38"/>
      <c r="HH1576" s="38"/>
      <c r="HI1576" s="38"/>
      <c r="HJ1576" s="38"/>
      <c r="HK1576" s="38"/>
      <c r="HL1576" s="38"/>
      <c r="HM1576" s="38"/>
      <c r="HN1576" s="38"/>
      <c r="HO1576" s="38"/>
      <c r="HP1576" s="38"/>
      <c r="HQ1576" s="38"/>
      <c r="HR1576" s="38"/>
      <c r="HS1576" s="38"/>
      <c r="HT1576" s="38"/>
      <c r="HU1576" s="38"/>
      <c r="HV1576" s="38"/>
      <c r="HW1576" s="38"/>
      <c r="HX1576" s="38"/>
      <c r="HY1576" s="38"/>
      <c r="HZ1576" s="38"/>
      <c r="IA1576" s="38"/>
      <c r="IB1576" s="38"/>
      <c r="IC1576" s="38"/>
      <c r="ID1576" s="38"/>
      <c r="IE1576" s="38"/>
      <c r="IF1576" s="38"/>
      <c r="IG1576" s="38"/>
      <c r="IH1576" s="38"/>
      <c r="II1576" s="38"/>
      <c r="IJ1576" s="38"/>
      <c r="IK1576" s="38"/>
      <c r="IL1576" s="38"/>
      <c r="IM1576" s="38"/>
      <c r="IN1576" s="38"/>
      <c r="IO1576" s="38"/>
      <c r="IP1576" s="38"/>
      <c r="IQ1576" s="38"/>
      <c r="IR1576" s="38"/>
      <c r="IS1576" s="38"/>
      <c r="IT1576" s="38"/>
      <c r="IU1576" s="38"/>
      <c r="IV1576" s="38"/>
      <c r="IW1576" s="38"/>
      <c r="IX1576" s="38"/>
      <c r="IY1576" s="38"/>
      <c r="IZ1576" s="38"/>
      <c r="JA1576" s="38"/>
      <c r="JB1576" s="38"/>
      <c r="JC1576" s="38"/>
      <c r="JD1576" s="38"/>
      <c r="JE1576" s="38"/>
      <c r="JF1576" s="38"/>
      <c r="JG1576" s="38"/>
      <c r="JH1576" s="38"/>
      <c r="JI1576" s="38"/>
      <c r="JJ1576" s="38"/>
      <c r="JK1576" s="38"/>
      <c r="JL1576" s="38"/>
      <c r="JM1576" s="38"/>
      <c r="JN1576" s="38"/>
      <c r="JO1576" s="38"/>
      <c r="JP1576" s="38"/>
      <c r="JQ1576" s="38"/>
      <c r="JR1576" s="38"/>
      <c r="JS1576" s="38"/>
      <c r="JT1576" s="38"/>
      <c r="JU1576" s="38"/>
      <c r="JV1576" s="38"/>
      <c r="JW1576" s="38"/>
      <c r="JX1576" s="38"/>
      <c r="JY1576" s="38"/>
      <c r="JZ1576" s="38"/>
      <c r="KA1576" s="38"/>
      <c r="KB1576" s="38"/>
      <c r="KC1576" s="38"/>
      <c r="KD1576" s="38"/>
      <c r="KE1576" s="38"/>
      <c r="KF1576" s="38"/>
      <c r="KG1576" s="38"/>
      <c r="KH1576" s="38"/>
      <c r="KI1576" s="38"/>
      <c r="KJ1576" s="38"/>
      <c r="KK1576" s="38"/>
      <c r="KL1576" s="38"/>
      <c r="KM1576" s="38"/>
      <c r="KN1576" s="38"/>
      <c r="KO1576" s="38"/>
      <c r="KP1576" s="38"/>
      <c r="KQ1576" s="38"/>
      <c r="KR1576" s="38"/>
      <c r="KS1576" s="38"/>
      <c r="KT1576" s="38"/>
      <c r="KU1576" s="38"/>
      <c r="KV1576" s="38"/>
      <c r="KW1576" s="38"/>
      <c r="KX1576" s="38"/>
      <c r="KY1576" s="38"/>
      <c r="KZ1576" s="38"/>
      <c r="LA1576" s="38"/>
      <c r="LB1576" s="38"/>
      <c r="LC1576" s="38"/>
      <c r="LD1576" s="38"/>
      <c r="LE1576" s="38"/>
      <c r="LF1576" s="38"/>
      <c r="LG1576" s="38"/>
      <c r="LH1576" s="38"/>
      <c r="LI1576" s="38"/>
      <c r="LJ1576" s="38"/>
      <c r="LK1576" s="38"/>
      <c r="LL1576" s="38"/>
      <c r="LM1576" s="38"/>
      <c r="LN1576" s="38"/>
      <c r="LO1576" s="38"/>
      <c r="LP1576" s="38"/>
      <c r="LQ1576" s="38"/>
      <c r="LR1576" s="38"/>
      <c r="LS1576" s="38"/>
      <c r="LT1576" s="38"/>
      <c r="LU1576" s="38"/>
      <c r="LV1576" s="38"/>
      <c r="LW1576" s="38"/>
      <c r="LX1576" s="38"/>
      <c r="LY1576" s="38"/>
      <c r="LZ1576" s="38"/>
      <c r="MA1576" s="38"/>
      <c r="MB1576" s="38"/>
      <c r="MC1576" s="38"/>
      <c r="MD1576" s="38"/>
      <c r="ME1576" s="38"/>
      <c r="MF1576" s="38"/>
      <c r="MG1576" s="38"/>
      <c r="MH1576" s="38"/>
      <c r="MI1576" s="38"/>
      <c r="MJ1576" s="38"/>
      <c r="MK1576" s="38"/>
      <c r="ML1576" s="38"/>
      <c r="MM1576" s="38"/>
      <c r="MN1576" s="38"/>
      <c r="MO1576" s="38"/>
      <c r="MP1576" s="38"/>
      <c r="MQ1576" s="38"/>
      <c r="MR1576" s="38"/>
      <c r="MS1576" s="38"/>
      <c r="MT1576" s="38"/>
      <c r="MU1576" s="38"/>
      <c r="MV1576" s="38"/>
      <c r="MW1576" s="38"/>
      <c r="MX1576" s="38"/>
      <c r="MY1576" s="38"/>
      <c r="MZ1576" s="38"/>
      <c r="NA1576" s="38"/>
      <c r="NB1576" s="38"/>
      <c r="NC1576" s="38"/>
      <c r="ND1576" s="38"/>
      <c r="NE1576" s="38"/>
      <c r="NF1576" s="38"/>
      <c r="NG1576" s="38"/>
      <c r="NH1576" s="38"/>
      <c r="NI1576" s="38"/>
      <c r="NJ1576" s="38"/>
      <c r="NK1576" s="38"/>
      <c r="NL1576" s="38"/>
      <c r="NM1576" s="38"/>
      <c r="NN1576" s="38"/>
      <c r="NO1576" s="38"/>
      <c r="NP1576" s="38"/>
      <c r="NQ1576" s="38"/>
      <c r="NR1576" s="38"/>
      <c r="NS1576" s="38"/>
      <c r="NT1576" s="38"/>
      <c r="NU1576" s="38"/>
      <c r="NV1576" s="38"/>
      <c r="NW1576" s="38"/>
      <c r="NX1576" s="38"/>
      <c r="NY1576" s="38"/>
      <c r="NZ1576" s="38"/>
      <c r="OA1576" s="38"/>
      <c r="OB1576" s="38"/>
      <c r="OC1576" s="38"/>
      <c r="OD1576" s="38"/>
      <c r="OE1576" s="38"/>
      <c r="OF1576" s="38"/>
      <c r="OG1576" s="38"/>
      <c r="OH1576" s="38"/>
      <c r="OI1576" s="38"/>
      <c r="OJ1576" s="38"/>
      <c r="OK1576" s="38"/>
      <c r="OL1576" s="38"/>
      <c r="OM1576" s="38"/>
      <c r="ON1576" s="38"/>
      <c r="OO1576" s="38"/>
      <c r="OP1576" s="38"/>
      <c r="OQ1576" s="38"/>
      <c r="OR1576" s="38"/>
      <c r="OS1576" s="38"/>
      <c r="OT1576" s="38"/>
      <c r="OU1576" s="38"/>
      <c r="OV1576" s="38"/>
      <c r="OW1576" s="38"/>
      <c r="OX1576" s="38"/>
      <c r="OY1576" s="38"/>
      <c r="OZ1576" s="38"/>
      <c r="PA1576" s="38"/>
      <c r="PB1576" s="38"/>
      <c r="PC1576" s="38"/>
      <c r="PD1576" s="38"/>
      <c r="PE1576" s="38"/>
      <c r="PF1576" s="38"/>
      <c r="PG1576" s="38"/>
      <c r="PH1576" s="38"/>
      <c r="PI1576" s="38"/>
      <c r="PJ1576" s="38"/>
      <c r="PK1576" s="38"/>
      <c r="PL1576" s="38"/>
      <c r="PM1576" s="38"/>
      <c r="PN1576" s="38"/>
      <c r="PO1576" s="38"/>
      <c r="PP1576" s="38"/>
      <c r="PQ1576" s="38"/>
      <c r="PR1576" s="38"/>
      <c r="PS1576" s="38"/>
      <c r="PT1576" s="38"/>
      <c r="PU1576" s="38"/>
      <c r="PV1576" s="38"/>
      <c r="PW1576" s="38"/>
      <c r="PX1576" s="38"/>
      <c r="PY1576" s="38"/>
      <c r="PZ1576" s="38"/>
      <c r="QA1576" s="38"/>
      <c r="QB1576" s="38"/>
      <c r="QC1576" s="38"/>
      <c r="QD1576" s="38"/>
      <c r="QE1576" s="38"/>
      <c r="QF1576" s="38"/>
      <c r="QG1576" s="38"/>
      <c r="QH1576" s="38"/>
      <c r="QI1576" s="38"/>
      <c r="QJ1576" s="38"/>
      <c r="QK1576" s="38"/>
      <c r="QL1576" s="38"/>
      <c r="QM1576" s="38"/>
      <c r="QN1576" s="38"/>
      <c r="QO1576" s="38"/>
      <c r="QP1576" s="38"/>
      <c r="QQ1576" s="38"/>
      <c r="QR1576" s="38"/>
      <c r="QS1576" s="38"/>
      <c r="QT1576" s="38"/>
      <c r="QU1576" s="38"/>
      <c r="QV1576" s="38"/>
      <c r="QW1576" s="38"/>
      <c r="QX1576" s="38"/>
      <c r="QY1576" s="38"/>
      <c r="QZ1576" s="38"/>
      <c r="RA1576" s="38"/>
      <c r="RB1576" s="38"/>
      <c r="RC1576" s="38"/>
      <c r="RD1576" s="38"/>
      <c r="RE1576" s="38"/>
      <c r="RF1576" s="38"/>
      <c r="RG1576" s="38"/>
      <c r="RH1576" s="38"/>
      <c r="RI1576" s="38"/>
      <c r="RJ1576" s="38"/>
      <c r="RK1576" s="38"/>
      <c r="RL1576" s="38"/>
      <c r="RM1576" s="38"/>
      <c r="RN1576" s="38"/>
      <c r="RO1576" s="38"/>
      <c r="RP1576" s="38"/>
      <c r="RQ1576" s="38"/>
      <c r="RR1576" s="38"/>
      <c r="RS1576" s="38"/>
      <c r="RT1576" s="38"/>
      <c r="RU1576" s="38"/>
      <c r="RV1576" s="38"/>
      <c r="RW1576" s="38"/>
      <c r="RX1576" s="38"/>
      <c r="RY1576" s="38"/>
      <c r="RZ1576" s="38"/>
      <c r="SA1576" s="38"/>
      <c r="SB1576" s="38"/>
      <c r="SC1576" s="38"/>
      <c r="SD1576" s="38"/>
      <c r="SE1576" s="38"/>
      <c r="SF1576" s="38"/>
      <c r="SG1576" s="38"/>
      <c r="SH1576" s="38"/>
      <c r="SI1576" s="38"/>
      <c r="SJ1576" s="38"/>
      <c r="SK1576" s="38"/>
      <c r="SL1576" s="38"/>
      <c r="SM1576" s="38"/>
      <c r="SN1576" s="38"/>
      <c r="SO1576" s="38"/>
      <c r="SP1576" s="38"/>
      <c r="SQ1576" s="38"/>
      <c r="SR1576" s="38"/>
      <c r="SS1576" s="38"/>
      <c r="ST1576" s="38"/>
      <c r="SU1576" s="38"/>
      <c r="SV1576" s="38"/>
      <c r="SW1576" s="38"/>
      <c r="SX1576" s="38"/>
      <c r="SY1576" s="38"/>
      <c r="SZ1576" s="38"/>
      <c r="TA1576" s="38"/>
      <c r="TB1576" s="38"/>
      <c r="TC1576" s="38"/>
      <c r="TD1576" s="38"/>
      <c r="TE1576" s="38"/>
      <c r="TF1576" s="38"/>
      <c r="TG1576" s="38"/>
      <c r="TH1576" s="38"/>
      <c r="TI1576" s="38"/>
      <c r="TJ1576" s="38"/>
      <c r="TK1576" s="38"/>
      <c r="TL1576" s="38"/>
      <c r="TM1576" s="38"/>
      <c r="TN1576" s="38"/>
      <c r="TO1576" s="38"/>
      <c r="TP1576" s="38"/>
      <c r="TQ1576" s="38"/>
      <c r="TR1576" s="38"/>
      <c r="TS1576" s="38"/>
      <c r="TT1576" s="38"/>
      <c r="TU1576" s="38"/>
      <c r="TV1576" s="38"/>
      <c r="TW1576" s="38"/>
      <c r="TX1576" s="38"/>
      <c r="TY1576" s="38"/>
      <c r="TZ1576" s="38"/>
      <c r="UA1576" s="38"/>
      <c r="UB1576" s="38"/>
      <c r="UC1576" s="38"/>
      <c r="UD1576" s="38"/>
      <c r="UE1576" s="38"/>
      <c r="UF1576" s="38"/>
      <c r="UG1576" s="38"/>
      <c r="UH1576" s="38"/>
      <c r="UI1576" s="38"/>
      <c r="UJ1576" s="38"/>
      <c r="UK1576" s="38"/>
      <c r="UL1576" s="38"/>
      <c r="UM1576" s="38"/>
      <c r="UN1576" s="38"/>
      <c r="UO1576" s="38"/>
      <c r="UP1576" s="38"/>
      <c r="UQ1576" s="38"/>
      <c r="UR1576" s="38"/>
      <c r="US1576" s="38"/>
      <c r="UT1576" s="38"/>
      <c r="UU1576" s="38"/>
      <c r="UV1576" s="38"/>
      <c r="UW1576" s="38"/>
      <c r="UX1576" s="38"/>
      <c r="UY1576" s="38"/>
      <c r="UZ1576" s="38"/>
      <c r="VA1576" s="38"/>
      <c r="VB1576" s="38"/>
      <c r="VC1576" s="38"/>
      <c r="VD1576" s="38"/>
      <c r="VE1576" s="38"/>
      <c r="VF1576" s="38"/>
      <c r="VG1576" s="38"/>
      <c r="VH1576" s="38"/>
      <c r="VI1576" s="38"/>
      <c r="VJ1576" s="38"/>
      <c r="VK1576" s="38"/>
      <c r="VL1576" s="38"/>
      <c r="VM1576" s="38"/>
      <c r="VN1576" s="38"/>
      <c r="VO1576" s="38"/>
      <c r="VP1576" s="38"/>
      <c r="VQ1576" s="38"/>
      <c r="VR1576" s="38"/>
      <c r="VS1576" s="38"/>
      <c r="VT1576" s="38"/>
      <c r="VU1576" s="38"/>
      <c r="VV1576" s="38"/>
      <c r="VW1576" s="38"/>
      <c r="VX1576" s="38"/>
      <c r="VY1576" s="38"/>
      <c r="VZ1576" s="38"/>
      <c r="WA1576" s="38"/>
      <c r="WB1576" s="38"/>
      <c r="WC1576" s="38"/>
      <c r="WD1576" s="38"/>
      <c r="WE1576" s="38"/>
      <c r="WF1576" s="38"/>
      <c r="WG1576" s="38"/>
      <c r="WH1576" s="38"/>
      <c r="WI1576" s="38"/>
      <c r="WJ1576" s="38"/>
      <c r="WK1576" s="38"/>
      <c r="WL1576" s="38"/>
      <c r="WM1576" s="38"/>
      <c r="WN1576" s="38"/>
      <c r="WO1576" s="38"/>
      <c r="WP1576" s="38"/>
      <c r="WQ1576" s="38"/>
      <c r="WR1576" s="38"/>
      <c r="WS1576" s="38"/>
      <c r="WT1576" s="38"/>
      <c r="WU1576" s="38"/>
      <c r="WV1576" s="38"/>
      <c r="WW1576" s="38"/>
      <c r="WX1576" s="38"/>
      <c r="WY1576" s="38"/>
      <c r="WZ1576" s="38"/>
      <c r="XA1576" s="38"/>
      <c r="XB1576" s="38"/>
      <c r="XC1576" s="38"/>
      <c r="XD1576" s="38"/>
      <c r="XE1576" s="38"/>
      <c r="XF1576" s="38"/>
      <c r="XG1576" s="38"/>
      <c r="XH1576" s="38"/>
      <c r="XI1576" s="38"/>
      <c r="XJ1576" s="38"/>
      <c r="XK1576" s="38"/>
      <c r="XL1576" s="38"/>
      <c r="XM1576" s="38"/>
      <c r="XN1576" s="38"/>
      <c r="XO1576" s="38"/>
      <c r="XP1576" s="38"/>
      <c r="XQ1576" s="38"/>
      <c r="XR1576" s="38"/>
      <c r="XS1576" s="38"/>
      <c r="XT1576" s="38"/>
      <c r="XU1576" s="38"/>
      <c r="XV1576" s="38"/>
      <c r="XW1576" s="38"/>
      <c r="XX1576" s="38"/>
      <c r="XY1576" s="38"/>
      <c r="XZ1576" s="38"/>
      <c r="YA1576" s="38"/>
      <c r="YB1576" s="38"/>
      <c r="YC1576" s="38"/>
      <c r="YD1576" s="38"/>
      <c r="YE1576" s="38"/>
      <c r="YF1576" s="38"/>
      <c r="YG1576" s="38"/>
      <c r="YH1576" s="38"/>
      <c r="YI1576" s="38"/>
      <c r="YJ1576" s="38"/>
      <c r="YK1576" s="38"/>
      <c r="YL1576" s="38"/>
      <c r="YM1576" s="38"/>
      <c r="YN1576" s="38"/>
      <c r="YO1576" s="38"/>
      <c r="YP1576" s="38"/>
      <c r="YQ1576" s="38"/>
      <c r="YR1576" s="38"/>
      <c r="YS1576" s="38"/>
      <c r="YT1576" s="38"/>
      <c r="YU1576" s="38"/>
      <c r="YV1576" s="38"/>
      <c r="YW1576" s="38"/>
      <c r="YX1576" s="38"/>
      <c r="YY1576" s="38"/>
      <c r="YZ1576" s="38"/>
      <c r="ZA1576" s="38"/>
      <c r="ZB1576" s="38"/>
      <c r="ZC1576" s="38"/>
      <c r="ZD1576" s="38"/>
      <c r="ZE1576" s="38"/>
      <c r="ZF1576" s="38"/>
      <c r="ZG1576" s="38"/>
      <c r="ZH1576" s="38"/>
      <c r="ZI1576" s="38"/>
      <c r="ZJ1576" s="38"/>
      <c r="ZK1576" s="38"/>
      <c r="ZL1576" s="38"/>
      <c r="ZM1576" s="38"/>
      <c r="ZN1576" s="38"/>
      <c r="ZO1576" s="38"/>
      <c r="ZP1576" s="38"/>
      <c r="ZQ1576" s="38"/>
      <c r="ZR1576" s="38"/>
      <c r="ZS1576" s="38"/>
      <c r="ZT1576" s="38"/>
      <c r="ZU1576" s="38"/>
      <c r="ZV1576" s="38"/>
      <c r="ZW1576" s="38"/>
      <c r="ZX1576" s="38"/>
      <c r="ZY1576" s="38"/>
      <c r="ZZ1576" s="38"/>
      <c r="AAA1576" s="38"/>
      <c r="AAB1576" s="38"/>
      <c r="AAC1576" s="38"/>
      <c r="AAD1576" s="38"/>
      <c r="AAE1576" s="38"/>
      <c r="AAF1576" s="38"/>
      <c r="AAG1576" s="38"/>
      <c r="AAH1576" s="38"/>
      <c r="AAI1576" s="38"/>
      <c r="AAJ1576" s="38"/>
      <c r="AAK1576" s="38"/>
      <c r="AAL1576" s="38"/>
      <c r="AAM1576" s="38"/>
      <c r="AAN1576" s="38"/>
      <c r="AAO1576" s="38"/>
      <c r="AAP1576" s="38"/>
      <c r="AAQ1576" s="38"/>
      <c r="AAR1576" s="38"/>
      <c r="AAS1576" s="38"/>
      <c r="AAT1576" s="38"/>
      <c r="AAU1576" s="38"/>
      <c r="AAV1576" s="38"/>
      <c r="AAW1576" s="38"/>
      <c r="AAX1576" s="38"/>
      <c r="AAY1576" s="38"/>
      <c r="AAZ1576" s="38"/>
      <c r="ABA1576" s="38"/>
      <c r="ABB1576" s="38"/>
      <c r="ABC1576" s="38"/>
      <c r="ABD1576" s="38"/>
      <c r="ABE1576" s="38"/>
      <c r="ABF1576" s="38"/>
      <c r="ABG1576" s="38"/>
      <c r="ABH1576" s="38"/>
      <c r="ABI1576" s="38"/>
      <c r="ABJ1576" s="38"/>
      <c r="ABK1576" s="38"/>
      <c r="ABL1576" s="38"/>
      <c r="ABM1576" s="38"/>
      <c r="ABN1576" s="38"/>
      <c r="ABO1576" s="38"/>
      <c r="ABP1576" s="38"/>
      <c r="ABQ1576" s="38"/>
      <c r="ABR1576" s="38"/>
      <c r="ABS1576" s="38"/>
      <c r="ABT1576" s="38"/>
      <c r="ABU1576" s="38"/>
      <c r="ABV1576" s="38"/>
      <c r="ABW1576" s="38"/>
      <c r="ABX1576" s="38"/>
      <c r="ABY1576" s="38"/>
      <c r="ABZ1576" s="38"/>
      <c r="ACA1576" s="38"/>
      <c r="ACB1576" s="38"/>
      <c r="ACC1576" s="38"/>
      <c r="ACD1576" s="38"/>
      <c r="ACE1576" s="38"/>
      <c r="ACF1576" s="38"/>
      <c r="ACG1576" s="38"/>
      <c r="ACH1576" s="38"/>
      <c r="ACI1576" s="38"/>
      <c r="ACJ1576" s="38"/>
      <c r="ACK1576" s="38"/>
      <c r="ACL1576" s="38"/>
      <c r="ACM1576" s="38"/>
      <c r="ACN1576" s="38"/>
      <c r="ACO1576" s="38"/>
      <c r="ACP1576" s="38"/>
      <c r="ACQ1576" s="38"/>
      <c r="ACR1576" s="38"/>
      <c r="ACS1576" s="38"/>
      <c r="ACT1576" s="38"/>
      <c r="ACU1576" s="38"/>
      <c r="ACV1576" s="38"/>
      <c r="ACW1576" s="38"/>
      <c r="ACX1576" s="38"/>
      <c r="ACY1576" s="38"/>
      <c r="ACZ1576" s="38"/>
      <c r="ADA1576" s="38"/>
      <c r="ADB1576" s="38"/>
      <c r="ADC1576" s="38"/>
      <c r="ADD1576" s="38"/>
      <c r="ADE1576" s="38"/>
      <c r="ADF1576" s="38"/>
      <c r="ADG1576" s="38"/>
      <c r="ADH1576" s="38"/>
      <c r="ADI1576" s="38"/>
      <c r="ADJ1576" s="38"/>
      <c r="ADK1576" s="38"/>
      <c r="ADL1576" s="38"/>
      <c r="ADM1576" s="38"/>
      <c r="ADN1576" s="38"/>
      <c r="ADO1576" s="38"/>
      <c r="ADP1576" s="38"/>
      <c r="ADQ1576" s="38"/>
      <c r="ADR1576" s="38"/>
      <c r="ADS1576" s="38"/>
      <c r="ADT1576" s="38"/>
      <c r="ADU1576" s="38"/>
      <c r="ADV1576" s="38"/>
      <c r="ADW1576" s="38"/>
      <c r="ADX1576" s="38"/>
      <c r="ADY1576" s="38"/>
      <c r="ADZ1576" s="38"/>
      <c r="AEA1576" s="38"/>
      <c r="AEB1576" s="38"/>
      <c r="AEC1576" s="38"/>
      <c r="AED1576" s="38"/>
      <c r="AEE1576" s="38"/>
      <c r="AEF1576" s="38"/>
      <c r="AEG1576" s="38"/>
      <c r="AEH1576" s="38"/>
      <c r="AEI1576" s="38"/>
      <c r="AEJ1576" s="38"/>
      <c r="AEK1576" s="38"/>
      <c r="AEL1576" s="38"/>
      <c r="AEM1576" s="38"/>
      <c r="AEN1576" s="38"/>
      <c r="AEO1576" s="38"/>
      <c r="AEP1576" s="38"/>
      <c r="AEQ1576" s="38"/>
      <c r="AER1576" s="38"/>
      <c r="AES1576" s="38"/>
      <c r="AET1576" s="38"/>
      <c r="AEU1576" s="38"/>
      <c r="AEV1576" s="38"/>
      <c r="AEW1576" s="38"/>
      <c r="AEX1576" s="38"/>
      <c r="AEY1576" s="38"/>
      <c r="AEZ1576" s="38"/>
      <c r="AFA1576" s="38"/>
      <c r="AFB1576" s="38"/>
      <c r="AFC1576" s="38"/>
      <c r="AFD1576" s="38"/>
      <c r="AFE1576" s="38"/>
      <c r="AFF1576" s="38"/>
      <c r="AFG1576" s="38"/>
      <c r="AFH1576" s="38"/>
      <c r="AFI1576" s="38"/>
      <c r="AFJ1576" s="38"/>
      <c r="AFK1576" s="38"/>
      <c r="AFL1576" s="38"/>
      <c r="AFM1576" s="38"/>
      <c r="AFN1576" s="38"/>
      <c r="AFO1576" s="38"/>
      <c r="AFP1576" s="38"/>
      <c r="AFQ1576" s="38"/>
      <c r="AFR1576" s="38"/>
      <c r="AFS1576" s="38"/>
      <c r="AFT1576" s="38"/>
      <c r="AFU1576" s="38"/>
      <c r="AFV1576" s="38"/>
      <c r="AFW1576" s="38"/>
      <c r="AFX1576" s="38"/>
      <c r="AFY1576" s="38"/>
      <c r="AFZ1576" s="38"/>
      <c r="AGA1576" s="38"/>
      <c r="AGB1576" s="38"/>
      <c r="AGC1576" s="38"/>
      <c r="AGD1576" s="38"/>
      <c r="AGE1576" s="38"/>
      <c r="AGF1576" s="38"/>
      <c r="AGG1576" s="38"/>
      <c r="AGH1576" s="38"/>
      <c r="AGI1576" s="38"/>
      <c r="AGJ1576" s="38"/>
      <c r="AGK1576" s="38"/>
      <c r="AGL1576" s="38"/>
      <c r="AGM1576" s="38"/>
      <c r="AGN1576" s="38"/>
      <c r="AGO1576" s="38"/>
      <c r="AGP1576" s="38"/>
      <c r="AGQ1576" s="38"/>
      <c r="AGR1576" s="38"/>
      <c r="AGS1576" s="38"/>
      <c r="AGT1576" s="38"/>
      <c r="AGU1576" s="38"/>
      <c r="AGV1576" s="38"/>
      <c r="AGW1576" s="38"/>
      <c r="AGX1576" s="38"/>
      <c r="AGY1576" s="38"/>
      <c r="AGZ1576" s="38"/>
      <c r="AHA1576" s="38"/>
      <c r="AHB1576" s="38"/>
      <c r="AHC1576" s="38"/>
      <c r="AHD1576" s="38"/>
      <c r="AHE1576" s="38"/>
      <c r="AHF1576" s="38"/>
      <c r="AHG1576" s="38"/>
      <c r="AHH1576" s="38"/>
      <c r="AHI1576" s="38"/>
      <c r="AHJ1576" s="38"/>
      <c r="AHK1576" s="38"/>
      <c r="AHL1576" s="38"/>
      <c r="AHM1576" s="38"/>
      <c r="AHN1576" s="38"/>
      <c r="AHO1576" s="38"/>
      <c r="AHP1576" s="38"/>
      <c r="AHQ1576" s="38"/>
      <c r="AHR1576" s="38"/>
      <c r="AHS1576" s="38"/>
      <c r="AHT1576" s="38"/>
      <c r="AHU1576" s="38"/>
      <c r="AHV1576" s="38"/>
      <c r="AHW1576" s="38"/>
      <c r="AHX1576" s="38"/>
      <c r="AHY1576" s="38"/>
      <c r="AHZ1576" s="38"/>
      <c r="AIA1576" s="38"/>
      <c r="AIB1576" s="38"/>
      <c r="AIC1576" s="38"/>
      <c r="AID1576" s="38"/>
      <c r="AIE1576" s="38"/>
      <c r="AIF1576" s="38"/>
      <c r="AIG1576" s="38"/>
      <c r="AIH1576" s="38"/>
      <c r="AII1576" s="38"/>
      <c r="AIJ1576" s="38"/>
      <c r="AIK1576" s="38"/>
      <c r="AIL1576" s="38"/>
      <c r="AIM1576" s="38"/>
      <c r="AIN1576" s="38"/>
      <c r="AIO1576" s="38"/>
      <c r="AIP1576" s="38"/>
      <c r="AIQ1576" s="38"/>
      <c r="AIR1576" s="38"/>
      <c r="AIS1576" s="38"/>
      <c r="AIT1576" s="38"/>
      <c r="AIU1576" s="38"/>
      <c r="AIV1576" s="38"/>
      <c r="AIW1576" s="38"/>
      <c r="AIX1576" s="38"/>
      <c r="AIY1576" s="38"/>
      <c r="AIZ1576" s="38"/>
      <c r="AJA1576" s="38"/>
      <c r="AJB1576" s="38"/>
      <c r="AJC1576" s="38"/>
      <c r="AJD1576" s="38"/>
      <c r="AJE1576" s="38"/>
      <c r="AJF1576" s="38"/>
      <c r="AJG1576" s="38"/>
      <c r="AJH1576" s="38"/>
      <c r="AJI1576" s="38"/>
      <c r="AJJ1576" s="38"/>
      <c r="AJK1576" s="38"/>
      <c r="AJL1576" s="38"/>
      <c r="AJM1576" s="38"/>
      <c r="AJN1576" s="38"/>
      <c r="AJO1576" s="38"/>
      <c r="AJP1576" s="38"/>
      <c r="AJQ1576" s="38"/>
      <c r="AJR1576" s="38"/>
      <c r="AJS1576" s="38"/>
      <c r="AJT1576" s="38"/>
      <c r="AJU1576" s="38"/>
      <c r="AJV1576" s="38"/>
      <c r="AJW1576" s="38"/>
      <c r="AJX1576" s="38"/>
      <c r="AJY1576" s="38"/>
      <c r="AJZ1576" s="38"/>
      <c r="AKA1576" s="38"/>
      <c r="AKB1576" s="38"/>
      <c r="AKC1576" s="38"/>
      <c r="AKD1576" s="38"/>
      <c r="AKE1576" s="38"/>
      <c r="AKF1576" s="38"/>
      <c r="AKG1576" s="38"/>
      <c r="AKH1576" s="38"/>
      <c r="AKI1576" s="38"/>
      <c r="AKJ1576" s="38"/>
      <c r="AKK1576" s="38"/>
      <c r="AKL1576" s="38"/>
      <c r="AKM1576" s="38"/>
      <c r="AKN1576" s="38"/>
      <c r="AKO1576" s="38"/>
      <c r="AKP1576" s="38"/>
      <c r="AKQ1576" s="38"/>
      <c r="AKR1576" s="38"/>
      <c r="AKS1576" s="38"/>
      <c r="AKT1576" s="38"/>
      <c r="AKU1576" s="38"/>
      <c r="AKV1576" s="38"/>
      <c r="AKW1576" s="38"/>
      <c r="AKX1576" s="38"/>
      <c r="AKY1576" s="38"/>
      <c r="AKZ1576" s="38"/>
      <c r="ALA1576" s="38"/>
      <c r="ALB1576" s="38"/>
      <c r="ALC1576" s="38"/>
      <c r="ALD1576" s="38"/>
      <c r="ALE1576" s="38"/>
      <c r="ALF1576" s="38"/>
      <c r="ALG1576" s="38"/>
      <c r="ALH1576" s="38"/>
      <c r="ALI1576" s="38"/>
      <c r="ALJ1576" s="38"/>
      <c r="ALK1576" s="38"/>
      <c r="ALL1576" s="38"/>
      <c r="ALM1576" s="38"/>
      <c r="ALN1576" s="38"/>
      <c r="ALO1576" s="38"/>
      <c r="ALP1576" s="38"/>
      <c r="ALQ1576" s="38"/>
      <c r="ALR1576" s="38"/>
      <c r="ALS1576" s="38"/>
      <c r="ALT1576" s="38"/>
      <c r="ALU1576" s="38"/>
      <c r="ALV1576" s="38"/>
      <c r="ALW1576" s="38"/>
      <c r="ALX1576" s="38"/>
      <c r="ALY1576" s="38"/>
      <c r="ALZ1576" s="38"/>
      <c r="AMA1576" s="38"/>
      <c r="AMB1576" s="38"/>
      <c r="AMC1576" s="38"/>
      <c r="AMD1576" s="38"/>
      <c r="AME1576" s="38"/>
      <c r="AMF1576" s="38"/>
      <c r="AMG1576" s="38"/>
      <c r="AMH1576" s="38"/>
      <c r="AMI1576" s="38"/>
      <c r="AMJ1576" s="38"/>
      <c r="AMK1576" s="38"/>
      <c r="AML1576" s="38"/>
      <c r="AMM1576" s="38"/>
      <c r="AMN1576" s="38"/>
      <c r="AMO1576" s="38"/>
      <c r="AMP1576" s="38"/>
      <c r="AMQ1576" s="38"/>
      <c r="AMR1576" s="38"/>
      <c r="AMS1576" s="38"/>
      <c r="AMT1576" s="38"/>
      <c r="AMU1576" s="38"/>
      <c r="AMV1576" s="38"/>
      <c r="AMW1576" s="38"/>
      <c r="AMX1576" s="38"/>
      <c r="AMY1576" s="38"/>
      <c r="AMZ1576" s="38"/>
      <c r="ANA1576" s="38"/>
      <c r="ANB1576" s="38"/>
      <c r="ANC1576" s="38"/>
      <c r="AND1576" s="38"/>
      <c r="ANE1576" s="38"/>
      <c r="ANF1576" s="38"/>
      <c r="ANG1576" s="38"/>
      <c r="ANH1576" s="38"/>
      <c r="ANI1576" s="38"/>
      <c r="ANJ1576" s="38"/>
      <c r="ANK1576" s="38"/>
      <c r="ANL1576" s="38"/>
      <c r="ANM1576" s="38"/>
      <c r="ANN1576" s="38"/>
      <c r="ANO1576" s="38"/>
      <c r="ANP1576" s="38"/>
      <c r="ANQ1576" s="38"/>
      <c r="ANR1576" s="38"/>
      <c r="ANS1576" s="38"/>
      <c r="ANT1576" s="38"/>
      <c r="ANU1576" s="38"/>
      <c r="ANV1576" s="38"/>
      <c r="ANW1576" s="38"/>
      <c r="ANX1576" s="38"/>
      <c r="ANY1576" s="38"/>
      <c r="ANZ1576" s="38"/>
      <c r="AOA1576" s="38"/>
      <c r="AOB1576" s="38"/>
      <c r="AOC1576" s="38"/>
      <c r="AOD1576" s="38"/>
      <c r="AOE1576" s="38"/>
      <c r="AOF1576" s="38"/>
      <c r="AOG1576" s="38"/>
      <c r="AOH1576" s="38"/>
      <c r="AOI1576" s="38"/>
      <c r="AOJ1576" s="38"/>
      <c r="AOK1576" s="38"/>
      <c r="AOL1576" s="38"/>
      <c r="AOM1576" s="38"/>
      <c r="AON1576" s="38"/>
      <c r="AOO1576" s="38"/>
      <c r="AOP1576" s="38"/>
      <c r="AOQ1576" s="38"/>
      <c r="AOR1576" s="38"/>
      <c r="AOS1576" s="38"/>
      <c r="AOT1576" s="38"/>
      <c r="AOU1576" s="38"/>
      <c r="AOV1576" s="38"/>
      <c r="AOW1576" s="38"/>
      <c r="AOX1576" s="38"/>
      <c r="AOY1576" s="38"/>
      <c r="AOZ1576" s="38"/>
      <c r="APA1576" s="38"/>
      <c r="APB1576" s="38"/>
      <c r="APC1576" s="38"/>
    </row>
    <row r="1577" spans="1:1095" s="36" customFormat="1" ht="14.25" customHeight="1">
      <c r="A1577" s="3" t="s">
        <v>1722</v>
      </c>
      <c r="B1577" s="36" t="s">
        <v>3873</v>
      </c>
      <c r="C1577" s="10">
        <v>4099854038327</v>
      </c>
      <c r="D1577" s="246"/>
      <c r="E1577" s="249"/>
      <c r="F1577" s="222" t="s">
        <v>3136</v>
      </c>
      <c r="G1577" s="66" t="str">
        <f>HYPERLINK("https://ledvance.com/pt/product-datasheet/246645/233365","Ficha de Produto")</f>
        <v>Ficha de Produto</v>
      </c>
      <c r="H1577" s="34">
        <v>10</v>
      </c>
      <c r="I1577" s="34" t="s">
        <v>887</v>
      </c>
      <c r="J1577" s="34" t="s">
        <v>775</v>
      </c>
      <c r="K1577" s="34" t="s">
        <v>788</v>
      </c>
      <c r="L1577" s="34" t="s">
        <v>793</v>
      </c>
      <c r="M1577" s="247">
        <v>11.9</v>
      </c>
      <c r="N1577" s="288" t="s">
        <v>722</v>
      </c>
    </row>
    <row r="1578" spans="1:1095" s="36" customFormat="1" ht="14.25" customHeight="1">
      <c r="A1578" s="3" t="s">
        <v>1722</v>
      </c>
      <c r="B1578" s="36" t="s">
        <v>3874</v>
      </c>
      <c r="C1578" s="10">
        <v>4099854038402</v>
      </c>
      <c r="D1578" s="246"/>
      <c r="E1578" s="249"/>
      <c r="F1578" s="222" t="s">
        <v>3136</v>
      </c>
      <c r="G1578" s="66" t="str">
        <f>HYPERLINK("https://ledvance.com/pt/product-datasheet/246645/233368","Ficha de Produto")</f>
        <v>Ficha de Produto</v>
      </c>
      <c r="H1578" s="34">
        <v>10</v>
      </c>
      <c r="I1578" s="34" t="s">
        <v>767</v>
      </c>
      <c r="J1578" s="34" t="s">
        <v>775</v>
      </c>
      <c r="K1578" s="34" t="s">
        <v>788</v>
      </c>
      <c r="L1578" s="34" t="s">
        <v>793</v>
      </c>
      <c r="M1578" s="247">
        <v>11.9</v>
      </c>
      <c r="N1578" s="288" t="s">
        <v>722</v>
      </c>
    </row>
    <row r="1579" spans="1:1095" s="36" customFormat="1" ht="14.25" customHeight="1">
      <c r="A1579" s="3" t="s">
        <v>1722</v>
      </c>
      <c r="B1579" s="36" t="s">
        <v>3875</v>
      </c>
      <c r="C1579" s="10">
        <v>4099854038525</v>
      </c>
      <c r="D1579" s="246"/>
      <c r="E1579" s="249"/>
      <c r="F1579" s="222" t="s">
        <v>3136</v>
      </c>
      <c r="G1579" s="66" t="str">
        <f>HYPERLINK("https://ledvance.com/pt/product-datasheet/246645/233371","Ficha de Produto")</f>
        <v>Ficha de Produto</v>
      </c>
      <c r="H1579" s="34">
        <v>10</v>
      </c>
      <c r="I1579" s="34" t="s">
        <v>767</v>
      </c>
      <c r="J1579" s="34" t="s">
        <v>775</v>
      </c>
      <c r="K1579" s="34" t="s">
        <v>788</v>
      </c>
      <c r="L1579" s="34" t="s">
        <v>793</v>
      </c>
      <c r="M1579" s="247">
        <v>11.9</v>
      </c>
      <c r="N1579" s="288" t="s">
        <v>722</v>
      </c>
    </row>
    <row r="1580" spans="1:1095" s="36" customFormat="1" ht="14.25" customHeight="1">
      <c r="A1580" s="3" t="s">
        <v>1722</v>
      </c>
      <c r="B1580" s="36" t="s">
        <v>3876</v>
      </c>
      <c r="C1580" s="10">
        <v>4099854038624</v>
      </c>
      <c r="D1580" s="246"/>
      <c r="E1580" s="249"/>
      <c r="F1580" s="222" t="s">
        <v>3136</v>
      </c>
      <c r="G1580" s="66" t="str">
        <f>HYPERLINK("https://ledvance.com/pt/product-datasheet/246645/233374","Ficha de Produto")</f>
        <v>Ficha de Produto</v>
      </c>
      <c r="H1580" s="34">
        <v>10</v>
      </c>
      <c r="I1580" s="34" t="s">
        <v>785</v>
      </c>
      <c r="J1580" s="34" t="s">
        <v>6311</v>
      </c>
      <c r="K1580" s="34" t="s">
        <v>788</v>
      </c>
      <c r="L1580" s="34" t="s">
        <v>793</v>
      </c>
      <c r="M1580" s="247">
        <v>16.5</v>
      </c>
      <c r="N1580" s="288" t="s">
        <v>722</v>
      </c>
    </row>
    <row r="1581" spans="1:1095" s="36" customFormat="1" ht="14.25" customHeight="1">
      <c r="A1581" s="3" t="s">
        <v>1722</v>
      </c>
      <c r="B1581" s="36" t="s">
        <v>3877</v>
      </c>
      <c r="C1581" s="10">
        <v>4099854038662</v>
      </c>
      <c r="D1581" s="246"/>
      <c r="E1581" s="249"/>
      <c r="F1581" s="222" t="s">
        <v>3136</v>
      </c>
      <c r="G1581" s="66" t="str">
        <f>HYPERLINK("https://ledvance.com/pt/product-datasheet/246645/233377","Ficha de Produto")</f>
        <v>Ficha de Produto</v>
      </c>
      <c r="H1581" s="34">
        <v>10</v>
      </c>
      <c r="I1581" s="34" t="s">
        <v>848</v>
      </c>
      <c r="J1581" s="34" t="s">
        <v>6311</v>
      </c>
      <c r="K1581" s="34" t="s">
        <v>788</v>
      </c>
      <c r="L1581" s="34" t="s">
        <v>793</v>
      </c>
      <c r="M1581" s="247">
        <v>16.5</v>
      </c>
      <c r="N1581" s="288" t="s">
        <v>722</v>
      </c>
    </row>
    <row r="1582" spans="1:1095" s="36" customFormat="1" ht="14.25" customHeight="1">
      <c r="A1582" s="3" t="s">
        <v>1722</v>
      </c>
      <c r="B1582" s="36" t="s">
        <v>3878</v>
      </c>
      <c r="C1582" s="10">
        <v>4099854038747</v>
      </c>
      <c r="D1582" s="246"/>
      <c r="E1582" s="249"/>
      <c r="F1582" s="222" t="s">
        <v>3136</v>
      </c>
      <c r="G1582" s="66" t="str">
        <f>HYPERLINK("https://ledvance.com/pt/product-datasheet/246645/233380","Ficha de Produto")</f>
        <v>Ficha de Produto</v>
      </c>
      <c r="H1582" s="34">
        <v>10</v>
      </c>
      <c r="I1582" s="34" t="s">
        <v>848</v>
      </c>
      <c r="J1582" s="34" t="s">
        <v>6311</v>
      </c>
      <c r="K1582" s="34" t="s">
        <v>788</v>
      </c>
      <c r="L1582" s="34" t="s">
        <v>793</v>
      </c>
      <c r="M1582" s="247">
        <v>16.5</v>
      </c>
      <c r="N1582" s="288" t="s">
        <v>722</v>
      </c>
    </row>
    <row r="1583" spans="1:1095" s="39" customFormat="1" ht="14.25" customHeight="1">
      <c r="A1583" s="8" t="s">
        <v>1722</v>
      </c>
      <c r="B1583" s="244" t="s">
        <v>2045</v>
      </c>
      <c r="C1583" s="244"/>
      <c r="D1583" s="7"/>
      <c r="E1583" s="7"/>
      <c r="F1583" s="7"/>
      <c r="G1583" s="68"/>
      <c r="H1583" s="230"/>
      <c r="I1583" s="7"/>
      <c r="J1583" s="7"/>
      <c r="K1583" s="7"/>
      <c r="L1583" s="7"/>
      <c r="M1583" s="248"/>
      <c r="N1583" s="289"/>
      <c r="O1583" s="38"/>
      <c r="P1583" s="38"/>
      <c r="Q1583" s="38"/>
      <c r="R1583" s="38"/>
      <c r="S1583" s="38"/>
      <c r="T1583" s="38"/>
      <c r="U1583" s="38"/>
      <c r="V1583" s="38"/>
      <c r="W1583" s="38"/>
      <c r="X1583" s="38"/>
      <c r="Y1583" s="38"/>
      <c r="Z1583" s="38"/>
      <c r="AA1583" s="38"/>
      <c r="AB1583" s="38"/>
      <c r="AC1583" s="38"/>
      <c r="AD1583" s="38"/>
      <c r="AE1583" s="38"/>
      <c r="AF1583" s="38"/>
      <c r="AG1583" s="38"/>
      <c r="AH1583" s="38"/>
      <c r="AI1583" s="38"/>
      <c r="AJ1583" s="38"/>
      <c r="AK1583" s="38"/>
      <c r="AL1583" s="38"/>
      <c r="AM1583" s="38"/>
      <c r="AN1583" s="38"/>
      <c r="AO1583" s="38"/>
      <c r="AP1583" s="38"/>
      <c r="AQ1583" s="38"/>
      <c r="AR1583" s="38"/>
      <c r="AS1583" s="38"/>
      <c r="AT1583" s="38"/>
      <c r="AU1583" s="38"/>
      <c r="AV1583" s="38"/>
      <c r="AW1583" s="38"/>
      <c r="AX1583" s="38"/>
      <c r="AY1583" s="38"/>
      <c r="AZ1583" s="38"/>
      <c r="BA1583" s="38"/>
      <c r="BB1583" s="38"/>
      <c r="BC1583" s="38"/>
      <c r="BD1583" s="38"/>
      <c r="BE1583" s="38"/>
      <c r="BF1583" s="38"/>
      <c r="BG1583" s="38"/>
      <c r="BH1583" s="38"/>
      <c r="BI1583" s="38"/>
      <c r="BJ1583" s="38"/>
      <c r="BK1583" s="38"/>
      <c r="BL1583" s="38"/>
      <c r="BM1583" s="38"/>
      <c r="BN1583" s="38"/>
      <c r="BO1583" s="38"/>
      <c r="BP1583" s="38"/>
      <c r="BQ1583" s="38"/>
      <c r="BR1583" s="38"/>
      <c r="BS1583" s="38"/>
      <c r="BT1583" s="38"/>
      <c r="BU1583" s="38"/>
      <c r="BV1583" s="38"/>
      <c r="BW1583" s="38"/>
      <c r="BX1583" s="38"/>
      <c r="BY1583" s="38"/>
      <c r="BZ1583" s="38"/>
      <c r="CA1583" s="38"/>
      <c r="CB1583" s="38"/>
      <c r="CC1583" s="38"/>
      <c r="CD1583" s="38"/>
      <c r="CE1583" s="38"/>
      <c r="CF1583" s="38"/>
      <c r="CG1583" s="38"/>
      <c r="CH1583" s="38"/>
      <c r="CI1583" s="38"/>
      <c r="CJ1583" s="38"/>
      <c r="CK1583" s="38"/>
      <c r="CL1583" s="38"/>
      <c r="CM1583" s="38"/>
      <c r="CN1583" s="38"/>
      <c r="CO1583" s="38"/>
      <c r="CP1583" s="38"/>
      <c r="CQ1583" s="38"/>
      <c r="CR1583" s="38"/>
      <c r="CS1583" s="38"/>
      <c r="CT1583" s="38"/>
      <c r="CU1583" s="38"/>
      <c r="CV1583" s="38"/>
      <c r="CW1583" s="38"/>
      <c r="CX1583" s="38"/>
      <c r="CY1583" s="38"/>
      <c r="CZ1583" s="38"/>
      <c r="DA1583" s="38"/>
      <c r="DB1583" s="38"/>
      <c r="DC1583" s="38"/>
      <c r="DD1583" s="38"/>
      <c r="DE1583" s="38"/>
      <c r="DF1583" s="38"/>
      <c r="DG1583" s="38"/>
      <c r="DH1583" s="38"/>
      <c r="DI1583" s="38"/>
      <c r="DJ1583" s="38"/>
      <c r="DK1583" s="38"/>
      <c r="DL1583" s="38"/>
      <c r="DM1583" s="38"/>
      <c r="DN1583" s="38"/>
      <c r="DO1583" s="38"/>
      <c r="DP1583" s="38"/>
      <c r="DQ1583" s="38"/>
      <c r="DR1583" s="38"/>
      <c r="DS1583" s="38"/>
      <c r="DT1583" s="38"/>
      <c r="DU1583" s="38"/>
      <c r="DV1583" s="38"/>
      <c r="DW1583" s="38"/>
      <c r="DX1583" s="38"/>
      <c r="DY1583" s="38"/>
      <c r="DZ1583" s="38"/>
      <c r="EA1583" s="38"/>
      <c r="EB1583" s="38"/>
      <c r="EC1583" s="38"/>
      <c r="ED1583" s="38"/>
      <c r="EE1583" s="38"/>
      <c r="EF1583" s="38"/>
      <c r="EG1583" s="38"/>
      <c r="EH1583" s="38"/>
      <c r="EI1583" s="38"/>
      <c r="EJ1583" s="38"/>
      <c r="EK1583" s="38"/>
      <c r="EL1583" s="38"/>
      <c r="EM1583" s="38"/>
      <c r="EN1583" s="38"/>
      <c r="EO1583" s="38"/>
      <c r="EP1583" s="38"/>
      <c r="EQ1583" s="38"/>
      <c r="ER1583" s="38"/>
      <c r="ES1583" s="38"/>
      <c r="ET1583" s="38"/>
      <c r="EU1583" s="38"/>
      <c r="EV1583" s="38"/>
      <c r="EW1583" s="38"/>
      <c r="EX1583" s="38"/>
      <c r="EY1583" s="38"/>
      <c r="EZ1583" s="38"/>
      <c r="FA1583" s="38"/>
      <c r="FB1583" s="38"/>
      <c r="FC1583" s="38"/>
      <c r="FD1583" s="38"/>
      <c r="FE1583" s="38"/>
      <c r="FF1583" s="38"/>
      <c r="FG1583" s="38"/>
      <c r="FH1583" s="38"/>
      <c r="FI1583" s="38"/>
      <c r="FJ1583" s="38"/>
      <c r="FK1583" s="38"/>
      <c r="FL1583" s="38"/>
      <c r="FM1583" s="38"/>
      <c r="FN1583" s="38"/>
      <c r="FO1583" s="38"/>
      <c r="FP1583" s="38"/>
      <c r="FQ1583" s="38"/>
      <c r="FR1583" s="38"/>
      <c r="FS1583" s="38"/>
      <c r="FT1583" s="38"/>
      <c r="FU1583" s="38"/>
      <c r="FV1583" s="38"/>
      <c r="FW1583" s="38"/>
      <c r="FX1583" s="38"/>
      <c r="FY1583" s="38"/>
      <c r="FZ1583" s="38"/>
      <c r="GA1583" s="38"/>
      <c r="GB1583" s="38"/>
      <c r="GC1583" s="38"/>
      <c r="GD1583" s="38"/>
      <c r="GE1583" s="38"/>
      <c r="GF1583" s="38"/>
      <c r="GG1583" s="38"/>
      <c r="GH1583" s="38"/>
      <c r="GI1583" s="38"/>
      <c r="GJ1583" s="38"/>
      <c r="GK1583" s="38"/>
      <c r="GL1583" s="38"/>
      <c r="GM1583" s="38"/>
      <c r="GN1583" s="38"/>
      <c r="GO1583" s="38"/>
      <c r="GP1583" s="38"/>
      <c r="GQ1583" s="38"/>
      <c r="GR1583" s="38"/>
      <c r="GS1583" s="38"/>
      <c r="GT1583" s="38"/>
      <c r="GU1583" s="38"/>
      <c r="GV1583" s="38"/>
      <c r="GW1583" s="38"/>
      <c r="GX1583" s="38"/>
      <c r="GY1583" s="38"/>
      <c r="GZ1583" s="38"/>
      <c r="HA1583" s="38"/>
      <c r="HB1583" s="38"/>
      <c r="HC1583" s="38"/>
      <c r="HD1583" s="38"/>
      <c r="HE1583" s="38"/>
      <c r="HF1583" s="38"/>
      <c r="HG1583" s="38"/>
      <c r="HH1583" s="38"/>
      <c r="HI1583" s="38"/>
      <c r="HJ1583" s="38"/>
      <c r="HK1583" s="38"/>
      <c r="HL1583" s="38"/>
      <c r="HM1583" s="38"/>
      <c r="HN1583" s="38"/>
      <c r="HO1583" s="38"/>
      <c r="HP1583" s="38"/>
      <c r="HQ1583" s="38"/>
      <c r="HR1583" s="38"/>
      <c r="HS1583" s="38"/>
      <c r="HT1583" s="38"/>
      <c r="HU1583" s="38"/>
      <c r="HV1583" s="38"/>
      <c r="HW1583" s="38"/>
      <c r="HX1583" s="38"/>
      <c r="HY1583" s="38"/>
      <c r="HZ1583" s="38"/>
      <c r="IA1583" s="38"/>
      <c r="IB1583" s="38"/>
      <c r="IC1583" s="38"/>
      <c r="ID1583" s="38"/>
      <c r="IE1583" s="38"/>
      <c r="IF1583" s="38"/>
      <c r="IG1583" s="38"/>
      <c r="IH1583" s="38"/>
      <c r="II1583" s="38"/>
      <c r="IJ1583" s="38"/>
      <c r="IK1583" s="38"/>
      <c r="IL1583" s="38"/>
      <c r="IM1583" s="38"/>
      <c r="IN1583" s="38"/>
      <c r="IO1583" s="38"/>
      <c r="IP1583" s="38"/>
      <c r="IQ1583" s="38"/>
      <c r="IR1583" s="38"/>
      <c r="IS1583" s="38"/>
      <c r="IT1583" s="38"/>
      <c r="IU1583" s="38"/>
      <c r="IV1583" s="38"/>
      <c r="IW1583" s="38"/>
      <c r="IX1583" s="38"/>
      <c r="IY1583" s="38"/>
      <c r="IZ1583" s="38"/>
      <c r="JA1583" s="38"/>
      <c r="JB1583" s="38"/>
      <c r="JC1583" s="38"/>
      <c r="JD1583" s="38"/>
      <c r="JE1583" s="38"/>
      <c r="JF1583" s="38"/>
      <c r="JG1583" s="38"/>
      <c r="JH1583" s="38"/>
      <c r="JI1583" s="38"/>
      <c r="JJ1583" s="38"/>
      <c r="JK1583" s="38"/>
      <c r="JL1583" s="38"/>
      <c r="JM1583" s="38"/>
      <c r="JN1583" s="38"/>
      <c r="JO1583" s="38"/>
      <c r="JP1583" s="38"/>
      <c r="JQ1583" s="38"/>
      <c r="JR1583" s="38"/>
      <c r="JS1583" s="38"/>
      <c r="JT1583" s="38"/>
      <c r="JU1583" s="38"/>
      <c r="JV1583" s="38"/>
      <c r="JW1583" s="38"/>
      <c r="JX1583" s="38"/>
      <c r="JY1583" s="38"/>
      <c r="JZ1583" s="38"/>
      <c r="KA1583" s="38"/>
      <c r="KB1583" s="38"/>
      <c r="KC1583" s="38"/>
      <c r="KD1583" s="38"/>
      <c r="KE1583" s="38"/>
      <c r="KF1583" s="38"/>
      <c r="KG1583" s="38"/>
      <c r="KH1583" s="38"/>
      <c r="KI1583" s="38"/>
      <c r="KJ1583" s="38"/>
      <c r="KK1583" s="38"/>
      <c r="KL1583" s="38"/>
      <c r="KM1583" s="38"/>
      <c r="KN1583" s="38"/>
      <c r="KO1583" s="38"/>
      <c r="KP1583" s="38"/>
      <c r="KQ1583" s="38"/>
      <c r="KR1583" s="38"/>
      <c r="KS1583" s="38"/>
      <c r="KT1583" s="38"/>
      <c r="KU1583" s="38"/>
      <c r="KV1583" s="38"/>
      <c r="KW1583" s="38"/>
      <c r="KX1583" s="38"/>
      <c r="KY1583" s="38"/>
      <c r="KZ1583" s="38"/>
      <c r="LA1583" s="38"/>
      <c r="LB1583" s="38"/>
      <c r="LC1583" s="38"/>
      <c r="LD1583" s="38"/>
      <c r="LE1583" s="38"/>
      <c r="LF1583" s="38"/>
      <c r="LG1583" s="38"/>
      <c r="LH1583" s="38"/>
      <c r="LI1583" s="38"/>
      <c r="LJ1583" s="38"/>
      <c r="LK1583" s="38"/>
      <c r="LL1583" s="38"/>
      <c r="LM1583" s="38"/>
      <c r="LN1583" s="38"/>
      <c r="LO1583" s="38"/>
      <c r="LP1583" s="38"/>
      <c r="LQ1583" s="38"/>
      <c r="LR1583" s="38"/>
      <c r="LS1583" s="38"/>
      <c r="LT1583" s="38"/>
      <c r="LU1583" s="38"/>
      <c r="LV1583" s="38"/>
      <c r="LW1583" s="38"/>
      <c r="LX1583" s="38"/>
      <c r="LY1583" s="38"/>
      <c r="LZ1583" s="38"/>
      <c r="MA1583" s="38"/>
      <c r="MB1583" s="38"/>
      <c r="MC1583" s="38"/>
      <c r="MD1583" s="38"/>
      <c r="ME1583" s="38"/>
      <c r="MF1583" s="38"/>
      <c r="MG1583" s="38"/>
      <c r="MH1583" s="38"/>
      <c r="MI1583" s="38"/>
      <c r="MJ1583" s="38"/>
      <c r="MK1583" s="38"/>
      <c r="ML1583" s="38"/>
      <c r="MM1583" s="38"/>
      <c r="MN1583" s="38"/>
      <c r="MO1583" s="38"/>
      <c r="MP1583" s="38"/>
      <c r="MQ1583" s="38"/>
      <c r="MR1583" s="38"/>
      <c r="MS1583" s="38"/>
      <c r="MT1583" s="38"/>
      <c r="MU1583" s="38"/>
      <c r="MV1583" s="38"/>
      <c r="MW1583" s="38"/>
      <c r="MX1583" s="38"/>
      <c r="MY1583" s="38"/>
      <c r="MZ1583" s="38"/>
      <c r="NA1583" s="38"/>
      <c r="NB1583" s="38"/>
      <c r="NC1583" s="38"/>
      <c r="ND1583" s="38"/>
      <c r="NE1583" s="38"/>
      <c r="NF1583" s="38"/>
      <c r="NG1583" s="38"/>
      <c r="NH1583" s="38"/>
      <c r="NI1583" s="38"/>
      <c r="NJ1583" s="38"/>
      <c r="NK1583" s="38"/>
      <c r="NL1583" s="38"/>
      <c r="NM1583" s="38"/>
      <c r="NN1583" s="38"/>
      <c r="NO1583" s="38"/>
      <c r="NP1583" s="38"/>
      <c r="NQ1583" s="38"/>
      <c r="NR1583" s="38"/>
      <c r="NS1583" s="38"/>
      <c r="NT1583" s="38"/>
      <c r="NU1583" s="38"/>
      <c r="NV1583" s="38"/>
      <c r="NW1583" s="38"/>
      <c r="NX1583" s="38"/>
      <c r="NY1583" s="38"/>
      <c r="NZ1583" s="38"/>
      <c r="OA1583" s="38"/>
      <c r="OB1583" s="38"/>
      <c r="OC1583" s="38"/>
      <c r="OD1583" s="38"/>
      <c r="OE1583" s="38"/>
      <c r="OF1583" s="38"/>
      <c r="OG1583" s="38"/>
      <c r="OH1583" s="38"/>
      <c r="OI1583" s="38"/>
      <c r="OJ1583" s="38"/>
      <c r="OK1583" s="38"/>
      <c r="OL1583" s="38"/>
      <c r="OM1583" s="38"/>
      <c r="ON1583" s="38"/>
      <c r="OO1583" s="38"/>
      <c r="OP1583" s="38"/>
      <c r="OQ1583" s="38"/>
      <c r="OR1583" s="38"/>
      <c r="OS1583" s="38"/>
      <c r="OT1583" s="38"/>
      <c r="OU1583" s="38"/>
      <c r="OV1583" s="38"/>
      <c r="OW1583" s="38"/>
      <c r="OX1583" s="38"/>
      <c r="OY1583" s="38"/>
      <c r="OZ1583" s="38"/>
      <c r="PA1583" s="38"/>
      <c r="PB1583" s="38"/>
      <c r="PC1583" s="38"/>
      <c r="PD1583" s="38"/>
      <c r="PE1583" s="38"/>
      <c r="PF1583" s="38"/>
      <c r="PG1583" s="38"/>
      <c r="PH1583" s="38"/>
      <c r="PI1583" s="38"/>
      <c r="PJ1583" s="38"/>
      <c r="PK1583" s="38"/>
      <c r="PL1583" s="38"/>
      <c r="PM1583" s="38"/>
      <c r="PN1583" s="38"/>
      <c r="PO1583" s="38"/>
      <c r="PP1583" s="38"/>
      <c r="PQ1583" s="38"/>
      <c r="PR1583" s="38"/>
      <c r="PS1583" s="38"/>
      <c r="PT1583" s="38"/>
      <c r="PU1583" s="38"/>
      <c r="PV1583" s="38"/>
      <c r="PW1583" s="38"/>
      <c r="PX1583" s="38"/>
      <c r="PY1583" s="38"/>
      <c r="PZ1583" s="38"/>
      <c r="QA1583" s="38"/>
      <c r="QB1583" s="38"/>
      <c r="QC1583" s="38"/>
      <c r="QD1583" s="38"/>
      <c r="QE1583" s="38"/>
      <c r="QF1583" s="38"/>
      <c r="QG1583" s="38"/>
      <c r="QH1583" s="38"/>
      <c r="QI1583" s="38"/>
      <c r="QJ1583" s="38"/>
      <c r="QK1583" s="38"/>
      <c r="QL1583" s="38"/>
      <c r="QM1583" s="38"/>
      <c r="QN1583" s="38"/>
      <c r="QO1583" s="38"/>
      <c r="QP1583" s="38"/>
      <c r="QQ1583" s="38"/>
      <c r="QR1583" s="38"/>
      <c r="QS1583" s="38"/>
      <c r="QT1583" s="38"/>
      <c r="QU1583" s="38"/>
      <c r="QV1583" s="38"/>
      <c r="QW1583" s="38"/>
      <c r="QX1583" s="38"/>
      <c r="QY1583" s="38"/>
      <c r="QZ1583" s="38"/>
      <c r="RA1583" s="38"/>
      <c r="RB1583" s="38"/>
      <c r="RC1583" s="38"/>
      <c r="RD1583" s="38"/>
      <c r="RE1583" s="38"/>
      <c r="RF1583" s="38"/>
      <c r="RG1583" s="38"/>
      <c r="RH1583" s="38"/>
      <c r="RI1583" s="38"/>
      <c r="RJ1583" s="38"/>
      <c r="RK1583" s="38"/>
      <c r="RL1583" s="38"/>
      <c r="RM1583" s="38"/>
      <c r="RN1583" s="38"/>
      <c r="RO1583" s="38"/>
      <c r="RP1583" s="38"/>
      <c r="RQ1583" s="38"/>
      <c r="RR1583" s="38"/>
      <c r="RS1583" s="38"/>
      <c r="RT1583" s="38"/>
      <c r="RU1583" s="38"/>
      <c r="RV1583" s="38"/>
      <c r="RW1583" s="38"/>
      <c r="RX1583" s="38"/>
      <c r="RY1583" s="38"/>
      <c r="RZ1583" s="38"/>
      <c r="SA1583" s="38"/>
      <c r="SB1583" s="38"/>
      <c r="SC1583" s="38"/>
      <c r="SD1583" s="38"/>
      <c r="SE1583" s="38"/>
      <c r="SF1583" s="38"/>
      <c r="SG1583" s="38"/>
      <c r="SH1583" s="38"/>
      <c r="SI1583" s="38"/>
      <c r="SJ1583" s="38"/>
      <c r="SK1583" s="38"/>
      <c r="SL1583" s="38"/>
      <c r="SM1583" s="38"/>
      <c r="SN1583" s="38"/>
      <c r="SO1583" s="38"/>
      <c r="SP1583" s="38"/>
      <c r="SQ1583" s="38"/>
      <c r="SR1583" s="38"/>
      <c r="SS1583" s="38"/>
      <c r="ST1583" s="38"/>
      <c r="SU1583" s="38"/>
      <c r="SV1583" s="38"/>
      <c r="SW1583" s="38"/>
      <c r="SX1583" s="38"/>
      <c r="SY1583" s="38"/>
      <c r="SZ1583" s="38"/>
      <c r="TA1583" s="38"/>
      <c r="TB1583" s="38"/>
      <c r="TC1583" s="38"/>
      <c r="TD1583" s="38"/>
      <c r="TE1583" s="38"/>
      <c r="TF1583" s="38"/>
      <c r="TG1583" s="38"/>
      <c r="TH1583" s="38"/>
      <c r="TI1583" s="38"/>
      <c r="TJ1583" s="38"/>
      <c r="TK1583" s="38"/>
      <c r="TL1583" s="38"/>
      <c r="TM1583" s="38"/>
      <c r="TN1583" s="38"/>
      <c r="TO1583" s="38"/>
      <c r="TP1583" s="38"/>
      <c r="TQ1583" s="38"/>
      <c r="TR1583" s="38"/>
      <c r="TS1583" s="38"/>
      <c r="TT1583" s="38"/>
      <c r="TU1583" s="38"/>
      <c r="TV1583" s="38"/>
      <c r="TW1583" s="38"/>
      <c r="TX1583" s="38"/>
      <c r="TY1583" s="38"/>
      <c r="TZ1583" s="38"/>
      <c r="UA1583" s="38"/>
      <c r="UB1583" s="38"/>
      <c r="UC1583" s="38"/>
      <c r="UD1583" s="38"/>
      <c r="UE1583" s="38"/>
      <c r="UF1583" s="38"/>
      <c r="UG1583" s="38"/>
      <c r="UH1583" s="38"/>
      <c r="UI1583" s="38"/>
      <c r="UJ1583" s="38"/>
      <c r="UK1583" s="38"/>
      <c r="UL1583" s="38"/>
      <c r="UM1583" s="38"/>
      <c r="UN1583" s="38"/>
      <c r="UO1583" s="38"/>
      <c r="UP1583" s="38"/>
      <c r="UQ1583" s="38"/>
      <c r="UR1583" s="38"/>
      <c r="US1583" s="38"/>
      <c r="UT1583" s="38"/>
      <c r="UU1583" s="38"/>
      <c r="UV1583" s="38"/>
      <c r="UW1583" s="38"/>
      <c r="UX1583" s="38"/>
      <c r="UY1583" s="38"/>
      <c r="UZ1583" s="38"/>
      <c r="VA1583" s="38"/>
      <c r="VB1583" s="38"/>
      <c r="VC1583" s="38"/>
      <c r="VD1583" s="38"/>
      <c r="VE1583" s="38"/>
      <c r="VF1583" s="38"/>
      <c r="VG1583" s="38"/>
      <c r="VH1583" s="38"/>
      <c r="VI1583" s="38"/>
      <c r="VJ1583" s="38"/>
      <c r="VK1583" s="38"/>
      <c r="VL1583" s="38"/>
      <c r="VM1583" s="38"/>
      <c r="VN1583" s="38"/>
      <c r="VO1583" s="38"/>
      <c r="VP1583" s="38"/>
      <c r="VQ1583" s="38"/>
      <c r="VR1583" s="38"/>
      <c r="VS1583" s="38"/>
      <c r="VT1583" s="38"/>
      <c r="VU1583" s="38"/>
      <c r="VV1583" s="38"/>
      <c r="VW1583" s="38"/>
      <c r="VX1583" s="38"/>
      <c r="VY1583" s="38"/>
      <c r="VZ1583" s="38"/>
      <c r="WA1583" s="38"/>
      <c r="WB1583" s="38"/>
      <c r="WC1583" s="38"/>
      <c r="WD1583" s="38"/>
      <c r="WE1583" s="38"/>
      <c r="WF1583" s="38"/>
      <c r="WG1583" s="38"/>
      <c r="WH1583" s="38"/>
      <c r="WI1583" s="38"/>
      <c r="WJ1583" s="38"/>
      <c r="WK1583" s="38"/>
      <c r="WL1583" s="38"/>
      <c r="WM1583" s="38"/>
      <c r="WN1583" s="38"/>
      <c r="WO1583" s="38"/>
      <c r="WP1583" s="38"/>
      <c r="WQ1583" s="38"/>
      <c r="WR1583" s="38"/>
      <c r="WS1583" s="38"/>
      <c r="WT1583" s="38"/>
      <c r="WU1583" s="38"/>
      <c r="WV1583" s="38"/>
      <c r="WW1583" s="38"/>
      <c r="WX1583" s="38"/>
      <c r="WY1583" s="38"/>
      <c r="WZ1583" s="38"/>
      <c r="XA1583" s="38"/>
      <c r="XB1583" s="38"/>
      <c r="XC1583" s="38"/>
      <c r="XD1583" s="38"/>
      <c r="XE1583" s="38"/>
      <c r="XF1583" s="38"/>
      <c r="XG1583" s="38"/>
      <c r="XH1583" s="38"/>
      <c r="XI1583" s="38"/>
      <c r="XJ1583" s="38"/>
      <c r="XK1583" s="38"/>
      <c r="XL1583" s="38"/>
      <c r="XM1583" s="38"/>
      <c r="XN1583" s="38"/>
      <c r="XO1583" s="38"/>
      <c r="XP1583" s="38"/>
      <c r="XQ1583" s="38"/>
      <c r="XR1583" s="38"/>
      <c r="XS1583" s="38"/>
      <c r="XT1583" s="38"/>
      <c r="XU1583" s="38"/>
      <c r="XV1583" s="38"/>
      <c r="XW1583" s="38"/>
      <c r="XX1583" s="38"/>
      <c r="XY1583" s="38"/>
      <c r="XZ1583" s="38"/>
      <c r="YA1583" s="38"/>
      <c r="YB1583" s="38"/>
      <c r="YC1583" s="38"/>
      <c r="YD1583" s="38"/>
      <c r="YE1583" s="38"/>
      <c r="YF1583" s="38"/>
      <c r="YG1583" s="38"/>
      <c r="YH1583" s="38"/>
      <c r="YI1583" s="38"/>
      <c r="YJ1583" s="38"/>
      <c r="YK1583" s="38"/>
      <c r="YL1583" s="38"/>
      <c r="YM1583" s="38"/>
      <c r="YN1583" s="38"/>
      <c r="YO1583" s="38"/>
      <c r="YP1583" s="38"/>
      <c r="YQ1583" s="38"/>
      <c r="YR1583" s="38"/>
      <c r="YS1583" s="38"/>
      <c r="YT1583" s="38"/>
      <c r="YU1583" s="38"/>
      <c r="YV1583" s="38"/>
      <c r="YW1583" s="38"/>
      <c r="YX1583" s="38"/>
      <c r="YY1583" s="38"/>
      <c r="YZ1583" s="38"/>
      <c r="ZA1583" s="38"/>
      <c r="ZB1583" s="38"/>
      <c r="ZC1583" s="38"/>
      <c r="ZD1583" s="38"/>
      <c r="ZE1583" s="38"/>
      <c r="ZF1583" s="38"/>
      <c r="ZG1583" s="38"/>
      <c r="ZH1583" s="38"/>
      <c r="ZI1583" s="38"/>
      <c r="ZJ1583" s="38"/>
      <c r="ZK1583" s="38"/>
      <c r="ZL1583" s="38"/>
      <c r="ZM1583" s="38"/>
      <c r="ZN1583" s="38"/>
      <c r="ZO1583" s="38"/>
      <c r="ZP1583" s="38"/>
      <c r="ZQ1583" s="38"/>
      <c r="ZR1583" s="38"/>
      <c r="ZS1583" s="38"/>
      <c r="ZT1583" s="38"/>
      <c r="ZU1583" s="38"/>
      <c r="ZV1583" s="38"/>
      <c r="ZW1583" s="38"/>
      <c r="ZX1583" s="38"/>
      <c r="ZY1583" s="38"/>
      <c r="ZZ1583" s="38"/>
      <c r="AAA1583" s="38"/>
      <c r="AAB1583" s="38"/>
      <c r="AAC1583" s="38"/>
      <c r="AAD1583" s="38"/>
      <c r="AAE1583" s="38"/>
      <c r="AAF1583" s="38"/>
      <c r="AAG1583" s="38"/>
      <c r="AAH1583" s="38"/>
      <c r="AAI1583" s="38"/>
      <c r="AAJ1583" s="38"/>
      <c r="AAK1583" s="38"/>
      <c r="AAL1583" s="38"/>
      <c r="AAM1583" s="38"/>
      <c r="AAN1583" s="38"/>
      <c r="AAO1583" s="38"/>
      <c r="AAP1583" s="38"/>
      <c r="AAQ1583" s="38"/>
      <c r="AAR1583" s="38"/>
      <c r="AAS1583" s="38"/>
      <c r="AAT1583" s="38"/>
      <c r="AAU1583" s="38"/>
      <c r="AAV1583" s="38"/>
      <c r="AAW1583" s="38"/>
      <c r="AAX1583" s="38"/>
      <c r="AAY1583" s="38"/>
      <c r="AAZ1583" s="38"/>
      <c r="ABA1583" s="38"/>
      <c r="ABB1583" s="38"/>
      <c r="ABC1583" s="38"/>
      <c r="ABD1583" s="38"/>
      <c r="ABE1583" s="38"/>
      <c r="ABF1583" s="38"/>
      <c r="ABG1583" s="38"/>
      <c r="ABH1583" s="38"/>
      <c r="ABI1583" s="38"/>
      <c r="ABJ1583" s="38"/>
      <c r="ABK1583" s="38"/>
      <c r="ABL1583" s="38"/>
      <c r="ABM1583" s="38"/>
      <c r="ABN1583" s="38"/>
      <c r="ABO1583" s="38"/>
      <c r="ABP1583" s="38"/>
      <c r="ABQ1583" s="38"/>
      <c r="ABR1583" s="38"/>
      <c r="ABS1583" s="38"/>
      <c r="ABT1583" s="38"/>
      <c r="ABU1583" s="38"/>
      <c r="ABV1583" s="38"/>
      <c r="ABW1583" s="38"/>
      <c r="ABX1583" s="38"/>
      <c r="ABY1583" s="38"/>
      <c r="ABZ1583" s="38"/>
      <c r="ACA1583" s="38"/>
      <c r="ACB1583" s="38"/>
      <c r="ACC1583" s="38"/>
      <c r="ACD1583" s="38"/>
      <c r="ACE1583" s="38"/>
      <c r="ACF1583" s="38"/>
      <c r="ACG1583" s="38"/>
      <c r="ACH1583" s="38"/>
      <c r="ACI1583" s="38"/>
      <c r="ACJ1583" s="38"/>
      <c r="ACK1583" s="38"/>
      <c r="ACL1583" s="38"/>
      <c r="ACM1583" s="38"/>
      <c r="ACN1583" s="38"/>
      <c r="ACO1583" s="38"/>
      <c r="ACP1583" s="38"/>
      <c r="ACQ1583" s="38"/>
      <c r="ACR1583" s="38"/>
      <c r="ACS1583" s="38"/>
      <c r="ACT1583" s="38"/>
      <c r="ACU1583" s="38"/>
      <c r="ACV1583" s="38"/>
      <c r="ACW1583" s="38"/>
      <c r="ACX1583" s="38"/>
      <c r="ACY1583" s="38"/>
      <c r="ACZ1583" s="38"/>
      <c r="ADA1583" s="38"/>
      <c r="ADB1583" s="38"/>
      <c r="ADC1583" s="38"/>
      <c r="ADD1583" s="38"/>
      <c r="ADE1583" s="38"/>
      <c r="ADF1583" s="38"/>
      <c r="ADG1583" s="38"/>
      <c r="ADH1583" s="38"/>
      <c r="ADI1583" s="38"/>
      <c r="ADJ1583" s="38"/>
      <c r="ADK1583" s="38"/>
      <c r="ADL1583" s="38"/>
      <c r="ADM1583" s="38"/>
      <c r="ADN1583" s="38"/>
      <c r="ADO1583" s="38"/>
      <c r="ADP1583" s="38"/>
      <c r="ADQ1583" s="38"/>
      <c r="ADR1583" s="38"/>
      <c r="ADS1583" s="38"/>
      <c r="ADT1583" s="38"/>
      <c r="ADU1583" s="38"/>
      <c r="ADV1583" s="38"/>
      <c r="ADW1583" s="38"/>
      <c r="ADX1583" s="38"/>
      <c r="ADY1583" s="38"/>
      <c r="ADZ1583" s="38"/>
      <c r="AEA1583" s="38"/>
      <c r="AEB1583" s="38"/>
      <c r="AEC1583" s="38"/>
      <c r="AED1583" s="38"/>
      <c r="AEE1583" s="38"/>
      <c r="AEF1583" s="38"/>
      <c r="AEG1583" s="38"/>
      <c r="AEH1583" s="38"/>
      <c r="AEI1583" s="38"/>
      <c r="AEJ1583" s="38"/>
      <c r="AEK1583" s="38"/>
      <c r="AEL1583" s="38"/>
      <c r="AEM1583" s="38"/>
      <c r="AEN1583" s="38"/>
      <c r="AEO1583" s="38"/>
      <c r="AEP1583" s="38"/>
      <c r="AEQ1583" s="38"/>
      <c r="AER1583" s="38"/>
      <c r="AES1583" s="38"/>
      <c r="AET1583" s="38"/>
      <c r="AEU1583" s="38"/>
      <c r="AEV1583" s="38"/>
      <c r="AEW1583" s="38"/>
      <c r="AEX1583" s="38"/>
      <c r="AEY1583" s="38"/>
      <c r="AEZ1583" s="38"/>
      <c r="AFA1583" s="38"/>
      <c r="AFB1583" s="38"/>
      <c r="AFC1583" s="38"/>
      <c r="AFD1583" s="38"/>
      <c r="AFE1583" s="38"/>
      <c r="AFF1583" s="38"/>
      <c r="AFG1583" s="38"/>
      <c r="AFH1583" s="38"/>
      <c r="AFI1583" s="38"/>
      <c r="AFJ1583" s="38"/>
      <c r="AFK1583" s="38"/>
      <c r="AFL1583" s="38"/>
      <c r="AFM1583" s="38"/>
      <c r="AFN1583" s="38"/>
      <c r="AFO1583" s="38"/>
      <c r="AFP1583" s="38"/>
      <c r="AFQ1583" s="38"/>
      <c r="AFR1583" s="38"/>
      <c r="AFS1583" s="38"/>
      <c r="AFT1583" s="38"/>
      <c r="AFU1583" s="38"/>
      <c r="AFV1583" s="38"/>
      <c r="AFW1583" s="38"/>
      <c r="AFX1583" s="38"/>
      <c r="AFY1583" s="38"/>
      <c r="AFZ1583" s="38"/>
      <c r="AGA1583" s="38"/>
      <c r="AGB1583" s="38"/>
      <c r="AGC1583" s="38"/>
      <c r="AGD1583" s="38"/>
      <c r="AGE1583" s="38"/>
      <c r="AGF1583" s="38"/>
      <c r="AGG1583" s="38"/>
      <c r="AGH1583" s="38"/>
      <c r="AGI1583" s="38"/>
      <c r="AGJ1583" s="38"/>
      <c r="AGK1583" s="38"/>
      <c r="AGL1583" s="38"/>
      <c r="AGM1583" s="38"/>
      <c r="AGN1583" s="38"/>
      <c r="AGO1583" s="38"/>
      <c r="AGP1583" s="38"/>
      <c r="AGQ1583" s="38"/>
      <c r="AGR1583" s="38"/>
      <c r="AGS1583" s="38"/>
      <c r="AGT1583" s="38"/>
      <c r="AGU1583" s="38"/>
      <c r="AGV1583" s="38"/>
      <c r="AGW1583" s="38"/>
      <c r="AGX1583" s="38"/>
      <c r="AGY1583" s="38"/>
      <c r="AGZ1583" s="38"/>
      <c r="AHA1583" s="38"/>
      <c r="AHB1583" s="38"/>
      <c r="AHC1583" s="38"/>
      <c r="AHD1583" s="38"/>
      <c r="AHE1583" s="38"/>
      <c r="AHF1583" s="38"/>
      <c r="AHG1583" s="38"/>
      <c r="AHH1583" s="38"/>
      <c r="AHI1583" s="38"/>
      <c r="AHJ1583" s="38"/>
      <c r="AHK1583" s="38"/>
      <c r="AHL1583" s="38"/>
      <c r="AHM1583" s="38"/>
      <c r="AHN1583" s="38"/>
      <c r="AHO1583" s="38"/>
      <c r="AHP1583" s="38"/>
      <c r="AHQ1583" s="38"/>
      <c r="AHR1583" s="38"/>
      <c r="AHS1583" s="38"/>
      <c r="AHT1583" s="38"/>
      <c r="AHU1583" s="38"/>
      <c r="AHV1583" s="38"/>
      <c r="AHW1583" s="38"/>
      <c r="AHX1583" s="38"/>
      <c r="AHY1583" s="38"/>
      <c r="AHZ1583" s="38"/>
      <c r="AIA1583" s="38"/>
      <c r="AIB1583" s="38"/>
      <c r="AIC1583" s="38"/>
      <c r="AID1583" s="38"/>
      <c r="AIE1583" s="38"/>
      <c r="AIF1583" s="38"/>
      <c r="AIG1583" s="38"/>
      <c r="AIH1583" s="38"/>
      <c r="AII1583" s="38"/>
      <c r="AIJ1583" s="38"/>
      <c r="AIK1583" s="38"/>
      <c r="AIL1583" s="38"/>
      <c r="AIM1583" s="38"/>
      <c r="AIN1583" s="38"/>
      <c r="AIO1583" s="38"/>
      <c r="AIP1583" s="38"/>
      <c r="AIQ1583" s="38"/>
      <c r="AIR1583" s="38"/>
      <c r="AIS1583" s="38"/>
      <c r="AIT1583" s="38"/>
      <c r="AIU1583" s="38"/>
      <c r="AIV1583" s="38"/>
      <c r="AIW1583" s="38"/>
      <c r="AIX1583" s="38"/>
      <c r="AIY1583" s="38"/>
      <c r="AIZ1583" s="38"/>
      <c r="AJA1583" s="38"/>
      <c r="AJB1583" s="38"/>
      <c r="AJC1583" s="38"/>
      <c r="AJD1583" s="38"/>
      <c r="AJE1583" s="38"/>
      <c r="AJF1583" s="38"/>
      <c r="AJG1583" s="38"/>
      <c r="AJH1583" s="38"/>
      <c r="AJI1583" s="38"/>
      <c r="AJJ1583" s="38"/>
      <c r="AJK1583" s="38"/>
      <c r="AJL1583" s="38"/>
      <c r="AJM1583" s="38"/>
      <c r="AJN1583" s="38"/>
      <c r="AJO1583" s="38"/>
      <c r="AJP1583" s="38"/>
      <c r="AJQ1583" s="38"/>
      <c r="AJR1583" s="38"/>
      <c r="AJS1583" s="38"/>
      <c r="AJT1583" s="38"/>
      <c r="AJU1583" s="38"/>
      <c r="AJV1583" s="38"/>
      <c r="AJW1583" s="38"/>
      <c r="AJX1583" s="38"/>
      <c r="AJY1583" s="38"/>
      <c r="AJZ1583" s="38"/>
      <c r="AKA1583" s="38"/>
      <c r="AKB1583" s="38"/>
      <c r="AKC1583" s="38"/>
      <c r="AKD1583" s="38"/>
      <c r="AKE1583" s="38"/>
      <c r="AKF1583" s="38"/>
      <c r="AKG1583" s="38"/>
      <c r="AKH1583" s="38"/>
      <c r="AKI1583" s="38"/>
      <c r="AKJ1583" s="38"/>
      <c r="AKK1583" s="38"/>
      <c r="AKL1583" s="38"/>
      <c r="AKM1583" s="38"/>
      <c r="AKN1583" s="38"/>
      <c r="AKO1583" s="38"/>
      <c r="AKP1583" s="38"/>
      <c r="AKQ1583" s="38"/>
      <c r="AKR1583" s="38"/>
      <c r="AKS1583" s="38"/>
      <c r="AKT1583" s="38"/>
      <c r="AKU1583" s="38"/>
      <c r="AKV1583" s="38"/>
      <c r="AKW1583" s="38"/>
      <c r="AKX1583" s="38"/>
      <c r="AKY1583" s="38"/>
      <c r="AKZ1583" s="38"/>
      <c r="ALA1583" s="38"/>
      <c r="ALB1583" s="38"/>
      <c r="ALC1583" s="38"/>
      <c r="ALD1583" s="38"/>
      <c r="ALE1583" s="38"/>
      <c r="ALF1583" s="38"/>
      <c r="ALG1583" s="38"/>
      <c r="ALH1583" s="38"/>
      <c r="ALI1583" s="38"/>
      <c r="ALJ1583" s="38"/>
      <c r="ALK1583" s="38"/>
      <c r="ALL1583" s="38"/>
      <c r="ALM1583" s="38"/>
      <c r="ALN1583" s="38"/>
      <c r="ALO1583" s="38"/>
      <c r="ALP1583" s="38"/>
      <c r="ALQ1583" s="38"/>
      <c r="ALR1583" s="38"/>
      <c r="ALS1583" s="38"/>
      <c r="ALT1583" s="38"/>
      <c r="ALU1583" s="38"/>
      <c r="ALV1583" s="38"/>
      <c r="ALW1583" s="38"/>
      <c r="ALX1583" s="38"/>
      <c r="ALY1583" s="38"/>
      <c r="ALZ1583" s="38"/>
      <c r="AMA1583" s="38"/>
      <c r="AMB1583" s="38"/>
      <c r="AMC1583" s="38"/>
      <c r="AMD1583" s="38"/>
      <c r="AME1583" s="38"/>
      <c r="AMF1583" s="38"/>
      <c r="AMG1583" s="38"/>
      <c r="AMH1583" s="38"/>
      <c r="AMI1583" s="38"/>
      <c r="AMJ1583" s="38"/>
      <c r="AMK1583" s="38"/>
      <c r="AML1583" s="38"/>
      <c r="AMM1583" s="38"/>
      <c r="AMN1583" s="38"/>
      <c r="AMO1583" s="38"/>
      <c r="AMP1583" s="38"/>
      <c r="AMQ1583" s="38"/>
      <c r="AMR1583" s="38"/>
      <c r="AMS1583" s="38"/>
      <c r="AMT1583" s="38"/>
      <c r="AMU1583" s="38"/>
      <c r="AMV1583" s="38"/>
      <c r="AMW1583" s="38"/>
      <c r="AMX1583" s="38"/>
      <c r="AMY1583" s="38"/>
      <c r="AMZ1583" s="38"/>
      <c r="ANA1583" s="38"/>
      <c r="ANB1583" s="38"/>
      <c r="ANC1583" s="38"/>
      <c r="AND1583" s="38"/>
      <c r="ANE1583" s="38"/>
      <c r="ANF1583" s="38"/>
      <c r="ANG1583" s="38"/>
      <c r="ANH1583" s="38"/>
      <c r="ANI1583" s="38"/>
      <c r="ANJ1583" s="38"/>
      <c r="ANK1583" s="38"/>
      <c r="ANL1583" s="38"/>
      <c r="ANM1583" s="38"/>
      <c r="ANN1583" s="38"/>
      <c r="ANO1583" s="38"/>
      <c r="ANP1583" s="38"/>
      <c r="ANQ1583" s="38"/>
      <c r="ANR1583" s="38"/>
      <c r="ANS1583" s="38"/>
      <c r="ANT1583" s="38"/>
      <c r="ANU1583" s="38"/>
      <c r="ANV1583" s="38"/>
      <c r="ANW1583" s="38"/>
      <c r="ANX1583" s="38"/>
      <c r="ANY1583" s="38"/>
      <c r="ANZ1583" s="38"/>
      <c r="AOA1583" s="38"/>
      <c r="AOB1583" s="38"/>
      <c r="AOC1583" s="38"/>
      <c r="AOD1583" s="38"/>
      <c r="AOE1583" s="38"/>
      <c r="AOF1583" s="38"/>
      <c r="AOG1583" s="38"/>
      <c r="AOH1583" s="38"/>
      <c r="AOI1583" s="38"/>
      <c r="AOJ1583" s="38"/>
      <c r="AOK1583" s="38"/>
      <c r="AOL1583" s="38"/>
      <c r="AOM1583" s="38"/>
      <c r="AON1583" s="38"/>
      <c r="AOO1583" s="38"/>
      <c r="AOP1583" s="38"/>
      <c r="AOQ1583" s="38"/>
      <c r="AOR1583" s="38"/>
      <c r="AOS1583" s="38"/>
      <c r="AOT1583" s="38"/>
      <c r="AOU1583" s="38"/>
      <c r="AOV1583" s="38"/>
      <c r="AOW1583" s="38"/>
      <c r="AOX1583" s="38"/>
      <c r="AOY1583" s="38"/>
      <c r="AOZ1583" s="38"/>
      <c r="APA1583" s="38"/>
      <c r="APB1583" s="38"/>
      <c r="APC1583" s="38"/>
    </row>
    <row r="1584" spans="1:1095" s="36" customFormat="1" ht="14.25" customHeight="1">
      <c r="A1584" s="3" t="s">
        <v>1722</v>
      </c>
      <c r="B1584" s="36" t="s">
        <v>3879</v>
      </c>
      <c r="C1584" s="10">
        <v>4099854038907</v>
      </c>
      <c r="D1584" s="246"/>
      <c r="E1584" s="249"/>
      <c r="F1584" s="222" t="s">
        <v>3136</v>
      </c>
      <c r="G1584" s="66" t="str">
        <f>HYPERLINK("https://ledvance.com/pt/product-datasheet/246648/233383","Ficha de Produto")</f>
        <v>Ficha de Produto</v>
      </c>
      <c r="H1584" s="217">
        <v>10</v>
      </c>
      <c r="I1584" s="34" t="s">
        <v>6312</v>
      </c>
      <c r="J1584" s="34" t="s">
        <v>6313</v>
      </c>
      <c r="K1584" s="34" t="s">
        <v>788</v>
      </c>
      <c r="L1584" s="34" t="s">
        <v>793</v>
      </c>
      <c r="M1584" s="247">
        <v>8</v>
      </c>
      <c r="N1584" s="288" t="s">
        <v>722</v>
      </c>
    </row>
    <row r="1585" spans="1:14" s="36" customFormat="1" ht="14.25" customHeight="1">
      <c r="A1585" s="3" t="s">
        <v>1722</v>
      </c>
      <c r="B1585" s="36" t="s">
        <v>3880</v>
      </c>
      <c r="C1585" s="10">
        <v>4099854038921</v>
      </c>
      <c r="D1585" s="246"/>
      <c r="E1585" s="249"/>
      <c r="F1585" s="222" t="s">
        <v>3136</v>
      </c>
      <c r="G1585" s="66" t="str">
        <f>HYPERLINK("https://ledvance.com/pt/product-datasheet/246648/233386","Ficha de Produto")</f>
        <v>Ficha de Produto</v>
      </c>
      <c r="H1585" s="217">
        <v>10</v>
      </c>
      <c r="I1585" s="34" t="s">
        <v>6314</v>
      </c>
      <c r="J1585" s="34" t="s">
        <v>6313</v>
      </c>
      <c r="K1585" s="34" t="s">
        <v>788</v>
      </c>
      <c r="L1585" s="34" t="s">
        <v>793</v>
      </c>
      <c r="M1585" s="247">
        <v>8</v>
      </c>
      <c r="N1585" s="288" t="s">
        <v>722</v>
      </c>
    </row>
    <row r="1586" spans="1:14" s="36" customFormat="1" ht="14.25" customHeight="1">
      <c r="A1586" s="3" t="s">
        <v>1722</v>
      </c>
      <c r="B1586" s="36" t="s">
        <v>3881</v>
      </c>
      <c r="C1586" s="10">
        <v>4099854038945</v>
      </c>
      <c r="D1586" s="246"/>
      <c r="E1586" s="249"/>
      <c r="F1586" s="222" t="s">
        <v>3136</v>
      </c>
      <c r="G1586" s="66" t="str">
        <f>HYPERLINK("https://ledvance.com/pt/product-datasheet/246648/233389","Ficha de Produto")</f>
        <v>Ficha de Produto</v>
      </c>
      <c r="H1586" s="217">
        <v>10</v>
      </c>
      <c r="I1586" s="34" t="s">
        <v>6314</v>
      </c>
      <c r="J1586" s="34" t="s">
        <v>6313</v>
      </c>
      <c r="K1586" s="34" t="s">
        <v>788</v>
      </c>
      <c r="L1586" s="34" t="s">
        <v>793</v>
      </c>
      <c r="M1586" s="247">
        <v>8</v>
      </c>
      <c r="N1586" s="288" t="s">
        <v>722</v>
      </c>
    </row>
    <row r="1587" spans="1:14" s="36" customFormat="1" ht="14.25" customHeight="1">
      <c r="A1587" s="3" t="s">
        <v>1722</v>
      </c>
      <c r="B1587" s="36" t="s">
        <v>3882</v>
      </c>
      <c r="C1587" s="10">
        <v>4099854038969</v>
      </c>
      <c r="D1587" s="224">
        <v>4058075611610</v>
      </c>
      <c r="E1587" s="245" t="s">
        <v>1012</v>
      </c>
      <c r="F1587" s="246"/>
      <c r="G1587" s="66" t="str">
        <f>HYPERLINK("https://ledvance.com/pt/product-datasheet/246648/233392","Ficha de Produto")</f>
        <v>Ficha de Produto</v>
      </c>
      <c r="H1587" s="217">
        <v>10</v>
      </c>
      <c r="I1587" s="34" t="s">
        <v>808</v>
      </c>
      <c r="J1587" s="34" t="s">
        <v>6315</v>
      </c>
      <c r="K1587" s="34" t="s">
        <v>788</v>
      </c>
      <c r="L1587" s="34" t="s">
        <v>793</v>
      </c>
      <c r="M1587" s="247">
        <v>9.3000000000000007</v>
      </c>
      <c r="N1587" s="288" t="s">
        <v>722</v>
      </c>
    </row>
    <row r="1588" spans="1:14" s="36" customFormat="1" ht="14.25" customHeight="1">
      <c r="A1588" s="3" t="s">
        <v>1722</v>
      </c>
      <c r="B1588" s="36" t="s">
        <v>3883</v>
      </c>
      <c r="C1588" s="10">
        <v>4099854038983</v>
      </c>
      <c r="D1588" s="224">
        <v>4058075611634</v>
      </c>
      <c r="E1588" s="245" t="s">
        <v>1013</v>
      </c>
      <c r="F1588" s="246"/>
      <c r="G1588" s="66" t="str">
        <f>HYPERLINK("https://ledvance.com/pt/product-datasheet/246648/233395","Ficha de Produto")</f>
        <v>Ficha de Produto</v>
      </c>
      <c r="H1588" s="217">
        <v>10</v>
      </c>
      <c r="I1588" s="34" t="s">
        <v>827</v>
      </c>
      <c r="J1588" s="34" t="s">
        <v>6315</v>
      </c>
      <c r="K1588" s="34" t="s">
        <v>788</v>
      </c>
      <c r="L1588" s="34" t="s">
        <v>793</v>
      </c>
      <c r="M1588" s="247">
        <v>9.3000000000000007</v>
      </c>
      <c r="N1588" s="288" t="s">
        <v>722</v>
      </c>
    </row>
    <row r="1589" spans="1:14" s="36" customFormat="1" ht="14.25" customHeight="1">
      <c r="A1589" s="3" t="s">
        <v>1722</v>
      </c>
      <c r="B1589" s="36" t="s">
        <v>3884</v>
      </c>
      <c r="C1589" s="10">
        <v>4099854039003</v>
      </c>
      <c r="D1589" s="224">
        <v>4058075611658</v>
      </c>
      <c r="E1589" s="245" t="s">
        <v>1014</v>
      </c>
      <c r="F1589" s="246"/>
      <c r="G1589" s="66" t="str">
        <f>HYPERLINK("https://ledvance.com/pt/product-datasheet/246648/233398","Ficha de Produto")</f>
        <v>Ficha de Produto</v>
      </c>
      <c r="H1589" s="217">
        <v>10</v>
      </c>
      <c r="I1589" s="34" t="s">
        <v>827</v>
      </c>
      <c r="J1589" s="34" t="s">
        <v>6315</v>
      </c>
      <c r="K1589" s="34" t="s">
        <v>788</v>
      </c>
      <c r="L1589" s="34" t="s">
        <v>793</v>
      </c>
      <c r="M1589" s="247">
        <v>9.3000000000000007</v>
      </c>
      <c r="N1589" s="288" t="s">
        <v>722</v>
      </c>
    </row>
    <row r="1590" spans="1:14" s="36" customFormat="1" ht="14.25" customHeight="1">
      <c r="A1590" s="3" t="s">
        <v>1722</v>
      </c>
      <c r="B1590" s="36" t="s">
        <v>3885</v>
      </c>
      <c r="C1590" s="10">
        <v>4099854039027</v>
      </c>
      <c r="D1590" s="246"/>
      <c r="E1590" s="249"/>
      <c r="F1590" s="222" t="s">
        <v>3136</v>
      </c>
      <c r="G1590" s="66" t="str">
        <f>HYPERLINK("https://ledvance.com/pt/product-datasheet/246648/233401","Ficha de Produto")</f>
        <v>Ficha de Produto</v>
      </c>
      <c r="H1590" s="217">
        <v>10</v>
      </c>
      <c r="I1590" s="34" t="s">
        <v>1094</v>
      </c>
      <c r="J1590" s="34" t="s">
        <v>809</v>
      </c>
      <c r="K1590" s="34" t="s">
        <v>788</v>
      </c>
      <c r="L1590" s="34" t="s">
        <v>793</v>
      </c>
      <c r="M1590" s="247">
        <v>9.5</v>
      </c>
      <c r="N1590" s="288" t="s">
        <v>722</v>
      </c>
    </row>
    <row r="1591" spans="1:14" s="36" customFormat="1" ht="14.25" customHeight="1">
      <c r="A1591" s="3" t="s">
        <v>1722</v>
      </c>
      <c r="B1591" s="36" t="s">
        <v>3886</v>
      </c>
      <c r="C1591" s="10">
        <v>4099854039041</v>
      </c>
      <c r="D1591" s="246"/>
      <c r="E1591" s="249"/>
      <c r="F1591" s="222" t="s">
        <v>3136</v>
      </c>
      <c r="G1591" s="66" t="str">
        <f>HYPERLINK("https://ledvance.com/pt/product-datasheet/246648/233404","Ficha de Produto")</f>
        <v>Ficha de Produto</v>
      </c>
      <c r="H1591" s="217">
        <v>10</v>
      </c>
      <c r="I1591" s="34" t="s">
        <v>6316</v>
      </c>
      <c r="J1591" s="34" t="s">
        <v>809</v>
      </c>
      <c r="K1591" s="34" t="s">
        <v>788</v>
      </c>
      <c r="L1591" s="34" t="s">
        <v>793</v>
      </c>
      <c r="M1591" s="247">
        <v>9.5</v>
      </c>
      <c r="N1591" s="288" t="s">
        <v>722</v>
      </c>
    </row>
    <row r="1592" spans="1:14" s="36" customFormat="1" ht="14.25" customHeight="1">
      <c r="A1592" s="3" t="s">
        <v>1722</v>
      </c>
      <c r="B1592" s="36" t="s">
        <v>3887</v>
      </c>
      <c r="C1592" s="10">
        <v>4099854039065</v>
      </c>
      <c r="D1592" s="246"/>
      <c r="E1592" s="249"/>
      <c r="F1592" s="222" t="s">
        <v>3136</v>
      </c>
      <c r="G1592" s="66" t="str">
        <f>HYPERLINK("https://ledvance.com/pt/product-datasheet/246648/233407","Ficha de Produto")</f>
        <v>Ficha de Produto</v>
      </c>
      <c r="H1592" s="217">
        <v>10</v>
      </c>
      <c r="I1592" s="34" t="s">
        <v>6316</v>
      </c>
      <c r="J1592" s="34" t="s">
        <v>809</v>
      </c>
      <c r="K1592" s="34" t="s">
        <v>788</v>
      </c>
      <c r="L1592" s="34" t="s">
        <v>793</v>
      </c>
      <c r="M1592" s="247">
        <v>9.5</v>
      </c>
      <c r="N1592" s="288" t="s">
        <v>722</v>
      </c>
    </row>
    <row r="1593" spans="1:14" s="36" customFormat="1" ht="14.25" customHeight="1">
      <c r="A1593" s="3" t="s">
        <v>1722</v>
      </c>
      <c r="B1593" s="36" t="s">
        <v>3888</v>
      </c>
      <c r="C1593" s="10">
        <v>4099854039102</v>
      </c>
      <c r="D1593" s="246"/>
      <c r="E1593" s="249"/>
      <c r="F1593" s="222" t="s">
        <v>3136</v>
      </c>
      <c r="G1593" s="66" t="str">
        <f>HYPERLINK("https://ledvance.com/pt/product-datasheet/246648/233410","Ficha de Produto")</f>
        <v>Ficha de Produto</v>
      </c>
      <c r="H1593" s="217">
        <v>10</v>
      </c>
      <c r="I1593" s="34" t="s">
        <v>885</v>
      </c>
      <c r="J1593" s="34" t="s">
        <v>859</v>
      </c>
      <c r="K1593" s="34" t="s">
        <v>788</v>
      </c>
      <c r="L1593" s="34" t="s">
        <v>793</v>
      </c>
      <c r="M1593" s="247">
        <v>9.6999999999999993</v>
      </c>
      <c r="N1593" s="288" t="s">
        <v>722</v>
      </c>
    </row>
    <row r="1594" spans="1:14" s="36" customFormat="1" ht="14.25" customHeight="1">
      <c r="A1594" s="3" t="s">
        <v>1722</v>
      </c>
      <c r="B1594" s="36" t="s">
        <v>3889</v>
      </c>
      <c r="C1594" s="10">
        <v>4099854039126</v>
      </c>
      <c r="D1594" s="246"/>
      <c r="E1594" s="249"/>
      <c r="F1594" s="222" t="s">
        <v>3136</v>
      </c>
      <c r="G1594" s="66" t="str">
        <f>HYPERLINK("https://ledvance.com/pt/product-datasheet/246648/233413","Ficha de Produto")</f>
        <v>Ficha de Produto</v>
      </c>
      <c r="H1594" s="217">
        <v>10</v>
      </c>
      <c r="I1594" s="34" t="s">
        <v>857</v>
      </c>
      <c r="J1594" s="34" t="s">
        <v>859</v>
      </c>
      <c r="K1594" s="34" t="s">
        <v>788</v>
      </c>
      <c r="L1594" s="34" t="s">
        <v>793</v>
      </c>
      <c r="M1594" s="247">
        <v>9.6999999999999993</v>
      </c>
      <c r="N1594" s="288" t="s">
        <v>722</v>
      </c>
    </row>
    <row r="1595" spans="1:14" s="36" customFormat="1" ht="14.25" customHeight="1">
      <c r="A1595" s="3" t="s">
        <v>1722</v>
      </c>
      <c r="B1595" s="36" t="s">
        <v>3890</v>
      </c>
      <c r="C1595" s="10">
        <v>4099854039164</v>
      </c>
      <c r="D1595" s="246"/>
      <c r="E1595" s="249"/>
      <c r="F1595" s="222" t="s">
        <v>3136</v>
      </c>
      <c r="G1595" s="66" t="str">
        <f>HYPERLINK("https://ledvance.com/pt/product-datasheet/246648/233416","Ficha de Produto")</f>
        <v>Ficha de Produto</v>
      </c>
      <c r="H1595" s="217">
        <v>10</v>
      </c>
      <c r="I1595" s="34" t="s">
        <v>857</v>
      </c>
      <c r="J1595" s="34" t="s">
        <v>859</v>
      </c>
      <c r="K1595" s="34" t="s">
        <v>788</v>
      </c>
      <c r="L1595" s="34" t="s">
        <v>793</v>
      </c>
      <c r="M1595" s="247">
        <v>9.6999999999999993</v>
      </c>
      <c r="N1595" s="288" t="s">
        <v>722</v>
      </c>
    </row>
    <row r="1596" spans="1:14" s="36" customFormat="1" ht="14.25" customHeight="1">
      <c r="A1596" s="3" t="s">
        <v>1722</v>
      </c>
      <c r="B1596" s="36" t="s">
        <v>3891</v>
      </c>
      <c r="C1596" s="10">
        <v>4099854039201</v>
      </c>
      <c r="D1596" s="246"/>
      <c r="E1596" s="249"/>
      <c r="F1596" s="222" t="s">
        <v>3136</v>
      </c>
      <c r="G1596" s="66" t="str">
        <f>HYPERLINK("https://ledvance.com/pt/product-datasheet/246648/233419","Ficha de Produto")</f>
        <v>Ficha de Produto</v>
      </c>
      <c r="H1596" s="217">
        <v>10</v>
      </c>
      <c r="I1596" s="34" t="s">
        <v>778</v>
      </c>
      <c r="J1596" s="34" t="s">
        <v>6317</v>
      </c>
      <c r="K1596" s="34" t="s">
        <v>788</v>
      </c>
      <c r="L1596" s="34" t="s">
        <v>793</v>
      </c>
      <c r="M1596" s="247">
        <v>10.1</v>
      </c>
      <c r="N1596" s="288" t="s">
        <v>722</v>
      </c>
    </row>
    <row r="1597" spans="1:14" s="36" customFormat="1" ht="14.25" customHeight="1">
      <c r="A1597" s="3" t="s">
        <v>1722</v>
      </c>
      <c r="B1597" s="36" t="s">
        <v>3892</v>
      </c>
      <c r="C1597" s="10">
        <v>4099854039249</v>
      </c>
      <c r="D1597" s="246"/>
      <c r="E1597" s="249"/>
      <c r="F1597" s="222" t="s">
        <v>3136</v>
      </c>
      <c r="G1597" s="66" t="str">
        <f>HYPERLINK("https://ledvance.com/pt/product-datasheet/246648/233422","Ficha de Produto")</f>
        <v>Ficha de Produto</v>
      </c>
      <c r="H1597" s="217">
        <v>10</v>
      </c>
      <c r="I1597" s="34" t="s">
        <v>789</v>
      </c>
      <c r="J1597" s="34" t="s">
        <v>6317</v>
      </c>
      <c r="K1597" s="34" t="s">
        <v>788</v>
      </c>
      <c r="L1597" s="34" t="s">
        <v>793</v>
      </c>
      <c r="M1597" s="247">
        <v>10.1</v>
      </c>
      <c r="N1597" s="288" t="s">
        <v>722</v>
      </c>
    </row>
    <row r="1598" spans="1:14" s="36" customFormat="1" ht="14.25" customHeight="1">
      <c r="A1598" s="3" t="s">
        <v>1722</v>
      </c>
      <c r="B1598" s="36" t="s">
        <v>3893</v>
      </c>
      <c r="C1598" s="10">
        <v>4099854038488</v>
      </c>
      <c r="D1598" s="246"/>
      <c r="E1598" s="249"/>
      <c r="F1598" s="222" t="s">
        <v>3136</v>
      </c>
      <c r="G1598" s="66" t="str">
        <f>HYPERLINK("https://ledvance.com/pt/product-datasheet/246648/233425","Ficha de Produto")</f>
        <v>Ficha de Produto</v>
      </c>
      <c r="H1598" s="217">
        <v>10</v>
      </c>
      <c r="I1598" s="34" t="s">
        <v>789</v>
      </c>
      <c r="J1598" s="34" t="s">
        <v>6317</v>
      </c>
      <c r="K1598" s="34" t="s">
        <v>788</v>
      </c>
      <c r="L1598" s="34" t="s">
        <v>793</v>
      </c>
      <c r="M1598" s="247">
        <v>10.1</v>
      </c>
      <c r="N1598" s="288" t="s">
        <v>722</v>
      </c>
    </row>
    <row r="1599" spans="1:14" s="36" customFormat="1" ht="14.25" customHeight="1">
      <c r="A1599" s="3" t="s">
        <v>1722</v>
      </c>
      <c r="B1599" s="36" t="s">
        <v>3894</v>
      </c>
      <c r="C1599" s="10">
        <v>4099854038143</v>
      </c>
      <c r="D1599" s="224">
        <v>4058075611672</v>
      </c>
      <c r="E1599" s="245" t="s">
        <v>1015</v>
      </c>
      <c r="F1599" s="246"/>
      <c r="G1599" s="66" t="str">
        <f>HYPERLINK("https://ledvance.com/pt/product-datasheet/246648/233428","Ficha de Produto")</f>
        <v>Ficha de Produto</v>
      </c>
      <c r="H1599" s="217">
        <v>10</v>
      </c>
      <c r="I1599" s="34" t="s">
        <v>6318</v>
      </c>
      <c r="J1599" s="34" t="s">
        <v>860</v>
      </c>
      <c r="K1599" s="34" t="s">
        <v>788</v>
      </c>
      <c r="L1599" s="34" t="s">
        <v>793</v>
      </c>
      <c r="M1599" s="247">
        <v>11.8</v>
      </c>
      <c r="N1599" s="288" t="s">
        <v>722</v>
      </c>
    </row>
    <row r="1600" spans="1:14" s="36" customFormat="1" ht="14.25" customHeight="1">
      <c r="A1600" s="3" t="s">
        <v>1722</v>
      </c>
      <c r="B1600" s="36" t="s">
        <v>3895</v>
      </c>
      <c r="C1600" s="10">
        <v>4099854038167</v>
      </c>
      <c r="D1600" s="224">
        <v>4058075611696</v>
      </c>
      <c r="E1600" s="245" t="s">
        <v>1016</v>
      </c>
      <c r="F1600" s="246"/>
      <c r="G1600" s="66" t="str">
        <f>HYPERLINK("https://ledvance.com/pt/product-datasheet/246648/233431","Ficha de Produto")</f>
        <v>Ficha de Produto</v>
      </c>
      <c r="H1600" s="217">
        <v>10</v>
      </c>
      <c r="I1600" s="34" t="s">
        <v>820</v>
      </c>
      <c r="J1600" s="34" t="s">
        <v>860</v>
      </c>
      <c r="K1600" s="34" t="s">
        <v>788</v>
      </c>
      <c r="L1600" s="34" t="s">
        <v>793</v>
      </c>
      <c r="M1600" s="247">
        <v>11.8</v>
      </c>
      <c r="N1600" s="288" t="s">
        <v>722</v>
      </c>
    </row>
    <row r="1601" spans="1:1095" s="36" customFormat="1" ht="14.25" customHeight="1">
      <c r="A1601" s="3" t="s">
        <v>1722</v>
      </c>
      <c r="B1601" s="36" t="s">
        <v>3896</v>
      </c>
      <c r="C1601" s="10">
        <v>4099854038181</v>
      </c>
      <c r="D1601" s="224">
        <v>4058075611719</v>
      </c>
      <c r="E1601" s="245" t="s">
        <v>1017</v>
      </c>
      <c r="F1601" s="246"/>
      <c r="G1601" s="66" t="str">
        <f>HYPERLINK("https://ledvance.com/pt/product-datasheet/246648/233434","Ficha de Produto")</f>
        <v>Ficha de Produto</v>
      </c>
      <c r="H1601" s="217">
        <v>10</v>
      </c>
      <c r="I1601" s="34" t="s">
        <v>820</v>
      </c>
      <c r="J1601" s="34" t="s">
        <v>860</v>
      </c>
      <c r="K1601" s="34" t="s">
        <v>788</v>
      </c>
      <c r="L1601" s="34" t="s">
        <v>793</v>
      </c>
      <c r="M1601" s="247">
        <v>11.8</v>
      </c>
      <c r="N1601" s="288" t="s">
        <v>722</v>
      </c>
    </row>
    <row r="1602" spans="1:1095" s="36" customFormat="1" ht="14.25" customHeight="1">
      <c r="A1602" s="3" t="s">
        <v>1722</v>
      </c>
      <c r="B1602" s="36" t="s">
        <v>3897</v>
      </c>
      <c r="C1602" s="10">
        <v>4099854038204</v>
      </c>
      <c r="D1602" s="224">
        <v>4058075611733</v>
      </c>
      <c r="E1602" s="245" t="s">
        <v>1018</v>
      </c>
      <c r="F1602" s="246"/>
      <c r="G1602" s="66" t="str">
        <f>HYPERLINK("https://ledvance.com/pt/product-datasheet/246648/233437","Ficha de Produto")</f>
        <v>Ficha de Produto</v>
      </c>
      <c r="H1602" s="217">
        <v>10</v>
      </c>
      <c r="I1602" s="34" t="s">
        <v>861</v>
      </c>
      <c r="J1602" s="34" t="s">
        <v>6319</v>
      </c>
      <c r="K1602" s="34" t="s">
        <v>788</v>
      </c>
      <c r="L1602" s="34" t="s">
        <v>793</v>
      </c>
      <c r="M1602" s="247">
        <v>15.600000000000001</v>
      </c>
      <c r="N1602" s="288" t="s">
        <v>722</v>
      </c>
    </row>
    <row r="1603" spans="1:1095" s="36" customFormat="1" ht="14.25" customHeight="1">
      <c r="A1603" s="3" t="s">
        <v>1722</v>
      </c>
      <c r="B1603" s="36" t="s">
        <v>3898</v>
      </c>
      <c r="C1603" s="10">
        <v>4099854038228</v>
      </c>
      <c r="D1603" s="224">
        <v>4058075611757</v>
      </c>
      <c r="E1603" s="245" t="s">
        <v>1019</v>
      </c>
      <c r="F1603" s="246"/>
      <c r="G1603" s="66" t="str">
        <f>HYPERLINK("https://ledvance.com/pt/product-datasheet/246648/233440","Ficha de Produto")</f>
        <v>Ficha de Produto</v>
      </c>
      <c r="H1603" s="217">
        <v>10</v>
      </c>
      <c r="I1603" s="34" t="s">
        <v>819</v>
      </c>
      <c r="J1603" s="34" t="s">
        <v>6319</v>
      </c>
      <c r="K1603" s="34" t="s">
        <v>788</v>
      </c>
      <c r="L1603" s="34" t="s">
        <v>793</v>
      </c>
      <c r="M1603" s="247">
        <v>15.600000000000001</v>
      </c>
      <c r="N1603" s="288" t="s">
        <v>722</v>
      </c>
    </row>
    <row r="1604" spans="1:1095" s="36" customFormat="1" ht="14.25" customHeight="1">
      <c r="A1604" s="3" t="s">
        <v>1722</v>
      </c>
      <c r="B1604" s="36" t="s">
        <v>3899</v>
      </c>
      <c r="C1604" s="10">
        <v>4099854038242</v>
      </c>
      <c r="D1604" s="224">
        <v>4058075611771</v>
      </c>
      <c r="E1604" s="245" t="s">
        <v>1020</v>
      </c>
      <c r="F1604" s="246"/>
      <c r="G1604" s="66" t="str">
        <f>HYPERLINK("https://ledvance.com/pt/product-datasheet/246648/233443","Ficha de Produto")</f>
        <v>Ficha de Produto</v>
      </c>
      <c r="H1604" s="217">
        <v>10</v>
      </c>
      <c r="I1604" s="34" t="s">
        <v>819</v>
      </c>
      <c r="J1604" s="34" t="s">
        <v>6319</v>
      </c>
      <c r="K1604" s="34" t="s">
        <v>788</v>
      </c>
      <c r="L1604" s="34" t="s">
        <v>793</v>
      </c>
      <c r="M1604" s="247">
        <v>15.600000000000001</v>
      </c>
      <c r="N1604" s="288" t="s">
        <v>722</v>
      </c>
    </row>
    <row r="1605" spans="1:1095" s="39" customFormat="1" ht="14.25" customHeight="1">
      <c r="A1605" s="8" t="s">
        <v>1722</v>
      </c>
      <c r="B1605" s="244" t="s">
        <v>2046</v>
      </c>
      <c r="C1605" s="244"/>
      <c r="D1605" s="7"/>
      <c r="E1605" s="250"/>
      <c r="F1605" s="250"/>
      <c r="G1605" s="68"/>
      <c r="H1605" s="230"/>
      <c r="I1605" s="250"/>
      <c r="J1605" s="250"/>
      <c r="K1605" s="250"/>
      <c r="L1605" s="250"/>
      <c r="M1605" s="248"/>
      <c r="N1605" s="289"/>
      <c r="O1605" s="38"/>
      <c r="P1605" s="38"/>
      <c r="Q1605" s="38"/>
      <c r="R1605" s="38"/>
      <c r="S1605" s="38"/>
      <c r="T1605" s="38"/>
      <c r="U1605" s="38"/>
      <c r="V1605" s="38"/>
      <c r="W1605" s="38"/>
      <c r="X1605" s="38"/>
      <c r="Y1605" s="38"/>
      <c r="Z1605" s="38"/>
      <c r="AA1605" s="38"/>
      <c r="AB1605" s="38"/>
      <c r="AC1605" s="38"/>
      <c r="AD1605" s="38"/>
      <c r="AE1605" s="38"/>
      <c r="AF1605" s="38"/>
      <c r="AG1605" s="38"/>
      <c r="AH1605" s="38"/>
      <c r="AI1605" s="38"/>
      <c r="AJ1605" s="38"/>
      <c r="AK1605" s="38"/>
      <c r="AL1605" s="38"/>
      <c r="AM1605" s="38"/>
      <c r="AN1605" s="38"/>
      <c r="AO1605" s="38"/>
      <c r="AP1605" s="38"/>
      <c r="AQ1605" s="38"/>
      <c r="AR1605" s="38"/>
      <c r="AS1605" s="38"/>
      <c r="AT1605" s="38"/>
      <c r="AU1605" s="38"/>
      <c r="AV1605" s="38"/>
      <c r="AW1605" s="38"/>
      <c r="AX1605" s="38"/>
      <c r="AY1605" s="38"/>
      <c r="AZ1605" s="38"/>
      <c r="BA1605" s="38"/>
      <c r="BB1605" s="38"/>
      <c r="BC1605" s="38"/>
      <c r="BD1605" s="38"/>
      <c r="BE1605" s="38"/>
      <c r="BF1605" s="38"/>
      <c r="BG1605" s="38"/>
      <c r="BH1605" s="38"/>
      <c r="BI1605" s="38"/>
      <c r="BJ1605" s="38"/>
      <c r="BK1605" s="38"/>
      <c r="BL1605" s="38"/>
      <c r="BM1605" s="38"/>
      <c r="BN1605" s="38"/>
      <c r="BO1605" s="38"/>
      <c r="BP1605" s="38"/>
      <c r="BQ1605" s="38"/>
      <c r="BR1605" s="38"/>
      <c r="BS1605" s="38"/>
      <c r="BT1605" s="38"/>
      <c r="BU1605" s="38"/>
      <c r="BV1605" s="38"/>
      <c r="BW1605" s="38"/>
      <c r="BX1605" s="38"/>
      <c r="BY1605" s="38"/>
      <c r="BZ1605" s="38"/>
      <c r="CA1605" s="38"/>
      <c r="CB1605" s="38"/>
      <c r="CC1605" s="38"/>
      <c r="CD1605" s="38"/>
      <c r="CE1605" s="38"/>
      <c r="CF1605" s="38"/>
      <c r="CG1605" s="38"/>
      <c r="CH1605" s="38"/>
      <c r="CI1605" s="38"/>
      <c r="CJ1605" s="38"/>
      <c r="CK1605" s="38"/>
      <c r="CL1605" s="38"/>
      <c r="CM1605" s="38"/>
      <c r="CN1605" s="38"/>
      <c r="CO1605" s="38"/>
      <c r="CP1605" s="38"/>
      <c r="CQ1605" s="38"/>
      <c r="CR1605" s="38"/>
      <c r="CS1605" s="38"/>
      <c r="CT1605" s="38"/>
      <c r="CU1605" s="38"/>
      <c r="CV1605" s="38"/>
      <c r="CW1605" s="38"/>
      <c r="CX1605" s="38"/>
      <c r="CY1605" s="38"/>
      <c r="CZ1605" s="38"/>
      <c r="DA1605" s="38"/>
      <c r="DB1605" s="38"/>
      <c r="DC1605" s="38"/>
      <c r="DD1605" s="38"/>
      <c r="DE1605" s="38"/>
      <c r="DF1605" s="38"/>
      <c r="DG1605" s="38"/>
      <c r="DH1605" s="38"/>
      <c r="DI1605" s="38"/>
      <c r="DJ1605" s="38"/>
      <c r="DK1605" s="38"/>
      <c r="DL1605" s="38"/>
      <c r="DM1605" s="38"/>
      <c r="DN1605" s="38"/>
      <c r="DO1605" s="38"/>
      <c r="DP1605" s="38"/>
      <c r="DQ1605" s="38"/>
      <c r="DR1605" s="38"/>
      <c r="DS1605" s="38"/>
      <c r="DT1605" s="38"/>
      <c r="DU1605" s="38"/>
      <c r="DV1605" s="38"/>
      <c r="DW1605" s="38"/>
      <c r="DX1605" s="38"/>
      <c r="DY1605" s="38"/>
      <c r="DZ1605" s="38"/>
      <c r="EA1605" s="38"/>
      <c r="EB1605" s="38"/>
      <c r="EC1605" s="38"/>
      <c r="ED1605" s="38"/>
      <c r="EE1605" s="38"/>
      <c r="EF1605" s="38"/>
      <c r="EG1605" s="38"/>
      <c r="EH1605" s="38"/>
      <c r="EI1605" s="38"/>
      <c r="EJ1605" s="38"/>
      <c r="EK1605" s="38"/>
      <c r="EL1605" s="38"/>
      <c r="EM1605" s="38"/>
      <c r="EN1605" s="38"/>
      <c r="EO1605" s="38"/>
      <c r="EP1605" s="38"/>
      <c r="EQ1605" s="38"/>
      <c r="ER1605" s="38"/>
      <c r="ES1605" s="38"/>
      <c r="ET1605" s="38"/>
      <c r="EU1605" s="38"/>
      <c r="EV1605" s="38"/>
      <c r="EW1605" s="38"/>
      <c r="EX1605" s="38"/>
      <c r="EY1605" s="38"/>
      <c r="EZ1605" s="38"/>
      <c r="FA1605" s="38"/>
      <c r="FB1605" s="38"/>
      <c r="FC1605" s="38"/>
      <c r="FD1605" s="38"/>
      <c r="FE1605" s="38"/>
      <c r="FF1605" s="38"/>
      <c r="FG1605" s="38"/>
      <c r="FH1605" s="38"/>
      <c r="FI1605" s="38"/>
      <c r="FJ1605" s="38"/>
      <c r="FK1605" s="38"/>
      <c r="FL1605" s="38"/>
      <c r="FM1605" s="38"/>
      <c r="FN1605" s="38"/>
      <c r="FO1605" s="38"/>
      <c r="FP1605" s="38"/>
      <c r="FQ1605" s="38"/>
      <c r="FR1605" s="38"/>
      <c r="FS1605" s="38"/>
      <c r="FT1605" s="38"/>
      <c r="FU1605" s="38"/>
      <c r="FV1605" s="38"/>
      <c r="FW1605" s="38"/>
      <c r="FX1605" s="38"/>
      <c r="FY1605" s="38"/>
      <c r="FZ1605" s="38"/>
      <c r="GA1605" s="38"/>
      <c r="GB1605" s="38"/>
      <c r="GC1605" s="38"/>
      <c r="GD1605" s="38"/>
      <c r="GE1605" s="38"/>
      <c r="GF1605" s="38"/>
      <c r="GG1605" s="38"/>
      <c r="GH1605" s="38"/>
      <c r="GI1605" s="38"/>
      <c r="GJ1605" s="38"/>
      <c r="GK1605" s="38"/>
      <c r="GL1605" s="38"/>
      <c r="GM1605" s="38"/>
      <c r="GN1605" s="38"/>
      <c r="GO1605" s="38"/>
      <c r="GP1605" s="38"/>
      <c r="GQ1605" s="38"/>
      <c r="GR1605" s="38"/>
      <c r="GS1605" s="38"/>
      <c r="GT1605" s="38"/>
      <c r="GU1605" s="38"/>
      <c r="GV1605" s="38"/>
      <c r="GW1605" s="38"/>
      <c r="GX1605" s="38"/>
      <c r="GY1605" s="38"/>
      <c r="GZ1605" s="38"/>
      <c r="HA1605" s="38"/>
      <c r="HB1605" s="38"/>
      <c r="HC1605" s="38"/>
      <c r="HD1605" s="38"/>
      <c r="HE1605" s="38"/>
      <c r="HF1605" s="38"/>
      <c r="HG1605" s="38"/>
      <c r="HH1605" s="38"/>
      <c r="HI1605" s="38"/>
      <c r="HJ1605" s="38"/>
      <c r="HK1605" s="38"/>
      <c r="HL1605" s="38"/>
      <c r="HM1605" s="38"/>
      <c r="HN1605" s="38"/>
      <c r="HO1605" s="38"/>
      <c r="HP1605" s="38"/>
      <c r="HQ1605" s="38"/>
      <c r="HR1605" s="38"/>
      <c r="HS1605" s="38"/>
      <c r="HT1605" s="38"/>
      <c r="HU1605" s="38"/>
      <c r="HV1605" s="38"/>
      <c r="HW1605" s="38"/>
      <c r="HX1605" s="38"/>
      <c r="HY1605" s="38"/>
      <c r="HZ1605" s="38"/>
      <c r="IA1605" s="38"/>
      <c r="IB1605" s="38"/>
      <c r="IC1605" s="38"/>
      <c r="ID1605" s="38"/>
      <c r="IE1605" s="38"/>
      <c r="IF1605" s="38"/>
      <c r="IG1605" s="38"/>
      <c r="IH1605" s="38"/>
      <c r="II1605" s="38"/>
      <c r="IJ1605" s="38"/>
      <c r="IK1605" s="38"/>
      <c r="IL1605" s="38"/>
      <c r="IM1605" s="38"/>
      <c r="IN1605" s="38"/>
      <c r="IO1605" s="38"/>
      <c r="IP1605" s="38"/>
      <c r="IQ1605" s="38"/>
      <c r="IR1605" s="38"/>
      <c r="IS1605" s="38"/>
      <c r="IT1605" s="38"/>
      <c r="IU1605" s="38"/>
      <c r="IV1605" s="38"/>
      <c r="IW1605" s="38"/>
      <c r="IX1605" s="38"/>
      <c r="IY1605" s="38"/>
      <c r="IZ1605" s="38"/>
      <c r="JA1605" s="38"/>
      <c r="JB1605" s="38"/>
      <c r="JC1605" s="38"/>
      <c r="JD1605" s="38"/>
      <c r="JE1605" s="38"/>
      <c r="JF1605" s="38"/>
      <c r="JG1605" s="38"/>
      <c r="JH1605" s="38"/>
      <c r="JI1605" s="38"/>
      <c r="JJ1605" s="38"/>
      <c r="JK1605" s="38"/>
      <c r="JL1605" s="38"/>
      <c r="JM1605" s="38"/>
      <c r="JN1605" s="38"/>
      <c r="JO1605" s="38"/>
      <c r="JP1605" s="38"/>
      <c r="JQ1605" s="38"/>
      <c r="JR1605" s="38"/>
      <c r="JS1605" s="38"/>
      <c r="JT1605" s="38"/>
      <c r="JU1605" s="38"/>
      <c r="JV1605" s="38"/>
      <c r="JW1605" s="38"/>
      <c r="JX1605" s="38"/>
      <c r="JY1605" s="38"/>
      <c r="JZ1605" s="38"/>
      <c r="KA1605" s="38"/>
      <c r="KB1605" s="38"/>
      <c r="KC1605" s="38"/>
      <c r="KD1605" s="38"/>
      <c r="KE1605" s="38"/>
      <c r="KF1605" s="38"/>
      <c r="KG1605" s="38"/>
      <c r="KH1605" s="38"/>
      <c r="KI1605" s="38"/>
      <c r="KJ1605" s="38"/>
      <c r="KK1605" s="38"/>
      <c r="KL1605" s="38"/>
      <c r="KM1605" s="38"/>
      <c r="KN1605" s="38"/>
      <c r="KO1605" s="38"/>
      <c r="KP1605" s="38"/>
      <c r="KQ1605" s="38"/>
      <c r="KR1605" s="38"/>
      <c r="KS1605" s="38"/>
      <c r="KT1605" s="38"/>
      <c r="KU1605" s="38"/>
      <c r="KV1605" s="38"/>
      <c r="KW1605" s="38"/>
      <c r="KX1605" s="38"/>
      <c r="KY1605" s="38"/>
      <c r="KZ1605" s="38"/>
      <c r="LA1605" s="38"/>
      <c r="LB1605" s="38"/>
      <c r="LC1605" s="38"/>
      <c r="LD1605" s="38"/>
      <c r="LE1605" s="38"/>
      <c r="LF1605" s="38"/>
      <c r="LG1605" s="38"/>
      <c r="LH1605" s="38"/>
      <c r="LI1605" s="38"/>
      <c r="LJ1605" s="38"/>
      <c r="LK1605" s="38"/>
      <c r="LL1605" s="38"/>
      <c r="LM1605" s="38"/>
      <c r="LN1605" s="38"/>
      <c r="LO1605" s="38"/>
      <c r="LP1605" s="38"/>
      <c r="LQ1605" s="38"/>
      <c r="LR1605" s="38"/>
      <c r="LS1605" s="38"/>
      <c r="LT1605" s="38"/>
      <c r="LU1605" s="38"/>
      <c r="LV1605" s="38"/>
      <c r="LW1605" s="38"/>
      <c r="LX1605" s="38"/>
      <c r="LY1605" s="38"/>
      <c r="LZ1605" s="38"/>
      <c r="MA1605" s="38"/>
      <c r="MB1605" s="38"/>
      <c r="MC1605" s="38"/>
      <c r="MD1605" s="38"/>
      <c r="ME1605" s="38"/>
      <c r="MF1605" s="38"/>
      <c r="MG1605" s="38"/>
      <c r="MH1605" s="38"/>
      <c r="MI1605" s="38"/>
      <c r="MJ1605" s="38"/>
      <c r="MK1605" s="38"/>
      <c r="ML1605" s="38"/>
      <c r="MM1605" s="38"/>
      <c r="MN1605" s="38"/>
      <c r="MO1605" s="38"/>
      <c r="MP1605" s="38"/>
      <c r="MQ1605" s="38"/>
      <c r="MR1605" s="38"/>
      <c r="MS1605" s="38"/>
      <c r="MT1605" s="38"/>
      <c r="MU1605" s="38"/>
      <c r="MV1605" s="38"/>
      <c r="MW1605" s="38"/>
      <c r="MX1605" s="38"/>
      <c r="MY1605" s="38"/>
      <c r="MZ1605" s="38"/>
      <c r="NA1605" s="38"/>
      <c r="NB1605" s="38"/>
      <c r="NC1605" s="38"/>
      <c r="ND1605" s="38"/>
      <c r="NE1605" s="38"/>
      <c r="NF1605" s="38"/>
      <c r="NG1605" s="38"/>
      <c r="NH1605" s="38"/>
      <c r="NI1605" s="38"/>
      <c r="NJ1605" s="38"/>
      <c r="NK1605" s="38"/>
      <c r="NL1605" s="38"/>
      <c r="NM1605" s="38"/>
      <c r="NN1605" s="38"/>
      <c r="NO1605" s="38"/>
      <c r="NP1605" s="38"/>
      <c r="NQ1605" s="38"/>
      <c r="NR1605" s="38"/>
      <c r="NS1605" s="38"/>
      <c r="NT1605" s="38"/>
      <c r="NU1605" s="38"/>
      <c r="NV1605" s="38"/>
      <c r="NW1605" s="38"/>
      <c r="NX1605" s="38"/>
      <c r="NY1605" s="38"/>
      <c r="NZ1605" s="38"/>
      <c r="OA1605" s="38"/>
      <c r="OB1605" s="38"/>
      <c r="OC1605" s="38"/>
      <c r="OD1605" s="38"/>
      <c r="OE1605" s="38"/>
      <c r="OF1605" s="38"/>
      <c r="OG1605" s="38"/>
      <c r="OH1605" s="38"/>
      <c r="OI1605" s="38"/>
      <c r="OJ1605" s="38"/>
      <c r="OK1605" s="38"/>
      <c r="OL1605" s="38"/>
      <c r="OM1605" s="38"/>
      <c r="ON1605" s="38"/>
      <c r="OO1605" s="38"/>
      <c r="OP1605" s="38"/>
      <c r="OQ1605" s="38"/>
      <c r="OR1605" s="38"/>
      <c r="OS1605" s="38"/>
      <c r="OT1605" s="38"/>
      <c r="OU1605" s="38"/>
      <c r="OV1605" s="38"/>
      <c r="OW1605" s="38"/>
      <c r="OX1605" s="38"/>
      <c r="OY1605" s="38"/>
      <c r="OZ1605" s="38"/>
      <c r="PA1605" s="38"/>
      <c r="PB1605" s="38"/>
      <c r="PC1605" s="38"/>
      <c r="PD1605" s="38"/>
      <c r="PE1605" s="38"/>
      <c r="PF1605" s="38"/>
      <c r="PG1605" s="38"/>
      <c r="PH1605" s="38"/>
      <c r="PI1605" s="38"/>
      <c r="PJ1605" s="38"/>
      <c r="PK1605" s="38"/>
      <c r="PL1605" s="38"/>
      <c r="PM1605" s="38"/>
      <c r="PN1605" s="38"/>
      <c r="PO1605" s="38"/>
      <c r="PP1605" s="38"/>
      <c r="PQ1605" s="38"/>
      <c r="PR1605" s="38"/>
      <c r="PS1605" s="38"/>
      <c r="PT1605" s="38"/>
      <c r="PU1605" s="38"/>
      <c r="PV1605" s="38"/>
      <c r="PW1605" s="38"/>
      <c r="PX1605" s="38"/>
      <c r="PY1605" s="38"/>
      <c r="PZ1605" s="38"/>
      <c r="QA1605" s="38"/>
      <c r="QB1605" s="38"/>
      <c r="QC1605" s="38"/>
      <c r="QD1605" s="38"/>
      <c r="QE1605" s="38"/>
      <c r="QF1605" s="38"/>
      <c r="QG1605" s="38"/>
      <c r="QH1605" s="38"/>
      <c r="QI1605" s="38"/>
      <c r="QJ1605" s="38"/>
      <c r="QK1605" s="38"/>
      <c r="QL1605" s="38"/>
      <c r="QM1605" s="38"/>
      <c r="QN1605" s="38"/>
      <c r="QO1605" s="38"/>
      <c r="QP1605" s="38"/>
      <c r="QQ1605" s="38"/>
      <c r="QR1605" s="38"/>
      <c r="QS1605" s="38"/>
      <c r="QT1605" s="38"/>
      <c r="QU1605" s="38"/>
      <c r="QV1605" s="38"/>
      <c r="QW1605" s="38"/>
      <c r="QX1605" s="38"/>
      <c r="QY1605" s="38"/>
      <c r="QZ1605" s="38"/>
      <c r="RA1605" s="38"/>
      <c r="RB1605" s="38"/>
      <c r="RC1605" s="38"/>
      <c r="RD1605" s="38"/>
      <c r="RE1605" s="38"/>
      <c r="RF1605" s="38"/>
      <c r="RG1605" s="38"/>
      <c r="RH1605" s="38"/>
      <c r="RI1605" s="38"/>
      <c r="RJ1605" s="38"/>
      <c r="RK1605" s="38"/>
      <c r="RL1605" s="38"/>
      <c r="RM1605" s="38"/>
      <c r="RN1605" s="38"/>
      <c r="RO1605" s="38"/>
      <c r="RP1605" s="38"/>
      <c r="RQ1605" s="38"/>
      <c r="RR1605" s="38"/>
      <c r="RS1605" s="38"/>
      <c r="RT1605" s="38"/>
      <c r="RU1605" s="38"/>
      <c r="RV1605" s="38"/>
      <c r="RW1605" s="38"/>
      <c r="RX1605" s="38"/>
      <c r="RY1605" s="38"/>
      <c r="RZ1605" s="38"/>
      <c r="SA1605" s="38"/>
      <c r="SB1605" s="38"/>
      <c r="SC1605" s="38"/>
      <c r="SD1605" s="38"/>
      <c r="SE1605" s="38"/>
      <c r="SF1605" s="38"/>
      <c r="SG1605" s="38"/>
      <c r="SH1605" s="38"/>
      <c r="SI1605" s="38"/>
      <c r="SJ1605" s="38"/>
      <c r="SK1605" s="38"/>
      <c r="SL1605" s="38"/>
      <c r="SM1605" s="38"/>
      <c r="SN1605" s="38"/>
      <c r="SO1605" s="38"/>
      <c r="SP1605" s="38"/>
      <c r="SQ1605" s="38"/>
      <c r="SR1605" s="38"/>
      <c r="SS1605" s="38"/>
      <c r="ST1605" s="38"/>
      <c r="SU1605" s="38"/>
      <c r="SV1605" s="38"/>
      <c r="SW1605" s="38"/>
      <c r="SX1605" s="38"/>
      <c r="SY1605" s="38"/>
      <c r="SZ1605" s="38"/>
      <c r="TA1605" s="38"/>
      <c r="TB1605" s="38"/>
      <c r="TC1605" s="38"/>
      <c r="TD1605" s="38"/>
      <c r="TE1605" s="38"/>
      <c r="TF1605" s="38"/>
      <c r="TG1605" s="38"/>
      <c r="TH1605" s="38"/>
      <c r="TI1605" s="38"/>
      <c r="TJ1605" s="38"/>
      <c r="TK1605" s="38"/>
      <c r="TL1605" s="38"/>
      <c r="TM1605" s="38"/>
      <c r="TN1605" s="38"/>
      <c r="TO1605" s="38"/>
      <c r="TP1605" s="38"/>
      <c r="TQ1605" s="38"/>
      <c r="TR1605" s="38"/>
      <c r="TS1605" s="38"/>
      <c r="TT1605" s="38"/>
      <c r="TU1605" s="38"/>
      <c r="TV1605" s="38"/>
      <c r="TW1605" s="38"/>
      <c r="TX1605" s="38"/>
      <c r="TY1605" s="38"/>
      <c r="TZ1605" s="38"/>
      <c r="UA1605" s="38"/>
      <c r="UB1605" s="38"/>
      <c r="UC1605" s="38"/>
      <c r="UD1605" s="38"/>
      <c r="UE1605" s="38"/>
      <c r="UF1605" s="38"/>
      <c r="UG1605" s="38"/>
      <c r="UH1605" s="38"/>
      <c r="UI1605" s="38"/>
      <c r="UJ1605" s="38"/>
      <c r="UK1605" s="38"/>
      <c r="UL1605" s="38"/>
      <c r="UM1605" s="38"/>
      <c r="UN1605" s="38"/>
      <c r="UO1605" s="38"/>
      <c r="UP1605" s="38"/>
      <c r="UQ1605" s="38"/>
      <c r="UR1605" s="38"/>
      <c r="US1605" s="38"/>
      <c r="UT1605" s="38"/>
      <c r="UU1605" s="38"/>
      <c r="UV1605" s="38"/>
      <c r="UW1605" s="38"/>
      <c r="UX1605" s="38"/>
      <c r="UY1605" s="38"/>
      <c r="UZ1605" s="38"/>
      <c r="VA1605" s="38"/>
      <c r="VB1605" s="38"/>
      <c r="VC1605" s="38"/>
      <c r="VD1605" s="38"/>
      <c r="VE1605" s="38"/>
      <c r="VF1605" s="38"/>
      <c r="VG1605" s="38"/>
      <c r="VH1605" s="38"/>
      <c r="VI1605" s="38"/>
      <c r="VJ1605" s="38"/>
      <c r="VK1605" s="38"/>
      <c r="VL1605" s="38"/>
      <c r="VM1605" s="38"/>
      <c r="VN1605" s="38"/>
      <c r="VO1605" s="38"/>
      <c r="VP1605" s="38"/>
      <c r="VQ1605" s="38"/>
      <c r="VR1605" s="38"/>
      <c r="VS1605" s="38"/>
      <c r="VT1605" s="38"/>
      <c r="VU1605" s="38"/>
      <c r="VV1605" s="38"/>
      <c r="VW1605" s="38"/>
      <c r="VX1605" s="38"/>
      <c r="VY1605" s="38"/>
      <c r="VZ1605" s="38"/>
      <c r="WA1605" s="38"/>
      <c r="WB1605" s="38"/>
      <c r="WC1605" s="38"/>
      <c r="WD1605" s="38"/>
      <c r="WE1605" s="38"/>
      <c r="WF1605" s="38"/>
      <c r="WG1605" s="38"/>
      <c r="WH1605" s="38"/>
      <c r="WI1605" s="38"/>
      <c r="WJ1605" s="38"/>
      <c r="WK1605" s="38"/>
      <c r="WL1605" s="38"/>
      <c r="WM1605" s="38"/>
      <c r="WN1605" s="38"/>
      <c r="WO1605" s="38"/>
      <c r="WP1605" s="38"/>
      <c r="WQ1605" s="38"/>
      <c r="WR1605" s="38"/>
      <c r="WS1605" s="38"/>
      <c r="WT1605" s="38"/>
      <c r="WU1605" s="38"/>
      <c r="WV1605" s="38"/>
      <c r="WW1605" s="38"/>
      <c r="WX1605" s="38"/>
      <c r="WY1605" s="38"/>
      <c r="WZ1605" s="38"/>
      <c r="XA1605" s="38"/>
      <c r="XB1605" s="38"/>
      <c r="XC1605" s="38"/>
      <c r="XD1605" s="38"/>
      <c r="XE1605" s="38"/>
      <c r="XF1605" s="38"/>
      <c r="XG1605" s="38"/>
      <c r="XH1605" s="38"/>
      <c r="XI1605" s="38"/>
      <c r="XJ1605" s="38"/>
      <c r="XK1605" s="38"/>
      <c r="XL1605" s="38"/>
      <c r="XM1605" s="38"/>
      <c r="XN1605" s="38"/>
      <c r="XO1605" s="38"/>
      <c r="XP1605" s="38"/>
      <c r="XQ1605" s="38"/>
      <c r="XR1605" s="38"/>
      <c r="XS1605" s="38"/>
      <c r="XT1605" s="38"/>
      <c r="XU1605" s="38"/>
      <c r="XV1605" s="38"/>
      <c r="XW1605" s="38"/>
      <c r="XX1605" s="38"/>
      <c r="XY1605" s="38"/>
      <c r="XZ1605" s="38"/>
      <c r="YA1605" s="38"/>
      <c r="YB1605" s="38"/>
      <c r="YC1605" s="38"/>
      <c r="YD1605" s="38"/>
      <c r="YE1605" s="38"/>
      <c r="YF1605" s="38"/>
      <c r="YG1605" s="38"/>
      <c r="YH1605" s="38"/>
      <c r="YI1605" s="38"/>
      <c r="YJ1605" s="38"/>
      <c r="YK1605" s="38"/>
      <c r="YL1605" s="38"/>
      <c r="YM1605" s="38"/>
      <c r="YN1605" s="38"/>
      <c r="YO1605" s="38"/>
      <c r="YP1605" s="38"/>
      <c r="YQ1605" s="38"/>
      <c r="YR1605" s="38"/>
      <c r="YS1605" s="38"/>
      <c r="YT1605" s="38"/>
      <c r="YU1605" s="38"/>
      <c r="YV1605" s="38"/>
      <c r="YW1605" s="38"/>
      <c r="YX1605" s="38"/>
      <c r="YY1605" s="38"/>
      <c r="YZ1605" s="38"/>
      <c r="ZA1605" s="38"/>
      <c r="ZB1605" s="38"/>
      <c r="ZC1605" s="38"/>
      <c r="ZD1605" s="38"/>
      <c r="ZE1605" s="38"/>
      <c r="ZF1605" s="38"/>
      <c r="ZG1605" s="38"/>
      <c r="ZH1605" s="38"/>
      <c r="ZI1605" s="38"/>
      <c r="ZJ1605" s="38"/>
      <c r="ZK1605" s="38"/>
      <c r="ZL1605" s="38"/>
      <c r="ZM1605" s="38"/>
      <c r="ZN1605" s="38"/>
      <c r="ZO1605" s="38"/>
      <c r="ZP1605" s="38"/>
      <c r="ZQ1605" s="38"/>
      <c r="ZR1605" s="38"/>
      <c r="ZS1605" s="38"/>
      <c r="ZT1605" s="38"/>
      <c r="ZU1605" s="38"/>
      <c r="ZV1605" s="38"/>
      <c r="ZW1605" s="38"/>
      <c r="ZX1605" s="38"/>
      <c r="ZY1605" s="38"/>
      <c r="ZZ1605" s="38"/>
      <c r="AAA1605" s="38"/>
      <c r="AAB1605" s="38"/>
      <c r="AAC1605" s="38"/>
      <c r="AAD1605" s="38"/>
      <c r="AAE1605" s="38"/>
      <c r="AAF1605" s="38"/>
      <c r="AAG1605" s="38"/>
      <c r="AAH1605" s="38"/>
      <c r="AAI1605" s="38"/>
      <c r="AAJ1605" s="38"/>
      <c r="AAK1605" s="38"/>
      <c r="AAL1605" s="38"/>
      <c r="AAM1605" s="38"/>
      <c r="AAN1605" s="38"/>
      <c r="AAO1605" s="38"/>
      <c r="AAP1605" s="38"/>
      <c r="AAQ1605" s="38"/>
      <c r="AAR1605" s="38"/>
      <c r="AAS1605" s="38"/>
      <c r="AAT1605" s="38"/>
      <c r="AAU1605" s="38"/>
      <c r="AAV1605" s="38"/>
      <c r="AAW1605" s="38"/>
      <c r="AAX1605" s="38"/>
      <c r="AAY1605" s="38"/>
      <c r="AAZ1605" s="38"/>
      <c r="ABA1605" s="38"/>
      <c r="ABB1605" s="38"/>
      <c r="ABC1605" s="38"/>
      <c r="ABD1605" s="38"/>
      <c r="ABE1605" s="38"/>
      <c r="ABF1605" s="38"/>
      <c r="ABG1605" s="38"/>
      <c r="ABH1605" s="38"/>
      <c r="ABI1605" s="38"/>
      <c r="ABJ1605" s="38"/>
      <c r="ABK1605" s="38"/>
      <c r="ABL1605" s="38"/>
      <c r="ABM1605" s="38"/>
      <c r="ABN1605" s="38"/>
      <c r="ABO1605" s="38"/>
      <c r="ABP1605" s="38"/>
      <c r="ABQ1605" s="38"/>
      <c r="ABR1605" s="38"/>
      <c r="ABS1605" s="38"/>
      <c r="ABT1605" s="38"/>
      <c r="ABU1605" s="38"/>
      <c r="ABV1605" s="38"/>
      <c r="ABW1605" s="38"/>
      <c r="ABX1605" s="38"/>
      <c r="ABY1605" s="38"/>
      <c r="ABZ1605" s="38"/>
      <c r="ACA1605" s="38"/>
      <c r="ACB1605" s="38"/>
      <c r="ACC1605" s="38"/>
      <c r="ACD1605" s="38"/>
      <c r="ACE1605" s="38"/>
      <c r="ACF1605" s="38"/>
      <c r="ACG1605" s="38"/>
      <c r="ACH1605" s="38"/>
      <c r="ACI1605" s="38"/>
      <c r="ACJ1605" s="38"/>
      <c r="ACK1605" s="38"/>
      <c r="ACL1605" s="38"/>
      <c r="ACM1605" s="38"/>
      <c r="ACN1605" s="38"/>
      <c r="ACO1605" s="38"/>
      <c r="ACP1605" s="38"/>
      <c r="ACQ1605" s="38"/>
      <c r="ACR1605" s="38"/>
      <c r="ACS1605" s="38"/>
      <c r="ACT1605" s="38"/>
      <c r="ACU1605" s="38"/>
      <c r="ACV1605" s="38"/>
      <c r="ACW1605" s="38"/>
      <c r="ACX1605" s="38"/>
      <c r="ACY1605" s="38"/>
      <c r="ACZ1605" s="38"/>
      <c r="ADA1605" s="38"/>
      <c r="ADB1605" s="38"/>
      <c r="ADC1605" s="38"/>
      <c r="ADD1605" s="38"/>
      <c r="ADE1605" s="38"/>
      <c r="ADF1605" s="38"/>
      <c r="ADG1605" s="38"/>
      <c r="ADH1605" s="38"/>
      <c r="ADI1605" s="38"/>
      <c r="ADJ1605" s="38"/>
      <c r="ADK1605" s="38"/>
      <c r="ADL1605" s="38"/>
      <c r="ADM1605" s="38"/>
      <c r="ADN1605" s="38"/>
      <c r="ADO1605" s="38"/>
      <c r="ADP1605" s="38"/>
      <c r="ADQ1605" s="38"/>
      <c r="ADR1605" s="38"/>
      <c r="ADS1605" s="38"/>
      <c r="ADT1605" s="38"/>
      <c r="ADU1605" s="38"/>
      <c r="ADV1605" s="38"/>
      <c r="ADW1605" s="38"/>
      <c r="ADX1605" s="38"/>
      <c r="ADY1605" s="38"/>
      <c r="ADZ1605" s="38"/>
      <c r="AEA1605" s="38"/>
      <c r="AEB1605" s="38"/>
      <c r="AEC1605" s="38"/>
      <c r="AED1605" s="38"/>
      <c r="AEE1605" s="38"/>
      <c r="AEF1605" s="38"/>
      <c r="AEG1605" s="38"/>
      <c r="AEH1605" s="38"/>
      <c r="AEI1605" s="38"/>
      <c r="AEJ1605" s="38"/>
      <c r="AEK1605" s="38"/>
      <c r="AEL1605" s="38"/>
      <c r="AEM1605" s="38"/>
      <c r="AEN1605" s="38"/>
      <c r="AEO1605" s="38"/>
      <c r="AEP1605" s="38"/>
      <c r="AEQ1605" s="38"/>
      <c r="AER1605" s="38"/>
      <c r="AES1605" s="38"/>
      <c r="AET1605" s="38"/>
      <c r="AEU1605" s="38"/>
      <c r="AEV1605" s="38"/>
      <c r="AEW1605" s="38"/>
      <c r="AEX1605" s="38"/>
      <c r="AEY1605" s="38"/>
      <c r="AEZ1605" s="38"/>
      <c r="AFA1605" s="38"/>
      <c r="AFB1605" s="38"/>
      <c r="AFC1605" s="38"/>
      <c r="AFD1605" s="38"/>
      <c r="AFE1605" s="38"/>
      <c r="AFF1605" s="38"/>
      <c r="AFG1605" s="38"/>
      <c r="AFH1605" s="38"/>
      <c r="AFI1605" s="38"/>
      <c r="AFJ1605" s="38"/>
      <c r="AFK1605" s="38"/>
      <c r="AFL1605" s="38"/>
      <c r="AFM1605" s="38"/>
      <c r="AFN1605" s="38"/>
      <c r="AFO1605" s="38"/>
      <c r="AFP1605" s="38"/>
      <c r="AFQ1605" s="38"/>
      <c r="AFR1605" s="38"/>
      <c r="AFS1605" s="38"/>
      <c r="AFT1605" s="38"/>
      <c r="AFU1605" s="38"/>
      <c r="AFV1605" s="38"/>
      <c r="AFW1605" s="38"/>
      <c r="AFX1605" s="38"/>
      <c r="AFY1605" s="38"/>
      <c r="AFZ1605" s="38"/>
      <c r="AGA1605" s="38"/>
      <c r="AGB1605" s="38"/>
      <c r="AGC1605" s="38"/>
      <c r="AGD1605" s="38"/>
      <c r="AGE1605" s="38"/>
      <c r="AGF1605" s="38"/>
      <c r="AGG1605" s="38"/>
      <c r="AGH1605" s="38"/>
      <c r="AGI1605" s="38"/>
      <c r="AGJ1605" s="38"/>
      <c r="AGK1605" s="38"/>
      <c r="AGL1605" s="38"/>
      <c r="AGM1605" s="38"/>
      <c r="AGN1605" s="38"/>
      <c r="AGO1605" s="38"/>
      <c r="AGP1605" s="38"/>
      <c r="AGQ1605" s="38"/>
      <c r="AGR1605" s="38"/>
      <c r="AGS1605" s="38"/>
      <c r="AGT1605" s="38"/>
      <c r="AGU1605" s="38"/>
      <c r="AGV1605" s="38"/>
      <c r="AGW1605" s="38"/>
      <c r="AGX1605" s="38"/>
      <c r="AGY1605" s="38"/>
      <c r="AGZ1605" s="38"/>
      <c r="AHA1605" s="38"/>
      <c r="AHB1605" s="38"/>
      <c r="AHC1605" s="38"/>
      <c r="AHD1605" s="38"/>
      <c r="AHE1605" s="38"/>
      <c r="AHF1605" s="38"/>
      <c r="AHG1605" s="38"/>
      <c r="AHH1605" s="38"/>
      <c r="AHI1605" s="38"/>
      <c r="AHJ1605" s="38"/>
      <c r="AHK1605" s="38"/>
      <c r="AHL1605" s="38"/>
      <c r="AHM1605" s="38"/>
      <c r="AHN1605" s="38"/>
      <c r="AHO1605" s="38"/>
      <c r="AHP1605" s="38"/>
      <c r="AHQ1605" s="38"/>
      <c r="AHR1605" s="38"/>
      <c r="AHS1605" s="38"/>
      <c r="AHT1605" s="38"/>
      <c r="AHU1605" s="38"/>
      <c r="AHV1605" s="38"/>
      <c r="AHW1605" s="38"/>
      <c r="AHX1605" s="38"/>
      <c r="AHY1605" s="38"/>
      <c r="AHZ1605" s="38"/>
      <c r="AIA1605" s="38"/>
      <c r="AIB1605" s="38"/>
      <c r="AIC1605" s="38"/>
      <c r="AID1605" s="38"/>
      <c r="AIE1605" s="38"/>
      <c r="AIF1605" s="38"/>
      <c r="AIG1605" s="38"/>
      <c r="AIH1605" s="38"/>
      <c r="AII1605" s="38"/>
      <c r="AIJ1605" s="38"/>
      <c r="AIK1605" s="38"/>
      <c r="AIL1605" s="38"/>
      <c r="AIM1605" s="38"/>
      <c r="AIN1605" s="38"/>
      <c r="AIO1605" s="38"/>
      <c r="AIP1605" s="38"/>
      <c r="AIQ1605" s="38"/>
      <c r="AIR1605" s="38"/>
      <c r="AIS1605" s="38"/>
      <c r="AIT1605" s="38"/>
      <c r="AIU1605" s="38"/>
      <c r="AIV1605" s="38"/>
      <c r="AIW1605" s="38"/>
      <c r="AIX1605" s="38"/>
      <c r="AIY1605" s="38"/>
      <c r="AIZ1605" s="38"/>
      <c r="AJA1605" s="38"/>
      <c r="AJB1605" s="38"/>
      <c r="AJC1605" s="38"/>
      <c r="AJD1605" s="38"/>
      <c r="AJE1605" s="38"/>
      <c r="AJF1605" s="38"/>
      <c r="AJG1605" s="38"/>
      <c r="AJH1605" s="38"/>
      <c r="AJI1605" s="38"/>
      <c r="AJJ1605" s="38"/>
      <c r="AJK1605" s="38"/>
      <c r="AJL1605" s="38"/>
      <c r="AJM1605" s="38"/>
      <c r="AJN1605" s="38"/>
      <c r="AJO1605" s="38"/>
      <c r="AJP1605" s="38"/>
      <c r="AJQ1605" s="38"/>
      <c r="AJR1605" s="38"/>
      <c r="AJS1605" s="38"/>
      <c r="AJT1605" s="38"/>
      <c r="AJU1605" s="38"/>
      <c r="AJV1605" s="38"/>
      <c r="AJW1605" s="38"/>
      <c r="AJX1605" s="38"/>
      <c r="AJY1605" s="38"/>
      <c r="AJZ1605" s="38"/>
      <c r="AKA1605" s="38"/>
      <c r="AKB1605" s="38"/>
      <c r="AKC1605" s="38"/>
      <c r="AKD1605" s="38"/>
      <c r="AKE1605" s="38"/>
      <c r="AKF1605" s="38"/>
      <c r="AKG1605" s="38"/>
      <c r="AKH1605" s="38"/>
      <c r="AKI1605" s="38"/>
      <c r="AKJ1605" s="38"/>
      <c r="AKK1605" s="38"/>
      <c r="AKL1605" s="38"/>
      <c r="AKM1605" s="38"/>
      <c r="AKN1605" s="38"/>
      <c r="AKO1605" s="38"/>
      <c r="AKP1605" s="38"/>
      <c r="AKQ1605" s="38"/>
      <c r="AKR1605" s="38"/>
      <c r="AKS1605" s="38"/>
      <c r="AKT1605" s="38"/>
      <c r="AKU1605" s="38"/>
      <c r="AKV1605" s="38"/>
      <c r="AKW1605" s="38"/>
      <c r="AKX1605" s="38"/>
      <c r="AKY1605" s="38"/>
      <c r="AKZ1605" s="38"/>
      <c r="ALA1605" s="38"/>
      <c r="ALB1605" s="38"/>
      <c r="ALC1605" s="38"/>
      <c r="ALD1605" s="38"/>
      <c r="ALE1605" s="38"/>
      <c r="ALF1605" s="38"/>
      <c r="ALG1605" s="38"/>
      <c r="ALH1605" s="38"/>
      <c r="ALI1605" s="38"/>
      <c r="ALJ1605" s="38"/>
      <c r="ALK1605" s="38"/>
      <c r="ALL1605" s="38"/>
      <c r="ALM1605" s="38"/>
      <c r="ALN1605" s="38"/>
      <c r="ALO1605" s="38"/>
      <c r="ALP1605" s="38"/>
      <c r="ALQ1605" s="38"/>
      <c r="ALR1605" s="38"/>
      <c r="ALS1605" s="38"/>
      <c r="ALT1605" s="38"/>
      <c r="ALU1605" s="38"/>
      <c r="ALV1605" s="38"/>
      <c r="ALW1605" s="38"/>
      <c r="ALX1605" s="38"/>
      <c r="ALY1605" s="38"/>
      <c r="ALZ1605" s="38"/>
      <c r="AMA1605" s="38"/>
      <c r="AMB1605" s="38"/>
      <c r="AMC1605" s="38"/>
      <c r="AMD1605" s="38"/>
      <c r="AME1605" s="38"/>
      <c r="AMF1605" s="38"/>
      <c r="AMG1605" s="38"/>
      <c r="AMH1605" s="38"/>
      <c r="AMI1605" s="38"/>
      <c r="AMJ1605" s="38"/>
      <c r="AMK1605" s="38"/>
      <c r="AML1605" s="38"/>
      <c r="AMM1605" s="38"/>
      <c r="AMN1605" s="38"/>
      <c r="AMO1605" s="38"/>
      <c r="AMP1605" s="38"/>
      <c r="AMQ1605" s="38"/>
      <c r="AMR1605" s="38"/>
      <c r="AMS1605" s="38"/>
      <c r="AMT1605" s="38"/>
      <c r="AMU1605" s="38"/>
      <c r="AMV1605" s="38"/>
      <c r="AMW1605" s="38"/>
      <c r="AMX1605" s="38"/>
      <c r="AMY1605" s="38"/>
      <c r="AMZ1605" s="38"/>
      <c r="ANA1605" s="38"/>
      <c r="ANB1605" s="38"/>
      <c r="ANC1605" s="38"/>
      <c r="AND1605" s="38"/>
      <c r="ANE1605" s="38"/>
      <c r="ANF1605" s="38"/>
      <c r="ANG1605" s="38"/>
      <c r="ANH1605" s="38"/>
      <c r="ANI1605" s="38"/>
      <c r="ANJ1605" s="38"/>
      <c r="ANK1605" s="38"/>
      <c r="ANL1605" s="38"/>
      <c r="ANM1605" s="38"/>
      <c r="ANN1605" s="38"/>
      <c r="ANO1605" s="38"/>
      <c r="ANP1605" s="38"/>
      <c r="ANQ1605" s="38"/>
      <c r="ANR1605" s="38"/>
      <c r="ANS1605" s="38"/>
      <c r="ANT1605" s="38"/>
      <c r="ANU1605" s="38"/>
      <c r="ANV1605" s="38"/>
      <c r="ANW1605" s="38"/>
      <c r="ANX1605" s="38"/>
      <c r="ANY1605" s="38"/>
      <c r="ANZ1605" s="38"/>
      <c r="AOA1605" s="38"/>
      <c r="AOB1605" s="38"/>
      <c r="AOC1605" s="38"/>
      <c r="AOD1605" s="38"/>
      <c r="AOE1605" s="38"/>
      <c r="AOF1605" s="38"/>
      <c r="AOG1605" s="38"/>
      <c r="AOH1605" s="38"/>
      <c r="AOI1605" s="38"/>
      <c r="AOJ1605" s="38"/>
      <c r="AOK1605" s="38"/>
      <c r="AOL1605" s="38"/>
      <c r="AOM1605" s="38"/>
      <c r="AON1605" s="38"/>
      <c r="AOO1605" s="38"/>
      <c r="AOP1605" s="38"/>
      <c r="AOQ1605" s="38"/>
      <c r="AOR1605" s="38"/>
      <c r="AOS1605" s="38"/>
      <c r="AOT1605" s="38"/>
      <c r="AOU1605" s="38"/>
      <c r="AOV1605" s="38"/>
      <c r="AOW1605" s="38"/>
      <c r="AOX1605" s="38"/>
      <c r="AOY1605" s="38"/>
      <c r="AOZ1605" s="38"/>
      <c r="APA1605" s="38"/>
      <c r="APB1605" s="38"/>
      <c r="APC1605" s="38"/>
    </row>
    <row r="1606" spans="1:1095" s="36" customFormat="1" ht="14.25" customHeight="1">
      <c r="A1606" s="3" t="s">
        <v>1722</v>
      </c>
      <c r="B1606" s="36" t="s">
        <v>4009</v>
      </c>
      <c r="C1606" s="10">
        <v>4099854067150</v>
      </c>
      <c r="D1606" s="224">
        <v>4058075013674</v>
      </c>
      <c r="E1606" s="245" t="s">
        <v>2047</v>
      </c>
      <c r="F1606" s="246"/>
      <c r="G1606" s="66" t="str">
        <f>HYPERLINK("https://ledvance.com/pt/product-datasheet/248294/238746","Ficha de Produto")</f>
        <v>Ficha de Produto</v>
      </c>
      <c r="H1606" s="217">
        <v>10</v>
      </c>
      <c r="I1606" s="217" t="s">
        <v>1201</v>
      </c>
      <c r="J1606" s="217" t="s">
        <v>1201</v>
      </c>
      <c r="K1606" s="217" t="s">
        <v>1201</v>
      </c>
      <c r="L1606" s="34" t="s">
        <v>800</v>
      </c>
      <c r="M1606" s="247">
        <v>7.1</v>
      </c>
      <c r="N1606" s="288" t="s">
        <v>722</v>
      </c>
    </row>
    <row r="1607" spans="1:1095" s="39" customFormat="1" ht="14.25" customHeight="1">
      <c r="A1607" s="8" t="s">
        <v>1722</v>
      </c>
      <c r="B1607" s="244" t="s">
        <v>2048</v>
      </c>
      <c r="C1607" s="244"/>
      <c r="D1607" s="7"/>
      <c r="E1607" s="230"/>
      <c r="F1607" s="7"/>
      <c r="G1607" s="68"/>
      <c r="H1607" s="230"/>
      <c r="I1607" s="230"/>
      <c r="J1607" s="230"/>
      <c r="K1607" s="230"/>
      <c r="L1607" s="230"/>
      <c r="M1607" s="248"/>
      <c r="N1607" s="289"/>
      <c r="O1607" s="38"/>
      <c r="P1607" s="38"/>
      <c r="Q1607" s="38"/>
      <c r="R1607" s="38"/>
      <c r="S1607" s="38"/>
      <c r="T1607" s="38"/>
      <c r="U1607" s="38"/>
      <c r="V1607" s="38"/>
      <c r="W1607" s="38"/>
      <c r="X1607" s="38"/>
      <c r="Y1607" s="38"/>
      <c r="Z1607" s="38"/>
      <c r="AA1607" s="38"/>
      <c r="AB1607" s="38"/>
      <c r="AC1607" s="38"/>
      <c r="AD1607" s="38"/>
      <c r="AE1607" s="38"/>
      <c r="AF1607" s="38"/>
      <c r="AG1607" s="38"/>
      <c r="AH1607" s="38"/>
      <c r="AI1607" s="38"/>
      <c r="AJ1607" s="38"/>
      <c r="AK1607" s="38"/>
      <c r="AL1607" s="38"/>
      <c r="AM1607" s="38"/>
      <c r="AN1607" s="38"/>
      <c r="AO1607" s="38"/>
      <c r="AP1607" s="38"/>
      <c r="AQ1607" s="38"/>
      <c r="AR1607" s="38"/>
      <c r="AS1607" s="38"/>
      <c r="AT1607" s="38"/>
      <c r="AU1607" s="38"/>
      <c r="AV1607" s="38"/>
      <c r="AW1607" s="38"/>
      <c r="AX1607" s="38"/>
      <c r="AY1607" s="38"/>
      <c r="AZ1607" s="38"/>
      <c r="BA1607" s="38"/>
      <c r="BB1607" s="38"/>
      <c r="BC1607" s="38"/>
      <c r="BD1607" s="38"/>
      <c r="BE1607" s="38"/>
      <c r="BF1607" s="38"/>
      <c r="BG1607" s="38"/>
      <c r="BH1607" s="38"/>
      <c r="BI1607" s="38"/>
      <c r="BJ1607" s="38"/>
      <c r="BK1607" s="38"/>
      <c r="BL1607" s="38"/>
      <c r="BM1607" s="38"/>
      <c r="BN1607" s="38"/>
      <c r="BO1607" s="38"/>
      <c r="BP1607" s="38"/>
      <c r="BQ1607" s="38"/>
      <c r="BR1607" s="38"/>
      <c r="BS1607" s="38"/>
      <c r="BT1607" s="38"/>
      <c r="BU1607" s="38"/>
      <c r="BV1607" s="38"/>
      <c r="BW1607" s="38"/>
      <c r="BX1607" s="38"/>
      <c r="BY1607" s="38"/>
      <c r="BZ1607" s="38"/>
      <c r="CA1607" s="38"/>
      <c r="CB1607" s="38"/>
      <c r="CC1607" s="38"/>
      <c r="CD1607" s="38"/>
      <c r="CE1607" s="38"/>
      <c r="CF1607" s="38"/>
      <c r="CG1607" s="38"/>
      <c r="CH1607" s="38"/>
      <c r="CI1607" s="38"/>
      <c r="CJ1607" s="38"/>
      <c r="CK1607" s="38"/>
      <c r="CL1607" s="38"/>
      <c r="CM1607" s="38"/>
      <c r="CN1607" s="38"/>
      <c r="CO1607" s="38"/>
      <c r="CP1607" s="38"/>
      <c r="CQ1607" s="38"/>
      <c r="CR1607" s="38"/>
      <c r="CS1607" s="38"/>
      <c r="CT1607" s="38"/>
      <c r="CU1607" s="38"/>
      <c r="CV1607" s="38"/>
      <c r="CW1607" s="38"/>
      <c r="CX1607" s="38"/>
      <c r="CY1607" s="38"/>
      <c r="CZ1607" s="38"/>
      <c r="DA1607" s="38"/>
      <c r="DB1607" s="38"/>
      <c r="DC1607" s="38"/>
      <c r="DD1607" s="38"/>
      <c r="DE1607" s="38"/>
      <c r="DF1607" s="38"/>
      <c r="DG1607" s="38"/>
      <c r="DH1607" s="38"/>
      <c r="DI1607" s="38"/>
      <c r="DJ1607" s="38"/>
      <c r="DK1607" s="38"/>
      <c r="DL1607" s="38"/>
      <c r="DM1607" s="38"/>
      <c r="DN1607" s="38"/>
      <c r="DO1607" s="38"/>
      <c r="DP1607" s="38"/>
      <c r="DQ1607" s="38"/>
      <c r="DR1607" s="38"/>
      <c r="DS1607" s="38"/>
      <c r="DT1607" s="38"/>
      <c r="DU1607" s="38"/>
      <c r="DV1607" s="38"/>
      <c r="DW1607" s="38"/>
      <c r="DX1607" s="38"/>
      <c r="DY1607" s="38"/>
      <c r="DZ1607" s="38"/>
      <c r="EA1607" s="38"/>
      <c r="EB1607" s="38"/>
      <c r="EC1607" s="38"/>
      <c r="ED1607" s="38"/>
      <c r="EE1607" s="38"/>
      <c r="EF1607" s="38"/>
      <c r="EG1607" s="38"/>
      <c r="EH1607" s="38"/>
      <c r="EI1607" s="38"/>
      <c r="EJ1607" s="38"/>
      <c r="EK1607" s="38"/>
      <c r="EL1607" s="38"/>
      <c r="EM1607" s="38"/>
      <c r="EN1607" s="38"/>
      <c r="EO1607" s="38"/>
      <c r="EP1607" s="38"/>
      <c r="EQ1607" s="38"/>
      <c r="ER1607" s="38"/>
      <c r="ES1607" s="38"/>
      <c r="ET1607" s="38"/>
      <c r="EU1607" s="38"/>
      <c r="EV1607" s="38"/>
      <c r="EW1607" s="38"/>
      <c r="EX1607" s="38"/>
      <c r="EY1607" s="38"/>
      <c r="EZ1607" s="38"/>
      <c r="FA1607" s="38"/>
      <c r="FB1607" s="38"/>
      <c r="FC1607" s="38"/>
      <c r="FD1607" s="38"/>
      <c r="FE1607" s="38"/>
      <c r="FF1607" s="38"/>
      <c r="FG1607" s="38"/>
      <c r="FH1607" s="38"/>
      <c r="FI1607" s="38"/>
      <c r="FJ1607" s="38"/>
      <c r="FK1607" s="38"/>
      <c r="FL1607" s="38"/>
      <c r="FM1607" s="38"/>
      <c r="FN1607" s="38"/>
      <c r="FO1607" s="38"/>
      <c r="FP1607" s="38"/>
      <c r="FQ1607" s="38"/>
      <c r="FR1607" s="38"/>
      <c r="FS1607" s="38"/>
      <c r="FT1607" s="38"/>
      <c r="FU1607" s="38"/>
      <c r="FV1607" s="38"/>
      <c r="FW1607" s="38"/>
      <c r="FX1607" s="38"/>
      <c r="FY1607" s="38"/>
      <c r="FZ1607" s="38"/>
      <c r="GA1607" s="38"/>
      <c r="GB1607" s="38"/>
      <c r="GC1607" s="38"/>
      <c r="GD1607" s="38"/>
      <c r="GE1607" s="38"/>
      <c r="GF1607" s="38"/>
      <c r="GG1607" s="38"/>
      <c r="GH1607" s="38"/>
      <c r="GI1607" s="38"/>
      <c r="GJ1607" s="38"/>
      <c r="GK1607" s="38"/>
      <c r="GL1607" s="38"/>
      <c r="GM1607" s="38"/>
      <c r="GN1607" s="38"/>
      <c r="GO1607" s="38"/>
      <c r="GP1607" s="38"/>
      <c r="GQ1607" s="38"/>
      <c r="GR1607" s="38"/>
      <c r="GS1607" s="38"/>
      <c r="GT1607" s="38"/>
      <c r="GU1607" s="38"/>
      <c r="GV1607" s="38"/>
      <c r="GW1607" s="38"/>
      <c r="GX1607" s="38"/>
      <c r="GY1607" s="38"/>
      <c r="GZ1607" s="38"/>
      <c r="HA1607" s="38"/>
      <c r="HB1607" s="38"/>
      <c r="HC1607" s="38"/>
      <c r="HD1607" s="38"/>
      <c r="HE1607" s="38"/>
      <c r="HF1607" s="38"/>
      <c r="HG1607" s="38"/>
      <c r="HH1607" s="38"/>
      <c r="HI1607" s="38"/>
      <c r="HJ1607" s="38"/>
      <c r="HK1607" s="38"/>
      <c r="HL1607" s="38"/>
      <c r="HM1607" s="38"/>
      <c r="HN1607" s="38"/>
      <c r="HO1607" s="38"/>
      <c r="HP1607" s="38"/>
      <c r="HQ1607" s="38"/>
      <c r="HR1607" s="38"/>
      <c r="HS1607" s="38"/>
      <c r="HT1607" s="38"/>
      <c r="HU1607" s="38"/>
      <c r="HV1607" s="38"/>
      <c r="HW1607" s="38"/>
      <c r="HX1607" s="38"/>
      <c r="HY1607" s="38"/>
      <c r="HZ1607" s="38"/>
      <c r="IA1607" s="38"/>
      <c r="IB1607" s="38"/>
      <c r="IC1607" s="38"/>
      <c r="ID1607" s="38"/>
      <c r="IE1607" s="38"/>
      <c r="IF1607" s="38"/>
      <c r="IG1607" s="38"/>
      <c r="IH1607" s="38"/>
      <c r="II1607" s="38"/>
      <c r="IJ1607" s="38"/>
      <c r="IK1607" s="38"/>
      <c r="IL1607" s="38"/>
      <c r="IM1607" s="38"/>
      <c r="IN1607" s="38"/>
      <c r="IO1607" s="38"/>
      <c r="IP1607" s="38"/>
      <c r="IQ1607" s="38"/>
      <c r="IR1607" s="38"/>
      <c r="IS1607" s="38"/>
      <c r="IT1607" s="38"/>
      <c r="IU1607" s="38"/>
      <c r="IV1607" s="38"/>
      <c r="IW1607" s="38"/>
      <c r="IX1607" s="38"/>
      <c r="IY1607" s="38"/>
      <c r="IZ1607" s="38"/>
      <c r="JA1607" s="38"/>
      <c r="JB1607" s="38"/>
      <c r="JC1607" s="38"/>
      <c r="JD1607" s="38"/>
      <c r="JE1607" s="38"/>
      <c r="JF1607" s="38"/>
      <c r="JG1607" s="38"/>
      <c r="JH1607" s="38"/>
      <c r="JI1607" s="38"/>
      <c r="JJ1607" s="38"/>
      <c r="JK1607" s="38"/>
      <c r="JL1607" s="38"/>
      <c r="JM1607" s="38"/>
      <c r="JN1607" s="38"/>
      <c r="JO1607" s="38"/>
      <c r="JP1607" s="38"/>
      <c r="JQ1607" s="38"/>
      <c r="JR1607" s="38"/>
      <c r="JS1607" s="38"/>
      <c r="JT1607" s="38"/>
      <c r="JU1607" s="38"/>
      <c r="JV1607" s="38"/>
      <c r="JW1607" s="38"/>
      <c r="JX1607" s="38"/>
      <c r="JY1607" s="38"/>
      <c r="JZ1607" s="38"/>
      <c r="KA1607" s="38"/>
      <c r="KB1607" s="38"/>
      <c r="KC1607" s="38"/>
      <c r="KD1607" s="38"/>
      <c r="KE1607" s="38"/>
      <c r="KF1607" s="38"/>
      <c r="KG1607" s="38"/>
      <c r="KH1607" s="38"/>
      <c r="KI1607" s="38"/>
      <c r="KJ1607" s="38"/>
      <c r="KK1607" s="38"/>
      <c r="KL1607" s="38"/>
      <c r="KM1607" s="38"/>
      <c r="KN1607" s="38"/>
      <c r="KO1607" s="38"/>
      <c r="KP1607" s="38"/>
      <c r="KQ1607" s="38"/>
      <c r="KR1607" s="38"/>
      <c r="KS1607" s="38"/>
      <c r="KT1607" s="38"/>
      <c r="KU1607" s="38"/>
      <c r="KV1607" s="38"/>
      <c r="KW1607" s="38"/>
      <c r="KX1607" s="38"/>
      <c r="KY1607" s="38"/>
      <c r="KZ1607" s="38"/>
      <c r="LA1607" s="38"/>
      <c r="LB1607" s="38"/>
      <c r="LC1607" s="38"/>
      <c r="LD1607" s="38"/>
      <c r="LE1607" s="38"/>
      <c r="LF1607" s="38"/>
      <c r="LG1607" s="38"/>
      <c r="LH1607" s="38"/>
      <c r="LI1607" s="38"/>
      <c r="LJ1607" s="38"/>
      <c r="LK1607" s="38"/>
      <c r="LL1607" s="38"/>
      <c r="LM1607" s="38"/>
      <c r="LN1607" s="38"/>
      <c r="LO1607" s="38"/>
      <c r="LP1607" s="38"/>
      <c r="LQ1607" s="38"/>
      <c r="LR1607" s="38"/>
      <c r="LS1607" s="38"/>
      <c r="LT1607" s="38"/>
      <c r="LU1607" s="38"/>
      <c r="LV1607" s="38"/>
      <c r="LW1607" s="38"/>
      <c r="LX1607" s="38"/>
      <c r="LY1607" s="38"/>
      <c r="LZ1607" s="38"/>
      <c r="MA1607" s="38"/>
      <c r="MB1607" s="38"/>
      <c r="MC1607" s="38"/>
      <c r="MD1607" s="38"/>
      <c r="ME1607" s="38"/>
      <c r="MF1607" s="38"/>
      <c r="MG1607" s="38"/>
      <c r="MH1607" s="38"/>
      <c r="MI1607" s="38"/>
      <c r="MJ1607" s="38"/>
      <c r="MK1607" s="38"/>
      <c r="ML1607" s="38"/>
      <c r="MM1607" s="38"/>
      <c r="MN1607" s="38"/>
      <c r="MO1607" s="38"/>
      <c r="MP1607" s="38"/>
      <c r="MQ1607" s="38"/>
      <c r="MR1607" s="38"/>
      <c r="MS1607" s="38"/>
      <c r="MT1607" s="38"/>
      <c r="MU1607" s="38"/>
      <c r="MV1607" s="38"/>
      <c r="MW1607" s="38"/>
      <c r="MX1607" s="38"/>
      <c r="MY1607" s="38"/>
      <c r="MZ1607" s="38"/>
      <c r="NA1607" s="38"/>
      <c r="NB1607" s="38"/>
      <c r="NC1607" s="38"/>
      <c r="ND1607" s="38"/>
      <c r="NE1607" s="38"/>
      <c r="NF1607" s="38"/>
      <c r="NG1607" s="38"/>
      <c r="NH1607" s="38"/>
      <c r="NI1607" s="38"/>
      <c r="NJ1607" s="38"/>
      <c r="NK1607" s="38"/>
      <c r="NL1607" s="38"/>
      <c r="NM1607" s="38"/>
      <c r="NN1607" s="38"/>
      <c r="NO1607" s="38"/>
      <c r="NP1607" s="38"/>
      <c r="NQ1607" s="38"/>
      <c r="NR1607" s="38"/>
      <c r="NS1607" s="38"/>
      <c r="NT1607" s="38"/>
      <c r="NU1607" s="38"/>
      <c r="NV1607" s="38"/>
      <c r="NW1607" s="38"/>
      <c r="NX1607" s="38"/>
      <c r="NY1607" s="38"/>
      <c r="NZ1607" s="38"/>
      <c r="OA1607" s="38"/>
      <c r="OB1607" s="38"/>
      <c r="OC1607" s="38"/>
      <c r="OD1607" s="38"/>
      <c r="OE1607" s="38"/>
      <c r="OF1607" s="38"/>
      <c r="OG1607" s="38"/>
      <c r="OH1607" s="38"/>
      <c r="OI1607" s="38"/>
      <c r="OJ1607" s="38"/>
      <c r="OK1607" s="38"/>
      <c r="OL1607" s="38"/>
      <c r="OM1607" s="38"/>
      <c r="ON1607" s="38"/>
      <c r="OO1607" s="38"/>
      <c r="OP1607" s="38"/>
      <c r="OQ1607" s="38"/>
      <c r="OR1607" s="38"/>
      <c r="OS1607" s="38"/>
      <c r="OT1607" s="38"/>
      <c r="OU1607" s="38"/>
      <c r="OV1607" s="38"/>
      <c r="OW1607" s="38"/>
      <c r="OX1607" s="38"/>
      <c r="OY1607" s="38"/>
      <c r="OZ1607" s="38"/>
      <c r="PA1607" s="38"/>
      <c r="PB1607" s="38"/>
      <c r="PC1607" s="38"/>
      <c r="PD1607" s="38"/>
      <c r="PE1607" s="38"/>
      <c r="PF1607" s="38"/>
      <c r="PG1607" s="38"/>
      <c r="PH1607" s="38"/>
      <c r="PI1607" s="38"/>
      <c r="PJ1607" s="38"/>
      <c r="PK1607" s="38"/>
      <c r="PL1607" s="38"/>
      <c r="PM1607" s="38"/>
      <c r="PN1607" s="38"/>
      <c r="PO1607" s="38"/>
      <c r="PP1607" s="38"/>
      <c r="PQ1607" s="38"/>
      <c r="PR1607" s="38"/>
      <c r="PS1607" s="38"/>
      <c r="PT1607" s="38"/>
      <c r="PU1607" s="38"/>
      <c r="PV1607" s="38"/>
      <c r="PW1607" s="38"/>
      <c r="PX1607" s="38"/>
      <c r="PY1607" s="38"/>
      <c r="PZ1607" s="38"/>
      <c r="QA1607" s="38"/>
      <c r="QB1607" s="38"/>
      <c r="QC1607" s="38"/>
      <c r="QD1607" s="38"/>
      <c r="QE1607" s="38"/>
      <c r="QF1607" s="38"/>
      <c r="QG1607" s="38"/>
      <c r="QH1607" s="38"/>
      <c r="QI1607" s="38"/>
      <c r="QJ1607" s="38"/>
      <c r="QK1607" s="38"/>
      <c r="QL1607" s="38"/>
      <c r="QM1607" s="38"/>
      <c r="QN1607" s="38"/>
      <c r="QO1607" s="38"/>
      <c r="QP1607" s="38"/>
      <c r="QQ1607" s="38"/>
      <c r="QR1607" s="38"/>
      <c r="QS1607" s="38"/>
      <c r="QT1607" s="38"/>
      <c r="QU1607" s="38"/>
      <c r="QV1607" s="38"/>
      <c r="QW1607" s="38"/>
      <c r="QX1607" s="38"/>
      <c r="QY1607" s="38"/>
      <c r="QZ1607" s="38"/>
      <c r="RA1607" s="38"/>
      <c r="RB1607" s="38"/>
      <c r="RC1607" s="38"/>
      <c r="RD1607" s="38"/>
      <c r="RE1607" s="38"/>
      <c r="RF1607" s="38"/>
      <c r="RG1607" s="38"/>
      <c r="RH1607" s="38"/>
      <c r="RI1607" s="38"/>
      <c r="RJ1607" s="38"/>
      <c r="RK1607" s="38"/>
      <c r="RL1607" s="38"/>
      <c r="RM1607" s="38"/>
      <c r="RN1607" s="38"/>
      <c r="RO1607" s="38"/>
      <c r="RP1607" s="38"/>
      <c r="RQ1607" s="38"/>
      <c r="RR1607" s="38"/>
      <c r="RS1607" s="38"/>
      <c r="RT1607" s="38"/>
      <c r="RU1607" s="38"/>
      <c r="RV1607" s="38"/>
      <c r="RW1607" s="38"/>
      <c r="RX1607" s="38"/>
      <c r="RY1607" s="38"/>
      <c r="RZ1607" s="38"/>
      <c r="SA1607" s="38"/>
      <c r="SB1607" s="38"/>
      <c r="SC1607" s="38"/>
      <c r="SD1607" s="38"/>
      <c r="SE1607" s="38"/>
      <c r="SF1607" s="38"/>
      <c r="SG1607" s="38"/>
      <c r="SH1607" s="38"/>
      <c r="SI1607" s="38"/>
      <c r="SJ1607" s="38"/>
      <c r="SK1607" s="38"/>
      <c r="SL1607" s="38"/>
      <c r="SM1607" s="38"/>
      <c r="SN1607" s="38"/>
      <c r="SO1607" s="38"/>
      <c r="SP1607" s="38"/>
      <c r="SQ1607" s="38"/>
      <c r="SR1607" s="38"/>
      <c r="SS1607" s="38"/>
      <c r="ST1607" s="38"/>
      <c r="SU1607" s="38"/>
      <c r="SV1607" s="38"/>
      <c r="SW1607" s="38"/>
      <c r="SX1607" s="38"/>
      <c r="SY1607" s="38"/>
      <c r="SZ1607" s="38"/>
      <c r="TA1607" s="38"/>
      <c r="TB1607" s="38"/>
      <c r="TC1607" s="38"/>
      <c r="TD1607" s="38"/>
      <c r="TE1607" s="38"/>
      <c r="TF1607" s="38"/>
      <c r="TG1607" s="38"/>
      <c r="TH1607" s="38"/>
      <c r="TI1607" s="38"/>
      <c r="TJ1607" s="38"/>
      <c r="TK1607" s="38"/>
      <c r="TL1607" s="38"/>
      <c r="TM1607" s="38"/>
      <c r="TN1607" s="38"/>
      <c r="TO1607" s="38"/>
      <c r="TP1607" s="38"/>
      <c r="TQ1607" s="38"/>
      <c r="TR1607" s="38"/>
      <c r="TS1607" s="38"/>
      <c r="TT1607" s="38"/>
      <c r="TU1607" s="38"/>
      <c r="TV1607" s="38"/>
      <c r="TW1607" s="38"/>
      <c r="TX1607" s="38"/>
      <c r="TY1607" s="38"/>
      <c r="TZ1607" s="38"/>
      <c r="UA1607" s="38"/>
      <c r="UB1607" s="38"/>
      <c r="UC1607" s="38"/>
      <c r="UD1607" s="38"/>
      <c r="UE1607" s="38"/>
      <c r="UF1607" s="38"/>
      <c r="UG1607" s="38"/>
      <c r="UH1607" s="38"/>
      <c r="UI1607" s="38"/>
      <c r="UJ1607" s="38"/>
      <c r="UK1607" s="38"/>
      <c r="UL1607" s="38"/>
      <c r="UM1607" s="38"/>
      <c r="UN1607" s="38"/>
      <c r="UO1607" s="38"/>
      <c r="UP1607" s="38"/>
      <c r="UQ1607" s="38"/>
      <c r="UR1607" s="38"/>
      <c r="US1607" s="38"/>
      <c r="UT1607" s="38"/>
      <c r="UU1607" s="38"/>
      <c r="UV1607" s="38"/>
      <c r="UW1607" s="38"/>
      <c r="UX1607" s="38"/>
      <c r="UY1607" s="38"/>
      <c r="UZ1607" s="38"/>
      <c r="VA1607" s="38"/>
      <c r="VB1607" s="38"/>
      <c r="VC1607" s="38"/>
      <c r="VD1607" s="38"/>
      <c r="VE1607" s="38"/>
      <c r="VF1607" s="38"/>
      <c r="VG1607" s="38"/>
      <c r="VH1607" s="38"/>
      <c r="VI1607" s="38"/>
      <c r="VJ1607" s="38"/>
      <c r="VK1607" s="38"/>
      <c r="VL1607" s="38"/>
      <c r="VM1607" s="38"/>
      <c r="VN1607" s="38"/>
      <c r="VO1607" s="38"/>
      <c r="VP1607" s="38"/>
      <c r="VQ1607" s="38"/>
      <c r="VR1607" s="38"/>
      <c r="VS1607" s="38"/>
      <c r="VT1607" s="38"/>
      <c r="VU1607" s="38"/>
      <c r="VV1607" s="38"/>
      <c r="VW1607" s="38"/>
      <c r="VX1607" s="38"/>
      <c r="VY1607" s="38"/>
      <c r="VZ1607" s="38"/>
      <c r="WA1607" s="38"/>
      <c r="WB1607" s="38"/>
      <c r="WC1607" s="38"/>
      <c r="WD1607" s="38"/>
      <c r="WE1607" s="38"/>
      <c r="WF1607" s="38"/>
      <c r="WG1607" s="38"/>
      <c r="WH1607" s="38"/>
      <c r="WI1607" s="38"/>
      <c r="WJ1607" s="38"/>
      <c r="WK1607" s="38"/>
      <c r="WL1607" s="38"/>
      <c r="WM1607" s="38"/>
      <c r="WN1607" s="38"/>
      <c r="WO1607" s="38"/>
      <c r="WP1607" s="38"/>
      <c r="WQ1607" s="38"/>
      <c r="WR1607" s="38"/>
      <c r="WS1607" s="38"/>
      <c r="WT1607" s="38"/>
      <c r="WU1607" s="38"/>
      <c r="WV1607" s="38"/>
      <c r="WW1607" s="38"/>
      <c r="WX1607" s="38"/>
      <c r="WY1607" s="38"/>
      <c r="WZ1607" s="38"/>
      <c r="XA1607" s="38"/>
      <c r="XB1607" s="38"/>
      <c r="XC1607" s="38"/>
      <c r="XD1607" s="38"/>
      <c r="XE1607" s="38"/>
      <c r="XF1607" s="38"/>
      <c r="XG1607" s="38"/>
      <c r="XH1607" s="38"/>
      <c r="XI1607" s="38"/>
      <c r="XJ1607" s="38"/>
      <c r="XK1607" s="38"/>
      <c r="XL1607" s="38"/>
      <c r="XM1607" s="38"/>
      <c r="XN1607" s="38"/>
      <c r="XO1607" s="38"/>
      <c r="XP1607" s="38"/>
      <c r="XQ1607" s="38"/>
      <c r="XR1607" s="38"/>
      <c r="XS1607" s="38"/>
      <c r="XT1607" s="38"/>
      <c r="XU1607" s="38"/>
      <c r="XV1607" s="38"/>
      <c r="XW1607" s="38"/>
      <c r="XX1607" s="38"/>
      <c r="XY1607" s="38"/>
      <c r="XZ1607" s="38"/>
      <c r="YA1607" s="38"/>
      <c r="YB1607" s="38"/>
      <c r="YC1607" s="38"/>
      <c r="YD1607" s="38"/>
      <c r="YE1607" s="38"/>
      <c r="YF1607" s="38"/>
      <c r="YG1607" s="38"/>
      <c r="YH1607" s="38"/>
      <c r="YI1607" s="38"/>
      <c r="YJ1607" s="38"/>
      <c r="YK1607" s="38"/>
      <c r="YL1607" s="38"/>
      <c r="YM1607" s="38"/>
      <c r="YN1607" s="38"/>
      <c r="YO1607" s="38"/>
      <c r="YP1607" s="38"/>
      <c r="YQ1607" s="38"/>
      <c r="YR1607" s="38"/>
      <c r="YS1607" s="38"/>
      <c r="YT1607" s="38"/>
      <c r="YU1607" s="38"/>
      <c r="YV1607" s="38"/>
      <c r="YW1607" s="38"/>
      <c r="YX1607" s="38"/>
      <c r="YY1607" s="38"/>
      <c r="YZ1607" s="38"/>
      <c r="ZA1607" s="38"/>
      <c r="ZB1607" s="38"/>
      <c r="ZC1607" s="38"/>
      <c r="ZD1607" s="38"/>
      <c r="ZE1607" s="38"/>
      <c r="ZF1607" s="38"/>
      <c r="ZG1607" s="38"/>
      <c r="ZH1607" s="38"/>
      <c r="ZI1607" s="38"/>
      <c r="ZJ1607" s="38"/>
      <c r="ZK1607" s="38"/>
      <c r="ZL1607" s="38"/>
      <c r="ZM1607" s="38"/>
      <c r="ZN1607" s="38"/>
      <c r="ZO1607" s="38"/>
      <c r="ZP1607" s="38"/>
      <c r="ZQ1607" s="38"/>
      <c r="ZR1607" s="38"/>
      <c r="ZS1607" s="38"/>
      <c r="ZT1607" s="38"/>
      <c r="ZU1607" s="38"/>
      <c r="ZV1607" s="38"/>
      <c r="ZW1607" s="38"/>
      <c r="ZX1607" s="38"/>
      <c r="ZY1607" s="38"/>
      <c r="ZZ1607" s="38"/>
      <c r="AAA1607" s="38"/>
      <c r="AAB1607" s="38"/>
      <c r="AAC1607" s="38"/>
      <c r="AAD1607" s="38"/>
      <c r="AAE1607" s="38"/>
      <c r="AAF1607" s="38"/>
      <c r="AAG1607" s="38"/>
      <c r="AAH1607" s="38"/>
      <c r="AAI1607" s="38"/>
      <c r="AAJ1607" s="38"/>
      <c r="AAK1607" s="38"/>
      <c r="AAL1607" s="38"/>
      <c r="AAM1607" s="38"/>
      <c r="AAN1607" s="38"/>
      <c r="AAO1607" s="38"/>
      <c r="AAP1607" s="38"/>
      <c r="AAQ1607" s="38"/>
      <c r="AAR1607" s="38"/>
      <c r="AAS1607" s="38"/>
      <c r="AAT1607" s="38"/>
      <c r="AAU1607" s="38"/>
      <c r="AAV1607" s="38"/>
      <c r="AAW1607" s="38"/>
      <c r="AAX1607" s="38"/>
      <c r="AAY1607" s="38"/>
      <c r="AAZ1607" s="38"/>
      <c r="ABA1607" s="38"/>
      <c r="ABB1607" s="38"/>
      <c r="ABC1607" s="38"/>
      <c r="ABD1607" s="38"/>
      <c r="ABE1607" s="38"/>
      <c r="ABF1607" s="38"/>
      <c r="ABG1607" s="38"/>
      <c r="ABH1607" s="38"/>
      <c r="ABI1607" s="38"/>
      <c r="ABJ1607" s="38"/>
      <c r="ABK1607" s="38"/>
      <c r="ABL1607" s="38"/>
      <c r="ABM1607" s="38"/>
      <c r="ABN1607" s="38"/>
      <c r="ABO1607" s="38"/>
      <c r="ABP1607" s="38"/>
      <c r="ABQ1607" s="38"/>
      <c r="ABR1607" s="38"/>
      <c r="ABS1607" s="38"/>
      <c r="ABT1607" s="38"/>
      <c r="ABU1607" s="38"/>
      <c r="ABV1607" s="38"/>
      <c r="ABW1607" s="38"/>
      <c r="ABX1607" s="38"/>
      <c r="ABY1607" s="38"/>
      <c r="ABZ1607" s="38"/>
      <c r="ACA1607" s="38"/>
      <c r="ACB1607" s="38"/>
      <c r="ACC1607" s="38"/>
      <c r="ACD1607" s="38"/>
      <c r="ACE1607" s="38"/>
      <c r="ACF1607" s="38"/>
      <c r="ACG1607" s="38"/>
      <c r="ACH1607" s="38"/>
      <c r="ACI1607" s="38"/>
      <c r="ACJ1607" s="38"/>
      <c r="ACK1607" s="38"/>
      <c r="ACL1607" s="38"/>
      <c r="ACM1607" s="38"/>
      <c r="ACN1607" s="38"/>
      <c r="ACO1607" s="38"/>
      <c r="ACP1607" s="38"/>
      <c r="ACQ1607" s="38"/>
      <c r="ACR1607" s="38"/>
      <c r="ACS1607" s="38"/>
      <c r="ACT1607" s="38"/>
      <c r="ACU1607" s="38"/>
      <c r="ACV1607" s="38"/>
      <c r="ACW1607" s="38"/>
      <c r="ACX1607" s="38"/>
      <c r="ACY1607" s="38"/>
      <c r="ACZ1607" s="38"/>
      <c r="ADA1607" s="38"/>
      <c r="ADB1607" s="38"/>
      <c r="ADC1607" s="38"/>
      <c r="ADD1607" s="38"/>
      <c r="ADE1607" s="38"/>
      <c r="ADF1607" s="38"/>
      <c r="ADG1607" s="38"/>
      <c r="ADH1607" s="38"/>
      <c r="ADI1607" s="38"/>
      <c r="ADJ1607" s="38"/>
      <c r="ADK1607" s="38"/>
      <c r="ADL1607" s="38"/>
      <c r="ADM1607" s="38"/>
      <c r="ADN1607" s="38"/>
      <c r="ADO1607" s="38"/>
      <c r="ADP1607" s="38"/>
      <c r="ADQ1607" s="38"/>
      <c r="ADR1607" s="38"/>
      <c r="ADS1607" s="38"/>
      <c r="ADT1607" s="38"/>
      <c r="ADU1607" s="38"/>
      <c r="ADV1607" s="38"/>
      <c r="ADW1607" s="38"/>
      <c r="ADX1607" s="38"/>
      <c r="ADY1607" s="38"/>
      <c r="ADZ1607" s="38"/>
      <c r="AEA1607" s="38"/>
      <c r="AEB1607" s="38"/>
      <c r="AEC1607" s="38"/>
      <c r="AED1607" s="38"/>
      <c r="AEE1607" s="38"/>
      <c r="AEF1607" s="38"/>
      <c r="AEG1607" s="38"/>
      <c r="AEH1607" s="38"/>
      <c r="AEI1607" s="38"/>
      <c r="AEJ1607" s="38"/>
      <c r="AEK1607" s="38"/>
      <c r="AEL1607" s="38"/>
      <c r="AEM1607" s="38"/>
      <c r="AEN1607" s="38"/>
      <c r="AEO1607" s="38"/>
      <c r="AEP1607" s="38"/>
      <c r="AEQ1607" s="38"/>
      <c r="AER1607" s="38"/>
      <c r="AES1607" s="38"/>
      <c r="AET1607" s="38"/>
      <c r="AEU1607" s="38"/>
      <c r="AEV1607" s="38"/>
      <c r="AEW1607" s="38"/>
      <c r="AEX1607" s="38"/>
      <c r="AEY1607" s="38"/>
      <c r="AEZ1607" s="38"/>
      <c r="AFA1607" s="38"/>
      <c r="AFB1607" s="38"/>
      <c r="AFC1607" s="38"/>
      <c r="AFD1607" s="38"/>
      <c r="AFE1607" s="38"/>
      <c r="AFF1607" s="38"/>
      <c r="AFG1607" s="38"/>
      <c r="AFH1607" s="38"/>
      <c r="AFI1607" s="38"/>
      <c r="AFJ1607" s="38"/>
      <c r="AFK1607" s="38"/>
      <c r="AFL1607" s="38"/>
      <c r="AFM1607" s="38"/>
      <c r="AFN1607" s="38"/>
      <c r="AFO1607" s="38"/>
      <c r="AFP1607" s="38"/>
      <c r="AFQ1607" s="38"/>
      <c r="AFR1607" s="38"/>
      <c r="AFS1607" s="38"/>
      <c r="AFT1607" s="38"/>
      <c r="AFU1607" s="38"/>
      <c r="AFV1607" s="38"/>
      <c r="AFW1607" s="38"/>
      <c r="AFX1607" s="38"/>
      <c r="AFY1607" s="38"/>
      <c r="AFZ1607" s="38"/>
      <c r="AGA1607" s="38"/>
      <c r="AGB1607" s="38"/>
      <c r="AGC1607" s="38"/>
      <c r="AGD1607" s="38"/>
      <c r="AGE1607" s="38"/>
      <c r="AGF1607" s="38"/>
      <c r="AGG1607" s="38"/>
      <c r="AGH1607" s="38"/>
      <c r="AGI1607" s="38"/>
      <c r="AGJ1607" s="38"/>
      <c r="AGK1607" s="38"/>
      <c r="AGL1607" s="38"/>
      <c r="AGM1607" s="38"/>
      <c r="AGN1607" s="38"/>
      <c r="AGO1607" s="38"/>
      <c r="AGP1607" s="38"/>
      <c r="AGQ1607" s="38"/>
      <c r="AGR1607" s="38"/>
      <c r="AGS1607" s="38"/>
      <c r="AGT1607" s="38"/>
      <c r="AGU1607" s="38"/>
      <c r="AGV1607" s="38"/>
      <c r="AGW1607" s="38"/>
      <c r="AGX1607" s="38"/>
      <c r="AGY1607" s="38"/>
      <c r="AGZ1607" s="38"/>
      <c r="AHA1607" s="38"/>
      <c r="AHB1607" s="38"/>
      <c r="AHC1607" s="38"/>
      <c r="AHD1607" s="38"/>
      <c r="AHE1607" s="38"/>
      <c r="AHF1607" s="38"/>
      <c r="AHG1607" s="38"/>
      <c r="AHH1607" s="38"/>
      <c r="AHI1607" s="38"/>
      <c r="AHJ1607" s="38"/>
      <c r="AHK1607" s="38"/>
      <c r="AHL1607" s="38"/>
      <c r="AHM1607" s="38"/>
      <c r="AHN1607" s="38"/>
      <c r="AHO1607" s="38"/>
      <c r="AHP1607" s="38"/>
      <c r="AHQ1607" s="38"/>
      <c r="AHR1607" s="38"/>
      <c r="AHS1607" s="38"/>
      <c r="AHT1607" s="38"/>
      <c r="AHU1607" s="38"/>
      <c r="AHV1607" s="38"/>
      <c r="AHW1607" s="38"/>
      <c r="AHX1607" s="38"/>
      <c r="AHY1607" s="38"/>
      <c r="AHZ1607" s="38"/>
      <c r="AIA1607" s="38"/>
      <c r="AIB1607" s="38"/>
      <c r="AIC1607" s="38"/>
      <c r="AID1607" s="38"/>
      <c r="AIE1607" s="38"/>
      <c r="AIF1607" s="38"/>
      <c r="AIG1607" s="38"/>
      <c r="AIH1607" s="38"/>
      <c r="AII1607" s="38"/>
      <c r="AIJ1607" s="38"/>
      <c r="AIK1607" s="38"/>
      <c r="AIL1607" s="38"/>
      <c r="AIM1607" s="38"/>
      <c r="AIN1607" s="38"/>
      <c r="AIO1607" s="38"/>
      <c r="AIP1607" s="38"/>
      <c r="AIQ1607" s="38"/>
      <c r="AIR1607" s="38"/>
      <c r="AIS1607" s="38"/>
      <c r="AIT1607" s="38"/>
      <c r="AIU1607" s="38"/>
      <c r="AIV1607" s="38"/>
      <c r="AIW1607" s="38"/>
      <c r="AIX1607" s="38"/>
      <c r="AIY1607" s="38"/>
      <c r="AIZ1607" s="38"/>
      <c r="AJA1607" s="38"/>
      <c r="AJB1607" s="38"/>
      <c r="AJC1607" s="38"/>
      <c r="AJD1607" s="38"/>
      <c r="AJE1607" s="38"/>
      <c r="AJF1607" s="38"/>
      <c r="AJG1607" s="38"/>
      <c r="AJH1607" s="38"/>
      <c r="AJI1607" s="38"/>
      <c r="AJJ1607" s="38"/>
      <c r="AJK1607" s="38"/>
      <c r="AJL1607" s="38"/>
      <c r="AJM1607" s="38"/>
      <c r="AJN1607" s="38"/>
      <c r="AJO1607" s="38"/>
      <c r="AJP1607" s="38"/>
      <c r="AJQ1607" s="38"/>
      <c r="AJR1607" s="38"/>
      <c r="AJS1607" s="38"/>
      <c r="AJT1607" s="38"/>
      <c r="AJU1607" s="38"/>
      <c r="AJV1607" s="38"/>
      <c r="AJW1607" s="38"/>
      <c r="AJX1607" s="38"/>
      <c r="AJY1607" s="38"/>
      <c r="AJZ1607" s="38"/>
      <c r="AKA1607" s="38"/>
      <c r="AKB1607" s="38"/>
      <c r="AKC1607" s="38"/>
      <c r="AKD1607" s="38"/>
      <c r="AKE1607" s="38"/>
      <c r="AKF1607" s="38"/>
      <c r="AKG1607" s="38"/>
      <c r="AKH1607" s="38"/>
      <c r="AKI1607" s="38"/>
      <c r="AKJ1607" s="38"/>
      <c r="AKK1607" s="38"/>
      <c r="AKL1607" s="38"/>
      <c r="AKM1607" s="38"/>
      <c r="AKN1607" s="38"/>
      <c r="AKO1607" s="38"/>
      <c r="AKP1607" s="38"/>
      <c r="AKQ1607" s="38"/>
      <c r="AKR1607" s="38"/>
      <c r="AKS1607" s="38"/>
      <c r="AKT1607" s="38"/>
      <c r="AKU1607" s="38"/>
      <c r="AKV1607" s="38"/>
      <c r="AKW1607" s="38"/>
      <c r="AKX1607" s="38"/>
      <c r="AKY1607" s="38"/>
      <c r="AKZ1607" s="38"/>
      <c r="ALA1607" s="38"/>
      <c r="ALB1607" s="38"/>
      <c r="ALC1607" s="38"/>
      <c r="ALD1607" s="38"/>
      <c r="ALE1607" s="38"/>
      <c r="ALF1607" s="38"/>
      <c r="ALG1607" s="38"/>
      <c r="ALH1607" s="38"/>
      <c r="ALI1607" s="38"/>
      <c r="ALJ1607" s="38"/>
      <c r="ALK1607" s="38"/>
      <c r="ALL1607" s="38"/>
      <c r="ALM1607" s="38"/>
      <c r="ALN1607" s="38"/>
      <c r="ALO1607" s="38"/>
      <c r="ALP1607" s="38"/>
      <c r="ALQ1607" s="38"/>
      <c r="ALR1607" s="38"/>
      <c r="ALS1607" s="38"/>
      <c r="ALT1607" s="38"/>
      <c r="ALU1607" s="38"/>
      <c r="ALV1607" s="38"/>
      <c r="ALW1607" s="38"/>
      <c r="ALX1607" s="38"/>
      <c r="ALY1607" s="38"/>
      <c r="ALZ1607" s="38"/>
      <c r="AMA1607" s="38"/>
      <c r="AMB1607" s="38"/>
      <c r="AMC1607" s="38"/>
      <c r="AMD1607" s="38"/>
      <c r="AME1607" s="38"/>
      <c r="AMF1607" s="38"/>
      <c r="AMG1607" s="38"/>
      <c r="AMH1607" s="38"/>
      <c r="AMI1607" s="38"/>
      <c r="AMJ1607" s="38"/>
      <c r="AMK1607" s="38"/>
      <c r="AML1607" s="38"/>
      <c r="AMM1607" s="38"/>
      <c r="AMN1607" s="38"/>
      <c r="AMO1607" s="38"/>
      <c r="AMP1607" s="38"/>
      <c r="AMQ1607" s="38"/>
      <c r="AMR1607" s="38"/>
      <c r="AMS1607" s="38"/>
      <c r="AMT1607" s="38"/>
      <c r="AMU1607" s="38"/>
      <c r="AMV1607" s="38"/>
      <c r="AMW1607" s="38"/>
      <c r="AMX1607" s="38"/>
      <c r="AMY1607" s="38"/>
      <c r="AMZ1607" s="38"/>
      <c r="ANA1607" s="38"/>
      <c r="ANB1607" s="38"/>
      <c r="ANC1607" s="38"/>
      <c r="AND1607" s="38"/>
      <c r="ANE1607" s="38"/>
      <c r="ANF1607" s="38"/>
      <c r="ANG1607" s="38"/>
      <c r="ANH1607" s="38"/>
      <c r="ANI1607" s="38"/>
      <c r="ANJ1607" s="38"/>
      <c r="ANK1607" s="38"/>
      <c r="ANL1607" s="38"/>
      <c r="ANM1607" s="38"/>
      <c r="ANN1607" s="38"/>
      <c r="ANO1607" s="38"/>
      <c r="ANP1607" s="38"/>
      <c r="ANQ1607" s="38"/>
      <c r="ANR1607" s="38"/>
      <c r="ANS1607" s="38"/>
      <c r="ANT1607" s="38"/>
      <c r="ANU1607" s="38"/>
      <c r="ANV1607" s="38"/>
      <c r="ANW1607" s="38"/>
      <c r="ANX1607" s="38"/>
      <c r="ANY1607" s="38"/>
      <c r="ANZ1607" s="38"/>
      <c r="AOA1607" s="38"/>
      <c r="AOB1607" s="38"/>
      <c r="AOC1607" s="38"/>
      <c r="AOD1607" s="38"/>
      <c r="AOE1607" s="38"/>
      <c r="AOF1607" s="38"/>
      <c r="AOG1607" s="38"/>
      <c r="AOH1607" s="38"/>
      <c r="AOI1607" s="38"/>
      <c r="AOJ1607" s="38"/>
      <c r="AOK1607" s="38"/>
      <c r="AOL1607" s="38"/>
      <c r="AOM1607" s="38"/>
      <c r="AON1607" s="38"/>
      <c r="AOO1607" s="38"/>
      <c r="AOP1607" s="38"/>
      <c r="AOQ1607" s="38"/>
      <c r="AOR1607" s="38"/>
      <c r="AOS1607" s="38"/>
      <c r="AOT1607" s="38"/>
      <c r="AOU1607" s="38"/>
      <c r="AOV1607" s="38"/>
      <c r="AOW1607" s="38"/>
      <c r="AOX1607" s="38"/>
      <c r="AOY1607" s="38"/>
      <c r="AOZ1607" s="38"/>
      <c r="APA1607" s="38"/>
      <c r="APB1607" s="38"/>
      <c r="APC1607" s="38"/>
    </row>
    <row r="1608" spans="1:1095" s="36" customFormat="1" ht="14.25" customHeight="1">
      <c r="A1608" s="3" t="s">
        <v>1722</v>
      </c>
      <c r="B1608" s="36" t="s">
        <v>3900</v>
      </c>
      <c r="C1608" s="10">
        <v>4099854044472</v>
      </c>
      <c r="D1608" s="224">
        <v>4058075594302</v>
      </c>
      <c r="E1608" s="245" t="s">
        <v>1021</v>
      </c>
      <c r="F1608" s="246"/>
      <c r="G1608" s="66" t="str">
        <f>HYPERLINK("https://ledvance.com/pt/product-datasheet/247584/234885","Ficha de Produto")</f>
        <v>Ficha de Produto</v>
      </c>
      <c r="H1608" s="217">
        <v>10</v>
      </c>
      <c r="I1608" s="34" t="s">
        <v>929</v>
      </c>
      <c r="J1608" s="34" t="s">
        <v>6320</v>
      </c>
      <c r="K1608" s="34" t="s">
        <v>788</v>
      </c>
      <c r="L1608" s="34" t="s">
        <v>765</v>
      </c>
      <c r="M1608" s="247">
        <v>38.200000000000003</v>
      </c>
      <c r="N1608" s="288" t="s">
        <v>722</v>
      </c>
    </row>
    <row r="1609" spans="1:1095" s="36" customFormat="1" ht="14.25" customHeight="1">
      <c r="A1609" s="3" t="s">
        <v>1722</v>
      </c>
      <c r="B1609" s="36" t="s">
        <v>3901</v>
      </c>
      <c r="C1609" s="10">
        <v>4099854044960</v>
      </c>
      <c r="D1609" s="224">
        <v>4058075594326</v>
      </c>
      <c r="E1609" s="245" t="s">
        <v>1022</v>
      </c>
      <c r="F1609" s="246"/>
      <c r="G1609" s="66" t="str">
        <f>HYPERLINK("https://ledvance.com/pt/product-datasheet/247584/234888","Ficha de Produto")</f>
        <v>Ficha de Produto</v>
      </c>
      <c r="H1609" s="217">
        <v>10</v>
      </c>
      <c r="I1609" s="34" t="s">
        <v>6304</v>
      </c>
      <c r="J1609" s="34" t="s">
        <v>6321</v>
      </c>
      <c r="K1609" s="34" t="s">
        <v>788</v>
      </c>
      <c r="L1609" s="34" t="s">
        <v>765</v>
      </c>
      <c r="M1609" s="247">
        <v>43.5</v>
      </c>
      <c r="N1609" s="288" t="s">
        <v>722</v>
      </c>
    </row>
    <row r="1610" spans="1:1095" s="36" customFormat="1" ht="14.25" customHeight="1">
      <c r="A1610" s="3" t="s">
        <v>1722</v>
      </c>
      <c r="B1610" s="36" t="s">
        <v>3902</v>
      </c>
      <c r="C1610" s="10">
        <v>4099854045066</v>
      </c>
      <c r="D1610" s="224">
        <v>4058075594340</v>
      </c>
      <c r="E1610" s="245" t="s">
        <v>1023</v>
      </c>
      <c r="F1610" s="246"/>
      <c r="G1610" s="66" t="str">
        <f>HYPERLINK("https://ledvance.com/pt/product-datasheet/247584/234891","Ficha de Produto")</f>
        <v>Ficha de Produto</v>
      </c>
      <c r="H1610" s="217">
        <v>10</v>
      </c>
      <c r="I1610" s="34" t="s">
        <v>840</v>
      </c>
      <c r="J1610" s="34" t="s">
        <v>6322</v>
      </c>
      <c r="K1610" s="34" t="s">
        <v>788</v>
      </c>
      <c r="L1610" s="34" t="s">
        <v>765</v>
      </c>
      <c r="M1610" s="247">
        <v>49</v>
      </c>
      <c r="N1610" s="288" t="s">
        <v>722</v>
      </c>
    </row>
    <row r="1611" spans="1:1095" s="39" customFormat="1" ht="14.25" customHeight="1">
      <c r="A1611" s="8" t="s">
        <v>1722</v>
      </c>
      <c r="B1611" s="244" t="s">
        <v>2049</v>
      </c>
      <c r="C1611" s="244"/>
      <c r="D1611" s="7"/>
      <c r="E1611" s="250"/>
      <c r="F1611" s="250"/>
      <c r="G1611" s="68" t="s">
        <v>6505</v>
      </c>
      <c r="H1611" s="230"/>
      <c r="I1611" s="250"/>
      <c r="J1611" s="250"/>
      <c r="K1611" s="250"/>
      <c r="L1611" s="250"/>
      <c r="M1611" s="248"/>
      <c r="N1611" s="292"/>
      <c r="O1611" s="38"/>
      <c r="P1611" s="38"/>
      <c r="Q1611" s="38"/>
      <c r="R1611" s="38"/>
      <c r="S1611" s="38"/>
      <c r="T1611" s="38"/>
      <c r="U1611" s="38"/>
      <c r="V1611" s="38"/>
      <c r="W1611" s="38"/>
      <c r="X1611" s="38"/>
      <c r="Y1611" s="38"/>
      <c r="Z1611" s="38"/>
      <c r="AA1611" s="38"/>
      <c r="AB1611" s="38"/>
      <c r="AC1611" s="38"/>
      <c r="AD1611" s="38"/>
      <c r="AE1611" s="38"/>
      <c r="AF1611" s="38"/>
      <c r="AG1611" s="38"/>
      <c r="AH1611" s="38"/>
      <c r="AI1611" s="38"/>
      <c r="AJ1611" s="38"/>
      <c r="AK1611" s="38"/>
      <c r="AL1611" s="38"/>
      <c r="AM1611" s="38"/>
      <c r="AN1611" s="38"/>
      <c r="AO1611" s="38"/>
      <c r="AP1611" s="38"/>
      <c r="AQ1611" s="38"/>
      <c r="AR1611" s="38"/>
      <c r="AS1611" s="38"/>
      <c r="AT1611" s="38"/>
      <c r="AU1611" s="38"/>
      <c r="AV1611" s="38"/>
      <c r="AW1611" s="38"/>
      <c r="AX1611" s="38"/>
      <c r="AY1611" s="38"/>
      <c r="AZ1611" s="38"/>
      <c r="BA1611" s="38"/>
      <c r="BB1611" s="38"/>
      <c r="BC1611" s="38"/>
      <c r="BD1611" s="38"/>
      <c r="BE1611" s="38"/>
      <c r="BF1611" s="38"/>
      <c r="BG1611" s="38"/>
      <c r="BH1611" s="38"/>
      <c r="BI1611" s="38"/>
      <c r="BJ1611" s="38"/>
      <c r="BK1611" s="38"/>
      <c r="BL1611" s="38"/>
      <c r="BM1611" s="38"/>
      <c r="BN1611" s="38"/>
      <c r="BO1611" s="38"/>
      <c r="BP1611" s="38"/>
      <c r="BQ1611" s="38"/>
      <c r="BR1611" s="38"/>
      <c r="BS1611" s="38"/>
      <c r="BT1611" s="38"/>
      <c r="BU1611" s="38"/>
      <c r="BV1611" s="38"/>
      <c r="BW1611" s="38"/>
      <c r="BX1611" s="38"/>
      <c r="BY1611" s="38"/>
      <c r="BZ1611" s="38"/>
      <c r="CA1611" s="38"/>
      <c r="CB1611" s="38"/>
      <c r="CC1611" s="38"/>
      <c r="CD1611" s="38"/>
      <c r="CE1611" s="38"/>
      <c r="CF1611" s="38"/>
      <c r="CG1611" s="38"/>
      <c r="CH1611" s="38"/>
      <c r="CI1611" s="38"/>
      <c r="CJ1611" s="38"/>
      <c r="CK1611" s="38"/>
      <c r="CL1611" s="38"/>
      <c r="CM1611" s="38"/>
      <c r="CN1611" s="38"/>
      <c r="CO1611" s="38"/>
      <c r="CP1611" s="38"/>
      <c r="CQ1611" s="38"/>
      <c r="CR1611" s="38"/>
      <c r="CS1611" s="38"/>
      <c r="CT1611" s="38"/>
      <c r="CU1611" s="38"/>
      <c r="CV1611" s="38"/>
      <c r="CW1611" s="38"/>
      <c r="CX1611" s="38"/>
      <c r="CY1611" s="38"/>
      <c r="CZ1611" s="38"/>
      <c r="DA1611" s="38"/>
      <c r="DB1611" s="38"/>
      <c r="DC1611" s="38"/>
      <c r="DD1611" s="38"/>
      <c r="DE1611" s="38"/>
      <c r="DF1611" s="38"/>
      <c r="DG1611" s="38"/>
      <c r="DH1611" s="38"/>
      <c r="DI1611" s="38"/>
      <c r="DJ1611" s="38"/>
      <c r="DK1611" s="38"/>
      <c r="DL1611" s="38"/>
      <c r="DM1611" s="38"/>
      <c r="DN1611" s="38"/>
      <c r="DO1611" s="38"/>
      <c r="DP1611" s="38"/>
      <c r="DQ1611" s="38"/>
      <c r="DR1611" s="38"/>
      <c r="DS1611" s="38"/>
      <c r="DT1611" s="38"/>
      <c r="DU1611" s="38"/>
      <c r="DV1611" s="38"/>
      <c r="DW1611" s="38"/>
      <c r="DX1611" s="38"/>
      <c r="DY1611" s="38"/>
      <c r="DZ1611" s="38"/>
      <c r="EA1611" s="38"/>
      <c r="EB1611" s="38"/>
      <c r="EC1611" s="38"/>
      <c r="ED1611" s="38"/>
      <c r="EE1611" s="38"/>
      <c r="EF1611" s="38"/>
      <c r="EG1611" s="38"/>
      <c r="EH1611" s="38"/>
      <c r="EI1611" s="38"/>
      <c r="EJ1611" s="38"/>
      <c r="EK1611" s="38"/>
      <c r="EL1611" s="38"/>
      <c r="EM1611" s="38"/>
      <c r="EN1611" s="38"/>
      <c r="EO1611" s="38"/>
      <c r="EP1611" s="38"/>
      <c r="EQ1611" s="38"/>
      <c r="ER1611" s="38"/>
      <c r="ES1611" s="38"/>
      <c r="ET1611" s="38"/>
      <c r="EU1611" s="38"/>
      <c r="EV1611" s="38"/>
      <c r="EW1611" s="38"/>
      <c r="EX1611" s="38"/>
      <c r="EY1611" s="38"/>
      <c r="EZ1611" s="38"/>
      <c r="FA1611" s="38"/>
      <c r="FB1611" s="38"/>
      <c r="FC1611" s="38"/>
      <c r="FD1611" s="38"/>
      <c r="FE1611" s="38"/>
      <c r="FF1611" s="38"/>
      <c r="FG1611" s="38"/>
      <c r="FH1611" s="38"/>
      <c r="FI1611" s="38"/>
      <c r="FJ1611" s="38"/>
      <c r="FK1611" s="38"/>
      <c r="FL1611" s="38"/>
      <c r="FM1611" s="38"/>
      <c r="FN1611" s="38"/>
      <c r="FO1611" s="38"/>
      <c r="FP1611" s="38"/>
      <c r="FQ1611" s="38"/>
      <c r="FR1611" s="38"/>
      <c r="FS1611" s="38"/>
      <c r="FT1611" s="38"/>
      <c r="FU1611" s="38"/>
      <c r="FV1611" s="38"/>
      <c r="FW1611" s="38"/>
      <c r="FX1611" s="38"/>
      <c r="FY1611" s="38"/>
      <c r="FZ1611" s="38"/>
      <c r="GA1611" s="38"/>
      <c r="GB1611" s="38"/>
      <c r="GC1611" s="38"/>
      <c r="GD1611" s="38"/>
      <c r="GE1611" s="38"/>
      <c r="GF1611" s="38"/>
      <c r="GG1611" s="38"/>
      <c r="GH1611" s="38"/>
      <c r="GI1611" s="38"/>
      <c r="GJ1611" s="38"/>
      <c r="GK1611" s="38"/>
      <c r="GL1611" s="38"/>
      <c r="GM1611" s="38"/>
      <c r="GN1611" s="38"/>
      <c r="GO1611" s="38"/>
      <c r="GP1611" s="38"/>
      <c r="GQ1611" s="38"/>
      <c r="GR1611" s="38"/>
      <c r="GS1611" s="38"/>
      <c r="GT1611" s="38"/>
      <c r="GU1611" s="38"/>
      <c r="GV1611" s="38"/>
      <c r="GW1611" s="38"/>
      <c r="GX1611" s="38"/>
      <c r="GY1611" s="38"/>
      <c r="GZ1611" s="38"/>
      <c r="HA1611" s="38"/>
      <c r="HB1611" s="38"/>
      <c r="HC1611" s="38"/>
      <c r="HD1611" s="38"/>
      <c r="HE1611" s="38"/>
      <c r="HF1611" s="38"/>
      <c r="HG1611" s="38"/>
      <c r="HH1611" s="38"/>
      <c r="HI1611" s="38"/>
      <c r="HJ1611" s="38"/>
      <c r="HK1611" s="38"/>
      <c r="HL1611" s="38"/>
      <c r="HM1611" s="38"/>
      <c r="HN1611" s="38"/>
      <c r="HO1611" s="38"/>
      <c r="HP1611" s="38"/>
      <c r="HQ1611" s="38"/>
      <c r="HR1611" s="38"/>
      <c r="HS1611" s="38"/>
      <c r="HT1611" s="38"/>
      <c r="HU1611" s="38"/>
      <c r="HV1611" s="38"/>
      <c r="HW1611" s="38"/>
      <c r="HX1611" s="38"/>
      <c r="HY1611" s="38"/>
      <c r="HZ1611" s="38"/>
      <c r="IA1611" s="38"/>
      <c r="IB1611" s="38"/>
      <c r="IC1611" s="38"/>
      <c r="ID1611" s="38"/>
      <c r="IE1611" s="38"/>
      <c r="IF1611" s="38"/>
      <c r="IG1611" s="38"/>
      <c r="IH1611" s="38"/>
      <c r="II1611" s="38"/>
      <c r="IJ1611" s="38"/>
      <c r="IK1611" s="38"/>
      <c r="IL1611" s="38"/>
      <c r="IM1611" s="38"/>
      <c r="IN1611" s="38"/>
      <c r="IO1611" s="38"/>
      <c r="IP1611" s="38"/>
      <c r="IQ1611" s="38"/>
      <c r="IR1611" s="38"/>
      <c r="IS1611" s="38"/>
      <c r="IT1611" s="38"/>
      <c r="IU1611" s="38"/>
      <c r="IV1611" s="38"/>
      <c r="IW1611" s="38"/>
      <c r="IX1611" s="38"/>
      <c r="IY1611" s="38"/>
      <c r="IZ1611" s="38"/>
      <c r="JA1611" s="38"/>
      <c r="JB1611" s="38"/>
      <c r="JC1611" s="38"/>
      <c r="JD1611" s="38"/>
      <c r="JE1611" s="38"/>
      <c r="JF1611" s="38"/>
      <c r="JG1611" s="38"/>
      <c r="JH1611" s="38"/>
      <c r="JI1611" s="38"/>
      <c r="JJ1611" s="38"/>
      <c r="JK1611" s="38"/>
      <c r="JL1611" s="38"/>
      <c r="JM1611" s="38"/>
      <c r="JN1611" s="38"/>
      <c r="JO1611" s="38"/>
      <c r="JP1611" s="38"/>
      <c r="JQ1611" s="38"/>
      <c r="JR1611" s="38"/>
      <c r="JS1611" s="38"/>
      <c r="JT1611" s="38"/>
      <c r="JU1611" s="38"/>
      <c r="JV1611" s="38"/>
      <c r="JW1611" s="38"/>
      <c r="JX1611" s="38"/>
      <c r="JY1611" s="38"/>
      <c r="JZ1611" s="38"/>
      <c r="KA1611" s="38"/>
      <c r="KB1611" s="38"/>
      <c r="KC1611" s="38"/>
      <c r="KD1611" s="38"/>
      <c r="KE1611" s="38"/>
      <c r="KF1611" s="38"/>
      <c r="KG1611" s="38"/>
      <c r="KH1611" s="38"/>
      <c r="KI1611" s="38"/>
      <c r="KJ1611" s="38"/>
      <c r="KK1611" s="38"/>
      <c r="KL1611" s="38"/>
      <c r="KM1611" s="38"/>
      <c r="KN1611" s="38"/>
      <c r="KO1611" s="38"/>
      <c r="KP1611" s="38"/>
      <c r="KQ1611" s="38"/>
      <c r="KR1611" s="38"/>
      <c r="KS1611" s="38"/>
      <c r="KT1611" s="38"/>
      <c r="KU1611" s="38"/>
      <c r="KV1611" s="38"/>
      <c r="KW1611" s="38"/>
      <c r="KX1611" s="38"/>
      <c r="KY1611" s="38"/>
      <c r="KZ1611" s="38"/>
      <c r="LA1611" s="38"/>
      <c r="LB1611" s="38"/>
      <c r="LC1611" s="38"/>
      <c r="LD1611" s="38"/>
      <c r="LE1611" s="38"/>
      <c r="LF1611" s="38"/>
      <c r="LG1611" s="38"/>
      <c r="LH1611" s="38"/>
      <c r="LI1611" s="38"/>
      <c r="LJ1611" s="38"/>
      <c r="LK1611" s="38"/>
      <c r="LL1611" s="38"/>
      <c r="LM1611" s="38"/>
      <c r="LN1611" s="38"/>
      <c r="LO1611" s="38"/>
      <c r="LP1611" s="38"/>
      <c r="LQ1611" s="38"/>
      <c r="LR1611" s="38"/>
      <c r="LS1611" s="38"/>
      <c r="LT1611" s="38"/>
      <c r="LU1611" s="38"/>
      <c r="LV1611" s="38"/>
      <c r="LW1611" s="38"/>
      <c r="LX1611" s="38"/>
      <c r="LY1611" s="38"/>
      <c r="LZ1611" s="38"/>
      <c r="MA1611" s="38"/>
      <c r="MB1611" s="38"/>
      <c r="MC1611" s="38"/>
      <c r="MD1611" s="38"/>
      <c r="ME1611" s="38"/>
      <c r="MF1611" s="38"/>
      <c r="MG1611" s="38"/>
      <c r="MH1611" s="38"/>
      <c r="MI1611" s="38"/>
      <c r="MJ1611" s="38"/>
      <c r="MK1611" s="38"/>
      <c r="ML1611" s="38"/>
      <c r="MM1611" s="38"/>
      <c r="MN1611" s="38"/>
      <c r="MO1611" s="38"/>
      <c r="MP1611" s="38"/>
      <c r="MQ1611" s="38"/>
      <c r="MR1611" s="38"/>
      <c r="MS1611" s="38"/>
      <c r="MT1611" s="38"/>
      <c r="MU1611" s="38"/>
      <c r="MV1611" s="38"/>
      <c r="MW1611" s="38"/>
      <c r="MX1611" s="38"/>
      <c r="MY1611" s="38"/>
      <c r="MZ1611" s="38"/>
      <c r="NA1611" s="38"/>
      <c r="NB1611" s="38"/>
      <c r="NC1611" s="38"/>
      <c r="ND1611" s="38"/>
      <c r="NE1611" s="38"/>
      <c r="NF1611" s="38"/>
      <c r="NG1611" s="38"/>
      <c r="NH1611" s="38"/>
      <c r="NI1611" s="38"/>
      <c r="NJ1611" s="38"/>
      <c r="NK1611" s="38"/>
      <c r="NL1611" s="38"/>
      <c r="NM1611" s="38"/>
      <c r="NN1611" s="38"/>
      <c r="NO1611" s="38"/>
      <c r="NP1611" s="38"/>
      <c r="NQ1611" s="38"/>
      <c r="NR1611" s="38"/>
      <c r="NS1611" s="38"/>
      <c r="NT1611" s="38"/>
      <c r="NU1611" s="38"/>
      <c r="NV1611" s="38"/>
      <c r="NW1611" s="38"/>
      <c r="NX1611" s="38"/>
      <c r="NY1611" s="38"/>
      <c r="NZ1611" s="38"/>
      <c r="OA1611" s="38"/>
      <c r="OB1611" s="38"/>
      <c r="OC1611" s="38"/>
      <c r="OD1611" s="38"/>
      <c r="OE1611" s="38"/>
      <c r="OF1611" s="38"/>
      <c r="OG1611" s="38"/>
      <c r="OH1611" s="38"/>
      <c r="OI1611" s="38"/>
      <c r="OJ1611" s="38"/>
      <c r="OK1611" s="38"/>
      <c r="OL1611" s="38"/>
      <c r="OM1611" s="38"/>
      <c r="ON1611" s="38"/>
      <c r="OO1611" s="38"/>
      <c r="OP1611" s="38"/>
      <c r="OQ1611" s="38"/>
      <c r="OR1611" s="38"/>
      <c r="OS1611" s="38"/>
      <c r="OT1611" s="38"/>
      <c r="OU1611" s="38"/>
      <c r="OV1611" s="38"/>
      <c r="OW1611" s="38"/>
      <c r="OX1611" s="38"/>
      <c r="OY1611" s="38"/>
      <c r="OZ1611" s="38"/>
      <c r="PA1611" s="38"/>
      <c r="PB1611" s="38"/>
      <c r="PC1611" s="38"/>
      <c r="PD1611" s="38"/>
      <c r="PE1611" s="38"/>
      <c r="PF1611" s="38"/>
      <c r="PG1611" s="38"/>
      <c r="PH1611" s="38"/>
      <c r="PI1611" s="38"/>
      <c r="PJ1611" s="38"/>
      <c r="PK1611" s="38"/>
      <c r="PL1611" s="38"/>
      <c r="PM1611" s="38"/>
      <c r="PN1611" s="38"/>
      <c r="PO1611" s="38"/>
      <c r="PP1611" s="38"/>
      <c r="PQ1611" s="38"/>
      <c r="PR1611" s="38"/>
      <c r="PS1611" s="38"/>
      <c r="PT1611" s="38"/>
      <c r="PU1611" s="38"/>
      <c r="PV1611" s="38"/>
      <c r="PW1611" s="38"/>
      <c r="PX1611" s="38"/>
      <c r="PY1611" s="38"/>
      <c r="PZ1611" s="38"/>
      <c r="QA1611" s="38"/>
      <c r="QB1611" s="38"/>
      <c r="QC1611" s="38"/>
      <c r="QD1611" s="38"/>
      <c r="QE1611" s="38"/>
      <c r="QF1611" s="38"/>
      <c r="QG1611" s="38"/>
      <c r="QH1611" s="38"/>
      <c r="QI1611" s="38"/>
      <c r="QJ1611" s="38"/>
      <c r="QK1611" s="38"/>
      <c r="QL1611" s="38"/>
      <c r="QM1611" s="38"/>
      <c r="QN1611" s="38"/>
      <c r="QO1611" s="38"/>
      <c r="QP1611" s="38"/>
      <c r="QQ1611" s="38"/>
      <c r="QR1611" s="38"/>
      <c r="QS1611" s="38"/>
      <c r="QT1611" s="38"/>
      <c r="QU1611" s="38"/>
      <c r="QV1611" s="38"/>
      <c r="QW1611" s="38"/>
      <c r="QX1611" s="38"/>
      <c r="QY1611" s="38"/>
      <c r="QZ1611" s="38"/>
      <c r="RA1611" s="38"/>
      <c r="RB1611" s="38"/>
      <c r="RC1611" s="38"/>
      <c r="RD1611" s="38"/>
      <c r="RE1611" s="38"/>
      <c r="RF1611" s="38"/>
      <c r="RG1611" s="38"/>
      <c r="RH1611" s="38"/>
      <c r="RI1611" s="38"/>
      <c r="RJ1611" s="38"/>
      <c r="RK1611" s="38"/>
      <c r="RL1611" s="38"/>
      <c r="RM1611" s="38"/>
      <c r="RN1611" s="38"/>
      <c r="RO1611" s="38"/>
      <c r="RP1611" s="38"/>
      <c r="RQ1611" s="38"/>
      <c r="RR1611" s="38"/>
      <c r="RS1611" s="38"/>
      <c r="RT1611" s="38"/>
      <c r="RU1611" s="38"/>
      <c r="RV1611" s="38"/>
      <c r="RW1611" s="38"/>
      <c r="RX1611" s="38"/>
      <c r="RY1611" s="38"/>
      <c r="RZ1611" s="38"/>
      <c r="SA1611" s="38"/>
      <c r="SB1611" s="38"/>
      <c r="SC1611" s="38"/>
      <c r="SD1611" s="38"/>
      <c r="SE1611" s="38"/>
      <c r="SF1611" s="38"/>
      <c r="SG1611" s="38"/>
      <c r="SH1611" s="38"/>
      <c r="SI1611" s="38"/>
      <c r="SJ1611" s="38"/>
      <c r="SK1611" s="38"/>
      <c r="SL1611" s="38"/>
      <c r="SM1611" s="38"/>
      <c r="SN1611" s="38"/>
      <c r="SO1611" s="38"/>
      <c r="SP1611" s="38"/>
      <c r="SQ1611" s="38"/>
      <c r="SR1611" s="38"/>
      <c r="SS1611" s="38"/>
      <c r="ST1611" s="38"/>
      <c r="SU1611" s="38"/>
      <c r="SV1611" s="38"/>
      <c r="SW1611" s="38"/>
      <c r="SX1611" s="38"/>
      <c r="SY1611" s="38"/>
      <c r="SZ1611" s="38"/>
      <c r="TA1611" s="38"/>
      <c r="TB1611" s="38"/>
      <c r="TC1611" s="38"/>
      <c r="TD1611" s="38"/>
      <c r="TE1611" s="38"/>
      <c r="TF1611" s="38"/>
      <c r="TG1611" s="38"/>
      <c r="TH1611" s="38"/>
      <c r="TI1611" s="38"/>
      <c r="TJ1611" s="38"/>
      <c r="TK1611" s="38"/>
      <c r="TL1611" s="38"/>
      <c r="TM1611" s="38"/>
      <c r="TN1611" s="38"/>
      <c r="TO1611" s="38"/>
      <c r="TP1611" s="38"/>
      <c r="TQ1611" s="38"/>
      <c r="TR1611" s="38"/>
      <c r="TS1611" s="38"/>
      <c r="TT1611" s="38"/>
      <c r="TU1611" s="38"/>
      <c r="TV1611" s="38"/>
      <c r="TW1611" s="38"/>
      <c r="TX1611" s="38"/>
      <c r="TY1611" s="38"/>
      <c r="TZ1611" s="38"/>
      <c r="UA1611" s="38"/>
      <c r="UB1611" s="38"/>
      <c r="UC1611" s="38"/>
      <c r="UD1611" s="38"/>
      <c r="UE1611" s="38"/>
      <c r="UF1611" s="38"/>
      <c r="UG1611" s="38"/>
      <c r="UH1611" s="38"/>
      <c r="UI1611" s="38"/>
      <c r="UJ1611" s="38"/>
      <c r="UK1611" s="38"/>
      <c r="UL1611" s="38"/>
      <c r="UM1611" s="38"/>
      <c r="UN1611" s="38"/>
      <c r="UO1611" s="38"/>
      <c r="UP1611" s="38"/>
      <c r="UQ1611" s="38"/>
      <c r="UR1611" s="38"/>
      <c r="US1611" s="38"/>
      <c r="UT1611" s="38"/>
      <c r="UU1611" s="38"/>
      <c r="UV1611" s="38"/>
      <c r="UW1611" s="38"/>
      <c r="UX1611" s="38"/>
      <c r="UY1611" s="38"/>
      <c r="UZ1611" s="38"/>
      <c r="VA1611" s="38"/>
      <c r="VB1611" s="38"/>
      <c r="VC1611" s="38"/>
      <c r="VD1611" s="38"/>
      <c r="VE1611" s="38"/>
      <c r="VF1611" s="38"/>
      <c r="VG1611" s="38"/>
      <c r="VH1611" s="38"/>
      <c r="VI1611" s="38"/>
      <c r="VJ1611" s="38"/>
      <c r="VK1611" s="38"/>
      <c r="VL1611" s="38"/>
      <c r="VM1611" s="38"/>
      <c r="VN1611" s="38"/>
      <c r="VO1611" s="38"/>
      <c r="VP1611" s="38"/>
      <c r="VQ1611" s="38"/>
      <c r="VR1611" s="38"/>
      <c r="VS1611" s="38"/>
      <c r="VT1611" s="38"/>
      <c r="VU1611" s="38"/>
      <c r="VV1611" s="38"/>
      <c r="VW1611" s="38"/>
      <c r="VX1611" s="38"/>
      <c r="VY1611" s="38"/>
      <c r="VZ1611" s="38"/>
      <c r="WA1611" s="38"/>
      <c r="WB1611" s="38"/>
      <c r="WC1611" s="38"/>
      <c r="WD1611" s="38"/>
      <c r="WE1611" s="38"/>
      <c r="WF1611" s="38"/>
      <c r="WG1611" s="38"/>
      <c r="WH1611" s="38"/>
      <c r="WI1611" s="38"/>
      <c r="WJ1611" s="38"/>
      <c r="WK1611" s="38"/>
      <c r="WL1611" s="38"/>
      <c r="WM1611" s="38"/>
      <c r="WN1611" s="38"/>
      <c r="WO1611" s="38"/>
      <c r="WP1611" s="38"/>
      <c r="WQ1611" s="38"/>
      <c r="WR1611" s="38"/>
      <c r="WS1611" s="38"/>
      <c r="WT1611" s="38"/>
      <c r="WU1611" s="38"/>
      <c r="WV1611" s="38"/>
      <c r="WW1611" s="38"/>
      <c r="WX1611" s="38"/>
      <c r="WY1611" s="38"/>
      <c r="WZ1611" s="38"/>
      <c r="XA1611" s="38"/>
      <c r="XB1611" s="38"/>
      <c r="XC1611" s="38"/>
      <c r="XD1611" s="38"/>
      <c r="XE1611" s="38"/>
      <c r="XF1611" s="38"/>
      <c r="XG1611" s="38"/>
      <c r="XH1611" s="38"/>
      <c r="XI1611" s="38"/>
      <c r="XJ1611" s="38"/>
      <c r="XK1611" s="38"/>
      <c r="XL1611" s="38"/>
      <c r="XM1611" s="38"/>
      <c r="XN1611" s="38"/>
      <c r="XO1611" s="38"/>
      <c r="XP1611" s="38"/>
      <c r="XQ1611" s="38"/>
      <c r="XR1611" s="38"/>
      <c r="XS1611" s="38"/>
      <c r="XT1611" s="38"/>
      <c r="XU1611" s="38"/>
      <c r="XV1611" s="38"/>
      <c r="XW1611" s="38"/>
      <c r="XX1611" s="38"/>
      <c r="XY1611" s="38"/>
      <c r="XZ1611" s="38"/>
      <c r="YA1611" s="38"/>
      <c r="YB1611" s="38"/>
      <c r="YC1611" s="38"/>
      <c r="YD1611" s="38"/>
      <c r="YE1611" s="38"/>
      <c r="YF1611" s="38"/>
      <c r="YG1611" s="38"/>
      <c r="YH1611" s="38"/>
      <c r="YI1611" s="38"/>
      <c r="YJ1611" s="38"/>
      <c r="YK1611" s="38"/>
      <c r="YL1611" s="38"/>
      <c r="YM1611" s="38"/>
      <c r="YN1611" s="38"/>
      <c r="YO1611" s="38"/>
      <c r="YP1611" s="38"/>
      <c r="YQ1611" s="38"/>
      <c r="YR1611" s="38"/>
      <c r="YS1611" s="38"/>
      <c r="YT1611" s="38"/>
      <c r="YU1611" s="38"/>
      <c r="YV1611" s="38"/>
      <c r="YW1611" s="38"/>
      <c r="YX1611" s="38"/>
      <c r="YY1611" s="38"/>
      <c r="YZ1611" s="38"/>
      <c r="ZA1611" s="38"/>
      <c r="ZB1611" s="38"/>
      <c r="ZC1611" s="38"/>
      <c r="ZD1611" s="38"/>
      <c r="ZE1611" s="38"/>
      <c r="ZF1611" s="38"/>
      <c r="ZG1611" s="38"/>
      <c r="ZH1611" s="38"/>
      <c r="ZI1611" s="38"/>
      <c r="ZJ1611" s="38"/>
      <c r="ZK1611" s="38"/>
      <c r="ZL1611" s="38"/>
      <c r="ZM1611" s="38"/>
      <c r="ZN1611" s="38"/>
      <c r="ZO1611" s="38"/>
      <c r="ZP1611" s="38"/>
      <c r="ZQ1611" s="38"/>
      <c r="ZR1611" s="38"/>
      <c r="ZS1611" s="38"/>
      <c r="ZT1611" s="38"/>
      <c r="ZU1611" s="38"/>
      <c r="ZV1611" s="38"/>
      <c r="ZW1611" s="38"/>
      <c r="ZX1611" s="38"/>
      <c r="ZY1611" s="38"/>
      <c r="ZZ1611" s="38"/>
      <c r="AAA1611" s="38"/>
      <c r="AAB1611" s="38"/>
      <c r="AAC1611" s="38"/>
      <c r="AAD1611" s="38"/>
      <c r="AAE1611" s="38"/>
      <c r="AAF1611" s="38"/>
      <c r="AAG1611" s="38"/>
      <c r="AAH1611" s="38"/>
      <c r="AAI1611" s="38"/>
      <c r="AAJ1611" s="38"/>
      <c r="AAK1611" s="38"/>
      <c r="AAL1611" s="38"/>
      <c r="AAM1611" s="38"/>
      <c r="AAN1611" s="38"/>
      <c r="AAO1611" s="38"/>
      <c r="AAP1611" s="38"/>
      <c r="AAQ1611" s="38"/>
      <c r="AAR1611" s="38"/>
      <c r="AAS1611" s="38"/>
      <c r="AAT1611" s="38"/>
      <c r="AAU1611" s="38"/>
      <c r="AAV1611" s="38"/>
      <c r="AAW1611" s="38"/>
      <c r="AAX1611" s="38"/>
      <c r="AAY1611" s="38"/>
      <c r="AAZ1611" s="38"/>
      <c r="ABA1611" s="38"/>
      <c r="ABB1611" s="38"/>
      <c r="ABC1611" s="38"/>
      <c r="ABD1611" s="38"/>
      <c r="ABE1611" s="38"/>
      <c r="ABF1611" s="38"/>
      <c r="ABG1611" s="38"/>
      <c r="ABH1611" s="38"/>
      <c r="ABI1611" s="38"/>
      <c r="ABJ1611" s="38"/>
      <c r="ABK1611" s="38"/>
      <c r="ABL1611" s="38"/>
      <c r="ABM1611" s="38"/>
      <c r="ABN1611" s="38"/>
      <c r="ABO1611" s="38"/>
      <c r="ABP1611" s="38"/>
      <c r="ABQ1611" s="38"/>
      <c r="ABR1611" s="38"/>
      <c r="ABS1611" s="38"/>
      <c r="ABT1611" s="38"/>
      <c r="ABU1611" s="38"/>
      <c r="ABV1611" s="38"/>
      <c r="ABW1611" s="38"/>
      <c r="ABX1611" s="38"/>
      <c r="ABY1611" s="38"/>
      <c r="ABZ1611" s="38"/>
      <c r="ACA1611" s="38"/>
      <c r="ACB1611" s="38"/>
      <c r="ACC1611" s="38"/>
      <c r="ACD1611" s="38"/>
      <c r="ACE1611" s="38"/>
      <c r="ACF1611" s="38"/>
      <c r="ACG1611" s="38"/>
      <c r="ACH1611" s="38"/>
      <c r="ACI1611" s="38"/>
      <c r="ACJ1611" s="38"/>
      <c r="ACK1611" s="38"/>
      <c r="ACL1611" s="38"/>
      <c r="ACM1611" s="38"/>
      <c r="ACN1611" s="38"/>
      <c r="ACO1611" s="38"/>
      <c r="ACP1611" s="38"/>
      <c r="ACQ1611" s="38"/>
      <c r="ACR1611" s="38"/>
      <c r="ACS1611" s="38"/>
      <c r="ACT1611" s="38"/>
      <c r="ACU1611" s="38"/>
      <c r="ACV1611" s="38"/>
      <c r="ACW1611" s="38"/>
      <c r="ACX1611" s="38"/>
      <c r="ACY1611" s="38"/>
      <c r="ACZ1611" s="38"/>
      <c r="ADA1611" s="38"/>
      <c r="ADB1611" s="38"/>
      <c r="ADC1611" s="38"/>
      <c r="ADD1611" s="38"/>
      <c r="ADE1611" s="38"/>
      <c r="ADF1611" s="38"/>
      <c r="ADG1611" s="38"/>
      <c r="ADH1611" s="38"/>
      <c r="ADI1611" s="38"/>
      <c r="ADJ1611" s="38"/>
      <c r="ADK1611" s="38"/>
      <c r="ADL1611" s="38"/>
      <c r="ADM1611" s="38"/>
      <c r="ADN1611" s="38"/>
      <c r="ADO1611" s="38"/>
      <c r="ADP1611" s="38"/>
      <c r="ADQ1611" s="38"/>
      <c r="ADR1611" s="38"/>
      <c r="ADS1611" s="38"/>
      <c r="ADT1611" s="38"/>
      <c r="ADU1611" s="38"/>
      <c r="ADV1611" s="38"/>
      <c r="ADW1611" s="38"/>
      <c r="ADX1611" s="38"/>
      <c r="ADY1611" s="38"/>
      <c r="ADZ1611" s="38"/>
      <c r="AEA1611" s="38"/>
      <c r="AEB1611" s="38"/>
      <c r="AEC1611" s="38"/>
      <c r="AED1611" s="38"/>
      <c r="AEE1611" s="38"/>
      <c r="AEF1611" s="38"/>
      <c r="AEG1611" s="38"/>
      <c r="AEH1611" s="38"/>
      <c r="AEI1611" s="38"/>
      <c r="AEJ1611" s="38"/>
      <c r="AEK1611" s="38"/>
      <c r="AEL1611" s="38"/>
      <c r="AEM1611" s="38"/>
      <c r="AEN1611" s="38"/>
      <c r="AEO1611" s="38"/>
      <c r="AEP1611" s="38"/>
      <c r="AEQ1611" s="38"/>
      <c r="AER1611" s="38"/>
      <c r="AES1611" s="38"/>
      <c r="AET1611" s="38"/>
      <c r="AEU1611" s="38"/>
      <c r="AEV1611" s="38"/>
      <c r="AEW1611" s="38"/>
      <c r="AEX1611" s="38"/>
      <c r="AEY1611" s="38"/>
      <c r="AEZ1611" s="38"/>
      <c r="AFA1611" s="38"/>
      <c r="AFB1611" s="38"/>
      <c r="AFC1611" s="38"/>
      <c r="AFD1611" s="38"/>
      <c r="AFE1611" s="38"/>
      <c r="AFF1611" s="38"/>
      <c r="AFG1611" s="38"/>
      <c r="AFH1611" s="38"/>
      <c r="AFI1611" s="38"/>
      <c r="AFJ1611" s="38"/>
      <c r="AFK1611" s="38"/>
      <c r="AFL1611" s="38"/>
      <c r="AFM1611" s="38"/>
      <c r="AFN1611" s="38"/>
      <c r="AFO1611" s="38"/>
      <c r="AFP1611" s="38"/>
      <c r="AFQ1611" s="38"/>
      <c r="AFR1611" s="38"/>
      <c r="AFS1611" s="38"/>
      <c r="AFT1611" s="38"/>
      <c r="AFU1611" s="38"/>
      <c r="AFV1611" s="38"/>
      <c r="AFW1611" s="38"/>
      <c r="AFX1611" s="38"/>
      <c r="AFY1611" s="38"/>
      <c r="AFZ1611" s="38"/>
      <c r="AGA1611" s="38"/>
      <c r="AGB1611" s="38"/>
      <c r="AGC1611" s="38"/>
      <c r="AGD1611" s="38"/>
      <c r="AGE1611" s="38"/>
      <c r="AGF1611" s="38"/>
      <c r="AGG1611" s="38"/>
      <c r="AGH1611" s="38"/>
      <c r="AGI1611" s="38"/>
      <c r="AGJ1611" s="38"/>
      <c r="AGK1611" s="38"/>
      <c r="AGL1611" s="38"/>
      <c r="AGM1611" s="38"/>
      <c r="AGN1611" s="38"/>
      <c r="AGO1611" s="38"/>
      <c r="AGP1611" s="38"/>
      <c r="AGQ1611" s="38"/>
      <c r="AGR1611" s="38"/>
      <c r="AGS1611" s="38"/>
      <c r="AGT1611" s="38"/>
      <c r="AGU1611" s="38"/>
      <c r="AGV1611" s="38"/>
      <c r="AGW1611" s="38"/>
      <c r="AGX1611" s="38"/>
      <c r="AGY1611" s="38"/>
      <c r="AGZ1611" s="38"/>
      <c r="AHA1611" s="38"/>
      <c r="AHB1611" s="38"/>
      <c r="AHC1611" s="38"/>
      <c r="AHD1611" s="38"/>
      <c r="AHE1611" s="38"/>
      <c r="AHF1611" s="38"/>
      <c r="AHG1611" s="38"/>
      <c r="AHH1611" s="38"/>
      <c r="AHI1611" s="38"/>
      <c r="AHJ1611" s="38"/>
      <c r="AHK1611" s="38"/>
      <c r="AHL1611" s="38"/>
      <c r="AHM1611" s="38"/>
      <c r="AHN1611" s="38"/>
      <c r="AHO1611" s="38"/>
      <c r="AHP1611" s="38"/>
      <c r="AHQ1611" s="38"/>
      <c r="AHR1611" s="38"/>
      <c r="AHS1611" s="38"/>
      <c r="AHT1611" s="38"/>
      <c r="AHU1611" s="38"/>
      <c r="AHV1611" s="38"/>
      <c r="AHW1611" s="38"/>
      <c r="AHX1611" s="38"/>
      <c r="AHY1611" s="38"/>
      <c r="AHZ1611" s="38"/>
      <c r="AIA1611" s="38"/>
      <c r="AIB1611" s="38"/>
      <c r="AIC1611" s="38"/>
      <c r="AID1611" s="38"/>
      <c r="AIE1611" s="38"/>
      <c r="AIF1611" s="38"/>
      <c r="AIG1611" s="38"/>
      <c r="AIH1611" s="38"/>
      <c r="AII1611" s="38"/>
      <c r="AIJ1611" s="38"/>
      <c r="AIK1611" s="38"/>
      <c r="AIL1611" s="38"/>
      <c r="AIM1611" s="38"/>
      <c r="AIN1611" s="38"/>
      <c r="AIO1611" s="38"/>
      <c r="AIP1611" s="38"/>
      <c r="AIQ1611" s="38"/>
      <c r="AIR1611" s="38"/>
      <c r="AIS1611" s="38"/>
      <c r="AIT1611" s="38"/>
      <c r="AIU1611" s="38"/>
      <c r="AIV1611" s="38"/>
      <c r="AIW1611" s="38"/>
      <c r="AIX1611" s="38"/>
      <c r="AIY1611" s="38"/>
      <c r="AIZ1611" s="38"/>
      <c r="AJA1611" s="38"/>
      <c r="AJB1611" s="38"/>
      <c r="AJC1611" s="38"/>
      <c r="AJD1611" s="38"/>
      <c r="AJE1611" s="38"/>
      <c r="AJF1611" s="38"/>
      <c r="AJG1611" s="38"/>
      <c r="AJH1611" s="38"/>
      <c r="AJI1611" s="38"/>
      <c r="AJJ1611" s="38"/>
      <c r="AJK1611" s="38"/>
      <c r="AJL1611" s="38"/>
      <c r="AJM1611" s="38"/>
      <c r="AJN1611" s="38"/>
      <c r="AJO1611" s="38"/>
      <c r="AJP1611" s="38"/>
      <c r="AJQ1611" s="38"/>
      <c r="AJR1611" s="38"/>
      <c r="AJS1611" s="38"/>
      <c r="AJT1611" s="38"/>
      <c r="AJU1611" s="38"/>
      <c r="AJV1611" s="38"/>
      <c r="AJW1611" s="38"/>
      <c r="AJX1611" s="38"/>
      <c r="AJY1611" s="38"/>
      <c r="AJZ1611" s="38"/>
      <c r="AKA1611" s="38"/>
      <c r="AKB1611" s="38"/>
      <c r="AKC1611" s="38"/>
      <c r="AKD1611" s="38"/>
      <c r="AKE1611" s="38"/>
      <c r="AKF1611" s="38"/>
      <c r="AKG1611" s="38"/>
      <c r="AKH1611" s="38"/>
      <c r="AKI1611" s="38"/>
      <c r="AKJ1611" s="38"/>
      <c r="AKK1611" s="38"/>
      <c r="AKL1611" s="38"/>
      <c r="AKM1611" s="38"/>
      <c r="AKN1611" s="38"/>
      <c r="AKO1611" s="38"/>
      <c r="AKP1611" s="38"/>
      <c r="AKQ1611" s="38"/>
      <c r="AKR1611" s="38"/>
      <c r="AKS1611" s="38"/>
      <c r="AKT1611" s="38"/>
      <c r="AKU1611" s="38"/>
      <c r="AKV1611" s="38"/>
      <c r="AKW1611" s="38"/>
      <c r="AKX1611" s="38"/>
      <c r="AKY1611" s="38"/>
      <c r="AKZ1611" s="38"/>
      <c r="ALA1611" s="38"/>
      <c r="ALB1611" s="38"/>
      <c r="ALC1611" s="38"/>
      <c r="ALD1611" s="38"/>
      <c r="ALE1611" s="38"/>
      <c r="ALF1611" s="38"/>
      <c r="ALG1611" s="38"/>
      <c r="ALH1611" s="38"/>
      <c r="ALI1611" s="38"/>
      <c r="ALJ1611" s="38"/>
      <c r="ALK1611" s="38"/>
      <c r="ALL1611" s="38"/>
      <c r="ALM1611" s="38"/>
      <c r="ALN1611" s="38"/>
      <c r="ALO1611" s="38"/>
      <c r="ALP1611" s="38"/>
      <c r="ALQ1611" s="38"/>
      <c r="ALR1611" s="38"/>
      <c r="ALS1611" s="38"/>
      <c r="ALT1611" s="38"/>
      <c r="ALU1611" s="38"/>
      <c r="ALV1611" s="38"/>
      <c r="ALW1611" s="38"/>
      <c r="ALX1611" s="38"/>
      <c r="ALY1611" s="38"/>
      <c r="ALZ1611" s="38"/>
      <c r="AMA1611" s="38"/>
      <c r="AMB1611" s="38"/>
      <c r="AMC1611" s="38"/>
      <c r="AMD1611" s="38"/>
      <c r="AME1611" s="38"/>
      <c r="AMF1611" s="38"/>
      <c r="AMG1611" s="38"/>
      <c r="AMH1611" s="38"/>
      <c r="AMI1611" s="38"/>
      <c r="AMJ1611" s="38"/>
      <c r="AMK1611" s="38"/>
      <c r="AML1611" s="38"/>
      <c r="AMM1611" s="38"/>
      <c r="AMN1611" s="38"/>
      <c r="AMO1611" s="38"/>
      <c r="AMP1611" s="38"/>
      <c r="AMQ1611" s="38"/>
      <c r="AMR1611" s="38"/>
      <c r="AMS1611" s="38"/>
      <c r="AMT1611" s="38"/>
      <c r="AMU1611" s="38"/>
      <c r="AMV1611" s="38"/>
      <c r="AMW1611" s="38"/>
      <c r="AMX1611" s="38"/>
      <c r="AMY1611" s="38"/>
      <c r="AMZ1611" s="38"/>
      <c r="ANA1611" s="38"/>
      <c r="ANB1611" s="38"/>
      <c r="ANC1611" s="38"/>
      <c r="AND1611" s="38"/>
      <c r="ANE1611" s="38"/>
      <c r="ANF1611" s="38"/>
      <c r="ANG1611" s="38"/>
      <c r="ANH1611" s="38"/>
      <c r="ANI1611" s="38"/>
      <c r="ANJ1611" s="38"/>
      <c r="ANK1611" s="38"/>
      <c r="ANL1611" s="38"/>
      <c r="ANM1611" s="38"/>
      <c r="ANN1611" s="38"/>
      <c r="ANO1611" s="38"/>
      <c r="ANP1611" s="38"/>
      <c r="ANQ1611" s="38"/>
      <c r="ANR1611" s="38"/>
      <c r="ANS1611" s="38"/>
      <c r="ANT1611" s="38"/>
      <c r="ANU1611" s="38"/>
      <c r="ANV1611" s="38"/>
      <c r="ANW1611" s="38"/>
      <c r="ANX1611" s="38"/>
      <c r="ANY1611" s="38"/>
      <c r="ANZ1611" s="38"/>
      <c r="AOA1611" s="38"/>
      <c r="AOB1611" s="38"/>
      <c r="AOC1611" s="38"/>
      <c r="AOD1611" s="38"/>
      <c r="AOE1611" s="38"/>
      <c r="AOF1611" s="38"/>
      <c r="AOG1611" s="38"/>
      <c r="AOH1611" s="38"/>
      <c r="AOI1611" s="38"/>
      <c r="AOJ1611" s="38"/>
      <c r="AOK1611" s="38"/>
      <c r="AOL1611" s="38"/>
      <c r="AOM1611" s="38"/>
      <c r="AON1611" s="38"/>
      <c r="AOO1611" s="38"/>
      <c r="AOP1611" s="38"/>
      <c r="AOQ1611" s="38"/>
      <c r="AOR1611" s="38"/>
      <c r="AOS1611" s="38"/>
      <c r="AOT1611" s="38"/>
      <c r="AOU1611" s="38"/>
      <c r="AOV1611" s="38"/>
      <c r="AOW1611" s="38"/>
      <c r="AOX1611" s="38"/>
      <c r="AOY1611" s="38"/>
      <c r="AOZ1611" s="38"/>
      <c r="APA1611" s="38"/>
      <c r="APB1611" s="38"/>
      <c r="APC1611" s="38"/>
    </row>
    <row r="1612" spans="1:1095" s="36" customFormat="1" ht="14.25" customHeight="1">
      <c r="A1612" s="3" t="s">
        <v>1722</v>
      </c>
      <c r="B1612" s="36" t="s">
        <v>3903</v>
      </c>
      <c r="C1612" s="10">
        <v>4099854044793</v>
      </c>
      <c r="D1612" s="246"/>
      <c r="E1612" s="249"/>
      <c r="F1612" s="222" t="s">
        <v>3136</v>
      </c>
      <c r="G1612" s="66" t="str">
        <f>HYPERLINK("https://ledvance.com/pt/product-datasheet/247586/234894","Ficha de Produto")</f>
        <v>Ficha de Produto</v>
      </c>
      <c r="H1612" s="217">
        <v>10</v>
      </c>
      <c r="I1612" s="34" t="s">
        <v>810</v>
      </c>
      <c r="J1612" s="34" t="s">
        <v>6323</v>
      </c>
      <c r="K1612" s="34" t="s">
        <v>788</v>
      </c>
      <c r="L1612" s="34" t="s">
        <v>765</v>
      </c>
      <c r="M1612" s="247">
        <v>18.8</v>
      </c>
      <c r="N1612" s="288" t="s">
        <v>722</v>
      </c>
    </row>
    <row r="1613" spans="1:1095" s="36" customFormat="1" ht="14.25" customHeight="1">
      <c r="A1613" s="3" t="s">
        <v>1722</v>
      </c>
      <c r="B1613" s="36" t="s">
        <v>3904</v>
      </c>
      <c r="C1613" s="10">
        <v>4099854045226</v>
      </c>
      <c r="D1613" s="224">
        <v>4058075292475</v>
      </c>
      <c r="E1613" s="245" t="s">
        <v>1560</v>
      </c>
      <c r="F1613" s="246"/>
      <c r="G1613" s="66" t="str">
        <f>HYPERLINK("https://ledvance.com/pt/product-datasheet/247586/234897","Ficha de Produto")</f>
        <v>Ficha de Produto</v>
      </c>
      <c r="H1613" s="217">
        <v>10</v>
      </c>
      <c r="I1613" s="34" t="s">
        <v>1048</v>
      </c>
      <c r="J1613" s="34" t="s">
        <v>6324</v>
      </c>
      <c r="K1613" s="34" t="s">
        <v>788</v>
      </c>
      <c r="L1613" s="34" t="s">
        <v>765</v>
      </c>
      <c r="M1613" s="247">
        <v>23</v>
      </c>
      <c r="N1613" s="288" t="s">
        <v>722</v>
      </c>
    </row>
    <row r="1614" spans="1:1095" s="36" customFormat="1" ht="14.25" customHeight="1">
      <c r="A1614" s="3" t="s">
        <v>1722</v>
      </c>
      <c r="B1614" s="36" t="s">
        <v>3905</v>
      </c>
      <c r="C1614" s="10">
        <v>4099854045004</v>
      </c>
      <c r="D1614" s="224">
        <v>4058075292499</v>
      </c>
      <c r="E1614" s="245" t="s">
        <v>1561</v>
      </c>
      <c r="F1614" s="246"/>
      <c r="G1614" s="66" t="str">
        <f>HYPERLINK("https://ledvance.com/pt/product-datasheet/247586/234900","Ficha de Produto")</f>
        <v>Ficha de Produto</v>
      </c>
      <c r="H1614" s="217">
        <v>10</v>
      </c>
      <c r="I1614" s="34" t="s">
        <v>929</v>
      </c>
      <c r="J1614" s="34" t="s">
        <v>6317</v>
      </c>
      <c r="K1614" s="34" t="s">
        <v>788</v>
      </c>
      <c r="L1614" s="34" t="s">
        <v>765</v>
      </c>
      <c r="M1614" s="247">
        <v>29.1</v>
      </c>
      <c r="N1614" s="288" t="s">
        <v>722</v>
      </c>
    </row>
    <row r="1615" spans="1:1095" s="36" customFormat="1" ht="14.25" customHeight="1">
      <c r="A1615" s="3" t="s">
        <v>1722</v>
      </c>
      <c r="B1615" s="36" t="s">
        <v>3906</v>
      </c>
      <c r="C1615" s="10">
        <v>4099854045127</v>
      </c>
      <c r="D1615" s="224">
        <v>4058075292512</v>
      </c>
      <c r="E1615" s="245" t="s">
        <v>1562</v>
      </c>
      <c r="F1615" s="246"/>
      <c r="G1615" s="66" t="str">
        <f>HYPERLINK("https://ledvance.com/pt/product-datasheet/247586/234903","Ficha de Produto")</f>
        <v>Ficha de Produto</v>
      </c>
      <c r="H1615" s="217">
        <v>10</v>
      </c>
      <c r="I1615" s="34" t="s">
        <v>936</v>
      </c>
      <c r="J1615" s="34" t="s">
        <v>6325</v>
      </c>
      <c r="K1615" s="34" t="s">
        <v>788</v>
      </c>
      <c r="L1615" s="34" t="s">
        <v>765</v>
      </c>
      <c r="M1615" s="247">
        <v>34.200000000000003</v>
      </c>
      <c r="N1615" s="288" t="s">
        <v>722</v>
      </c>
    </row>
    <row r="1616" spans="1:1095" s="39" customFormat="1" ht="14.25" customHeight="1">
      <c r="A1616" s="8" t="s">
        <v>1722</v>
      </c>
      <c r="B1616" s="244" t="s">
        <v>2050</v>
      </c>
      <c r="C1616" s="244"/>
      <c r="D1616" s="7"/>
      <c r="E1616" s="7"/>
      <c r="F1616" s="7"/>
      <c r="G1616" s="68"/>
      <c r="H1616" s="230"/>
      <c r="I1616" s="7"/>
      <c r="J1616" s="7"/>
      <c r="K1616" s="7"/>
      <c r="L1616" s="7"/>
      <c r="M1616" s="248"/>
      <c r="N1616" s="289"/>
      <c r="O1616" s="38"/>
      <c r="P1616" s="38"/>
      <c r="Q1616" s="38"/>
      <c r="R1616" s="38"/>
      <c r="S1616" s="38"/>
      <c r="T1616" s="38"/>
      <c r="U1616" s="38"/>
      <c r="V1616" s="38"/>
      <c r="W1616" s="38"/>
      <c r="X1616" s="38"/>
      <c r="Y1616" s="38"/>
      <c r="Z1616" s="38"/>
      <c r="AA1616" s="38"/>
      <c r="AB1616" s="38"/>
      <c r="AC1616" s="38"/>
      <c r="AD1616" s="38"/>
      <c r="AE1616" s="38"/>
      <c r="AF1616" s="38"/>
      <c r="AG1616" s="38"/>
      <c r="AH1616" s="38"/>
      <c r="AI1616" s="38"/>
      <c r="AJ1616" s="38"/>
      <c r="AK1616" s="38"/>
      <c r="AL1616" s="38"/>
      <c r="AM1616" s="38"/>
      <c r="AN1616" s="38"/>
      <c r="AO1616" s="38"/>
      <c r="AP1616" s="38"/>
      <c r="AQ1616" s="38"/>
      <c r="AR1616" s="38"/>
      <c r="AS1616" s="38"/>
      <c r="AT1616" s="38"/>
      <c r="AU1616" s="38"/>
      <c r="AV1616" s="38"/>
      <c r="AW1616" s="38"/>
      <c r="AX1616" s="38"/>
      <c r="AY1616" s="38"/>
      <c r="AZ1616" s="38"/>
      <c r="BA1616" s="38"/>
      <c r="BB1616" s="38"/>
      <c r="BC1616" s="38"/>
      <c r="BD1616" s="38"/>
      <c r="BE1616" s="38"/>
      <c r="BF1616" s="38"/>
      <c r="BG1616" s="38"/>
      <c r="BH1616" s="38"/>
      <c r="BI1616" s="38"/>
      <c r="BJ1616" s="38"/>
      <c r="BK1616" s="38"/>
      <c r="BL1616" s="38"/>
      <c r="BM1616" s="38"/>
      <c r="BN1616" s="38"/>
      <c r="BO1616" s="38"/>
      <c r="BP1616" s="38"/>
      <c r="BQ1616" s="38"/>
      <c r="BR1616" s="38"/>
      <c r="BS1616" s="38"/>
      <c r="BT1616" s="38"/>
      <c r="BU1616" s="38"/>
      <c r="BV1616" s="38"/>
      <c r="BW1616" s="38"/>
      <c r="BX1616" s="38"/>
      <c r="BY1616" s="38"/>
      <c r="BZ1616" s="38"/>
      <c r="CA1616" s="38"/>
      <c r="CB1616" s="38"/>
      <c r="CC1616" s="38"/>
      <c r="CD1616" s="38"/>
      <c r="CE1616" s="38"/>
      <c r="CF1616" s="38"/>
      <c r="CG1616" s="38"/>
      <c r="CH1616" s="38"/>
      <c r="CI1616" s="38"/>
      <c r="CJ1616" s="38"/>
      <c r="CK1616" s="38"/>
      <c r="CL1616" s="38"/>
      <c r="CM1616" s="38"/>
      <c r="CN1616" s="38"/>
      <c r="CO1616" s="38"/>
      <c r="CP1616" s="38"/>
      <c r="CQ1616" s="38"/>
      <c r="CR1616" s="38"/>
      <c r="CS1616" s="38"/>
      <c r="CT1616" s="38"/>
      <c r="CU1616" s="38"/>
      <c r="CV1616" s="38"/>
      <c r="CW1616" s="38"/>
      <c r="CX1616" s="38"/>
      <c r="CY1616" s="38"/>
      <c r="CZ1616" s="38"/>
      <c r="DA1616" s="38"/>
      <c r="DB1616" s="38"/>
      <c r="DC1616" s="38"/>
      <c r="DD1616" s="38"/>
      <c r="DE1616" s="38"/>
      <c r="DF1616" s="38"/>
      <c r="DG1616" s="38"/>
      <c r="DH1616" s="38"/>
      <c r="DI1616" s="38"/>
      <c r="DJ1616" s="38"/>
      <c r="DK1616" s="38"/>
      <c r="DL1616" s="38"/>
      <c r="DM1616" s="38"/>
      <c r="DN1616" s="38"/>
      <c r="DO1616" s="38"/>
      <c r="DP1616" s="38"/>
      <c r="DQ1616" s="38"/>
      <c r="DR1616" s="38"/>
      <c r="DS1616" s="38"/>
      <c r="DT1616" s="38"/>
      <c r="DU1616" s="38"/>
      <c r="DV1616" s="38"/>
      <c r="DW1616" s="38"/>
      <c r="DX1616" s="38"/>
      <c r="DY1616" s="38"/>
      <c r="DZ1616" s="38"/>
      <c r="EA1616" s="38"/>
      <c r="EB1616" s="38"/>
      <c r="EC1616" s="38"/>
      <c r="ED1616" s="38"/>
      <c r="EE1616" s="38"/>
      <c r="EF1616" s="38"/>
      <c r="EG1616" s="38"/>
      <c r="EH1616" s="38"/>
      <c r="EI1616" s="38"/>
      <c r="EJ1616" s="38"/>
      <c r="EK1616" s="38"/>
      <c r="EL1616" s="38"/>
      <c r="EM1616" s="38"/>
      <c r="EN1616" s="38"/>
      <c r="EO1616" s="38"/>
      <c r="EP1616" s="38"/>
      <c r="EQ1616" s="38"/>
      <c r="ER1616" s="38"/>
      <c r="ES1616" s="38"/>
      <c r="ET1616" s="38"/>
      <c r="EU1616" s="38"/>
      <c r="EV1616" s="38"/>
      <c r="EW1616" s="38"/>
      <c r="EX1616" s="38"/>
      <c r="EY1616" s="38"/>
      <c r="EZ1616" s="38"/>
      <c r="FA1616" s="38"/>
      <c r="FB1616" s="38"/>
      <c r="FC1616" s="38"/>
      <c r="FD1616" s="38"/>
      <c r="FE1616" s="38"/>
      <c r="FF1616" s="38"/>
      <c r="FG1616" s="38"/>
      <c r="FH1616" s="38"/>
      <c r="FI1616" s="38"/>
      <c r="FJ1616" s="38"/>
      <c r="FK1616" s="38"/>
      <c r="FL1616" s="38"/>
      <c r="FM1616" s="38"/>
      <c r="FN1616" s="38"/>
      <c r="FO1616" s="38"/>
      <c r="FP1616" s="38"/>
      <c r="FQ1616" s="38"/>
      <c r="FR1616" s="38"/>
      <c r="FS1616" s="38"/>
      <c r="FT1616" s="38"/>
      <c r="FU1616" s="38"/>
      <c r="FV1616" s="38"/>
      <c r="FW1616" s="38"/>
      <c r="FX1616" s="38"/>
      <c r="FY1616" s="38"/>
      <c r="FZ1616" s="38"/>
      <c r="GA1616" s="38"/>
      <c r="GB1616" s="38"/>
      <c r="GC1616" s="38"/>
      <c r="GD1616" s="38"/>
      <c r="GE1616" s="38"/>
      <c r="GF1616" s="38"/>
      <c r="GG1616" s="38"/>
      <c r="GH1616" s="38"/>
      <c r="GI1616" s="38"/>
      <c r="GJ1616" s="38"/>
      <c r="GK1616" s="38"/>
      <c r="GL1616" s="38"/>
      <c r="GM1616" s="38"/>
      <c r="GN1616" s="38"/>
      <c r="GO1616" s="38"/>
      <c r="GP1616" s="38"/>
      <c r="GQ1616" s="38"/>
      <c r="GR1616" s="38"/>
      <c r="GS1616" s="38"/>
      <c r="GT1616" s="38"/>
      <c r="GU1616" s="38"/>
      <c r="GV1616" s="38"/>
      <c r="GW1616" s="38"/>
      <c r="GX1616" s="38"/>
      <c r="GY1616" s="38"/>
      <c r="GZ1616" s="38"/>
      <c r="HA1616" s="38"/>
      <c r="HB1616" s="38"/>
      <c r="HC1616" s="38"/>
      <c r="HD1616" s="38"/>
      <c r="HE1616" s="38"/>
      <c r="HF1616" s="38"/>
      <c r="HG1616" s="38"/>
      <c r="HH1616" s="38"/>
      <c r="HI1616" s="38"/>
      <c r="HJ1616" s="38"/>
      <c r="HK1616" s="38"/>
      <c r="HL1616" s="38"/>
      <c r="HM1616" s="38"/>
      <c r="HN1616" s="38"/>
      <c r="HO1616" s="38"/>
      <c r="HP1616" s="38"/>
      <c r="HQ1616" s="38"/>
      <c r="HR1616" s="38"/>
      <c r="HS1616" s="38"/>
      <c r="HT1616" s="38"/>
      <c r="HU1616" s="38"/>
      <c r="HV1616" s="38"/>
      <c r="HW1616" s="38"/>
      <c r="HX1616" s="38"/>
      <c r="HY1616" s="38"/>
      <c r="HZ1616" s="38"/>
      <c r="IA1616" s="38"/>
      <c r="IB1616" s="38"/>
      <c r="IC1616" s="38"/>
      <c r="ID1616" s="38"/>
      <c r="IE1616" s="38"/>
      <c r="IF1616" s="38"/>
      <c r="IG1616" s="38"/>
      <c r="IH1616" s="38"/>
      <c r="II1616" s="38"/>
      <c r="IJ1616" s="38"/>
      <c r="IK1616" s="38"/>
      <c r="IL1616" s="38"/>
      <c r="IM1616" s="38"/>
      <c r="IN1616" s="38"/>
      <c r="IO1616" s="38"/>
      <c r="IP1616" s="38"/>
      <c r="IQ1616" s="38"/>
      <c r="IR1616" s="38"/>
      <c r="IS1616" s="38"/>
      <c r="IT1616" s="38"/>
      <c r="IU1616" s="38"/>
      <c r="IV1616" s="38"/>
      <c r="IW1616" s="38"/>
      <c r="IX1616" s="38"/>
      <c r="IY1616" s="38"/>
      <c r="IZ1616" s="38"/>
      <c r="JA1616" s="38"/>
      <c r="JB1616" s="38"/>
      <c r="JC1616" s="38"/>
      <c r="JD1616" s="38"/>
      <c r="JE1616" s="38"/>
      <c r="JF1616" s="38"/>
      <c r="JG1616" s="38"/>
      <c r="JH1616" s="38"/>
      <c r="JI1616" s="38"/>
      <c r="JJ1616" s="38"/>
      <c r="JK1616" s="38"/>
      <c r="JL1616" s="38"/>
      <c r="JM1616" s="38"/>
      <c r="JN1616" s="38"/>
      <c r="JO1616" s="38"/>
      <c r="JP1616" s="38"/>
      <c r="JQ1616" s="38"/>
      <c r="JR1616" s="38"/>
      <c r="JS1616" s="38"/>
      <c r="JT1616" s="38"/>
      <c r="JU1616" s="38"/>
      <c r="JV1616" s="38"/>
      <c r="JW1616" s="38"/>
      <c r="JX1616" s="38"/>
      <c r="JY1616" s="38"/>
      <c r="JZ1616" s="38"/>
      <c r="KA1616" s="38"/>
      <c r="KB1616" s="38"/>
      <c r="KC1616" s="38"/>
      <c r="KD1616" s="38"/>
      <c r="KE1616" s="38"/>
      <c r="KF1616" s="38"/>
      <c r="KG1616" s="38"/>
      <c r="KH1616" s="38"/>
      <c r="KI1616" s="38"/>
      <c r="KJ1616" s="38"/>
      <c r="KK1616" s="38"/>
      <c r="KL1616" s="38"/>
      <c r="KM1616" s="38"/>
      <c r="KN1616" s="38"/>
      <c r="KO1616" s="38"/>
      <c r="KP1616" s="38"/>
      <c r="KQ1616" s="38"/>
      <c r="KR1616" s="38"/>
      <c r="KS1616" s="38"/>
      <c r="KT1616" s="38"/>
      <c r="KU1616" s="38"/>
      <c r="KV1616" s="38"/>
      <c r="KW1616" s="38"/>
      <c r="KX1616" s="38"/>
      <c r="KY1616" s="38"/>
      <c r="KZ1616" s="38"/>
      <c r="LA1616" s="38"/>
      <c r="LB1616" s="38"/>
      <c r="LC1616" s="38"/>
      <c r="LD1616" s="38"/>
      <c r="LE1616" s="38"/>
      <c r="LF1616" s="38"/>
      <c r="LG1616" s="38"/>
      <c r="LH1616" s="38"/>
      <c r="LI1616" s="38"/>
      <c r="LJ1616" s="38"/>
      <c r="LK1616" s="38"/>
      <c r="LL1616" s="38"/>
      <c r="LM1616" s="38"/>
      <c r="LN1616" s="38"/>
      <c r="LO1616" s="38"/>
      <c r="LP1616" s="38"/>
      <c r="LQ1616" s="38"/>
      <c r="LR1616" s="38"/>
      <c r="LS1616" s="38"/>
      <c r="LT1616" s="38"/>
      <c r="LU1616" s="38"/>
      <c r="LV1616" s="38"/>
      <c r="LW1616" s="38"/>
      <c r="LX1616" s="38"/>
      <c r="LY1616" s="38"/>
      <c r="LZ1616" s="38"/>
      <c r="MA1616" s="38"/>
      <c r="MB1616" s="38"/>
      <c r="MC1616" s="38"/>
      <c r="MD1616" s="38"/>
      <c r="ME1616" s="38"/>
      <c r="MF1616" s="38"/>
      <c r="MG1616" s="38"/>
      <c r="MH1616" s="38"/>
      <c r="MI1616" s="38"/>
      <c r="MJ1616" s="38"/>
      <c r="MK1616" s="38"/>
      <c r="ML1616" s="38"/>
      <c r="MM1616" s="38"/>
      <c r="MN1616" s="38"/>
      <c r="MO1616" s="38"/>
      <c r="MP1616" s="38"/>
      <c r="MQ1616" s="38"/>
      <c r="MR1616" s="38"/>
      <c r="MS1616" s="38"/>
      <c r="MT1616" s="38"/>
      <c r="MU1616" s="38"/>
      <c r="MV1616" s="38"/>
      <c r="MW1616" s="38"/>
      <c r="MX1616" s="38"/>
      <c r="MY1616" s="38"/>
      <c r="MZ1616" s="38"/>
      <c r="NA1616" s="38"/>
      <c r="NB1616" s="38"/>
      <c r="NC1616" s="38"/>
      <c r="ND1616" s="38"/>
      <c r="NE1616" s="38"/>
      <c r="NF1616" s="38"/>
      <c r="NG1616" s="38"/>
      <c r="NH1616" s="38"/>
      <c r="NI1616" s="38"/>
      <c r="NJ1616" s="38"/>
      <c r="NK1616" s="38"/>
      <c r="NL1616" s="38"/>
      <c r="NM1616" s="38"/>
      <c r="NN1616" s="38"/>
      <c r="NO1616" s="38"/>
      <c r="NP1616" s="38"/>
      <c r="NQ1616" s="38"/>
      <c r="NR1616" s="38"/>
      <c r="NS1616" s="38"/>
      <c r="NT1616" s="38"/>
      <c r="NU1616" s="38"/>
      <c r="NV1616" s="38"/>
      <c r="NW1616" s="38"/>
      <c r="NX1616" s="38"/>
      <c r="NY1616" s="38"/>
      <c r="NZ1616" s="38"/>
      <c r="OA1616" s="38"/>
      <c r="OB1616" s="38"/>
      <c r="OC1616" s="38"/>
      <c r="OD1616" s="38"/>
      <c r="OE1616" s="38"/>
      <c r="OF1616" s="38"/>
      <c r="OG1616" s="38"/>
      <c r="OH1616" s="38"/>
      <c r="OI1616" s="38"/>
      <c r="OJ1616" s="38"/>
      <c r="OK1616" s="38"/>
      <c r="OL1616" s="38"/>
      <c r="OM1616" s="38"/>
      <c r="ON1616" s="38"/>
      <c r="OO1616" s="38"/>
      <c r="OP1616" s="38"/>
      <c r="OQ1616" s="38"/>
      <c r="OR1616" s="38"/>
      <c r="OS1616" s="38"/>
      <c r="OT1616" s="38"/>
      <c r="OU1616" s="38"/>
      <c r="OV1616" s="38"/>
      <c r="OW1616" s="38"/>
      <c r="OX1616" s="38"/>
      <c r="OY1616" s="38"/>
      <c r="OZ1616" s="38"/>
      <c r="PA1616" s="38"/>
      <c r="PB1616" s="38"/>
      <c r="PC1616" s="38"/>
      <c r="PD1616" s="38"/>
      <c r="PE1616" s="38"/>
      <c r="PF1616" s="38"/>
      <c r="PG1616" s="38"/>
      <c r="PH1616" s="38"/>
      <c r="PI1616" s="38"/>
      <c r="PJ1616" s="38"/>
      <c r="PK1616" s="38"/>
      <c r="PL1616" s="38"/>
      <c r="PM1616" s="38"/>
      <c r="PN1616" s="38"/>
      <c r="PO1616" s="38"/>
      <c r="PP1616" s="38"/>
      <c r="PQ1616" s="38"/>
      <c r="PR1616" s="38"/>
      <c r="PS1616" s="38"/>
      <c r="PT1616" s="38"/>
      <c r="PU1616" s="38"/>
      <c r="PV1616" s="38"/>
      <c r="PW1616" s="38"/>
      <c r="PX1616" s="38"/>
      <c r="PY1616" s="38"/>
      <c r="PZ1616" s="38"/>
      <c r="QA1616" s="38"/>
      <c r="QB1616" s="38"/>
      <c r="QC1616" s="38"/>
      <c r="QD1616" s="38"/>
      <c r="QE1616" s="38"/>
      <c r="QF1616" s="38"/>
      <c r="QG1616" s="38"/>
      <c r="QH1616" s="38"/>
      <c r="QI1616" s="38"/>
      <c r="QJ1616" s="38"/>
      <c r="QK1616" s="38"/>
      <c r="QL1616" s="38"/>
      <c r="QM1616" s="38"/>
      <c r="QN1616" s="38"/>
      <c r="QO1616" s="38"/>
      <c r="QP1616" s="38"/>
      <c r="QQ1616" s="38"/>
      <c r="QR1616" s="38"/>
      <c r="QS1616" s="38"/>
      <c r="QT1616" s="38"/>
      <c r="QU1616" s="38"/>
      <c r="QV1616" s="38"/>
      <c r="QW1616" s="38"/>
      <c r="QX1616" s="38"/>
      <c r="QY1616" s="38"/>
      <c r="QZ1616" s="38"/>
      <c r="RA1616" s="38"/>
      <c r="RB1616" s="38"/>
      <c r="RC1616" s="38"/>
      <c r="RD1616" s="38"/>
      <c r="RE1616" s="38"/>
      <c r="RF1616" s="38"/>
      <c r="RG1616" s="38"/>
      <c r="RH1616" s="38"/>
      <c r="RI1616" s="38"/>
      <c r="RJ1616" s="38"/>
      <c r="RK1616" s="38"/>
      <c r="RL1616" s="38"/>
      <c r="RM1616" s="38"/>
      <c r="RN1616" s="38"/>
      <c r="RO1616" s="38"/>
      <c r="RP1616" s="38"/>
      <c r="RQ1616" s="38"/>
      <c r="RR1616" s="38"/>
      <c r="RS1616" s="38"/>
      <c r="RT1616" s="38"/>
      <c r="RU1616" s="38"/>
      <c r="RV1616" s="38"/>
      <c r="RW1616" s="38"/>
      <c r="RX1616" s="38"/>
      <c r="RY1616" s="38"/>
      <c r="RZ1616" s="38"/>
      <c r="SA1616" s="38"/>
      <c r="SB1616" s="38"/>
      <c r="SC1616" s="38"/>
      <c r="SD1616" s="38"/>
      <c r="SE1616" s="38"/>
      <c r="SF1616" s="38"/>
      <c r="SG1616" s="38"/>
      <c r="SH1616" s="38"/>
      <c r="SI1616" s="38"/>
      <c r="SJ1616" s="38"/>
      <c r="SK1616" s="38"/>
      <c r="SL1616" s="38"/>
      <c r="SM1616" s="38"/>
      <c r="SN1616" s="38"/>
      <c r="SO1616" s="38"/>
      <c r="SP1616" s="38"/>
      <c r="SQ1616" s="38"/>
      <c r="SR1616" s="38"/>
      <c r="SS1616" s="38"/>
      <c r="ST1616" s="38"/>
      <c r="SU1616" s="38"/>
      <c r="SV1616" s="38"/>
      <c r="SW1616" s="38"/>
      <c r="SX1616" s="38"/>
      <c r="SY1616" s="38"/>
      <c r="SZ1616" s="38"/>
      <c r="TA1616" s="38"/>
      <c r="TB1616" s="38"/>
      <c r="TC1616" s="38"/>
      <c r="TD1616" s="38"/>
      <c r="TE1616" s="38"/>
      <c r="TF1616" s="38"/>
      <c r="TG1616" s="38"/>
      <c r="TH1616" s="38"/>
      <c r="TI1616" s="38"/>
      <c r="TJ1616" s="38"/>
      <c r="TK1616" s="38"/>
      <c r="TL1616" s="38"/>
      <c r="TM1616" s="38"/>
      <c r="TN1616" s="38"/>
      <c r="TO1616" s="38"/>
      <c r="TP1616" s="38"/>
      <c r="TQ1616" s="38"/>
      <c r="TR1616" s="38"/>
      <c r="TS1616" s="38"/>
      <c r="TT1616" s="38"/>
      <c r="TU1616" s="38"/>
      <c r="TV1616" s="38"/>
      <c r="TW1616" s="38"/>
      <c r="TX1616" s="38"/>
      <c r="TY1616" s="38"/>
      <c r="TZ1616" s="38"/>
      <c r="UA1616" s="38"/>
      <c r="UB1616" s="38"/>
      <c r="UC1616" s="38"/>
      <c r="UD1616" s="38"/>
      <c r="UE1616" s="38"/>
      <c r="UF1616" s="38"/>
      <c r="UG1616" s="38"/>
      <c r="UH1616" s="38"/>
      <c r="UI1616" s="38"/>
      <c r="UJ1616" s="38"/>
      <c r="UK1616" s="38"/>
      <c r="UL1616" s="38"/>
      <c r="UM1616" s="38"/>
      <c r="UN1616" s="38"/>
      <c r="UO1616" s="38"/>
      <c r="UP1616" s="38"/>
      <c r="UQ1616" s="38"/>
      <c r="UR1616" s="38"/>
      <c r="US1616" s="38"/>
      <c r="UT1616" s="38"/>
      <c r="UU1616" s="38"/>
      <c r="UV1616" s="38"/>
      <c r="UW1616" s="38"/>
      <c r="UX1616" s="38"/>
      <c r="UY1616" s="38"/>
      <c r="UZ1616" s="38"/>
      <c r="VA1616" s="38"/>
      <c r="VB1616" s="38"/>
      <c r="VC1616" s="38"/>
      <c r="VD1616" s="38"/>
      <c r="VE1616" s="38"/>
      <c r="VF1616" s="38"/>
      <c r="VG1616" s="38"/>
      <c r="VH1616" s="38"/>
      <c r="VI1616" s="38"/>
      <c r="VJ1616" s="38"/>
      <c r="VK1616" s="38"/>
      <c r="VL1616" s="38"/>
      <c r="VM1616" s="38"/>
      <c r="VN1616" s="38"/>
      <c r="VO1616" s="38"/>
      <c r="VP1616" s="38"/>
      <c r="VQ1616" s="38"/>
      <c r="VR1616" s="38"/>
      <c r="VS1616" s="38"/>
      <c r="VT1616" s="38"/>
      <c r="VU1616" s="38"/>
      <c r="VV1616" s="38"/>
      <c r="VW1616" s="38"/>
      <c r="VX1616" s="38"/>
      <c r="VY1616" s="38"/>
      <c r="VZ1616" s="38"/>
      <c r="WA1616" s="38"/>
      <c r="WB1616" s="38"/>
      <c r="WC1616" s="38"/>
      <c r="WD1616" s="38"/>
      <c r="WE1616" s="38"/>
      <c r="WF1616" s="38"/>
      <c r="WG1616" s="38"/>
      <c r="WH1616" s="38"/>
      <c r="WI1616" s="38"/>
      <c r="WJ1616" s="38"/>
      <c r="WK1616" s="38"/>
      <c r="WL1616" s="38"/>
      <c r="WM1616" s="38"/>
      <c r="WN1616" s="38"/>
      <c r="WO1616" s="38"/>
      <c r="WP1616" s="38"/>
      <c r="WQ1616" s="38"/>
      <c r="WR1616" s="38"/>
      <c r="WS1616" s="38"/>
      <c r="WT1616" s="38"/>
      <c r="WU1616" s="38"/>
      <c r="WV1616" s="38"/>
      <c r="WW1616" s="38"/>
      <c r="WX1616" s="38"/>
      <c r="WY1616" s="38"/>
      <c r="WZ1616" s="38"/>
      <c r="XA1616" s="38"/>
      <c r="XB1616" s="38"/>
      <c r="XC1616" s="38"/>
      <c r="XD1616" s="38"/>
      <c r="XE1616" s="38"/>
      <c r="XF1616" s="38"/>
      <c r="XG1616" s="38"/>
      <c r="XH1616" s="38"/>
      <c r="XI1616" s="38"/>
      <c r="XJ1616" s="38"/>
      <c r="XK1616" s="38"/>
      <c r="XL1616" s="38"/>
      <c r="XM1616" s="38"/>
      <c r="XN1616" s="38"/>
      <c r="XO1616" s="38"/>
      <c r="XP1616" s="38"/>
      <c r="XQ1616" s="38"/>
      <c r="XR1616" s="38"/>
      <c r="XS1616" s="38"/>
      <c r="XT1616" s="38"/>
      <c r="XU1616" s="38"/>
      <c r="XV1616" s="38"/>
      <c r="XW1616" s="38"/>
      <c r="XX1616" s="38"/>
      <c r="XY1616" s="38"/>
      <c r="XZ1616" s="38"/>
      <c r="YA1616" s="38"/>
      <c r="YB1616" s="38"/>
      <c r="YC1616" s="38"/>
      <c r="YD1616" s="38"/>
      <c r="YE1616" s="38"/>
      <c r="YF1616" s="38"/>
      <c r="YG1616" s="38"/>
      <c r="YH1616" s="38"/>
      <c r="YI1616" s="38"/>
      <c r="YJ1616" s="38"/>
      <c r="YK1616" s="38"/>
      <c r="YL1616" s="38"/>
      <c r="YM1616" s="38"/>
      <c r="YN1616" s="38"/>
      <c r="YO1616" s="38"/>
      <c r="YP1616" s="38"/>
      <c r="YQ1616" s="38"/>
      <c r="YR1616" s="38"/>
      <c r="YS1616" s="38"/>
      <c r="YT1616" s="38"/>
      <c r="YU1616" s="38"/>
      <c r="YV1616" s="38"/>
      <c r="YW1616" s="38"/>
      <c r="YX1616" s="38"/>
      <c r="YY1616" s="38"/>
      <c r="YZ1616" s="38"/>
      <c r="ZA1616" s="38"/>
      <c r="ZB1616" s="38"/>
      <c r="ZC1616" s="38"/>
      <c r="ZD1616" s="38"/>
      <c r="ZE1616" s="38"/>
      <c r="ZF1616" s="38"/>
      <c r="ZG1616" s="38"/>
      <c r="ZH1616" s="38"/>
      <c r="ZI1616" s="38"/>
      <c r="ZJ1616" s="38"/>
      <c r="ZK1616" s="38"/>
      <c r="ZL1616" s="38"/>
      <c r="ZM1616" s="38"/>
      <c r="ZN1616" s="38"/>
      <c r="ZO1616" s="38"/>
      <c r="ZP1616" s="38"/>
      <c r="ZQ1616" s="38"/>
      <c r="ZR1616" s="38"/>
      <c r="ZS1616" s="38"/>
      <c r="ZT1616" s="38"/>
      <c r="ZU1616" s="38"/>
      <c r="ZV1616" s="38"/>
      <c r="ZW1616" s="38"/>
      <c r="ZX1616" s="38"/>
      <c r="ZY1616" s="38"/>
      <c r="ZZ1616" s="38"/>
      <c r="AAA1616" s="38"/>
      <c r="AAB1616" s="38"/>
      <c r="AAC1616" s="38"/>
      <c r="AAD1616" s="38"/>
      <c r="AAE1616" s="38"/>
      <c r="AAF1616" s="38"/>
      <c r="AAG1616" s="38"/>
      <c r="AAH1616" s="38"/>
      <c r="AAI1616" s="38"/>
      <c r="AAJ1616" s="38"/>
      <c r="AAK1616" s="38"/>
      <c r="AAL1616" s="38"/>
      <c r="AAM1616" s="38"/>
      <c r="AAN1616" s="38"/>
      <c r="AAO1616" s="38"/>
      <c r="AAP1616" s="38"/>
      <c r="AAQ1616" s="38"/>
      <c r="AAR1616" s="38"/>
      <c r="AAS1616" s="38"/>
      <c r="AAT1616" s="38"/>
      <c r="AAU1616" s="38"/>
      <c r="AAV1616" s="38"/>
      <c r="AAW1616" s="38"/>
      <c r="AAX1616" s="38"/>
      <c r="AAY1616" s="38"/>
      <c r="AAZ1616" s="38"/>
      <c r="ABA1616" s="38"/>
      <c r="ABB1616" s="38"/>
      <c r="ABC1616" s="38"/>
      <c r="ABD1616" s="38"/>
      <c r="ABE1616" s="38"/>
      <c r="ABF1616" s="38"/>
      <c r="ABG1616" s="38"/>
      <c r="ABH1616" s="38"/>
      <c r="ABI1616" s="38"/>
      <c r="ABJ1616" s="38"/>
      <c r="ABK1616" s="38"/>
      <c r="ABL1616" s="38"/>
      <c r="ABM1616" s="38"/>
      <c r="ABN1616" s="38"/>
      <c r="ABO1616" s="38"/>
      <c r="ABP1616" s="38"/>
      <c r="ABQ1616" s="38"/>
      <c r="ABR1616" s="38"/>
      <c r="ABS1616" s="38"/>
      <c r="ABT1616" s="38"/>
      <c r="ABU1616" s="38"/>
      <c r="ABV1616" s="38"/>
      <c r="ABW1616" s="38"/>
      <c r="ABX1616" s="38"/>
      <c r="ABY1616" s="38"/>
      <c r="ABZ1616" s="38"/>
      <c r="ACA1616" s="38"/>
      <c r="ACB1616" s="38"/>
      <c r="ACC1616" s="38"/>
      <c r="ACD1616" s="38"/>
      <c r="ACE1616" s="38"/>
      <c r="ACF1616" s="38"/>
      <c r="ACG1616" s="38"/>
      <c r="ACH1616" s="38"/>
      <c r="ACI1616" s="38"/>
      <c r="ACJ1616" s="38"/>
      <c r="ACK1616" s="38"/>
      <c r="ACL1616" s="38"/>
      <c r="ACM1616" s="38"/>
      <c r="ACN1616" s="38"/>
      <c r="ACO1616" s="38"/>
      <c r="ACP1616" s="38"/>
      <c r="ACQ1616" s="38"/>
      <c r="ACR1616" s="38"/>
      <c r="ACS1616" s="38"/>
      <c r="ACT1616" s="38"/>
      <c r="ACU1616" s="38"/>
      <c r="ACV1616" s="38"/>
      <c r="ACW1616" s="38"/>
      <c r="ACX1616" s="38"/>
      <c r="ACY1616" s="38"/>
      <c r="ACZ1616" s="38"/>
      <c r="ADA1616" s="38"/>
      <c r="ADB1616" s="38"/>
      <c r="ADC1616" s="38"/>
      <c r="ADD1616" s="38"/>
      <c r="ADE1616" s="38"/>
      <c r="ADF1616" s="38"/>
      <c r="ADG1616" s="38"/>
      <c r="ADH1616" s="38"/>
      <c r="ADI1616" s="38"/>
      <c r="ADJ1616" s="38"/>
      <c r="ADK1616" s="38"/>
      <c r="ADL1616" s="38"/>
      <c r="ADM1616" s="38"/>
      <c r="ADN1616" s="38"/>
      <c r="ADO1616" s="38"/>
      <c r="ADP1616" s="38"/>
      <c r="ADQ1616" s="38"/>
      <c r="ADR1616" s="38"/>
      <c r="ADS1616" s="38"/>
      <c r="ADT1616" s="38"/>
      <c r="ADU1616" s="38"/>
      <c r="ADV1616" s="38"/>
      <c r="ADW1616" s="38"/>
      <c r="ADX1616" s="38"/>
      <c r="ADY1616" s="38"/>
      <c r="ADZ1616" s="38"/>
      <c r="AEA1616" s="38"/>
      <c r="AEB1616" s="38"/>
      <c r="AEC1616" s="38"/>
      <c r="AED1616" s="38"/>
      <c r="AEE1616" s="38"/>
      <c r="AEF1616" s="38"/>
      <c r="AEG1616" s="38"/>
      <c r="AEH1616" s="38"/>
      <c r="AEI1616" s="38"/>
      <c r="AEJ1616" s="38"/>
      <c r="AEK1616" s="38"/>
      <c r="AEL1616" s="38"/>
      <c r="AEM1616" s="38"/>
      <c r="AEN1616" s="38"/>
      <c r="AEO1616" s="38"/>
      <c r="AEP1616" s="38"/>
      <c r="AEQ1616" s="38"/>
      <c r="AER1616" s="38"/>
      <c r="AES1616" s="38"/>
      <c r="AET1616" s="38"/>
      <c r="AEU1616" s="38"/>
      <c r="AEV1616" s="38"/>
      <c r="AEW1616" s="38"/>
      <c r="AEX1616" s="38"/>
      <c r="AEY1616" s="38"/>
      <c r="AEZ1616" s="38"/>
      <c r="AFA1616" s="38"/>
      <c r="AFB1616" s="38"/>
      <c r="AFC1616" s="38"/>
      <c r="AFD1616" s="38"/>
      <c r="AFE1616" s="38"/>
      <c r="AFF1616" s="38"/>
      <c r="AFG1616" s="38"/>
      <c r="AFH1616" s="38"/>
      <c r="AFI1616" s="38"/>
      <c r="AFJ1616" s="38"/>
      <c r="AFK1616" s="38"/>
      <c r="AFL1616" s="38"/>
      <c r="AFM1616" s="38"/>
      <c r="AFN1616" s="38"/>
      <c r="AFO1616" s="38"/>
      <c r="AFP1616" s="38"/>
      <c r="AFQ1616" s="38"/>
      <c r="AFR1616" s="38"/>
      <c r="AFS1616" s="38"/>
      <c r="AFT1616" s="38"/>
      <c r="AFU1616" s="38"/>
      <c r="AFV1616" s="38"/>
      <c r="AFW1616" s="38"/>
      <c r="AFX1616" s="38"/>
      <c r="AFY1616" s="38"/>
      <c r="AFZ1616" s="38"/>
      <c r="AGA1616" s="38"/>
      <c r="AGB1616" s="38"/>
      <c r="AGC1616" s="38"/>
      <c r="AGD1616" s="38"/>
      <c r="AGE1616" s="38"/>
      <c r="AGF1616" s="38"/>
      <c r="AGG1616" s="38"/>
      <c r="AGH1616" s="38"/>
      <c r="AGI1616" s="38"/>
      <c r="AGJ1616" s="38"/>
      <c r="AGK1616" s="38"/>
      <c r="AGL1616" s="38"/>
      <c r="AGM1616" s="38"/>
      <c r="AGN1616" s="38"/>
      <c r="AGO1616" s="38"/>
      <c r="AGP1616" s="38"/>
      <c r="AGQ1616" s="38"/>
      <c r="AGR1616" s="38"/>
      <c r="AGS1616" s="38"/>
      <c r="AGT1616" s="38"/>
      <c r="AGU1616" s="38"/>
      <c r="AGV1616" s="38"/>
      <c r="AGW1616" s="38"/>
      <c r="AGX1616" s="38"/>
      <c r="AGY1616" s="38"/>
      <c r="AGZ1616" s="38"/>
      <c r="AHA1616" s="38"/>
      <c r="AHB1616" s="38"/>
      <c r="AHC1616" s="38"/>
      <c r="AHD1616" s="38"/>
      <c r="AHE1616" s="38"/>
      <c r="AHF1616" s="38"/>
      <c r="AHG1616" s="38"/>
      <c r="AHH1616" s="38"/>
      <c r="AHI1616" s="38"/>
      <c r="AHJ1616" s="38"/>
      <c r="AHK1616" s="38"/>
      <c r="AHL1616" s="38"/>
      <c r="AHM1616" s="38"/>
      <c r="AHN1616" s="38"/>
      <c r="AHO1616" s="38"/>
      <c r="AHP1616" s="38"/>
      <c r="AHQ1616" s="38"/>
      <c r="AHR1616" s="38"/>
      <c r="AHS1616" s="38"/>
      <c r="AHT1616" s="38"/>
      <c r="AHU1616" s="38"/>
      <c r="AHV1616" s="38"/>
      <c r="AHW1616" s="38"/>
      <c r="AHX1616" s="38"/>
      <c r="AHY1616" s="38"/>
      <c r="AHZ1616" s="38"/>
      <c r="AIA1616" s="38"/>
      <c r="AIB1616" s="38"/>
      <c r="AIC1616" s="38"/>
      <c r="AID1616" s="38"/>
      <c r="AIE1616" s="38"/>
      <c r="AIF1616" s="38"/>
      <c r="AIG1616" s="38"/>
      <c r="AIH1616" s="38"/>
      <c r="AII1616" s="38"/>
      <c r="AIJ1616" s="38"/>
      <c r="AIK1616" s="38"/>
      <c r="AIL1616" s="38"/>
      <c r="AIM1616" s="38"/>
      <c r="AIN1616" s="38"/>
      <c r="AIO1616" s="38"/>
      <c r="AIP1616" s="38"/>
      <c r="AIQ1616" s="38"/>
      <c r="AIR1616" s="38"/>
      <c r="AIS1616" s="38"/>
      <c r="AIT1616" s="38"/>
      <c r="AIU1616" s="38"/>
      <c r="AIV1616" s="38"/>
      <c r="AIW1616" s="38"/>
      <c r="AIX1616" s="38"/>
      <c r="AIY1616" s="38"/>
      <c r="AIZ1616" s="38"/>
      <c r="AJA1616" s="38"/>
      <c r="AJB1616" s="38"/>
      <c r="AJC1616" s="38"/>
      <c r="AJD1616" s="38"/>
      <c r="AJE1616" s="38"/>
      <c r="AJF1616" s="38"/>
      <c r="AJG1616" s="38"/>
      <c r="AJH1616" s="38"/>
      <c r="AJI1616" s="38"/>
      <c r="AJJ1616" s="38"/>
      <c r="AJK1616" s="38"/>
      <c r="AJL1616" s="38"/>
      <c r="AJM1616" s="38"/>
      <c r="AJN1616" s="38"/>
      <c r="AJO1616" s="38"/>
      <c r="AJP1616" s="38"/>
      <c r="AJQ1616" s="38"/>
      <c r="AJR1616" s="38"/>
      <c r="AJS1616" s="38"/>
      <c r="AJT1616" s="38"/>
      <c r="AJU1616" s="38"/>
      <c r="AJV1616" s="38"/>
      <c r="AJW1616" s="38"/>
      <c r="AJX1616" s="38"/>
      <c r="AJY1616" s="38"/>
      <c r="AJZ1616" s="38"/>
      <c r="AKA1616" s="38"/>
      <c r="AKB1616" s="38"/>
      <c r="AKC1616" s="38"/>
      <c r="AKD1616" s="38"/>
      <c r="AKE1616" s="38"/>
      <c r="AKF1616" s="38"/>
      <c r="AKG1616" s="38"/>
      <c r="AKH1616" s="38"/>
      <c r="AKI1616" s="38"/>
      <c r="AKJ1616" s="38"/>
      <c r="AKK1616" s="38"/>
      <c r="AKL1616" s="38"/>
      <c r="AKM1616" s="38"/>
      <c r="AKN1616" s="38"/>
      <c r="AKO1616" s="38"/>
      <c r="AKP1616" s="38"/>
      <c r="AKQ1616" s="38"/>
      <c r="AKR1616" s="38"/>
      <c r="AKS1616" s="38"/>
      <c r="AKT1616" s="38"/>
      <c r="AKU1616" s="38"/>
      <c r="AKV1616" s="38"/>
      <c r="AKW1616" s="38"/>
      <c r="AKX1616" s="38"/>
      <c r="AKY1616" s="38"/>
      <c r="AKZ1616" s="38"/>
      <c r="ALA1616" s="38"/>
      <c r="ALB1616" s="38"/>
      <c r="ALC1616" s="38"/>
      <c r="ALD1616" s="38"/>
      <c r="ALE1616" s="38"/>
      <c r="ALF1616" s="38"/>
      <c r="ALG1616" s="38"/>
      <c r="ALH1616" s="38"/>
      <c r="ALI1616" s="38"/>
      <c r="ALJ1616" s="38"/>
      <c r="ALK1616" s="38"/>
      <c r="ALL1616" s="38"/>
      <c r="ALM1616" s="38"/>
      <c r="ALN1616" s="38"/>
      <c r="ALO1616" s="38"/>
      <c r="ALP1616" s="38"/>
      <c r="ALQ1616" s="38"/>
      <c r="ALR1616" s="38"/>
      <c r="ALS1616" s="38"/>
      <c r="ALT1616" s="38"/>
      <c r="ALU1616" s="38"/>
      <c r="ALV1616" s="38"/>
      <c r="ALW1616" s="38"/>
      <c r="ALX1616" s="38"/>
      <c r="ALY1616" s="38"/>
      <c r="ALZ1616" s="38"/>
      <c r="AMA1616" s="38"/>
      <c r="AMB1616" s="38"/>
      <c r="AMC1616" s="38"/>
      <c r="AMD1616" s="38"/>
      <c r="AME1616" s="38"/>
      <c r="AMF1616" s="38"/>
      <c r="AMG1616" s="38"/>
      <c r="AMH1616" s="38"/>
      <c r="AMI1616" s="38"/>
      <c r="AMJ1616" s="38"/>
      <c r="AMK1616" s="38"/>
      <c r="AML1616" s="38"/>
      <c r="AMM1616" s="38"/>
      <c r="AMN1616" s="38"/>
      <c r="AMO1616" s="38"/>
      <c r="AMP1616" s="38"/>
      <c r="AMQ1616" s="38"/>
      <c r="AMR1616" s="38"/>
      <c r="AMS1616" s="38"/>
      <c r="AMT1616" s="38"/>
      <c r="AMU1616" s="38"/>
      <c r="AMV1616" s="38"/>
      <c r="AMW1616" s="38"/>
      <c r="AMX1616" s="38"/>
      <c r="AMY1616" s="38"/>
      <c r="AMZ1616" s="38"/>
      <c r="ANA1616" s="38"/>
      <c r="ANB1616" s="38"/>
      <c r="ANC1616" s="38"/>
      <c r="AND1616" s="38"/>
      <c r="ANE1616" s="38"/>
      <c r="ANF1616" s="38"/>
      <c r="ANG1616" s="38"/>
      <c r="ANH1616" s="38"/>
      <c r="ANI1616" s="38"/>
      <c r="ANJ1616" s="38"/>
      <c r="ANK1616" s="38"/>
      <c r="ANL1616" s="38"/>
      <c r="ANM1616" s="38"/>
      <c r="ANN1616" s="38"/>
      <c r="ANO1616" s="38"/>
      <c r="ANP1616" s="38"/>
      <c r="ANQ1616" s="38"/>
      <c r="ANR1616" s="38"/>
      <c r="ANS1616" s="38"/>
      <c r="ANT1616" s="38"/>
      <c r="ANU1616" s="38"/>
      <c r="ANV1616" s="38"/>
      <c r="ANW1616" s="38"/>
      <c r="ANX1616" s="38"/>
      <c r="ANY1616" s="38"/>
      <c r="ANZ1616" s="38"/>
      <c r="AOA1616" s="38"/>
      <c r="AOB1616" s="38"/>
      <c r="AOC1616" s="38"/>
      <c r="AOD1616" s="38"/>
      <c r="AOE1616" s="38"/>
      <c r="AOF1616" s="38"/>
      <c r="AOG1616" s="38"/>
      <c r="AOH1616" s="38"/>
      <c r="AOI1616" s="38"/>
      <c r="AOJ1616" s="38"/>
      <c r="AOK1616" s="38"/>
      <c r="AOL1616" s="38"/>
      <c r="AOM1616" s="38"/>
      <c r="AON1616" s="38"/>
      <c r="AOO1616" s="38"/>
      <c r="AOP1616" s="38"/>
      <c r="AOQ1616" s="38"/>
      <c r="AOR1616" s="38"/>
      <c r="AOS1616" s="38"/>
      <c r="AOT1616" s="38"/>
      <c r="AOU1616" s="38"/>
      <c r="AOV1616" s="38"/>
      <c r="AOW1616" s="38"/>
      <c r="AOX1616" s="38"/>
      <c r="AOY1616" s="38"/>
      <c r="AOZ1616" s="38"/>
      <c r="APA1616" s="38"/>
      <c r="APB1616" s="38"/>
      <c r="APC1616" s="38"/>
    </row>
    <row r="1617" spans="1:1095" s="36" customFormat="1" ht="14.25" customHeight="1">
      <c r="A1617" s="3" t="s">
        <v>1722</v>
      </c>
      <c r="B1617" s="36" t="s">
        <v>3907</v>
      </c>
      <c r="C1617" s="10">
        <v>4099854026294</v>
      </c>
      <c r="D1617" s="224">
        <v>4058075546813</v>
      </c>
      <c r="E1617" s="245" t="s">
        <v>1563</v>
      </c>
      <c r="F1617" s="246"/>
      <c r="G1617" s="66" t="str">
        <f>HYPERLINK("https://ledvance.com/pt/product-datasheet/245362/229040","Ficha de Produto")</f>
        <v>Ficha de Produto</v>
      </c>
      <c r="H1617" s="217">
        <v>10</v>
      </c>
      <c r="I1617" s="34" t="s">
        <v>767</v>
      </c>
      <c r="J1617" s="34" t="s">
        <v>860</v>
      </c>
      <c r="K1617" s="34" t="s">
        <v>788</v>
      </c>
      <c r="L1617" s="34" t="s">
        <v>765</v>
      </c>
      <c r="M1617" s="247">
        <v>44.400000000000006</v>
      </c>
      <c r="N1617" s="288" t="s">
        <v>722</v>
      </c>
    </row>
    <row r="1618" spans="1:1095" s="36" customFormat="1" ht="14.25" customHeight="1">
      <c r="A1618" s="3" t="s">
        <v>1722</v>
      </c>
      <c r="B1618" s="36" t="s">
        <v>3908</v>
      </c>
      <c r="C1618" s="10">
        <v>4099854026331</v>
      </c>
      <c r="D1618" s="224">
        <v>4058075546837</v>
      </c>
      <c r="E1618" s="245" t="s">
        <v>1564</v>
      </c>
      <c r="F1618" s="246"/>
      <c r="G1618" s="66" t="str">
        <f>HYPERLINK("https://ledvance.com/pt/product-datasheet/245362/229043","Ficha de Produto")</f>
        <v>Ficha de Produto</v>
      </c>
      <c r="H1618" s="217">
        <v>10</v>
      </c>
      <c r="I1618" s="34" t="s">
        <v>767</v>
      </c>
      <c r="J1618" s="34" t="s">
        <v>860</v>
      </c>
      <c r="K1618" s="34" t="s">
        <v>788</v>
      </c>
      <c r="L1618" s="34" t="s">
        <v>765</v>
      </c>
      <c r="M1618" s="247">
        <v>44.400000000000006</v>
      </c>
      <c r="N1618" s="288" t="s">
        <v>722</v>
      </c>
    </row>
    <row r="1619" spans="1:1095" s="36" customFormat="1" ht="14.25" customHeight="1">
      <c r="A1619" s="3" t="s">
        <v>1722</v>
      </c>
      <c r="B1619" s="36" t="s">
        <v>3909</v>
      </c>
      <c r="C1619" s="10">
        <v>4099854026577</v>
      </c>
      <c r="D1619" s="224">
        <v>4058075546851</v>
      </c>
      <c r="E1619" s="245" t="s">
        <v>1565</v>
      </c>
      <c r="F1619" s="246"/>
      <c r="G1619" s="66" t="str">
        <f>HYPERLINK("https://ledvance.com/pt/product-datasheet/245362/229046","Ficha de Produto")</f>
        <v>Ficha de Produto</v>
      </c>
      <c r="H1619" s="217">
        <v>10</v>
      </c>
      <c r="I1619" s="34" t="s">
        <v>847</v>
      </c>
      <c r="J1619" s="34" t="s">
        <v>875</v>
      </c>
      <c r="K1619" s="34" t="s">
        <v>788</v>
      </c>
      <c r="L1619" s="34" t="s">
        <v>765</v>
      </c>
      <c r="M1619" s="247">
        <v>50.2</v>
      </c>
      <c r="N1619" s="288" t="s">
        <v>722</v>
      </c>
    </row>
    <row r="1620" spans="1:1095" s="36" customFormat="1" ht="14.25" customHeight="1">
      <c r="A1620" s="3" t="s">
        <v>1722</v>
      </c>
      <c r="B1620" s="36" t="s">
        <v>3910</v>
      </c>
      <c r="C1620" s="10">
        <v>4099854026591</v>
      </c>
      <c r="D1620" s="224">
        <v>4058075546875</v>
      </c>
      <c r="E1620" s="245" t="s">
        <v>1566</v>
      </c>
      <c r="F1620" s="246"/>
      <c r="G1620" s="66" t="str">
        <f>HYPERLINK("https://ledvance.com/pt/product-datasheet/245362/229049","Ficha de Produto")</f>
        <v>Ficha de Produto</v>
      </c>
      <c r="H1620" s="217">
        <v>10</v>
      </c>
      <c r="I1620" s="34" t="s">
        <v>847</v>
      </c>
      <c r="J1620" s="34" t="s">
        <v>875</v>
      </c>
      <c r="K1620" s="34" t="s">
        <v>788</v>
      </c>
      <c r="L1620" s="34" t="s">
        <v>765</v>
      </c>
      <c r="M1620" s="247">
        <v>50.2</v>
      </c>
      <c r="N1620" s="288" t="s">
        <v>722</v>
      </c>
    </row>
    <row r="1621" spans="1:1095" s="39" customFormat="1" ht="14.25" customHeight="1">
      <c r="A1621" s="8" t="s">
        <v>1722</v>
      </c>
      <c r="B1621" s="244" t="s">
        <v>2051</v>
      </c>
      <c r="C1621" s="244"/>
      <c r="D1621" s="7"/>
      <c r="E1621" s="230"/>
      <c r="F1621" s="7"/>
      <c r="G1621" s="68"/>
      <c r="H1621" s="230"/>
      <c r="I1621" s="230"/>
      <c r="J1621" s="230"/>
      <c r="K1621" s="230"/>
      <c r="L1621" s="230"/>
      <c r="M1621" s="248"/>
      <c r="N1621" s="292"/>
      <c r="O1621" s="38"/>
      <c r="P1621" s="38"/>
      <c r="Q1621" s="38"/>
      <c r="R1621" s="38"/>
      <c r="S1621" s="38"/>
      <c r="T1621" s="38"/>
      <c r="U1621" s="38"/>
      <c r="V1621" s="38"/>
      <c r="W1621" s="38"/>
      <c r="X1621" s="38"/>
      <c r="Y1621" s="38"/>
      <c r="Z1621" s="38"/>
      <c r="AA1621" s="38"/>
      <c r="AB1621" s="38"/>
      <c r="AC1621" s="38"/>
      <c r="AD1621" s="38"/>
      <c r="AE1621" s="38"/>
      <c r="AF1621" s="38"/>
      <c r="AG1621" s="38"/>
      <c r="AH1621" s="38"/>
      <c r="AI1621" s="38"/>
      <c r="AJ1621" s="38"/>
      <c r="AK1621" s="38"/>
      <c r="AL1621" s="38"/>
      <c r="AM1621" s="38"/>
      <c r="AN1621" s="38"/>
      <c r="AO1621" s="38"/>
      <c r="AP1621" s="38"/>
      <c r="AQ1621" s="38"/>
      <c r="AR1621" s="38"/>
      <c r="AS1621" s="38"/>
      <c r="AT1621" s="38"/>
      <c r="AU1621" s="38"/>
      <c r="AV1621" s="38"/>
      <c r="AW1621" s="38"/>
      <c r="AX1621" s="38"/>
      <c r="AY1621" s="38"/>
      <c r="AZ1621" s="38"/>
      <c r="BA1621" s="38"/>
      <c r="BB1621" s="38"/>
      <c r="BC1621" s="38"/>
      <c r="BD1621" s="38"/>
      <c r="BE1621" s="38"/>
      <c r="BF1621" s="38"/>
      <c r="BG1621" s="38"/>
      <c r="BH1621" s="38"/>
      <c r="BI1621" s="38"/>
      <c r="BJ1621" s="38"/>
      <c r="BK1621" s="38"/>
      <c r="BL1621" s="38"/>
      <c r="BM1621" s="38"/>
      <c r="BN1621" s="38"/>
      <c r="BO1621" s="38"/>
      <c r="BP1621" s="38"/>
      <c r="BQ1621" s="38"/>
      <c r="BR1621" s="38"/>
      <c r="BS1621" s="38"/>
      <c r="BT1621" s="38"/>
      <c r="BU1621" s="38"/>
      <c r="BV1621" s="38"/>
      <c r="BW1621" s="38"/>
      <c r="BX1621" s="38"/>
      <c r="BY1621" s="38"/>
      <c r="BZ1621" s="38"/>
      <c r="CA1621" s="38"/>
      <c r="CB1621" s="38"/>
      <c r="CC1621" s="38"/>
      <c r="CD1621" s="38"/>
      <c r="CE1621" s="38"/>
      <c r="CF1621" s="38"/>
      <c r="CG1621" s="38"/>
      <c r="CH1621" s="38"/>
      <c r="CI1621" s="38"/>
      <c r="CJ1621" s="38"/>
      <c r="CK1621" s="38"/>
      <c r="CL1621" s="38"/>
      <c r="CM1621" s="38"/>
      <c r="CN1621" s="38"/>
      <c r="CO1621" s="38"/>
      <c r="CP1621" s="38"/>
      <c r="CQ1621" s="38"/>
      <c r="CR1621" s="38"/>
      <c r="CS1621" s="38"/>
      <c r="CT1621" s="38"/>
      <c r="CU1621" s="38"/>
      <c r="CV1621" s="38"/>
      <c r="CW1621" s="38"/>
      <c r="CX1621" s="38"/>
      <c r="CY1621" s="38"/>
      <c r="CZ1621" s="38"/>
      <c r="DA1621" s="38"/>
      <c r="DB1621" s="38"/>
      <c r="DC1621" s="38"/>
      <c r="DD1621" s="38"/>
      <c r="DE1621" s="38"/>
      <c r="DF1621" s="38"/>
      <c r="DG1621" s="38"/>
      <c r="DH1621" s="38"/>
      <c r="DI1621" s="38"/>
      <c r="DJ1621" s="38"/>
      <c r="DK1621" s="38"/>
      <c r="DL1621" s="38"/>
      <c r="DM1621" s="38"/>
      <c r="DN1621" s="38"/>
      <c r="DO1621" s="38"/>
      <c r="DP1621" s="38"/>
      <c r="DQ1621" s="38"/>
      <c r="DR1621" s="38"/>
      <c r="DS1621" s="38"/>
      <c r="DT1621" s="38"/>
      <c r="DU1621" s="38"/>
      <c r="DV1621" s="38"/>
      <c r="DW1621" s="38"/>
      <c r="DX1621" s="38"/>
      <c r="DY1621" s="38"/>
      <c r="DZ1621" s="38"/>
      <c r="EA1621" s="38"/>
      <c r="EB1621" s="38"/>
      <c r="EC1621" s="38"/>
      <c r="ED1621" s="38"/>
      <c r="EE1621" s="38"/>
      <c r="EF1621" s="38"/>
      <c r="EG1621" s="38"/>
      <c r="EH1621" s="38"/>
      <c r="EI1621" s="38"/>
      <c r="EJ1621" s="38"/>
      <c r="EK1621" s="38"/>
      <c r="EL1621" s="38"/>
      <c r="EM1621" s="38"/>
      <c r="EN1621" s="38"/>
      <c r="EO1621" s="38"/>
      <c r="EP1621" s="38"/>
      <c r="EQ1621" s="38"/>
      <c r="ER1621" s="38"/>
      <c r="ES1621" s="38"/>
      <c r="ET1621" s="38"/>
      <c r="EU1621" s="38"/>
      <c r="EV1621" s="38"/>
      <c r="EW1621" s="38"/>
      <c r="EX1621" s="38"/>
      <c r="EY1621" s="38"/>
      <c r="EZ1621" s="38"/>
      <c r="FA1621" s="38"/>
      <c r="FB1621" s="38"/>
      <c r="FC1621" s="38"/>
      <c r="FD1621" s="38"/>
      <c r="FE1621" s="38"/>
      <c r="FF1621" s="38"/>
      <c r="FG1621" s="38"/>
      <c r="FH1621" s="38"/>
      <c r="FI1621" s="38"/>
      <c r="FJ1621" s="38"/>
      <c r="FK1621" s="38"/>
      <c r="FL1621" s="38"/>
      <c r="FM1621" s="38"/>
      <c r="FN1621" s="38"/>
      <c r="FO1621" s="38"/>
      <c r="FP1621" s="38"/>
      <c r="FQ1621" s="38"/>
      <c r="FR1621" s="38"/>
      <c r="FS1621" s="38"/>
      <c r="FT1621" s="38"/>
      <c r="FU1621" s="38"/>
      <c r="FV1621" s="38"/>
      <c r="FW1621" s="38"/>
      <c r="FX1621" s="38"/>
      <c r="FY1621" s="38"/>
      <c r="FZ1621" s="38"/>
      <c r="GA1621" s="38"/>
      <c r="GB1621" s="38"/>
      <c r="GC1621" s="38"/>
      <c r="GD1621" s="38"/>
      <c r="GE1621" s="38"/>
      <c r="GF1621" s="38"/>
      <c r="GG1621" s="38"/>
      <c r="GH1621" s="38"/>
      <c r="GI1621" s="38"/>
      <c r="GJ1621" s="38"/>
      <c r="GK1621" s="38"/>
      <c r="GL1621" s="38"/>
      <c r="GM1621" s="38"/>
      <c r="GN1621" s="38"/>
      <c r="GO1621" s="38"/>
      <c r="GP1621" s="38"/>
      <c r="GQ1621" s="38"/>
      <c r="GR1621" s="38"/>
      <c r="GS1621" s="38"/>
      <c r="GT1621" s="38"/>
      <c r="GU1621" s="38"/>
      <c r="GV1621" s="38"/>
      <c r="GW1621" s="38"/>
      <c r="GX1621" s="38"/>
      <c r="GY1621" s="38"/>
      <c r="GZ1621" s="38"/>
      <c r="HA1621" s="38"/>
      <c r="HB1621" s="38"/>
      <c r="HC1621" s="38"/>
      <c r="HD1621" s="38"/>
      <c r="HE1621" s="38"/>
      <c r="HF1621" s="38"/>
      <c r="HG1621" s="38"/>
      <c r="HH1621" s="38"/>
      <c r="HI1621" s="38"/>
      <c r="HJ1621" s="38"/>
      <c r="HK1621" s="38"/>
      <c r="HL1621" s="38"/>
      <c r="HM1621" s="38"/>
      <c r="HN1621" s="38"/>
      <c r="HO1621" s="38"/>
      <c r="HP1621" s="38"/>
      <c r="HQ1621" s="38"/>
      <c r="HR1621" s="38"/>
      <c r="HS1621" s="38"/>
      <c r="HT1621" s="38"/>
      <c r="HU1621" s="38"/>
      <c r="HV1621" s="38"/>
      <c r="HW1621" s="38"/>
      <c r="HX1621" s="38"/>
      <c r="HY1621" s="38"/>
      <c r="HZ1621" s="38"/>
      <c r="IA1621" s="38"/>
      <c r="IB1621" s="38"/>
      <c r="IC1621" s="38"/>
      <c r="ID1621" s="38"/>
      <c r="IE1621" s="38"/>
      <c r="IF1621" s="38"/>
      <c r="IG1621" s="38"/>
      <c r="IH1621" s="38"/>
      <c r="II1621" s="38"/>
      <c r="IJ1621" s="38"/>
      <c r="IK1621" s="38"/>
      <c r="IL1621" s="38"/>
      <c r="IM1621" s="38"/>
      <c r="IN1621" s="38"/>
      <c r="IO1621" s="38"/>
      <c r="IP1621" s="38"/>
      <c r="IQ1621" s="38"/>
      <c r="IR1621" s="38"/>
      <c r="IS1621" s="38"/>
      <c r="IT1621" s="38"/>
      <c r="IU1621" s="38"/>
      <c r="IV1621" s="38"/>
      <c r="IW1621" s="38"/>
      <c r="IX1621" s="38"/>
      <c r="IY1621" s="38"/>
      <c r="IZ1621" s="38"/>
      <c r="JA1621" s="38"/>
      <c r="JB1621" s="38"/>
      <c r="JC1621" s="38"/>
      <c r="JD1621" s="38"/>
      <c r="JE1621" s="38"/>
      <c r="JF1621" s="38"/>
      <c r="JG1621" s="38"/>
      <c r="JH1621" s="38"/>
      <c r="JI1621" s="38"/>
      <c r="JJ1621" s="38"/>
      <c r="JK1621" s="38"/>
      <c r="JL1621" s="38"/>
      <c r="JM1621" s="38"/>
      <c r="JN1621" s="38"/>
      <c r="JO1621" s="38"/>
      <c r="JP1621" s="38"/>
      <c r="JQ1621" s="38"/>
      <c r="JR1621" s="38"/>
      <c r="JS1621" s="38"/>
      <c r="JT1621" s="38"/>
      <c r="JU1621" s="38"/>
      <c r="JV1621" s="38"/>
      <c r="JW1621" s="38"/>
      <c r="JX1621" s="38"/>
      <c r="JY1621" s="38"/>
      <c r="JZ1621" s="38"/>
      <c r="KA1621" s="38"/>
      <c r="KB1621" s="38"/>
      <c r="KC1621" s="38"/>
      <c r="KD1621" s="38"/>
      <c r="KE1621" s="38"/>
      <c r="KF1621" s="38"/>
      <c r="KG1621" s="38"/>
      <c r="KH1621" s="38"/>
      <c r="KI1621" s="38"/>
      <c r="KJ1621" s="38"/>
      <c r="KK1621" s="38"/>
      <c r="KL1621" s="38"/>
      <c r="KM1621" s="38"/>
      <c r="KN1621" s="38"/>
      <c r="KO1621" s="38"/>
      <c r="KP1621" s="38"/>
      <c r="KQ1621" s="38"/>
      <c r="KR1621" s="38"/>
      <c r="KS1621" s="38"/>
      <c r="KT1621" s="38"/>
      <c r="KU1621" s="38"/>
      <c r="KV1621" s="38"/>
      <c r="KW1621" s="38"/>
      <c r="KX1621" s="38"/>
      <c r="KY1621" s="38"/>
      <c r="KZ1621" s="38"/>
      <c r="LA1621" s="38"/>
      <c r="LB1621" s="38"/>
      <c r="LC1621" s="38"/>
      <c r="LD1621" s="38"/>
      <c r="LE1621" s="38"/>
      <c r="LF1621" s="38"/>
      <c r="LG1621" s="38"/>
      <c r="LH1621" s="38"/>
      <c r="LI1621" s="38"/>
      <c r="LJ1621" s="38"/>
      <c r="LK1621" s="38"/>
      <c r="LL1621" s="38"/>
      <c r="LM1621" s="38"/>
      <c r="LN1621" s="38"/>
      <c r="LO1621" s="38"/>
      <c r="LP1621" s="38"/>
      <c r="LQ1621" s="38"/>
      <c r="LR1621" s="38"/>
      <c r="LS1621" s="38"/>
      <c r="LT1621" s="38"/>
      <c r="LU1621" s="38"/>
      <c r="LV1621" s="38"/>
      <c r="LW1621" s="38"/>
      <c r="LX1621" s="38"/>
      <c r="LY1621" s="38"/>
      <c r="LZ1621" s="38"/>
      <c r="MA1621" s="38"/>
      <c r="MB1621" s="38"/>
      <c r="MC1621" s="38"/>
      <c r="MD1621" s="38"/>
      <c r="ME1621" s="38"/>
      <c r="MF1621" s="38"/>
      <c r="MG1621" s="38"/>
      <c r="MH1621" s="38"/>
      <c r="MI1621" s="38"/>
      <c r="MJ1621" s="38"/>
      <c r="MK1621" s="38"/>
      <c r="ML1621" s="38"/>
      <c r="MM1621" s="38"/>
      <c r="MN1621" s="38"/>
      <c r="MO1621" s="38"/>
      <c r="MP1621" s="38"/>
      <c r="MQ1621" s="38"/>
      <c r="MR1621" s="38"/>
      <c r="MS1621" s="38"/>
      <c r="MT1621" s="38"/>
      <c r="MU1621" s="38"/>
      <c r="MV1621" s="38"/>
      <c r="MW1621" s="38"/>
      <c r="MX1621" s="38"/>
      <c r="MY1621" s="38"/>
      <c r="MZ1621" s="38"/>
      <c r="NA1621" s="38"/>
      <c r="NB1621" s="38"/>
      <c r="NC1621" s="38"/>
      <c r="ND1621" s="38"/>
      <c r="NE1621" s="38"/>
      <c r="NF1621" s="38"/>
      <c r="NG1621" s="38"/>
      <c r="NH1621" s="38"/>
      <c r="NI1621" s="38"/>
      <c r="NJ1621" s="38"/>
      <c r="NK1621" s="38"/>
      <c r="NL1621" s="38"/>
      <c r="NM1621" s="38"/>
      <c r="NN1621" s="38"/>
      <c r="NO1621" s="38"/>
      <c r="NP1621" s="38"/>
      <c r="NQ1621" s="38"/>
      <c r="NR1621" s="38"/>
      <c r="NS1621" s="38"/>
      <c r="NT1621" s="38"/>
      <c r="NU1621" s="38"/>
      <c r="NV1621" s="38"/>
      <c r="NW1621" s="38"/>
      <c r="NX1621" s="38"/>
      <c r="NY1621" s="38"/>
      <c r="NZ1621" s="38"/>
      <c r="OA1621" s="38"/>
      <c r="OB1621" s="38"/>
      <c r="OC1621" s="38"/>
      <c r="OD1621" s="38"/>
      <c r="OE1621" s="38"/>
      <c r="OF1621" s="38"/>
      <c r="OG1621" s="38"/>
      <c r="OH1621" s="38"/>
      <c r="OI1621" s="38"/>
      <c r="OJ1621" s="38"/>
      <c r="OK1621" s="38"/>
      <c r="OL1621" s="38"/>
      <c r="OM1621" s="38"/>
      <c r="ON1621" s="38"/>
      <c r="OO1621" s="38"/>
      <c r="OP1621" s="38"/>
      <c r="OQ1621" s="38"/>
      <c r="OR1621" s="38"/>
      <c r="OS1621" s="38"/>
      <c r="OT1621" s="38"/>
      <c r="OU1621" s="38"/>
      <c r="OV1621" s="38"/>
      <c r="OW1621" s="38"/>
      <c r="OX1621" s="38"/>
      <c r="OY1621" s="38"/>
      <c r="OZ1621" s="38"/>
      <c r="PA1621" s="38"/>
      <c r="PB1621" s="38"/>
      <c r="PC1621" s="38"/>
      <c r="PD1621" s="38"/>
      <c r="PE1621" s="38"/>
      <c r="PF1621" s="38"/>
      <c r="PG1621" s="38"/>
      <c r="PH1621" s="38"/>
      <c r="PI1621" s="38"/>
      <c r="PJ1621" s="38"/>
      <c r="PK1621" s="38"/>
      <c r="PL1621" s="38"/>
      <c r="PM1621" s="38"/>
      <c r="PN1621" s="38"/>
      <c r="PO1621" s="38"/>
      <c r="PP1621" s="38"/>
      <c r="PQ1621" s="38"/>
      <c r="PR1621" s="38"/>
      <c r="PS1621" s="38"/>
      <c r="PT1621" s="38"/>
      <c r="PU1621" s="38"/>
      <c r="PV1621" s="38"/>
      <c r="PW1621" s="38"/>
      <c r="PX1621" s="38"/>
      <c r="PY1621" s="38"/>
      <c r="PZ1621" s="38"/>
      <c r="QA1621" s="38"/>
      <c r="QB1621" s="38"/>
      <c r="QC1621" s="38"/>
      <c r="QD1621" s="38"/>
      <c r="QE1621" s="38"/>
      <c r="QF1621" s="38"/>
      <c r="QG1621" s="38"/>
      <c r="QH1621" s="38"/>
      <c r="QI1621" s="38"/>
      <c r="QJ1621" s="38"/>
      <c r="QK1621" s="38"/>
      <c r="QL1621" s="38"/>
      <c r="QM1621" s="38"/>
      <c r="QN1621" s="38"/>
      <c r="QO1621" s="38"/>
      <c r="QP1621" s="38"/>
      <c r="QQ1621" s="38"/>
      <c r="QR1621" s="38"/>
      <c r="QS1621" s="38"/>
      <c r="QT1621" s="38"/>
      <c r="QU1621" s="38"/>
      <c r="QV1621" s="38"/>
      <c r="QW1621" s="38"/>
      <c r="QX1621" s="38"/>
      <c r="QY1621" s="38"/>
      <c r="QZ1621" s="38"/>
      <c r="RA1621" s="38"/>
      <c r="RB1621" s="38"/>
      <c r="RC1621" s="38"/>
      <c r="RD1621" s="38"/>
      <c r="RE1621" s="38"/>
      <c r="RF1621" s="38"/>
      <c r="RG1621" s="38"/>
      <c r="RH1621" s="38"/>
      <c r="RI1621" s="38"/>
      <c r="RJ1621" s="38"/>
      <c r="RK1621" s="38"/>
      <c r="RL1621" s="38"/>
      <c r="RM1621" s="38"/>
      <c r="RN1621" s="38"/>
      <c r="RO1621" s="38"/>
      <c r="RP1621" s="38"/>
      <c r="RQ1621" s="38"/>
      <c r="RR1621" s="38"/>
      <c r="RS1621" s="38"/>
      <c r="RT1621" s="38"/>
      <c r="RU1621" s="38"/>
      <c r="RV1621" s="38"/>
      <c r="RW1621" s="38"/>
      <c r="RX1621" s="38"/>
      <c r="RY1621" s="38"/>
      <c r="RZ1621" s="38"/>
      <c r="SA1621" s="38"/>
      <c r="SB1621" s="38"/>
      <c r="SC1621" s="38"/>
      <c r="SD1621" s="38"/>
      <c r="SE1621" s="38"/>
      <c r="SF1621" s="38"/>
      <c r="SG1621" s="38"/>
      <c r="SH1621" s="38"/>
      <c r="SI1621" s="38"/>
      <c r="SJ1621" s="38"/>
      <c r="SK1621" s="38"/>
      <c r="SL1621" s="38"/>
      <c r="SM1621" s="38"/>
      <c r="SN1621" s="38"/>
      <c r="SO1621" s="38"/>
      <c r="SP1621" s="38"/>
      <c r="SQ1621" s="38"/>
      <c r="SR1621" s="38"/>
      <c r="SS1621" s="38"/>
      <c r="ST1621" s="38"/>
      <c r="SU1621" s="38"/>
      <c r="SV1621" s="38"/>
      <c r="SW1621" s="38"/>
      <c r="SX1621" s="38"/>
      <c r="SY1621" s="38"/>
      <c r="SZ1621" s="38"/>
      <c r="TA1621" s="38"/>
      <c r="TB1621" s="38"/>
      <c r="TC1621" s="38"/>
      <c r="TD1621" s="38"/>
      <c r="TE1621" s="38"/>
      <c r="TF1621" s="38"/>
      <c r="TG1621" s="38"/>
      <c r="TH1621" s="38"/>
      <c r="TI1621" s="38"/>
      <c r="TJ1621" s="38"/>
      <c r="TK1621" s="38"/>
      <c r="TL1621" s="38"/>
      <c r="TM1621" s="38"/>
      <c r="TN1621" s="38"/>
      <c r="TO1621" s="38"/>
      <c r="TP1621" s="38"/>
      <c r="TQ1621" s="38"/>
      <c r="TR1621" s="38"/>
      <c r="TS1621" s="38"/>
      <c r="TT1621" s="38"/>
      <c r="TU1621" s="38"/>
      <c r="TV1621" s="38"/>
      <c r="TW1621" s="38"/>
      <c r="TX1621" s="38"/>
      <c r="TY1621" s="38"/>
      <c r="TZ1621" s="38"/>
      <c r="UA1621" s="38"/>
      <c r="UB1621" s="38"/>
      <c r="UC1621" s="38"/>
      <c r="UD1621" s="38"/>
      <c r="UE1621" s="38"/>
      <c r="UF1621" s="38"/>
      <c r="UG1621" s="38"/>
      <c r="UH1621" s="38"/>
      <c r="UI1621" s="38"/>
      <c r="UJ1621" s="38"/>
      <c r="UK1621" s="38"/>
      <c r="UL1621" s="38"/>
      <c r="UM1621" s="38"/>
      <c r="UN1621" s="38"/>
      <c r="UO1621" s="38"/>
      <c r="UP1621" s="38"/>
      <c r="UQ1621" s="38"/>
      <c r="UR1621" s="38"/>
      <c r="US1621" s="38"/>
      <c r="UT1621" s="38"/>
      <c r="UU1621" s="38"/>
      <c r="UV1621" s="38"/>
      <c r="UW1621" s="38"/>
      <c r="UX1621" s="38"/>
      <c r="UY1621" s="38"/>
      <c r="UZ1621" s="38"/>
      <c r="VA1621" s="38"/>
      <c r="VB1621" s="38"/>
      <c r="VC1621" s="38"/>
      <c r="VD1621" s="38"/>
      <c r="VE1621" s="38"/>
      <c r="VF1621" s="38"/>
      <c r="VG1621" s="38"/>
      <c r="VH1621" s="38"/>
      <c r="VI1621" s="38"/>
      <c r="VJ1621" s="38"/>
      <c r="VK1621" s="38"/>
      <c r="VL1621" s="38"/>
      <c r="VM1621" s="38"/>
      <c r="VN1621" s="38"/>
      <c r="VO1621" s="38"/>
      <c r="VP1621" s="38"/>
      <c r="VQ1621" s="38"/>
      <c r="VR1621" s="38"/>
      <c r="VS1621" s="38"/>
      <c r="VT1621" s="38"/>
      <c r="VU1621" s="38"/>
      <c r="VV1621" s="38"/>
      <c r="VW1621" s="38"/>
      <c r="VX1621" s="38"/>
      <c r="VY1621" s="38"/>
      <c r="VZ1621" s="38"/>
      <c r="WA1621" s="38"/>
      <c r="WB1621" s="38"/>
      <c r="WC1621" s="38"/>
      <c r="WD1621" s="38"/>
      <c r="WE1621" s="38"/>
      <c r="WF1621" s="38"/>
      <c r="WG1621" s="38"/>
      <c r="WH1621" s="38"/>
      <c r="WI1621" s="38"/>
      <c r="WJ1621" s="38"/>
      <c r="WK1621" s="38"/>
      <c r="WL1621" s="38"/>
      <c r="WM1621" s="38"/>
      <c r="WN1621" s="38"/>
      <c r="WO1621" s="38"/>
      <c r="WP1621" s="38"/>
      <c r="WQ1621" s="38"/>
      <c r="WR1621" s="38"/>
      <c r="WS1621" s="38"/>
      <c r="WT1621" s="38"/>
      <c r="WU1621" s="38"/>
      <c r="WV1621" s="38"/>
      <c r="WW1621" s="38"/>
      <c r="WX1621" s="38"/>
      <c r="WY1621" s="38"/>
      <c r="WZ1621" s="38"/>
      <c r="XA1621" s="38"/>
      <c r="XB1621" s="38"/>
      <c r="XC1621" s="38"/>
      <c r="XD1621" s="38"/>
      <c r="XE1621" s="38"/>
      <c r="XF1621" s="38"/>
      <c r="XG1621" s="38"/>
      <c r="XH1621" s="38"/>
      <c r="XI1621" s="38"/>
      <c r="XJ1621" s="38"/>
      <c r="XK1621" s="38"/>
      <c r="XL1621" s="38"/>
      <c r="XM1621" s="38"/>
      <c r="XN1621" s="38"/>
      <c r="XO1621" s="38"/>
      <c r="XP1621" s="38"/>
      <c r="XQ1621" s="38"/>
      <c r="XR1621" s="38"/>
      <c r="XS1621" s="38"/>
      <c r="XT1621" s="38"/>
      <c r="XU1621" s="38"/>
      <c r="XV1621" s="38"/>
      <c r="XW1621" s="38"/>
      <c r="XX1621" s="38"/>
      <c r="XY1621" s="38"/>
      <c r="XZ1621" s="38"/>
      <c r="YA1621" s="38"/>
      <c r="YB1621" s="38"/>
      <c r="YC1621" s="38"/>
      <c r="YD1621" s="38"/>
      <c r="YE1621" s="38"/>
      <c r="YF1621" s="38"/>
      <c r="YG1621" s="38"/>
      <c r="YH1621" s="38"/>
      <c r="YI1621" s="38"/>
      <c r="YJ1621" s="38"/>
      <c r="YK1621" s="38"/>
      <c r="YL1621" s="38"/>
      <c r="YM1621" s="38"/>
      <c r="YN1621" s="38"/>
      <c r="YO1621" s="38"/>
      <c r="YP1621" s="38"/>
      <c r="YQ1621" s="38"/>
      <c r="YR1621" s="38"/>
      <c r="YS1621" s="38"/>
      <c r="YT1621" s="38"/>
      <c r="YU1621" s="38"/>
      <c r="YV1621" s="38"/>
      <c r="YW1621" s="38"/>
      <c r="YX1621" s="38"/>
      <c r="YY1621" s="38"/>
      <c r="YZ1621" s="38"/>
      <c r="ZA1621" s="38"/>
      <c r="ZB1621" s="38"/>
      <c r="ZC1621" s="38"/>
      <c r="ZD1621" s="38"/>
      <c r="ZE1621" s="38"/>
      <c r="ZF1621" s="38"/>
      <c r="ZG1621" s="38"/>
      <c r="ZH1621" s="38"/>
      <c r="ZI1621" s="38"/>
      <c r="ZJ1621" s="38"/>
      <c r="ZK1621" s="38"/>
      <c r="ZL1621" s="38"/>
      <c r="ZM1621" s="38"/>
      <c r="ZN1621" s="38"/>
      <c r="ZO1621" s="38"/>
      <c r="ZP1621" s="38"/>
      <c r="ZQ1621" s="38"/>
      <c r="ZR1621" s="38"/>
      <c r="ZS1621" s="38"/>
      <c r="ZT1621" s="38"/>
      <c r="ZU1621" s="38"/>
      <c r="ZV1621" s="38"/>
      <c r="ZW1621" s="38"/>
      <c r="ZX1621" s="38"/>
      <c r="ZY1621" s="38"/>
      <c r="ZZ1621" s="38"/>
      <c r="AAA1621" s="38"/>
      <c r="AAB1621" s="38"/>
      <c r="AAC1621" s="38"/>
      <c r="AAD1621" s="38"/>
      <c r="AAE1621" s="38"/>
      <c r="AAF1621" s="38"/>
      <c r="AAG1621" s="38"/>
      <c r="AAH1621" s="38"/>
      <c r="AAI1621" s="38"/>
      <c r="AAJ1621" s="38"/>
      <c r="AAK1621" s="38"/>
      <c r="AAL1621" s="38"/>
      <c r="AAM1621" s="38"/>
      <c r="AAN1621" s="38"/>
      <c r="AAO1621" s="38"/>
      <c r="AAP1621" s="38"/>
      <c r="AAQ1621" s="38"/>
      <c r="AAR1621" s="38"/>
      <c r="AAS1621" s="38"/>
      <c r="AAT1621" s="38"/>
      <c r="AAU1621" s="38"/>
      <c r="AAV1621" s="38"/>
      <c r="AAW1621" s="38"/>
      <c r="AAX1621" s="38"/>
      <c r="AAY1621" s="38"/>
      <c r="AAZ1621" s="38"/>
      <c r="ABA1621" s="38"/>
      <c r="ABB1621" s="38"/>
      <c r="ABC1621" s="38"/>
      <c r="ABD1621" s="38"/>
      <c r="ABE1621" s="38"/>
      <c r="ABF1621" s="38"/>
      <c r="ABG1621" s="38"/>
      <c r="ABH1621" s="38"/>
      <c r="ABI1621" s="38"/>
      <c r="ABJ1621" s="38"/>
      <c r="ABK1621" s="38"/>
      <c r="ABL1621" s="38"/>
      <c r="ABM1621" s="38"/>
      <c r="ABN1621" s="38"/>
      <c r="ABO1621" s="38"/>
      <c r="ABP1621" s="38"/>
      <c r="ABQ1621" s="38"/>
      <c r="ABR1621" s="38"/>
      <c r="ABS1621" s="38"/>
      <c r="ABT1621" s="38"/>
      <c r="ABU1621" s="38"/>
      <c r="ABV1621" s="38"/>
      <c r="ABW1621" s="38"/>
      <c r="ABX1621" s="38"/>
      <c r="ABY1621" s="38"/>
      <c r="ABZ1621" s="38"/>
      <c r="ACA1621" s="38"/>
      <c r="ACB1621" s="38"/>
      <c r="ACC1621" s="38"/>
      <c r="ACD1621" s="38"/>
      <c r="ACE1621" s="38"/>
      <c r="ACF1621" s="38"/>
      <c r="ACG1621" s="38"/>
      <c r="ACH1621" s="38"/>
      <c r="ACI1621" s="38"/>
      <c r="ACJ1621" s="38"/>
      <c r="ACK1621" s="38"/>
      <c r="ACL1621" s="38"/>
      <c r="ACM1621" s="38"/>
      <c r="ACN1621" s="38"/>
      <c r="ACO1621" s="38"/>
      <c r="ACP1621" s="38"/>
      <c r="ACQ1621" s="38"/>
      <c r="ACR1621" s="38"/>
      <c r="ACS1621" s="38"/>
      <c r="ACT1621" s="38"/>
      <c r="ACU1621" s="38"/>
      <c r="ACV1621" s="38"/>
      <c r="ACW1621" s="38"/>
      <c r="ACX1621" s="38"/>
      <c r="ACY1621" s="38"/>
      <c r="ACZ1621" s="38"/>
      <c r="ADA1621" s="38"/>
      <c r="ADB1621" s="38"/>
      <c r="ADC1621" s="38"/>
      <c r="ADD1621" s="38"/>
      <c r="ADE1621" s="38"/>
      <c r="ADF1621" s="38"/>
      <c r="ADG1621" s="38"/>
      <c r="ADH1621" s="38"/>
      <c r="ADI1621" s="38"/>
      <c r="ADJ1621" s="38"/>
      <c r="ADK1621" s="38"/>
      <c r="ADL1621" s="38"/>
      <c r="ADM1621" s="38"/>
      <c r="ADN1621" s="38"/>
      <c r="ADO1621" s="38"/>
      <c r="ADP1621" s="38"/>
      <c r="ADQ1621" s="38"/>
      <c r="ADR1621" s="38"/>
      <c r="ADS1621" s="38"/>
      <c r="ADT1621" s="38"/>
      <c r="ADU1621" s="38"/>
      <c r="ADV1621" s="38"/>
      <c r="ADW1621" s="38"/>
      <c r="ADX1621" s="38"/>
      <c r="ADY1621" s="38"/>
      <c r="ADZ1621" s="38"/>
      <c r="AEA1621" s="38"/>
      <c r="AEB1621" s="38"/>
      <c r="AEC1621" s="38"/>
      <c r="AED1621" s="38"/>
      <c r="AEE1621" s="38"/>
      <c r="AEF1621" s="38"/>
      <c r="AEG1621" s="38"/>
      <c r="AEH1621" s="38"/>
      <c r="AEI1621" s="38"/>
      <c r="AEJ1621" s="38"/>
      <c r="AEK1621" s="38"/>
      <c r="AEL1621" s="38"/>
      <c r="AEM1621" s="38"/>
      <c r="AEN1621" s="38"/>
      <c r="AEO1621" s="38"/>
      <c r="AEP1621" s="38"/>
      <c r="AEQ1621" s="38"/>
      <c r="AER1621" s="38"/>
      <c r="AES1621" s="38"/>
      <c r="AET1621" s="38"/>
      <c r="AEU1621" s="38"/>
      <c r="AEV1621" s="38"/>
      <c r="AEW1621" s="38"/>
      <c r="AEX1621" s="38"/>
      <c r="AEY1621" s="38"/>
      <c r="AEZ1621" s="38"/>
      <c r="AFA1621" s="38"/>
      <c r="AFB1621" s="38"/>
      <c r="AFC1621" s="38"/>
      <c r="AFD1621" s="38"/>
      <c r="AFE1621" s="38"/>
      <c r="AFF1621" s="38"/>
      <c r="AFG1621" s="38"/>
      <c r="AFH1621" s="38"/>
      <c r="AFI1621" s="38"/>
      <c r="AFJ1621" s="38"/>
      <c r="AFK1621" s="38"/>
      <c r="AFL1621" s="38"/>
      <c r="AFM1621" s="38"/>
      <c r="AFN1621" s="38"/>
      <c r="AFO1621" s="38"/>
      <c r="AFP1621" s="38"/>
      <c r="AFQ1621" s="38"/>
      <c r="AFR1621" s="38"/>
      <c r="AFS1621" s="38"/>
      <c r="AFT1621" s="38"/>
      <c r="AFU1621" s="38"/>
      <c r="AFV1621" s="38"/>
      <c r="AFW1621" s="38"/>
      <c r="AFX1621" s="38"/>
      <c r="AFY1621" s="38"/>
      <c r="AFZ1621" s="38"/>
      <c r="AGA1621" s="38"/>
      <c r="AGB1621" s="38"/>
      <c r="AGC1621" s="38"/>
      <c r="AGD1621" s="38"/>
      <c r="AGE1621" s="38"/>
      <c r="AGF1621" s="38"/>
      <c r="AGG1621" s="38"/>
      <c r="AGH1621" s="38"/>
      <c r="AGI1621" s="38"/>
      <c r="AGJ1621" s="38"/>
      <c r="AGK1621" s="38"/>
      <c r="AGL1621" s="38"/>
      <c r="AGM1621" s="38"/>
      <c r="AGN1621" s="38"/>
      <c r="AGO1621" s="38"/>
      <c r="AGP1621" s="38"/>
      <c r="AGQ1621" s="38"/>
      <c r="AGR1621" s="38"/>
      <c r="AGS1621" s="38"/>
      <c r="AGT1621" s="38"/>
      <c r="AGU1621" s="38"/>
      <c r="AGV1621" s="38"/>
      <c r="AGW1621" s="38"/>
      <c r="AGX1621" s="38"/>
      <c r="AGY1621" s="38"/>
      <c r="AGZ1621" s="38"/>
      <c r="AHA1621" s="38"/>
      <c r="AHB1621" s="38"/>
      <c r="AHC1621" s="38"/>
      <c r="AHD1621" s="38"/>
      <c r="AHE1621" s="38"/>
      <c r="AHF1621" s="38"/>
      <c r="AHG1621" s="38"/>
      <c r="AHH1621" s="38"/>
      <c r="AHI1621" s="38"/>
      <c r="AHJ1621" s="38"/>
      <c r="AHK1621" s="38"/>
      <c r="AHL1621" s="38"/>
      <c r="AHM1621" s="38"/>
      <c r="AHN1621" s="38"/>
      <c r="AHO1621" s="38"/>
      <c r="AHP1621" s="38"/>
      <c r="AHQ1621" s="38"/>
      <c r="AHR1621" s="38"/>
      <c r="AHS1621" s="38"/>
      <c r="AHT1621" s="38"/>
      <c r="AHU1621" s="38"/>
      <c r="AHV1621" s="38"/>
      <c r="AHW1621" s="38"/>
      <c r="AHX1621" s="38"/>
      <c r="AHY1621" s="38"/>
      <c r="AHZ1621" s="38"/>
      <c r="AIA1621" s="38"/>
      <c r="AIB1621" s="38"/>
      <c r="AIC1621" s="38"/>
      <c r="AID1621" s="38"/>
      <c r="AIE1621" s="38"/>
      <c r="AIF1621" s="38"/>
      <c r="AIG1621" s="38"/>
      <c r="AIH1621" s="38"/>
      <c r="AII1621" s="38"/>
      <c r="AIJ1621" s="38"/>
      <c r="AIK1621" s="38"/>
      <c r="AIL1621" s="38"/>
      <c r="AIM1621" s="38"/>
      <c r="AIN1621" s="38"/>
      <c r="AIO1621" s="38"/>
      <c r="AIP1621" s="38"/>
      <c r="AIQ1621" s="38"/>
      <c r="AIR1621" s="38"/>
      <c r="AIS1621" s="38"/>
      <c r="AIT1621" s="38"/>
      <c r="AIU1621" s="38"/>
      <c r="AIV1621" s="38"/>
      <c r="AIW1621" s="38"/>
      <c r="AIX1621" s="38"/>
      <c r="AIY1621" s="38"/>
      <c r="AIZ1621" s="38"/>
      <c r="AJA1621" s="38"/>
      <c r="AJB1621" s="38"/>
      <c r="AJC1621" s="38"/>
      <c r="AJD1621" s="38"/>
      <c r="AJE1621" s="38"/>
      <c r="AJF1621" s="38"/>
      <c r="AJG1621" s="38"/>
      <c r="AJH1621" s="38"/>
      <c r="AJI1621" s="38"/>
      <c r="AJJ1621" s="38"/>
      <c r="AJK1621" s="38"/>
      <c r="AJL1621" s="38"/>
      <c r="AJM1621" s="38"/>
      <c r="AJN1621" s="38"/>
      <c r="AJO1621" s="38"/>
      <c r="AJP1621" s="38"/>
      <c r="AJQ1621" s="38"/>
      <c r="AJR1621" s="38"/>
      <c r="AJS1621" s="38"/>
      <c r="AJT1621" s="38"/>
      <c r="AJU1621" s="38"/>
      <c r="AJV1621" s="38"/>
      <c r="AJW1621" s="38"/>
      <c r="AJX1621" s="38"/>
      <c r="AJY1621" s="38"/>
      <c r="AJZ1621" s="38"/>
      <c r="AKA1621" s="38"/>
      <c r="AKB1621" s="38"/>
      <c r="AKC1621" s="38"/>
      <c r="AKD1621" s="38"/>
      <c r="AKE1621" s="38"/>
      <c r="AKF1621" s="38"/>
      <c r="AKG1621" s="38"/>
      <c r="AKH1621" s="38"/>
      <c r="AKI1621" s="38"/>
      <c r="AKJ1621" s="38"/>
      <c r="AKK1621" s="38"/>
      <c r="AKL1621" s="38"/>
      <c r="AKM1621" s="38"/>
      <c r="AKN1621" s="38"/>
      <c r="AKO1621" s="38"/>
      <c r="AKP1621" s="38"/>
      <c r="AKQ1621" s="38"/>
      <c r="AKR1621" s="38"/>
      <c r="AKS1621" s="38"/>
      <c r="AKT1621" s="38"/>
      <c r="AKU1621" s="38"/>
      <c r="AKV1621" s="38"/>
      <c r="AKW1621" s="38"/>
      <c r="AKX1621" s="38"/>
      <c r="AKY1621" s="38"/>
      <c r="AKZ1621" s="38"/>
      <c r="ALA1621" s="38"/>
      <c r="ALB1621" s="38"/>
      <c r="ALC1621" s="38"/>
      <c r="ALD1621" s="38"/>
      <c r="ALE1621" s="38"/>
      <c r="ALF1621" s="38"/>
      <c r="ALG1621" s="38"/>
      <c r="ALH1621" s="38"/>
      <c r="ALI1621" s="38"/>
      <c r="ALJ1621" s="38"/>
      <c r="ALK1621" s="38"/>
      <c r="ALL1621" s="38"/>
      <c r="ALM1621" s="38"/>
      <c r="ALN1621" s="38"/>
      <c r="ALO1621" s="38"/>
      <c r="ALP1621" s="38"/>
      <c r="ALQ1621" s="38"/>
      <c r="ALR1621" s="38"/>
      <c r="ALS1621" s="38"/>
      <c r="ALT1621" s="38"/>
      <c r="ALU1621" s="38"/>
      <c r="ALV1621" s="38"/>
      <c r="ALW1621" s="38"/>
      <c r="ALX1621" s="38"/>
      <c r="ALY1621" s="38"/>
      <c r="ALZ1621" s="38"/>
      <c r="AMA1621" s="38"/>
      <c r="AMB1621" s="38"/>
      <c r="AMC1621" s="38"/>
      <c r="AMD1621" s="38"/>
      <c r="AME1621" s="38"/>
      <c r="AMF1621" s="38"/>
      <c r="AMG1621" s="38"/>
      <c r="AMH1621" s="38"/>
      <c r="AMI1621" s="38"/>
      <c r="AMJ1621" s="38"/>
      <c r="AMK1621" s="38"/>
      <c r="AML1621" s="38"/>
      <c r="AMM1621" s="38"/>
      <c r="AMN1621" s="38"/>
      <c r="AMO1621" s="38"/>
      <c r="AMP1621" s="38"/>
      <c r="AMQ1621" s="38"/>
      <c r="AMR1621" s="38"/>
      <c r="AMS1621" s="38"/>
      <c r="AMT1621" s="38"/>
      <c r="AMU1621" s="38"/>
      <c r="AMV1621" s="38"/>
      <c r="AMW1621" s="38"/>
      <c r="AMX1621" s="38"/>
      <c r="AMY1621" s="38"/>
      <c r="AMZ1621" s="38"/>
      <c r="ANA1621" s="38"/>
      <c r="ANB1621" s="38"/>
      <c r="ANC1621" s="38"/>
      <c r="AND1621" s="38"/>
      <c r="ANE1621" s="38"/>
      <c r="ANF1621" s="38"/>
      <c r="ANG1621" s="38"/>
      <c r="ANH1621" s="38"/>
      <c r="ANI1621" s="38"/>
      <c r="ANJ1621" s="38"/>
      <c r="ANK1621" s="38"/>
      <c r="ANL1621" s="38"/>
      <c r="ANM1621" s="38"/>
      <c r="ANN1621" s="38"/>
      <c r="ANO1621" s="38"/>
      <c r="ANP1621" s="38"/>
      <c r="ANQ1621" s="38"/>
      <c r="ANR1621" s="38"/>
      <c r="ANS1621" s="38"/>
      <c r="ANT1621" s="38"/>
      <c r="ANU1621" s="38"/>
      <c r="ANV1621" s="38"/>
      <c r="ANW1621" s="38"/>
      <c r="ANX1621" s="38"/>
      <c r="ANY1621" s="38"/>
      <c r="ANZ1621" s="38"/>
      <c r="AOA1621" s="38"/>
      <c r="AOB1621" s="38"/>
      <c r="AOC1621" s="38"/>
      <c r="AOD1621" s="38"/>
      <c r="AOE1621" s="38"/>
      <c r="AOF1621" s="38"/>
      <c r="AOG1621" s="38"/>
      <c r="AOH1621" s="38"/>
      <c r="AOI1621" s="38"/>
      <c r="AOJ1621" s="38"/>
      <c r="AOK1621" s="38"/>
      <c r="AOL1621" s="38"/>
      <c r="AOM1621" s="38"/>
      <c r="AON1621" s="38"/>
      <c r="AOO1621" s="38"/>
      <c r="AOP1621" s="38"/>
      <c r="AOQ1621" s="38"/>
      <c r="AOR1621" s="38"/>
      <c r="AOS1621" s="38"/>
      <c r="AOT1621" s="38"/>
      <c r="AOU1621" s="38"/>
      <c r="AOV1621" s="38"/>
      <c r="AOW1621" s="38"/>
      <c r="AOX1621" s="38"/>
      <c r="AOY1621" s="38"/>
      <c r="AOZ1621" s="38"/>
      <c r="APA1621" s="38"/>
      <c r="APB1621" s="38"/>
      <c r="APC1621" s="38"/>
    </row>
    <row r="1622" spans="1:1095" s="36" customFormat="1" ht="14.25" customHeight="1">
      <c r="A1622" s="3" t="s">
        <v>1722</v>
      </c>
      <c r="B1622" s="36" t="s">
        <v>3911</v>
      </c>
      <c r="C1622" s="10">
        <v>4099854026119</v>
      </c>
      <c r="D1622" s="246"/>
      <c r="E1622" s="249"/>
      <c r="F1622" s="222" t="s">
        <v>3136</v>
      </c>
      <c r="G1622" s="66" t="str">
        <f>HYPERLINK("https://ledvance.com/pt/product-datasheet/245366/229070","Ficha de Produto")</f>
        <v>Ficha de Produto</v>
      </c>
      <c r="H1622" s="217">
        <v>10</v>
      </c>
      <c r="I1622" s="34" t="s">
        <v>858</v>
      </c>
      <c r="J1622" s="34" t="s">
        <v>6292</v>
      </c>
      <c r="K1622" s="34" t="s">
        <v>788</v>
      </c>
      <c r="L1622" s="34" t="s">
        <v>765</v>
      </c>
      <c r="M1622" s="247">
        <v>32.5</v>
      </c>
      <c r="N1622" s="288" t="s">
        <v>722</v>
      </c>
    </row>
    <row r="1623" spans="1:1095" s="36" customFormat="1" ht="14.25" customHeight="1">
      <c r="A1623" s="3" t="s">
        <v>1722</v>
      </c>
      <c r="B1623" s="36" t="s">
        <v>3912</v>
      </c>
      <c r="C1623" s="10">
        <v>4099854026157</v>
      </c>
      <c r="D1623" s="246"/>
      <c r="E1623" s="249"/>
      <c r="F1623" s="222" t="s">
        <v>3136</v>
      </c>
      <c r="G1623" s="66" t="str">
        <f>HYPERLINK("https://ledvance.com/pt/product-datasheet/245366/229073","Ficha de Produto")</f>
        <v>Ficha de Produto</v>
      </c>
      <c r="H1623" s="217">
        <v>10</v>
      </c>
      <c r="I1623" s="34" t="s">
        <v>929</v>
      </c>
      <c r="J1623" s="34" t="s">
        <v>6292</v>
      </c>
      <c r="K1623" s="34" t="s">
        <v>788</v>
      </c>
      <c r="L1623" s="34" t="s">
        <v>765</v>
      </c>
      <c r="M1623" s="247">
        <v>32.5</v>
      </c>
      <c r="N1623" s="288" t="s">
        <v>722</v>
      </c>
    </row>
    <row r="1624" spans="1:1095" s="36" customFormat="1" ht="14.25" customHeight="1">
      <c r="A1624" s="3" t="s">
        <v>1722</v>
      </c>
      <c r="B1624" s="36" t="s">
        <v>3913</v>
      </c>
      <c r="C1624" s="10">
        <v>4099854026218</v>
      </c>
      <c r="D1624" s="246"/>
      <c r="E1624" s="249"/>
      <c r="F1624" s="222" t="s">
        <v>3136</v>
      </c>
      <c r="G1624" s="66" t="str">
        <f>HYPERLINK("https://ledvance.com/pt/product-datasheet/245366/229076","Ficha de Produto")</f>
        <v>Ficha de Produto</v>
      </c>
      <c r="H1624" s="217">
        <v>10</v>
      </c>
      <c r="I1624" s="34" t="s">
        <v>929</v>
      </c>
      <c r="J1624" s="34" t="s">
        <v>6292</v>
      </c>
      <c r="K1624" s="34" t="s">
        <v>788</v>
      </c>
      <c r="L1624" s="34" t="s">
        <v>765</v>
      </c>
      <c r="M1624" s="247">
        <v>32.5</v>
      </c>
      <c r="N1624" s="288" t="s">
        <v>722</v>
      </c>
    </row>
    <row r="1625" spans="1:1095" s="36" customFormat="1" ht="14.25" customHeight="1">
      <c r="A1625" s="3" t="s">
        <v>1722</v>
      </c>
      <c r="B1625" s="36" t="s">
        <v>3914</v>
      </c>
      <c r="C1625" s="10">
        <v>4099854026492</v>
      </c>
      <c r="D1625" s="246"/>
      <c r="E1625" s="249"/>
      <c r="F1625" s="222" t="s">
        <v>3136</v>
      </c>
      <c r="G1625" s="66" t="str">
        <f>HYPERLINK("https://ledvance.com/pt/product-datasheet/245366/229058","Ficha de Produto")</f>
        <v>Ficha de Produto</v>
      </c>
      <c r="H1625" s="217">
        <v>10</v>
      </c>
      <c r="I1625" s="34" t="s">
        <v>812</v>
      </c>
      <c r="J1625" s="34" t="s">
        <v>763</v>
      </c>
      <c r="K1625" s="34" t="s">
        <v>788</v>
      </c>
      <c r="L1625" s="34" t="s">
        <v>765</v>
      </c>
      <c r="M1625" s="247">
        <v>37.1</v>
      </c>
      <c r="N1625" s="288" t="s">
        <v>722</v>
      </c>
    </row>
    <row r="1626" spans="1:1095" s="36" customFormat="1" ht="14.25" customHeight="1">
      <c r="A1626" s="3" t="s">
        <v>1722</v>
      </c>
      <c r="B1626" s="36" t="s">
        <v>3915</v>
      </c>
      <c r="C1626" s="10">
        <v>4099854026393</v>
      </c>
      <c r="D1626" s="246"/>
      <c r="E1626" s="249"/>
      <c r="F1626" s="222" t="s">
        <v>3136</v>
      </c>
      <c r="G1626" s="66" t="str">
        <f>HYPERLINK("https://ledvance.com/pt/product-datasheet/245366/229052","Ficha de Produto")</f>
        <v>Ficha de Produto</v>
      </c>
      <c r="H1626" s="217">
        <v>10</v>
      </c>
      <c r="I1626" s="34" t="s">
        <v>6304</v>
      </c>
      <c r="J1626" s="34" t="s">
        <v>763</v>
      </c>
      <c r="K1626" s="34" t="s">
        <v>788</v>
      </c>
      <c r="L1626" s="34" t="s">
        <v>765</v>
      </c>
      <c r="M1626" s="247">
        <v>37.1</v>
      </c>
      <c r="N1626" s="288" t="s">
        <v>722</v>
      </c>
    </row>
    <row r="1627" spans="1:1095" s="36" customFormat="1" ht="14.25" customHeight="1">
      <c r="A1627" s="3" t="s">
        <v>1722</v>
      </c>
      <c r="B1627" s="36" t="s">
        <v>3916</v>
      </c>
      <c r="C1627" s="10">
        <v>4099854026430</v>
      </c>
      <c r="D1627" s="246"/>
      <c r="E1627" s="249"/>
      <c r="F1627" s="222" t="s">
        <v>3136</v>
      </c>
      <c r="G1627" s="66" t="str">
        <f>HYPERLINK("https://ledvance.com/pt/product-datasheet/245366/229055","Ficha de Produto")</f>
        <v>Ficha de Produto</v>
      </c>
      <c r="H1627" s="217">
        <v>10</v>
      </c>
      <c r="I1627" s="34" t="s">
        <v>6304</v>
      </c>
      <c r="J1627" s="34" t="s">
        <v>763</v>
      </c>
      <c r="K1627" s="34" t="s">
        <v>788</v>
      </c>
      <c r="L1627" s="34" t="s">
        <v>765</v>
      </c>
      <c r="M1627" s="247">
        <v>37.1</v>
      </c>
      <c r="N1627" s="288" t="s">
        <v>722</v>
      </c>
    </row>
    <row r="1628" spans="1:1095" s="36" customFormat="1" ht="14.25" customHeight="1">
      <c r="A1628" s="3" t="s">
        <v>1722</v>
      </c>
      <c r="B1628" s="36" t="s">
        <v>3917</v>
      </c>
      <c r="C1628" s="10">
        <v>4099854026652</v>
      </c>
      <c r="D1628" s="246"/>
      <c r="E1628" s="249"/>
      <c r="F1628" s="222" t="s">
        <v>3136</v>
      </c>
      <c r="G1628" s="66" t="str">
        <f>HYPERLINK("https://ledvance.com/pt/product-datasheet/245366/229067","Ficha de Produto")</f>
        <v>Ficha de Produto</v>
      </c>
      <c r="H1628" s="217">
        <v>10</v>
      </c>
      <c r="I1628" s="34" t="s">
        <v>814</v>
      </c>
      <c r="J1628" s="34" t="s">
        <v>775</v>
      </c>
      <c r="K1628" s="34" t="s">
        <v>788</v>
      </c>
      <c r="L1628" s="34" t="s">
        <v>765</v>
      </c>
      <c r="M1628" s="247">
        <v>41.6</v>
      </c>
      <c r="N1628" s="288" t="s">
        <v>722</v>
      </c>
    </row>
    <row r="1629" spans="1:1095" s="36" customFormat="1" ht="14.25" customHeight="1">
      <c r="A1629" s="3" t="s">
        <v>1722</v>
      </c>
      <c r="B1629" s="36" t="s">
        <v>3918</v>
      </c>
      <c r="C1629" s="10">
        <v>4099854026614</v>
      </c>
      <c r="D1629" s="246"/>
      <c r="E1629" s="249"/>
      <c r="F1629" s="222" t="s">
        <v>3136</v>
      </c>
      <c r="G1629" s="66" t="str">
        <f>HYPERLINK("https://ledvance.com/pt/product-datasheet/245366/229061","Ficha de Produto")</f>
        <v>Ficha de Produto</v>
      </c>
      <c r="H1629" s="217">
        <v>10</v>
      </c>
      <c r="I1629" s="34" t="s">
        <v>840</v>
      </c>
      <c r="J1629" s="34" t="s">
        <v>775</v>
      </c>
      <c r="K1629" s="34" t="s">
        <v>788</v>
      </c>
      <c r="L1629" s="34" t="s">
        <v>765</v>
      </c>
      <c r="M1629" s="247">
        <v>41.6</v>
      </c>
      <c r="N1629" s="288" t="s">
        <v>722</v>
      </c>
    </row>
    <row r="1630" spans="1:1095" s="36" customFormat="1" ht="14.25" customHeight="1">
      <c r="A1630" s="3" t="s">
        <v>1722</v>
      </c>
      <c r="B1630" s="36" t="s">
        <v>3919</v>
      </c>
      <c r="C1630" s="10">
        <v>4099854026638</v>
      </c>
      <c r="D1630" s="246"/>
      <c r="E1630" s="249"/>
      <c r="F1630" s="222" t="s">
        <v>3136</v>
      </c>
      <c r="G1630" s="66" t="str">
        <f>HYPERLINK("https://ledvance.com/pt/product-datasheet/245366/229064","Ficha de Produto")</f>
        <v>Ficha de Produto</v>
      </c>
      <c r="H1630" s="217">
        <v>10</v>
      </c>
      <c r="I1630" s="34" t="s">
        <v>840</v>
      </c>
      <c r="J1630" s="34" t="s">
        <v>775</v>
      </c>
      <c r="K1630" s="34" t="s">
        <v>788</v>
      </c>
      <c r="L1630" s="34" t="s">
        <v>765</v>
      </c>
      <c r="M1630" s="247">
        <v>41.6</v>
      </c>
      <c r="N1630" s="288" t="s">
        <v>722</v>
      </c>
    </row>
    <row r="1631" spans="1:1095" s="39" customFormat="1" ht="14.25" customHeight="1">
      <c r="A1631" s="8" t="s">
        <v>1722</v>
      </c>
      <c r="B1631" s="244" t="s">
        <v>2052</v>
      </c>
      <c r="C1631" s="244"/>
      <c r="D1631" s="7"/>
      <c r="E1631" s="250"/>
      <c r="F1631" s="250"/>
      <c r="G1631" s="68"/>
      <c r="H1631" s="230"/>
      <c r="I1631" s="250"/>
      <c r="J1631" s="250"/>
      <c r="K1631" s="250"/>
      <c r="L1631" s="250"/>
      <c r="M1631" s="248"/>
      <c r="N1631" s="292"/>
      <c r="O1631" s="38"/>
      <c r="P1631" s="38"/>
      <c r="Q1631" s="38"/>
      <c r="R1631" s="38"/>
      <c r="S1631" s="38"/>
      <c r="T1631" s="38"/>
      <c r="U1631" s="38"/>
      <c r="V1631" s="38"/>
      <c r="W1631" s="38"/>
      <c r="X1631" s="38"/>
      <c r="Y1631" s="38"/>
      <c r="Z1631" s="38"/>
      <c r="AA1631" s="38"/>
      <c r="AB1631" s="38"/>
      <c r="AC1631" s="38"/>
      <c r="AD1631" s="38"/>
      <c r="AE1631" s="38"/>
      <c r="AF1631" s="38"/>
      <c r="AG1631" s="38"/>
      <c r="AH1631" s="38"/>
      <c r="AI1631" s="38"/>
      <c r="AJ1631" s="38"/>
      <c r="AK1631" s="38"/>
      <c r="AL1631" s="38"/>
      <c r="AM1631" s="38"/>
      <c r="AN1631" s="38"/>
      <c r="AO1631" s="38"/>
      <c r="AP1631" s="38"/>
      <c r="AQ1631" s="38"/>
      <c r="AR1631" s="38"/>
      <c r="AS1631" s="38"/>
      <c r="AT1631" s="38"/>
      <c r="AU1631" s="38"/>
      <c r="AV1631" s="38"/>
      <c r="AW1631" s="38"/>
      <c r="AX1631" s="38"/>
      <c r="AY1631" s="38"/>
      <c r="AZ1631" s="38"/>
      <c r="BA1631" s="38"/>
      <c r="BB1631" s="38"/>
      <c r="BC1631" s="38"/>
      <c r="BD1631" s="38"/>
      <c r="BE1631" s="38"/>
      <c r="BF1631" s="38"/>
      <c r="BG1631" s="38"/>
      <c r="BH1631" s="38"/>
      <c r="BI1631" s="38"/>
      <c r="BJ1631" s="38"/>
      <c r="BK1631" s="38"/>
      <c r="BL1631" s="38"/>
      <c r="BM1631" s="38"/>
      <c r="BN1631" s="38"/>
      <c r="BO1631" s="38"/>
      <c r="BP1631" s="38"/>
      <c r="BQ1631" s="38"/>
      <c r="BR1631" s="38"/>
      <c r="BS1631" s="38"/>
      <c r="BT1631" s="38"/>
      <c r="BU1631" s="38"/>
      <c r="BV1631" s="38"/>
      <c r="BW1631" s="38"/>
      <c r="BX1631" s="38"/>
      <c r="BY1631" s="38"/>
      <c r="BZ1631" s="38"/>
      <c r="CA1631" s="38"/>
      <c r="CB1631" s="38"/>
      <c r="CC1631" s="38"/>
      <c r="CD1631" s="38"/>
      <c r="CE1631" s="38"/>
      <c r="CF1631" s="38"/>
      <c r="CG1631" s="38"/>
      <c r="CH1631" s="38"/>
      <c r="CI1631" s="38"/>
      <c r="CJ1631" s="38"/>
      <c r="CK1631" s="38"/>
      <c r="CL1631" s="38"/>
      <c r="CM1631" s="38"/>
      <c r="CN1631" s="38"/>
      <c r="CO1631" s="38"/>
      <c r="CP1631" s="38"/>
      <c r="CQ1631" s="38"/>
      <c r="CR1631" s="38"/>
      <c r="CS1631" s="38"/>
      <c r="CT1631" s="38"/>
      <c r="CU1631" s="38"/>
      <c r="CV1631" s="38"/>
      <c r="CW1631" s="38"/>
      <c r="CX1631" s="38"/>
      <c r="CY1631" s="38"/>
      <c r="CZ1631" s="38"/>
      <c r="DA1631" s="38"/>
      <c r="DB1631" s="38"/>
      <c r="DC1631" s="38"/>
      <c r="DD1631" s="38"/>
      <c r="DE1631" s="38"/>
      <c r="DF1631" s="38"/>
      <c r="DG1631" s="38"/>
      <c r="DH1631" s="38"/>
      <c r="DI1631" s="38"/>
      <c r="DJ1631" s="38"/>
      <c r="DK1631" s="38"/>
      <c r="DL1631" s="38"/>
      <c r="DM1631" s="38"/>
      <c r="DN1631" s="38"/>
      <c r="DO1631" s="38"/>
      <c r="DP1631" s="38"/>
      <c r="DQ1631" s="38"/>
      <c r="DR1631" s="38"/>
      <c r="DS1631" s="38"/>
      <c r="DT1631" s="38"/>
      <c r="DU1631" s="38"/>
      <c r="DV1631" s="38"/>
      <c r="DW1631" s="38"/>
      <c r="DX1631" s="38"/>
      <c r="DY1631" s="38"/>
      <c r="DZ1631" s="38"/>
      <c r="EA1631" s="38"/>
      <c r="EB1631" s="38"/>
      <c r="EC1631" s="38"/>
      <c r="ED1631" s="38"/>
      <c r="EE1631" s="38"/>
      <c r="EF1631" s="38"/>
      <c r="EG1631" s="38"/>
      <c r="EH1631" s="38"/>
      <c r="EI1631" s="38"/>
      <c r="EJ1631" s="38"/>
      <c r="EK1631" s="38"/>
      <c r="EL1631" s="38"/>
      <c r="EM1631" s="38"/>
      <c r="EN1631" s="38"/>
      <c r="EO1631" s="38"/>
      <c r="EP1631" s="38"/>
      <c r="EQ1631" s="38"/>
      <c r="ER1631" s="38"/>
      <c r="ES1631" s="38"/>
      <c r="ET1631" s="38"/>
      <c r="EU1631" s="38"/>
      <c r="EV1631" s="38"/>
      <c r="EW1631" s="38"/>
      <c r="EX1631" s="38"/>
      <c r="EY1631" s="38"/>
      <c r="EZ1631" s="38"/>
      <c r="FA1631" s="38"/>
      <c r="FB1631" s="38"/>
      <c r="FC1631" s="38"/>
      <c r="FD1631" s="38"/>
      <c r="FE1631" s="38"/>
      <c r="FF1631" s="38"/>
      <c r="FG1631" s="38"/>
      <c r="FH1631" s="38"/>
      <c r="FI1631" s="38"/>
      <c r="FJ1631" s="38"/>
      <c r="FK1631" s="38"/>
      <c r="FL1631" s="38"/>
      <c r="FM1631" s="38"/>
      <c r="FN1631" s="38"/>
      <c r="FO1631" s="38"/>
      <c r="FP1631" s="38"/>
      <c r="FQ1631" s="38"/>
      <c r="FR1631" s="38"/>
      <c r="FS1631" s="38"/>
      <c r="FT1631" s="38"/>
      <c r="FU1631" s="38"/>
      <c r="FV1631" s="38"/>
      <c r="FW1631" s="38"/>
      <c r="FX1631" s="38"/>
      <c r="FY1631" s="38"/>
      <c r="FZ1631" s="38"/>
      <c r="GA1631" s="38"/>
      <c r="GB1631" s="38"/>
      <c r="GC1631" s="38"/>
      <c r="GD1631" s="38"/>
      <c r="GE1631" s="38"/>
      <c r="GF1631" s="38"/>
      <c r="GG1631" s="38"/>
      <c r="GH1631" s="38"/>
      <c r="GI1631" s="38"/>
      <c r="GJ1631" s="38"/>
      <c r="GK1631" s="38"/>
      <c r="GL1631" s="38"/>
      <c r="GM1631" s="38"/>
      <c r="GN1631" s="38"/>
      <c r="GO1631" s="38"/>
      <c r="GP1631" s="38"/>
      <c r="GQ1631" s="38"/>
      <c r="GR1631" s="38"/>
      <c r="GS1631" s="38"/>
      <c r="GT1631" s="38"/>
      <c r="GU1631" s="38"/>
      <c r="GV1631" s="38"/>
      <c r="GW1631" s="38"/>
      <c r="GX1631" s="38"/>
      <c r="GY1631" s="38"/>
      <c r="GZ1631" s="38"/>
      <c r="HA1631" s="38"/>
      <c r="HB1631" s="38"/>
      <c r="HC1631" s="38"/>
      <c r="HD1631" s="38"/>
      <c r="HE1631" s="38"/>
      <c r="HF1631" s="38"/>
      <c r="HG1631" s="38"/>
      <c r="HH1631" s="38"/>
      <c r="HI1631" s="38"/>
      <c r="HJ1631" s="38"/>
      <c r="HK1631" s="38"/>
      <c r="HL1631" s="38"/>
      <c r="HM1631" s="38"/>
      <c r="HN1631" s="38"/>
      <c r="HO1631" s="38"/>
      <c r="HP1631" s="38"/>
      <c r="HQ1631" s="38"/>
      <c r="HR1631" s="38"/>
      <c r="HS1631" s="38"/>
      <c r="HT1631" s="38"/>
      <c r="HU1631" s="38"/>
      <c r="HV1631" s="38"/>
      <c r="HW1631" s="38"/>
      <c r="HX1631" s="38"/>
      <c r="HY1631" s="38"/>
      <c r="HZ1631" s="38"/>
      <c r="IA1631" s="38"/>
      <c r="IB1631" s="38"/>
      <c r="IC1631" s="38"/>
      <c r="ID1631" s="38"/>
      <c r="IE1631" s="38"/>
      <c r="IF1631" s="38"/>
      <c r="IG1631" s="38"/>
      <c r="IH1631" s="38"/>
      <c r="II1631" s="38"/>
      <c r="IJ1631" s="38"/>
      <c r="IK1631" s="38"/>
      <c r="IL1631" s="38"/>
      <c r="IM1631" s="38"/>
      <c r="IN1631" s="38"/>
      <c r="IO1631" s="38"/>
      <c r="IP1631" s="38"/>
      <c r="IQ1631" s="38"/>
      <c r="IR1631" s="38"/>
      <c r="IS1631" s="38"/>
      <c r="IT1631" s="38"/>
      <c r="IU1631" s="38"/>
      <c r="IV1631" s="38"/>
      <c r="IW1631" s="38"/>
      <c r="IX1631" s="38"/>
      <c r="IY1631" s="38"/>
      <c r="IZ1631" s="38"/>
      <c r="JA1631" s="38"/>
      <c r="JB1631" s="38"/>
      <c r="JC1631" s="38"/>
      <c r="JD1631" s="38"/>
      <c r="JE1631" s="38"/>
      <c r="JF1631" s="38"/>
      <c r="JG1631" s="38"/>
      <c r="JH1631" s="38"/>
      <c r="JI1631" s="38"/>
      <c r="JJ1631" s="38"/>
      <c r="JK1631" s="38"/>
      <c r="JL1631" s="38"/>
      <c r="JM1631" s="38"/>
      <c r="JN1631" s="38"/>
      <c r="JO1631" s="38"/>
      <c r="JP1631" s="38"/>
      <c r="JQ1631" s="38"/>
      <c r="JR1631" s="38"/>
      <c r="JS1631" s="38"/>
      <c r="JT1631" s="38"/>
      <c r="JU1631" s="38"/>
      <c r="JV1631" s="38"/>
      <c r="JW1631" s="38"/>
      <c r="JX1631" s="38"/>
      <c r="JY1631" s="38"/>
      <c r="JZ1631" s="38"/>
      <c r="KA1631" s="38"/>
      <c r="KB1631" s="38"/>
      <c r="KC1631" s="38"/>
      <c r="KD1631" s="38"/>
      <c r="KE1631" s="38"/>
      <c r="KF1631" s="38"/>
      <c r="KG1631" s="38"/>
      <c r="KH1631" s="38"/>
      <c r="KI1631" s="38"/>
      <c r="KJ1631" s="38"/>
      <c r="KK1631" s="38"/>
      <c r="KL1631" s="38"/>
      <c r="KM1631" s="38"/>
      <c r="KN1631" s="38"/>
      <c r="KO1631" s="38"/>
      <c r="KP1631" s="38"/>
      <c r="KQ1631" s="38"/>
      <c r="KR1631" s="38"/>
      <c r="KS1631" s="38"/>
      <c r="KT1631" s="38"/>
      <c r="KU1631" s="38"/>
      <c r="KV1631" s="38"/>
      <c r="KW1631" s="38"/>
      <c r="KX1631" s="38"/>
      <c r="KY1631" s="38"/>
      <c r="KZ1631" s="38"/>
      <c r="LA1631" s="38"/>
      <c r="LB1631" s="38"/>
      <c r="LC1631" s="38"/>
      <c r="LD1631" s="38"/>
      <c r="LE1631" s="38"/>
      <c r="LF1631" s="38"/>
      <c r="LG1631" s="38"/>
      <c r="LH1631" s="38"/>
      <c r="LI1631" s="38"/>
      <c r="LJ1631" s="38"/>
      <c r="LK1631" s="38"/>
      <c r="LL1631" s="38"/>
      <c r="LM1631" s="38"/>
      <c r="LN1631" s="38"/>
      <c r="LO1631" s="38"/>
      <c r="LP1631" s="38"/>
      <c r="LQ1631" s="38"/>
      <c r="LR1631" s="38"/>
      <c r="LS1631" s="38"/>
      <c r="LT1631" s="38"/>
      <c r="LU1631" s="38"/>
      <c r="LV1631" s="38"/>
      <c r="LW1631" s="38"/>
      <c r="LX1631" s="38"/>
      <c r="LY1631" s="38"/>
      <c r="LZ1631" s="38"/>
      <c r="MA1631" s="38"/>
      <c r="MB1631" s="38"/>
      <c r="MC1631" s="38"/>
      <c r="MD1631" s="38"/>
      <c r="ME1631" s="38"/>
      <c r="MF1631" s="38"/>
      <c r="MG1631" s="38"/>
      <c r="MH1631" s="38"/>
      <c r="MI1631" s="38"/>
      <c r="MJ1631" s="38"/>
      <c r="MK1631" s="38"/>
      <c r="ML1631" s="38"/>
      <c r="MM1631" s="38"/>
      <c r="MN1631" s="38"/>
      <c r="MO1631" s="38"/>
      <c r="MP1631" s="38"/>
      <c r="MQ1631" s="38"/>
      <c r="MR1631" s="38"/>
      <c r="MS1631" s="38"/>
      <c r="MT1631" s="38"/>
      <c r="MU1631" s="38"/>
      <c r="MV1631" s="38"/>
      <c r="MW1631" s="38"/>
      <c r="MX1631" s="38"/>
      <c r="MY1631" s="38"/>
      <c r="MZ1631" s="38"/>
      <c r="NA1631" s="38"/>
      <c r="NB1631" s="38"/>
      <c r="NC1631" s="38"/>
      <c r="ND1631" s="38"/>
      <c r="NE1631" s="38"/>
      <c r="NF1631" s="38"/>
      <c r="NG1631" s="38"/>
      <c r="NH1631" s="38"/>
      <c r="NI1631" s="38"/>
      <c r="NJ1631" s="38"/>
      <c r="NK1631" s="38"/>
      <c r="NL1631" s="38"/>
      <c r="NM1631" s="38"/>
      <c r="NN1631" s="38"/>
      <c r="NO1631" s="38"/>
      <c r="NP1631" s="38"/>
      <c r="NQ1631" s="38"/>
      <c r="NR1631" s="38"/>
      <c r="NS1631" s="38"/>
      <c r="NT1631" s="38"/>
      <c r="NU1631" s="38"/>
      <c r="NV1631" s="38"/>
      <c r="NW1631" s="38"/>
      <c r="NX1631" s="38"/>
      <c r="NY1631" s="38"/>
      <c r="NZ1631" s="38"/>
      <c r="OA1631" s="38"/>
      <c r="OB1631" s="38"/>
      <c r="OC1631" s="38"/>
      <c r="OD1631" s="38"/>
      <c r="OE1631" s="38"/>
      <c r="OF1631" s="38"/>
      <c r="OG1631" s="38"/>
      <c r="OH1631" s="38"/>
      <c r="OI1631" s="38"/>
      <c r="OJ1631" s="38"/>
      <c r="OK1631" s="38"/>
      <c r="OL1631" s="38"/>
      <c r="OM1631" s="38"/>
      <c r="ON1631" s="38"/>
      <c r="OO1631" s="38"/>
      <c r="OP1631" s="38"/>
      <c r="OQ1631" s="38"/>
      <c r="OR1631" s="38"/>
      <c r="OS1631" s="38"/>
      <c r="OT1631" s="38"/>
      <c r="OU1631" s="38"/>
      <c r="OV1631" s="38"/>
      <c r="OW1631" s="38"/>
      <c r="OX1631" s="38"/>
      <c r="OY1631" s="38"/>
      <c r="OZ1631" s="38"/>
      <c r="PA1631" s="38"/>
      <c r="PB1631" s="38"/>
      <c r="PC1631" s="38"/>
      <c r="PD1631" s="38"/>
      <c r="PE1631" s="38"/>
      <c r="PF1631" s="38"/>
      <c r="PG1631" s="38"/>
      <c r="PH1631" s="38"/>
      <c r="PI1631" s="38"/>
      <c r="PJ1631" s="38"/>
      <c r="PK1631" s="38"/>
      <c r="PL1631" s="38"/>
      <c r="PM1631" s="38"/>
      <c r="PN1631" s="38"/>
      <c r="PO1631" s="38"/>
      <c r="PP1631" s="38"/>
      <c r="PQ1631" s="38"/>
      <c r="PR1631" s="38"/>
      <c r="PS1631" s="38"/>
      <c r="PT1631" s="38"/>
      <c r="PU1631" s="38"/>
      <c r="PV1631" s="38"/>
      <c r="PW1631" s="38"/>
      <c r="PX1631" s="38"/>
      <c r="PY1631" s="38"/>
      <c r="PZ1631" s="38"/>
      <c r="QA1631" s="38"/>
      <c r="QB1631" s="38"/>
      <c r="QC1631" s="38"/>
      <c r="QD1631" s="38"/>
      <c r="QE1631" s="38"/>
      <c r="QF1631" s="38"/>
      <c r="QG1631" s="38"/>
      <c r="QH1631" s="38"/>
      <c r="QI1631" s="38"/>
      <c r="QJ1631" s="38"/>
      <c r="QK1631" s="38"/>
      <c r="QL1631" s="38"/>
      <c r="QM1631" s="38"/>
      <c r="QN1631" s="38"/>
      <c r="QO1631" s="38"/>
      <c r="QP1631" s="38"/>
      <c r="QQ1631" s="38"/>
      <c r="QR1631" s="38"/>
      <c r="QS1631" s="38"/>
      <c r="QT1631" s="38"/>
      <c r="QU1631" s="38"/>
      <c r="QV1631" s="38"/>
      <c r="QW1631" s="38"/>
      <c r="QX1631" s="38"/>
      <c r="QY1631" s="38"/>
      <c r="QZ1631" s="38"/>
      <c r="RA1631" s="38"/>
      <c r="RB1631" s="38"/>
      <c r="RC1631" s="38"/>
      <c r="RD1631" s="38"/>
      <c r="RE1631" s="38"/>
      <c r="RF1631" s="38"/>
      <c r="RG1631" s="38"/>
      <c r="RH1631" s="38"/>
      <c r="RI1631" s="38"/>
      <c r="RJ1631" s="38"/>
      <c r="RK1631" s="38"/>
      <c r="RL1631" s="38"/>
      <c r="RM1631" s="38"/>
      <c r="RN1631" s="38"/>
      <c r="RO1631" s="38"/>
      <c r="RP1631" s="38"/>
      <c r="RQ1631" s="38"/>
      <c r="RR1631" s="38"/>
      <c r="RS1631" s="38"/>
      <c r="RT1631" s="38"/>
      <c r="RU1631" s="38"/>
      <c r="RV1631" s="38"/>
      <c r="RW1631" s="38"/>
      <c r="RX1631" s="38"/>
      <c r="RY1631" s="38"/>
      <c r="RZ1631" s="38"/>
      <c r="SA1631" s="38"/>
      <c r="SB1631" s="38"/>
      <c r="SC1631" s="38"/>
      <c r="SD1631" s="38"/>
      <c r="SE1631" s="38"/>
      <c r="SF1631" s="38"/>
      <c r="SG1631" s="38"/>
      <c r="SH1631" s="38"/>
      <c r="SI1631" s="38"/>
      <c r="SJ1631" s="38"/>
      <c r="SK1631" s="38"/>
      <c r="SL1631" s="38"/>
      <c r="SM1631" s="38"/>
      <c r="SN1631" s="38"/>
      <c r="SO1631" s="38"/>
      <c r="SP1631" s="38"/>
      <c r="SQ1631" s="38"/>
      <c r="SR1631" s="38"/>
      <c r="SS1631" s="38"/>
      <c r="ST1631" s="38"/>
      <c r="SU1631" s="38"/>
      <c r="SV1631" s="38"/>
      <c r="SW1631" s="38"/>
      <c r="SX1631" s="38"/>
      <c r="SY1631" s="38"/>
      <c r="SZ1631" s="38"/>
      <c r="TA1631" s="38"/>
      <c r="TB1631" s="38"/>
      <c r="TC1631" s="38"/>
      <c r="TD1631" s="38"/>
      <c r="TE1631" s="38"/>
      <c r="TF1631" s="38"/>
      <c r="TG1631" s="38"/>
      <c r="TH1631" s="38"/>
      <c r="TI1631" s="38"/>
      <c r="TJ1631" s="38"/>
      <c r="TK1631" s="38"/>
      <c r="TL1631" s="38"/>
      <c r="TM1631" s="38"/>
      <c r="TN1631" s="38"/>
      <c r="TO1631" s="38"/>
      <c r="TP1631" s="38"/>
      <c r="TQ1631" s="38"/>
      <c r="TR1631" s="38"/>
      <c r="TS1631" s="38"/>
      <c r="TT1631" s="38"/>
      <c r="TU1631" s="38"/>
      <c r="TV1631" s="38"/>
      <c r="TW1631" s="38"/>
      <c r="TX1631" s="38"/>
      <c r="TY1631" s="38"/>
      <c r="TZ1631" s="38"/>
      <c r="UA1631" s="38"/>
      <c r="UB1631" s="38"/>
      <c r="UC1631" s="38"/>
      <c r="UD1631" s="38"/>
      <c r="UE1631" s="38"/>
      <c r="UF1631" s="38"/>
      <c r="UG1631" s="38"/>
      <c r="UH1631" s="38"/>
      <c r="UI1631" s="38"/>
      <c r="UJ1631" s="38"/>
      <c r="UK1631" s="38"/>
      <c r="UL1631" s="38"/>
      <c r="UM1631" s="38"/>
      <c r="UN1631" s="38"/>
      <c r="UO1631" s="38"/>
      <c r="UP1631" s="38"/>
      <c r="UQ1631" s="38"/>
      <c r="UR1631" s="38"/>
      <c r="US1631" s="38"/>
      <c r="UT1631" s="38"/>
      <c r="UU1631" s="38"/>
      <c r="UV1631" s="38"/>
      <c r="UW1631" s="38"/>
      <c r="UX1631" s="38"/>
      <c r="UY1631" s="38"/>
      <c r="UZ1631" s="38"/>
      <c r="VA1631" s="38"/>
      <c r="VB1631" s="38"/>
      <c r="VC1631" s="38"/>
      <c r="VD1631" s="38"/>
      <c r="VE1631" s="38"/>
      <c r="VF1631" s="38"/>
      <c r="VG1631" s="38"/>
      <c r="VH1631" s="38"/>
      <c r="VI1631" s="38"/>
      <c r="VJ1631" s="38"/>
      <c r="VK1631" s="38"/>
      <c r="VL1631" s="38"/>
      <c r="VM1631" s="38"/>
      <c r="VN1631" s="38"/>
      <c r="VO1631" s="38"/>
      <c r="VP1631" s="38"/>
      <c r="VQ1631" s="38"/>
      <c r="VR1631" s="38"/>
      <c r="VS1631" s="38"/>
      <c r="VT1631" s="38"/>
      <c r="VU1631" s="38"/>
      <c r="VV1631" s="38"/>
      <c r="VW1631" s="38"/>
      <c r="VX1631" s="38"/>
      <c r="VY1631" s="38"/>
      <c r="VZ1631" s="38"/>
      <c r="WA1631" s="38"/>
      <c r="WB1631" s="38"/>
      <c r="WC1631" s="38"/>
      <c r="WD1631" s="38"/>
      <c r="WE1631" s="38"/>
      <c r="WF1631" s="38"/>
      <c r="WG1631" s="38"/>
      <c r="WH1631" s="38"/>
      <c r="WI1631" s="38"/>
      <c r="WJ1631" s="38"/>
      <c r="WK1631" s="38"/>
      <c r="WL1631" s="38"/>
      <c r="WM1631" s="38"/>
      <c r="WN1631" s="38"/>
      <c r="WO1631" s="38"/>
      <c r="WP1631" s="38"/>
      <c r="WQ1631" s="38"/>
      <c r="WR1631" s="38"/>
      <c r="WS1631" s="38"/>
      <c r="WT1631" s="38"/>
      <c r="WU1631" s="38"/>
      <c r="WV1631" s="38"/>
      <c r="WW1631" s="38"/>
      <c r="WX1631" s="38"/>
      <c r="WY1631" s="38"/>
      <c r="WZ1631" s="38"/>
      <c r="XA1631" s="38"/>
      <c r="XB1631" s="38"/>
      <c r="XC1631" s="38"/>
      <c r="XD1631" s="38"/>
      <c r="XE1631" s="38"/>
      <c r="XF1631" s="38"/>
      <c r="XG1631" s="38"/>
      <c r="XH1631" s="38"/>
      <c r="XI1631" s="38"/>
      <c r="XJ1631" s="38"/>
      <c r="XK1631" s="38"/>
      <c r="XL1631" s="38"/>
      <c r="XM1631" s="38"/>
      <c r="XN1631" s="38"/>
      <c r="XO1631" s="38"/>
      <c r="XP1631" s="38"/>
      <c r="XQ1631" s="38"/>
      <c r="XR1631" s="38"/>
      <c r="XS1631" s="38"/>
      <c r="XT1631" s="38"/>
      <c r="XU1631" s="38"/>
      <c r="XV1631" s="38"/>
      <c r="XW1631" s="38"/>
      <c r="XX1631" s="38"/>
      <c r="XY1631" s="38"/>
      <c r="XZ1631" s="38"/>
      <c r="YA1631" s="38"/>
      <c r="YB1631" s="38"/>
      <c r="YC1631" s="38"/>
      <c r="YD1631" s="38"/>
      <c r="YE1631" s="38"/>
      <c r="YF1631" s="38"/>
      <c r="YG1631" s="38"/>
      <c r="YH1631" s="38"/>
      <c r="YI1631" s="38"/>
      <c r="YJ1631" s="38"/>
      <c r="YK1631" s="38"/>
      <c r="YL1631" s="38"/>
      <c r="YM1631" s="38"/>
      <c r="YN1631" s="38"/>
      <c r="YO1631" s="38"/>
      <c r="YP1631" s="38"/>
      <c r="YQ1631" s="38"/>
      <c r="YR1631" s="38"/>
      <c r="YS1631" s="38"/>
      <c r="YT1631" s="38"/>
      <c r="YU1631" s="38"/>
      <c r="YV1631" s="38"/>
      <c r="YW1631" s="38"/>
      <c r="YX1631" s="38"/>
      <c r="YY1631" s="38"/>
      <c r="YZ1631" s="38"/>
      <c r="ZA1631" s="38"/>
      <c r="ZB1631" s="38"/>
      <c r="ZC1631" s="38"/>
      <c r="ZD1631" s="38"/>
      <c r="ZE1631" s="38"/>
      <c r="ZF1631" s="38"/>
      <c r="ZG1631" s="38"/>
      <c r="ZH1631" s="38"/>
      <c r="ZI1631" s="38"/>
      <c r="ZJ1631" s="38"/>
      <c r="ZK1631" s="38"/>
      <c r="ZL1631" s="38"/>
      <c r="ZM1631" s="38"/>
      <c r="ZN1631" s="38"/>
      <c r="ZO1631" s="38"/>
      <c r="ZP1631" s="38"/>
      <c r="ZQ1631" s="38"/>
      <c r="ZR1631" s="38"/>
      <c r="ZS1631" s="38"/>
      <c r="ZT1631" s="38"/>
      <c r="ZU1631" s="38"/>
      <c r="ZV1631" s="38"/>
      <c r="ZW1631" s="38"/>
      <c r="ZX1631" s="38"/>
      <c r="ZY1631" s="38"/>
      <c r="ZZ1631" s="38"/>
      <c r="AAA1631" s="38"/>
      <c r="AAB1631" s="38"/>
      <c r="AAC1631" s="38"/>
      <c r="AAD1631" s="38"/>
      <c r="AAE1631" s="38"/>
      <c r="AAF1631" s="38"/>
      <c r="AAG1631" s="38"/>
      <c r="AAH1631" s="38"/>
      <c r="AAI1631" s="38"/>
      <c r="AAJ1631" s="38"/>
      <c r="AAK1631" s="38"/>
      <c r="AAL1631" s="38"/>
      <c r="AAM1631" s="38"/>
      <c r="AAN1631" s="38"/>
      <c r="AAO1631" s="38"/>
      <c r="AAP1631" s="38"/>
      <c r="AAQ1631" s="38"/>
      <c r="AAR1631" s="38"/>
      <c r="AAS1631" s="38"/>
      <c r="AAT1631" s="38"/>
      <c r="AAU1631" s="38"/>
      <c r="AAV1631" s="38"/>
      <c r="AAW1631" s="38"/>
      <c r="AAX1631" s="38"/>
      <c r="AAY1631" s="38"/>
      <c r="AAZ1631" s="38"/>
      <c r="ABA1631" s="38"/>
      <c r="ABB1631" s="38"/>
      <c r="ABC1631" s="38"/>
      <c r="ABD1631" s="38"/>
      <c r="ABE1631" s="38"/>
      <c r="ABF1631" s="38"/>
      <c r="ABG1631" s="38"/>
      <c r="ABH1631" s="38"/>
      <c r="ABI1631" s="38"/>
      <c r="ABJ1631" s="38"/>
      <c r="ABK1631" s="38"/>
      <c r="ABL1631" s="38"/>
      <c r="ABM1631" s="38"/>
      <c r="ABN1631" s="38"/>
      <c r="ABO1631" s="38"/>
      <c r="ABP1631" s="38"/>
      <c r="ABQ1631" s="38"/>
      <c r="ABR1631" s="38"/>
      <c r="ABS1631" s="38"/>
      <c r="ABT1631" s="38"/>
      <c r="ABU1631" s="38"/>
      <c r="ABV1631" s="38"/>
      <c r="ABW1631" s="38"/>
      <c r="ABX1631" s="38"/>
      <c r="ABY1631" s="38"/>
      <c r="ABZ1631" s="38"/>
      <c r="ACA1631" s="38"/>
      <c r="ACB1631" s="38"/>
      <c r="ACC1631" s="38"/>
      <c r="ACD1631" s="38"/>
      <c r="ACE1631" s="38"/>
      <c r="ACF1631" s="38"/>
      <c r="ACG1631" s="38"/>
      <c r="ACH1631" s="38"/>
      <c r="ACI1631" s="38"/>
      <c r="ACJ1631" s="38"/>
      <c r="ACK1631" s="38"/>
      <c r="ACL1631" s="38"/>
      <c r="ACM1631" s="38"/>
      <c r="ACN1631" s="38"/>
      <c r="ACO1631" s="38"/>
      <c r="ACP1631" s="38"/>
      <c r="ACQ1631" s="38"/>
      <c r="ACR1631" s="38"/>
      <c r="ACS1631" s="38"/>
      <c r="ACT1631" s="38"/>
      <c r="ACU1631" s="38"/>
      <c r="ACV1631" s="38"/>
      <c r="ACW1631" s="38"/>
      <c r="ACX1631" s="38"/>
      <c r="ACY1631" s="38"/>
      <c r="ACZ1631" s="38"/>
      <c r="ADA1631" s="38"/>
      <c r="ADB1631" s="38"/>
      <c r="ADC1631" s="38"/>
      <c r="ADD1631" s="38"/>
      <c r="ADE1631" s="38"/>
      <c r="ADF1631" s="38"/>
      <c r="ADG1631" s="38"/>
      <c r="ADH1631" s="38"/>
      <c r="ADI1631" s="38"/>
      <c r="ADJ1631" s="38"/>
      <c r="ADK1631" s="38"/>
      <c r="ADL1631" s="38"/>
      <c r="ADM1631" s="38"/>
      <c r="ADN1631" s="38"/>
      <c r="ADO1631" s="38"/>
      <c r="ADP1631" s="38"/>
      <c r="ADQ1631" s="38"/>
      <c r="ADR1631" s="38"/>
      <c r="ADS1631" s="38"/>
      <c r="ADT1631" s="38"/>
      <c r="ADU1631" s="38"/>
      <c r="ADV1631" s="38"/>
      <c r="ADW1631" s="38"/>
      <c r="ADX1631" s="38"/>
      <c r="ADY1631" s="38"/>
      <c r="ADZ1631" s="38"/>
      <c r="AEA1631" s="38"/>
      <c r="AEB1631" s="38"/>
      <c r="AEC1631" s="38"/>
      <c r="AED1631" s="38"/>
      <c r="AEE1631" s="38"/>
      <c r="AEF1631" s="38"/>
      <c r="AEG1631" s="38"/>
      <c r="AEH1631" s="38"/>
      <c r="AEI1631" s="38"/>
      <c r="AEJ1631" s="38"/>
      <c r="AEK1631" s="38"/>
      <c r="AEL1631" s="38"/>
      <c r="AEM1631" s="38"/>
      <c r="AEN1631" s="38"/>
      <c r="AEO1631" s="38"/>
      <c r="AEP1631" s="38"/>
      <c r="AEQ1631" s="38"/>
      <c r="AER1631" s="38"/>
      <c r="AES1631" s="38"/>
      <c r="AET1631" s="38"/>
      <c r="AEU1631" s="38"/>
      <c r="AEV1631" s="38"/>
      <c r="AEW1631" s="38"/>
      <c r="AEX1631" s="38"/>
      <c r="AEY1631" s="38"/>
      <c r="AEZ1631" s="38"/>
      <c r="AFA1631" s="38"/>
      <c r="AFB1631" s="38"/>
      <c r="AFC1631" s="38"/>
      <c r="AFD1631" s="38"/>
      <c r="AFE1631" s="38"/>
      <c r="AFF1631" s="38"/>
      <c r="AFG1631" s="38"/>
      <c r="AFH1631" s="38"/>
      <c r="AFI1631" s="38"/>
      <c r="AFJ1631" s="38"/>
      <c r="AFK1631" s="38"/>
      <c r="AFL1631" s="38"/>
      <c r="AFM1631" s="38"/>
      <c r="AFN1631" s="38"/>
      <c r="AFO1631" s="38"/>
      <c r="AFP1631" s="38"/>
      <c r="AFQ1631" s="38"/>
      <c r="AFR1631" s="38"/>
      <c r="AFS1631" s="38"/>
      <c r="AFT1631" s="38"/>
      <c r="AFU1631" s="38"/>
      <c r="AFV1631" s="38"/>
      <c r="AFW1631" s="38"/>
      <c r="AFX1631" s="38"/>
      <c r="AFY1631" s="38"/>
      <c r="AFZ1631" s="38"/>
      <c r="AGA1631" s="38"/>
      <c r="AGB1631" s="38"/>
      <c r="AGC1631" s="38"/>
      <c r="AGD1631" s="38"/>
      <c r="AGE1631" s="38"/>
      <c r="AGF1631" s="38"/>
      <c r="AGG1631" s="38"/>
      <c r="AGH1631" s="38"/>
      <c r="AGI1631" s="38"/>
      <c r="AGJ1631" s="38"/>
      <c r="AGK1631" s="38"/>
      <c r="AGL1631" s="38"/>
      <c r="AGM1631" s="38"/>
      <c r="AGN1631" s="38"/>
      <c r="AGO1631" s="38"/>
      <c r="AGP1631" s="38"/>
      <c r="AGQ1631" s="38"/>
      <c r="AGR1631" s="38"/>
      <c r="AGS1631" s="38"/>
      <c r="AGT1631" s="38"/>
      <c r="AGU1631" s="38"/>
      <c r="AGV1631" s="38"/>
      <c r="AGW1631" s="38"/>
      <c r="AGX1631" s="38"/>
      <c r="AGY1631" s="38"/>
      <c r="AGZ1631" s="38"/>
      <c r="AHA1631" s="38"/>
      <c r="AHB1631" s="38"/>
      <c r="AHC1631" s="38"/>
      <c r="AHD1631" s="38"/>
      <c r="AHE1631" s="38"/>
      <c r="AHF1631" s="38"/>
      <c r="AHG1631" s="38"/>
      <c r="AHH1631" s="38"/>
      <c r="AHI1631" s="38"/>
      <c r="AHJ1631" s="38"/>
      <c r="AHK1631" s="38"/>
      <c r="AHL1631" s="38"/>
      <c r="AHM1631" s="38"/>
      <c r="AHN1631" s="38"/>
      <c r="AHO1631" s="38"/>
      <c r="AHP1631" s="38"/>
      <c r="AHQ1631" s="38"/>
      <c r="AHR1631" s="38"/>
      <c r="AHS1631" s="38"/>
      <c r="AHT1631" s="38"/>
      <c r="AHU1631" s="38"/>
      <c r="AHV1631" s="38"/>
      <c r="AHW1631" s="38"/>
      <c r="AHX1631" s="38"/>
      <c r="AHY1631" s="38"/>
      <c r="AHZ1631" s="38"/>
      <c r="AIA1631" s="38"/>
      <c r="AIB1631" s="38"/>
      <c r="AIC1631" s="38"/>
      <c r="AID1631" s="38"/>
      <c r="AIE1631" s="38"/>
      <c r="AIF1631" s="38"/>
      <c r="AIG1631" s="38"/>
      <c r="AIH1631" s="38"/>
      <c r="AII1631" s="38"/>
      <c r="AIJ1631" s="38"/>
      <c r="AIK1631" s="38"/>
      <c r="AIL1631" s="38"/>
      <c r="AIM1631" s="38"/>
      <c r="AIN1631" s="38"/>
      <c r="AIO1631" s="38"/>
      <c r="AIP1631" s="38"/>
      <c r="AIQ1631" s="38"/>
      <c r="AIR1631" s="38"/>
      <c r="AIS1631" s="38"/>
      <c r="AIT1631" s="38"/>
      <c r="AIU1631" s="38"/>
      <c r="AIV1631" s="38"/>
      <c r="AIW1631" s="38"/>
      <c r="AIX1631" s="38"/>
      <c r="AIY1631" s="38"/>
      <c r="AIZ1631" s="38"/>
      <c r="AJA1631" s="38"/>
      <c r="AJB1631" s="38"/>
      <c r="AJC1631" s="38"/>
      <c r="AJD1631" s="38"/>
      <c r="AJE1631" s="38"/>
      <c r="AJF1631" s="38"/>
      <c r="AJG1631" s="38"/>
      <c r="AJH1631" s="38"/>
      <c r="AJI1631" s="38"/>
      <c r="AJJ1631" s="38"/>
      <c r="AJK1631" s="38"/>
      <c r="AJL1631" s="38"/>
      <c r="AJM1631" s="38"/>
      <c r="AJN1631" s="38"/>
      <c r="AJO1631" s="38"/>
      <c r="AJP1631" s="38"/>
      <c r="AJQ1631" s="38"/>
      <c r="AJR1631" s="38"/>
      <c r="AJS1631" s="38"/>
      <c r="AJT1631" s="38"/>
      <c r="AJU1631" s="38"/>
      <c r="AJV1631" s="38"/>
      <c r="AJW1631" s="38"/>
      <c r="AJX1631" s="38"/>
      <c r="AJY1631" s="38"/>
      <c r="AJZ1631" s="38"/>
      <c r="AKA1631" s="38"/>
      <c r="AKB1631" s="38"/>
      <c r="AKC1631" s="38"/>
      <c r="AKD1631" s="38"/>
      <c r="AKE1631" s="38"/>
      <c r="AKF1631" s="38"/>
      <c r="AKG1631" s="38"/>
      <c r="AKH1631" s="38"/>
      <c r="AKI1631" s="38"/>
      <c r="AKJ1631" s="38"/>
      <c r="AKK1631" s="38"/>
      <c r="AKL1631" s="38"/>
      <c r="AKM1631" s="38"/>
      <c r="AKN1631" s="38"/>
      <c r="AKO1631" s="38"/>
      <c r="AKP1631" s="38"/>
      <c r="AKQ1631" s="38"/>
      <c r="AKR1631" s="38"/>
      <c r="AKS1631" s="38"/>
      <c r="AKT1631" s="38"/>
      <c r="AKU1631" s="38"/>
      <c r="AKV1631" s="38"/>
      <c r="AKW1631" s="38"/>
      <c r="AKX1631" s="38"/>
      <c r="AKY1631" s="38"/>
      <c r="AKZ1631" s="38"/>
      <c r="ALA1631" s="38"/>
      <c r="ALB1631" s="38"/>
      <c r="ALC1631" s="38"/>
      <c r="ALD1631" s="38"/>
      <c r="ALE1631" s="38"/>
      <c r="ALF1631" s="38"/>
      <c r="ALG1631" s="38"/>
      <c r="ALH1631" s="38"/>
      <c r="ALI1631" s="38"/>
      <c r="ALJ1631" s="38"/>
      <c r="ALK1631" s="38"/>
      <c r="ALL1631" s="38"/>
      <c r="ALM1631" s="38"/>
      <c r="ALN1631" s="38"/>
      <c r="ALO1631" s="38"/>
      <c r="ALP1631" s="38"/>
      <c r="ALQ1631" s="38"/>
      <c r="ALR1631" s="38"/>
      <c r="ALS1631" s="38"/>
      <c r="ALT1631" s="38"/>
      <c r="ALU1631" s="38"/>
      <c r="ALV1631" s="38"/>
      <c r="ALW1631" s="38"/>
      <c r="ALX1631" s="38"/>
      <c r="ALY1631" s="38"/>
      <c r="ALZ1631" s="38"/>
      <c r="AMA1631" s="38"/>
      <c r="AMB1631" s="38"/>
      <c r="AMC1631" s="38"/>
      <c r="AMD1631" s="38"/>
      <c r="AME1631" s="38"/>
      <c r="AMF1631" s="38"/>
      <c r="AMG1631" s="38"/>
      <c r="AMH1631" s="38"/>
      <c r="AMI1631" s="38"/>
      <c r="AMJ1631" s="38"/>
      <c r="AMK1631" s="38"/>
      <c r="AML1631" s="38"/>
      <c r="AMM1631" s="38"/>
      <c r="AMN1631" s="38"/>
      <c r="AMO1631" s="38"/>
      <c r="AMP1631" s="38"/>
      <c r="AMQ1631" s="38"/>
      <c r="AMR1631" s="38"/>
      <c r="AMS1631" s="38"/>
      <c r="AMT1631" s="38"/>
      <c r="AMU1631" s="38"/>
      <c r="AMV1631" s="38"/>
      <c r="AMW1631" s="38"/>
      <c r="AMX1631" s="38"/>
      <c r="AMY1631" s="38"/>
      <c r="AMZ1631" s="38"/>
      <c r="ANA1631" s="38"/>
      <c r="ANB1631" s="38"/>
      <c r="ANC1631" s="38"/>
      <c r="AND1631" s="38"/>
      <c r="ANE1631" s="38"/>
      <c r="ANF1631" s="38"/>
      <c r="ANG1631" s="38"/>
      <c r="ANH1631" s="38"/>
      <c r="ANI1631" s="38"/>
      <c r="ANJ1631" s="38"/>
      <c r="ANK1631" s="38"/>
      <c r="ANL1631" s="38"/>
      <c r="ANM1631" s="38"/>
      <c r="ANN1631" s="38"/>
      <c r="ANO1631" s="38"/>
      <c r="ANP1631" s="38"/>
      <c r="ANQ1631" s="38"/>
      <c r="ANR1631" s="38"/>
      <c r="ANS1631" s="38"/>
      <c r="ANT1631" s="38"/>
      <c r="ANU1631" s="38"/>
      <c r="ANV1631" s="38"/>
      <c r="ANW1631" s="38"/>
      <c r="ANX1631" s="38"/>
      <c r="ANY1631" s="38"/>
      <c r="ANZ1631" s="38"/>
      <c r="AOA1631" s="38"/>
      <c r="AOB1631" s="38"/>
      <c r="AOC1631" s="38"/>
      <c r="AOD1631" s="38"/>
      <c r="AOE1631" s="38"/>
      <c r="AOF1631" s="38"/>
      <c r="AOG1631" s="38"/>
      <c r="AOH1631" s="38"/>
      <c r="AOI1631" s="38"/>
      <c r="AOJ1631" s="38"/>
      <c r="AOK1631" s="38"/>
      <c r="AOL1631" s="38"/>
      <c r="AOM1631" s="38"/>
      <c r="AON1631" s="38"/>
      <c r="AOO1631" s="38"/>
      <c r="AOP1631" s="38"/>
      <c r="AOQ1631" s="38"/>
      <c r="AOR1631" s="38"/>
      <c r="AOS1631" s="38"/>
      <c r="AOT1631" s="38"/>
      <c r="AOU1631" s="38"/>
      <c r="AOV1631" s="38"/>
      <c r="AOW1631" s="38"/>
      <c r="AOX1631" s="38"/>
      <c r="AOY1631" s="38"/>
      <c r="AOZ1631" s="38"/>
      <c r="APA1631" s="38"/>
      <c r="APB1631" s="38"/>
      <c r="APC1631" s="38"/>
    </row>
    <row r="1632" spans="1:1095" s="36" customFormat="1" ht="14.25" customHeight="1">
      <c r="A1632" s="3" t="s">
        <v>1722</v>
      </c>
      <c r="B1632" s="36" t="s">
        <v>3920</v>
      </c>
      <c r="C1632" s="10">
        <v>4099854026515</v>
      </c>
      <c r="D1632" s="246"/>
      <c r="E1632" s="249"/>
      <c r="F1632" s="222" t="s">
        <v>3136</v>
      </c>
      <c r="G1632" s="66" t="str">
        <f>HYPERLINK("https://ledvance.com/pt/product-datasheet/245370/229079","Ficha de Produto")</f>
        <v>Ficha de Produto</v>
      </c>
      <c r="H1632" s="217">
        <v>10</v>
      </c>
      <c r="I1632" s="34" t="s">
        <v>827</v>
      </c>
      <c r="J1632" s="34" t="s">
        <v>807</v>
      </c>
      <c r="K1632" s="34" t="s">
        <v>788</v>
      </c>
      <c r="L1632" s="34" t="s">
        <v>793</v>
      </c>
      <c r="M1632" s="247">
        <v>32</v>
      </c>
      <c r="N1632" s="288" t="s">
        <v>722</v>
      </c>
    </row>
    <row r="1633" spans="1:1095" s="36" customFormat="1" ht="14.25" customHeight="1">
      <c r="A1633" s="3" t="s">
        <v>1722</v>
      </c>
      <c r="B1633" s="36" t="s">
        <v>3921</v>
      </c>
      <c r="C1633" s="10">
        <v>4099854026539</v>
      </c>
      <c r="D1633" s="246"/>
      <c r="E1633" s="249"/>
      <c r="F1633" s="222" t="s">
        <v>3136</v>
      </c>
      <c r="G1633" s="66" t="str">
        <f>HYPERLINK("https://ledvance.com/pt/product-datasheet/245370/229082","Ficha de Produto")</f>
        <v>Ficha de Produto</v>
      </c>
      <c r="H1633" s="217">
        <v>10</v>
      </c>
      <c r="I1633" s="34" t="s">
        <v>1042</v>
      </c>
      <c r="J1633" s="34" t="s">
        <v>807</v>
      </c>
      <c r="K1633" s="34" t="s">
        <v>788</v>
      </c>
      <c r="L1633" s="34" t="s">
        <v>793</v>
      </c>
      <c r="M1633" s="247">
        <v>32</v>
      </c>
      <c r="N1633" s="288" t="s">
        <v>722</v>
      </c>
    </row>
    <row r="1634" spans="1:1095" s="36" customFormat="1" ht="14.25" customHeight="1">
      <c r="A1634" s="3" t="s">
        <v>1722</v>
      </c>
      <c r="B1634" s="36" t="s">
        <v>3922</v>
      </c>
      <c r="C1634" s="10">
        <v>4099854026553</v>
      </c>
      <c r="D1634" s="246"/>
      <c r="E1634" s="249"/>
      <c r="F1634" s="222" t="s">
        <v>3136</v>
      </c>
      <c r="G1634" s="66" t="str">
        <f>HYPERLINK("https://ledvance.com/pt/product-datasheet/245370/229085","Ficha de Produto")</f>
        <v>Ficha de Produto</v>
      </c>
      <c r="H1634" s="217">
        <v>10</v>
      </c>
      <c r="I1634" s="34" t="s">
        <v>1042</v>
      </c>
      <c r="J1634" s="34" t="s">
        <v>807</v>
      </c>
      <c r="K1634" s="34" t="s">
        <v>788</v>
      </c>
      <c r="L1634" s="34" t="s">
        <v>793</v>
      </c>
      <c r="M1634" s="247">
        <v>32</v>
      </c>
      <c r="N1634" s="288" t="s">
        <v>722</v>
      </c>
    </row>
    <row r="1635" spans="1:1095" s="36" customFormat="1" ht="14.25" customHeight="1">
      <c r="A1635" s="3" t="s">
        <v>1722</v>
      </c>
      <c r="B1635" s="36" t="s">
        <v>3923</v>
      </c>
      <c r="C1635" s="10">
        <v>4099854026317</v>
      </c>
      <c r="D1635" s="224">
        <v>4058075546899</v>
      </c>
      <c r="E1635" s="245" t="s">
        <v>1567</v>
      </c>
      <c r="F1635" s="246"/>
      <c r="G1635" s="66" t="str">
        <f>HYPERLINK("https://ledvance.com/pt/product-datasheet/245370/229088","Ficha de Produto")</f>
        <v>Ficha de Produto</v>
      </c>
      <c r="H1635" s="217">
        <v>10</v>
      </c>
      <c r="I1635" s="34" t="s">
        <v>790</v>
      </c>
      <c r="J1635" s="34" t="s">
        <v>773</v>
      </c>
      <c r="K1635" s="34" t="s">
        <v>788</v>
      </c>
      <c r="L1635" s="34" t="s">
        <v>793</v>
      </c>
      <c r="M1635" s="247">
        <v>35.300000000000004</v>
      </c>
      <c r="N1635" s="288" t="s">
        <v>722</v>
      </c>
    </row>
    <row r="1636" spans="1:1095" s="36" customFormat="1" ht="14.25" customHeight="1">
      <c r="A1636" s="3" t="s">
        <v>1722</v>
      </c>
      <c r="B1636" s="36" t="s">
        <v>3924</v>
      </c>
      <c r="C1636" s="10">
        <v>4099854026355</v>
      </c>
      <c r="D1636" s="224">
        <v>4058075546912</v>
      </c>
      <c r="E1636" s="245" t="s">
        <v>1568</v>
      </c>
      <c r="F1636" s="246"/>
      <c r="G1636" s="66" t="str">
        <f>HYPERLINK("https://ledvance.com/pt/product-datasheet/245370/229091","Ficha de Produto")</f>
        <v>Ficha de Produto</v>
      </c>
      <c r="H1636" s="217">
        <v>10</v>
      </c>
      <c r="I1636" s="34" t="s">
        <v>861</v>
      </c>
      <c r="J1636" s="34" t="s">
        <v>773</v>
      </c>
      <c r="K1636" s="34" t="s">
        <v>788</v>
      </c>
      <c r="L1636" s="34" t="s">
        <v>793</v>
      </c>
      <c r="M1636" s="247">
        <v>35.300000000000004</v>
      </c>
      <c r="N1636" s="288" t="s">
        <v>722</v>
      </c>
    </row>
    <row r="1637" spans="1:1095" s="36" customFormat="1" ht="14.25" customHeight="1">
      <c r="A1637" s="3" t="s">
        <v>1722</v>
      </c>
      <c r="B1637" s="36" t="s">
        <v>3925</v>
      </c>
      <c r="C1637" s="10">
        <v>4099854026379</v>
      </c>
      <c r="D1637" s="224">
        <v>4058075546936</v>
      </c>
      <c r="E1637" s="245" t="s">
        <v>1569</v>
      </c>
      <c r="F1637" s="246"/>
      <c r="G1637" s="66" t="str">
        <f>HYPERLINK("https://ledvance.com/pt/product-datasheet/245370/229094","Ficha de Produto")</f>
        <v>Ficha de Produto</v>
      </c>
      <c r="H1637" s="217">
        <v>10</v>
      </c>
      <c r="I1637" s="34" t="s">
        <v>861</v>
      </c>
      <c r="J1637" s="34" t="s">
        <v>773</v>
      </c>
      <c r="K1637" s="34" t="s">
        <v>788</v>
      </c>
      <c r="L1637" s="34" t="s">
        <v>793</v>
      </c>
      <c r="M1637" s="247">
        <v>35.300000000000004</v>
      </c>
      <c r="N1637" s="288" t="s">
        <v>722</v>
      </c>
    </row>
    <row r="1638" spans="1:1095" s="36" customFormat="1" ht="14.25" customHeight="1">
      <c r="A1638" s="3" t="s">
        <v>1722</v>
      </c>
      <c r="B1638" s="36" t="s">
        <v>3926</v>
      </c>
      <c r="C1638" s="10">
        <v>4099854026416</v>
      </c>
      <c r="D1638" s="224">
        <v>4058075546950</v>
      </c>
      <c r="E1638" s="245" t="s">
        <v>1570</v>
      </c>
      <c r="F1638" s="246"/>
      <c r="G1638" s="66" t="str">
        <f>HYPERLINK("https://ledvance.com/pt/product-datasheet/245370/229097","Ficha de Produto")</f>
        <v>Ficha de Produto</v>
      </c>
      <c r="H1638" s="217">
        <v>10</v>
      </c>
      <c r="I1638" s="34" t="s">
        <v>6326</v>
      </c>
      <c r="J1638" s="34" t="s">
        <v>821</v>
      </c>
      <c r="K1638" s="34" t="s">
        <v>788</v>
      </c>
      <c r="L1638" s="34" t="s">
        <v>793</v>
      </c>
      <c r="M1638" s="247">
        <v>38.6</v>
      </c>
      <c r="N1638" s="288" t="s">
        <v>722</v>
      </c>
    </row>
    <row r="1639" spans="1:1095" s="36" customFormat="1" ht="14.25" customHeight="1">
      <c r="A1639" s="3" t="s">
        <v>1722</v>
      </c>
      <c r="B1639" s="36" t="s">
        <v>3927</v>
      </c>
      <c r="C1639" s="10">
        <v>4099854026454</v>
      </c>
      <c r="D1639" s="224">
        <v>4058075546974</v>
      </c>
      <c r="E1639" s="245" t="s">
        <v>1571</v>
      </c>
      <c r="F1639" s="246"/>
      <c r="G1639" s="66" t="str">
        <f>HYPERLINK("https://ledvance.com/pt/product-datasheet/245370/229100","Ficha de Produto")</f>
        <v>Ficha de Produto</v>
      </c>
      <c r="H1639" s="217">
        <v>10</v>
      </c>
      <c r="I1639" s="34" t="s">
        <v>814</v>
      </c>
      <c r="J1639" s="34" t="s">
        <v>821</v>
      </c>
      <c r="K1639" s="34" t="s">
        <v>788</v>
      </c>
      <c r="L1639" s="34" t="s">
        <v>793</v>
      </c>
      <c r="M1639" s="247">
        <v>38.6</v>
      </c>
      <c r="N1639" s="288" t="s">
        <v>722</v>
      </c>
    </row>
    <row r="1640" spans="1:1095" s="36" customFormat="1" ht="14.25" customHeight="1">
      <c r="A1640" s="3" t="s">
        <v>1722</v>
      </c>
      <c r="B1640" s="36" t="s">
        <v>3928</v>
      </c>
      <c r="C1640" s="10">
        <v>4099854026478</v>
      </c>
      <c r="D1640" s="224">
        <v>4058075546998</v>
      </c>
      <c r="E1640" s="245" t="s">
        <v>1572</v>
      </c>
      <c r="F1640" s="246"/>
      <c r="G1640" s="66" t="str">
        <f>HYPERLINK("https://ledvance.com/pt/product-datasheet/245370/229103","Ficha de Produto")</f>
        <v>Ficha de Produto</v>
      </c>
      <c r="H1640" s="217">
        <v>10</v>
      </c>
      <c r="I1640" s="34" t="s">
        <v>814</v>
      </c>
      <c r="J1640" s="34" t="s">
        <v>821</v>
      </c>
      <c r="K1640" s="34" t="s">
        <v>788</v>
      </c>
      <c r="L1640" s="34" t="s">
        <v>793</v>
      </c>
      <c r="M1640" s="247">
        <v>38.6</v>
      </c>
      <c r="N1640" s="288" t="s">
        <v>722</v>
      </c>
    </row>
    <row r="1641" spans="1:1095" s="39" customFormat="1" ht="14.25" customHeight="1">
      <c r="A1641" s="8" t="s">
        <v>1722</v>
      </c>
      <c r="B1641" s="244" t="s">
        <v>2053</v>
      </c>
      <c r="C1641" s="244"/>
      <c r="D1641" s="7"/>
      <c r="E1641" s="230"/>
      <c r="F1641" s="7"/>
      <c r="G1641" s="68" t="s">
        <v>6505</v>
      </c>
      <c r="H1641" s="230"/>
      <c r="I1641" s="230"/>
      <c r="J1641" s="230"/>
      <c r="K1641" s="230"/>
      <c r="L1641" s="230"/>
      <c r="M1641" s="248"/>
      <c r="N1641" s="289"/>
      <c r="O1641" s="38"/>
      <c r="P1641" s="38"/>
      <c r="Q1641" s="38"/>
      <c r="R1641" s="38"/>
      <c r="S1641" s="38"/>
      <c r="T1641" s="38"/>
      <c r="U1641" s="38"/>
      <c r="V1641" s="38"/>
      <c r="W1641" s="38"/>
      <c r="X1641" s="38"/>
      <c r="Y1641" s="38"/>
      <c r="Z1641" s="38"/>
      <c r="AA1641" s="38"/>
      <c r="AB1641" s="38"/>
      <c r="AC1641" s="38"/>
      <c r="AD1641" s="38"/>
      <c r="AE1641" s="38"/>
      <c r="AF1641" s="38"/>
      <c r="AG1641" s="38"/>
      <c r="AH1641" s="38"/>
      <c r="AI1641" s="38"/>
      <c r="AJ1641" s="38"/>
      <c r="AK1641" s="38"/>
      <c r="AL1641" s="38"/>
      <c r="AM1641" s="38"/>
      <c r="AN1641" s="38"/>
      <c r="AO1641" s="38"/>
      <c r="AP1641" s="38"/>
      <c r="AQ1641" s="38"/>
      <c r="AR1641" s="38"/>
      <c r="AS1641" s="38"/>
      <c r="AT1641" s="38"/>
      <c r="AU1641" s="38"/>
      <c r="AV1641" s="38"/>
      <c r="AW1641" s="38"/>
      <c r="AX1641" s="38"/>
      <c r="AY1641" s="38"/>
      <c r="AZ1641" s="38"/>
      <c r="BA1641" s="38"/>
      <c r="BB1641" s="38"/>
      <c r="BC1641" s="38"/>
      <c r="BD1641" s="38"/>
      <c r="BE1641" s="38"/>
      <c r="BF1641" s="38"/>
      <c r="BG1641" s="38"/>
      <c r="BH1641" s="38"/>
      <c r="BI1641" s="38"/>
      <c r="BJ1641" s="38"/>
      <c r="BK1641" s="38"/>
      <c r="BL1641" s="38"/>
      <c r="BM1641" s="38"/>
      <c r="BN1641" s="38"/>
      <c r="BO1641" s="38"/>
      <c r="BP1641" s="38"/>
      <c r="BQ1641" s="38"/>
      <c r="BR1641" s="38"/>
      <c r="BS1641" s="38"/>
      <c r="BT1641" s="38"/>
      <c r="BU1641" s="38"/>
      <c r="BV1641" s="38"/>
      <c r="BW1641" s="38"/>
      <c r="BX1641" s="38"/>
      <c r="BY1641" s="38"/>
      <c r="BZ1641" s="38"/>
      <c r="CA1641" s="38"/>
      <c r="CB1641" s="38"/>
      <c r="CC1641" s="38"/>
      <c r="CD1641" s="38"/>
      <c r="CE1641" s="38"/>
      <c r="CF1641" s="38"/>
      <c r="CG1641" s="38"/>
      <c r="CH1641" s="38"/>
      <c r="CI1641" s="38"/>
      <c r="CJ1641" s="38"/>
      <c r="CK1641" s="38"/>
      <c r="CL1641" s="38"/>
      <c r="CM1641" s="38"/>
      <c r="CN1641" s="38"/>
      <c r="CO1641" s="38"/>
      <c r="CP1641" s="38"/>
      <c r="CQ1641" s="38"/>
      <c r="CR1641" s="38"/>
      <c r="CS1641" s="38"/>
      <c r="CT1641" s="38"/>
      <c r="CU1641" s="38"/>
      <c r="CV1641" s="38"/>
      <c r="CW1641" s="38"/>
      <c r="CX1641" s="38"/>
      <c r="CY1641" s="38"/>
      <c r="CZ1641" s="38"/>
      <c r="DA1641" s="38"/>
      <c r="DB1641" s="38"/>
      <c r="DC1641" s="38"/>
      <c r="DD1641" s="38"/>
      <c r="DE1641" s="38"/>
      <c r="DF1641" s="38"/>
      <c r="DG1641" s="38"/>
      <c r="DH1641" s="38"/>
      <c r="DI1641" s="38"/>
      <c r="DJ1641" s="38"/>
      <c r="DK1641" s="38"/>
      <c r="DL1641" s="38"/>
      <c r="DM1641" s="38"/>
      <c r="DN1641" s="38"/>
      <c r="DO1641" s="38"/>
      <c r="DP1641" s="38"/>
      <c r="DQ1641" s="38"/>
      <c r="DR1641" s="38"/>
      <c r="DS1641" s="38"/>
      <c r="DT1641" s="38"/>
      <c r="DU1641" s="38"/>
      <c r="DV1641" s="38"/>
      <c r="DW1641" s="38"/>
      <c r="DX1641" s="38"/>
      <c r="DY1641" s="38"/>
      <c r="DZ1641" s="38"/>
      <c r="EA1641" s="38"/>
      <c r="EB1641" s="38"/>
      <c r="EC1641" s="38"/>
      <c r="ED1641" s="38"/>
      <c r="EE1641" s="38"/>
      <c r="EF1641" s="38"/>
      <c r="EG1641" s="38"/>
      <c r="EH1641" s="38"/>
      <c r="EI1641" s="38"/>
      <c r="EJ1641" s="38"/>
      <c r="EK1641" s="38"/>
      <c r="EL1641" s="38"/>
      <c r="EM1641" s="38"/>
      <c r="EN1641" s="38"/>
      <c r="EO1641" s="38"/>
      <c r="EP1641" s="38"/>
      <c r="EQ1641" s="38"/>
      <c r="ER1641" s="38"/>
      <c r="ES1641" s="38"/>
      <c r="ET1641" s="38"/>
      <c r="EU1641" s="38"/>
      <c r="EV1641" s="38"/>
      <c r="EW1641" s="38"/>
      <c r="EX1641" s="38"/>
      <c r="EY1641" s="38"/>
      <c r="EZ1641" s="38"/>
      <c r="FA1641" s="38"/>
      <c r="FB1641" s="38"/>
      <c r="FC1641" s="38"/>
      <c r="FD1641" s="38"/>
      <c r="FE1641" s="38"/>
      <c r="FF1641" s="38"/>
      <c r="FG1641" s="38"/>
      <c r="FH1641" s="38"/>
      <c r="FI1641" s="38"/>
      <c r="FJ1641" s="38"/>
      <c r="FK1641" s="38"/>
      <c r="FL1641" s="38"/>
      <c r="FM1641" s="38"/>
      <c r="FN1641" s="38"/>
      <c r="FO1641" s="38"/>
      <c r="FP1641" s="38"/>
      <c r="FQ1641" s="38"/>
      <c r="FR1641" s="38"/>
      <c r="FS1641" s="38"/>
      <c r="FT1641" s="38"/>
      <c r="FU1641" s="38"/>
      <c r="FV1641" s="38"/>
      <c r="FW1641" s="38"/>
      <c r="FX1641" s="38"/>
      <c r="FY1641" s="38"/>
      <c r="FZ1641" s="38"/>
      <c r="GA1641" s="38"/>
      <c r="GB1641" s="38"/>
      <c r="GC1641" s="38"/>
      <c r="GD1641" s="38"/>
      <c r="GE1641" s="38"/>
      <c r="GF1641" s="38"/>
      <c r="GG1641" s="38"/>
      <c r="GH1641" s="38"/>
      <c r="GI1641" s="38"/>
      <c r="GJ1641" s="38"/>
      <c r="GK1641" s="38"/>
      <c r="GL1641" s="38"/>
      <c r="GM1641" s="38"/>
      <c r="GN1641" s="38"/>
      <c r="GO1641" s="38"/>
      <c r="GP1641" s="38"/>
      <c r="GQ1641" s="38"/>
      <c r="GR1641" s="38"/>
      <c r="GS1641" s="38"/>
      <c r="GT1641" s="38"/>
      <c r="GU1641" s="38"/>
      <c r="GV1641" s="38"/>
      <c r="GW1641" s="38"/>
      <c r="GX1641" s="38"/>
      <c r="GY1641" s="38"/>
      <c r="GZ1641" s="38"/>
      <c r="HA1641" s="38"/>
      <c r="HB1641" s="38"/>
      <c r="HC1641" s="38"/>
      <c r="HD1641" s="38"/>
      <c r="HE1641" s="38"/>
      <c r="HF1641" s="38"/>
      <c r="HG1641" s="38"/>
      <c r="HH1641" s="38"/>
      <c r="HI1641" s="38"/>
      <c r="HJ1641" s="38"/>
      <c r="HK1641" s="38"/>
      <c r="HL1641" s="38"/>
      <c r="HM1641" s="38"/>
      <c r="HN1641" s="38"/>
      <c r="HO1641" s="38"/>
      <c r="HP1641" s="38"/>
      <c r="HQ1641" s="38"/>
      <c r="HR1641" s="38"/>
      <c r="HS1641" s="38"/>
      <c r="HT1641" s="38"/>
      <c r="HU1641" s="38"/>
      <c r="HV1641" s="38"/>
      <c r="HW1641" s="38"/>
      <c r="HX1641" s="38"/>
      <c r="HY1641" s="38"/>
      <c r="HZ1641" s="38"/>
      <c r="IA1641" s="38"/>
      <c r="IB1641" s="38"/>
      <c r="IC1641" s="38"/>
      <c r="ID1641" s="38"/>
      <c r="IE1641" s="38"/>
      <c r="IF1641" s="38"/>
      <c r="IG1641" s="38"/>
      <c r="IH1641" s="38"/>
      <c r="II1641" s="38"/>
      <c r="IJ1641" s="38"/>
      <c r="IK1641" s="38"/>
      <c r="IL1641" s="38"/>
      <c r="IM1641" s="38"/>
      <c r="IN1641" s="38"/>
      <c r="IO1641" s="38"/>
      <c r="IP1641" s="38"/>
      <c r="IQ1641" s="38"/>
      <c r="IR1641" s="38"/>
      <c r="IS1641" s="38"/>
      <c r="IT1641" s="38"/>
      <c r="IU1641" s="38"/>
      <c r="IV1641" s="38"/>
      <c r="IW1641" s="38"/>
      <c r="IX1641" s="38"/>
      <c r="IY1641" s="38"/>
      <c r="IZ1641" s="38"/>
      <c r="JA1641" s="38"/>
      <c r="JB1641" s="38"/>
      <c r="JC1641" s="38"/>
      <c r="JD1641" s="38"/>
      <c r="JE1641" s="38"/>
      <c r="JF1641" s="38"/>
      <c r="JG1641" s="38"/>
      <c r="JH1641" s="38"/>
      <c r="JI1641" s="38"/>
      <c r="JJ1641" s="38"/>
      <c r="JK1641" s="38"/>
      <c r="JL1641" s="38"/>
      <c r="JM1641" s="38"/>
      <c r="JN1641" s="38"/>
      <c r="JO1641" s="38"/>
      <c r="JP1641" s="38"/>
      <c r="JQ1641" s="38"/>
      <c r="JR1641" s="38"/>
      <c r="JS1641" s="38"/>
      <c r="JT1641" s="38"/>
      <c r="JU1641" s="38"/>
      <c r="JV1641" s="38"/>
      <c r="JW1641" s="38"/>
      <c r="JX1641" s="38"/>
      <c r="JY1641" s="38"/>
      <c r="JZ1641" s="38"/>
      <c r="KA1641" s="38"/>
      <c r="KB1641" s="38"/>
      <c r="KC1641" s="38"/>
      <c r="KD1641" s="38"/>
      <c r="KE1641" s="38"/>
      <c r="KF1641" s="38"/>
      <c r="KG1641" s="38"/>
      <c r="KH1641" s="38"/>
      <c r="KI1641" s="38"/>
      <c r="KJ1641" s="38"/>
      <c r="KK1641" s="38"/>
      <c r="KL1641" s="38"/>
      <c r="KM1641" s="38"/>
      <c r="KN1641" s="38"/>
      <c r="KO1641" s="38"/>
      <c r="KP1641" s="38"/>
      <c r="KQ1641" s="38"/>
      <c r="KR1641" s="38"/>
      <c r="KS1641" s="38"/>
      <c r="KT1641" s="38"/>
      <c r="KU1641" s="38"/>
      <c r="KV1641" s="38"/>
      <c r="KW1641" s="38"/>
      <c r="KX1641" s="38"/>
      <c r="KY1641" s="38"/>
      <c r="KZ1641" s="38"/>
      <c r="LA1641" s="38"/>
      <c r="LB1641" s="38"/>
      <c r="LC1641" s="38"/>
      <c r="LD1641" s="38"/>
      <c r="LE1641" s="38"/>
      <c r="LF1641" s="38"/>
      <c r="LG1641" s="38"/>
      <c r="LH1641" s="38"/>
      <c r="LI1641" s="38"/>
      <c r="LJ1641" s="38"/>
      <c r="LK1641" s="38"/>
      <c r="LL1641" s="38"/>
      <c r="LM1641" s="38"/>
      <c r="LN1641" s="38"/>
      <c r="LO1641" s="38"/>
      <c r="LP1641" s="38"/>
      <c r="LQ1641" s="38"/>
      <c r="LR1641" s="38"/>
      <c r="LS1641" s="38"/>
      <c r="LT1641" s="38"/>
      <c r="LU1641" s="38"/>
      <c r="LV1641" s="38"/>
      <c r="LW1641" s="38"/>
      <c r="LX1641" s="38"/>
      <c r="LY1641" s="38"/>
      <c r="LZ1641" s="38"/>
      <c r="MA1641" s="38"/>
      <c r="MB1641" s="38"/>
      <c r="MC1641" s="38"/>
      <c r="MD1641" s="38"/>
      <c r="ME1641" s="38"/>
      <c r="MF1641" s="38"/>
      <c r="MG1641" s="38"/>
      <c r="MH1641" s="38"/>
      <c r="MI1641" s="38"/>
      <c r="MJ1641" s="38"/>
      <c r="MK1641" s="38"/>
      <c r="ML1641" s="38"/>
      <c r="MM1641" s="38"/>
      <c r="MN1641" s="38"/>
      <c r="MO1641" s="38"/>
      <c r="MP1641" s="38"/>
      <c r="MQ1641" s="38"/>
      <c r="MR1641" s="38"/>
      <c r="MS1641" s="38"/>
      <c r="MT1641" s="38"/>
      <c r="MU1641" s="38"/>
      <c r="MV1641" s="38"/>
      <c r="MW1641" s="38"/>
      <c r="MX1641" s="38"/>
      <c r="MY1641" s="38"/>
      <c r="MZ1641" s="38"/>
      <c r="NA1641" s="38"/>
      <c r="NB1641" s="38"/>
      <c r="NC1641" s="38"/>
      <c r="ND1641" s="38"/>
      <c r="NE1641" s="38"/>
      <c r="NF1641" s="38"/>
      <c r="NG1641" s="38"/>
      <c r="NH1641" s="38"/>
      <c r="NI1641" s="38"/>
      <c r="NJ1641" s="38"/>
      <c r="NK1641" s="38"/>
      <c r="NL1641" s="38"/>
      <c r="NM1641" s="38"/>
      <c r="NN1641" s="38"/>
      <c r="NO1641" s="38"/>
      <c r="NP1641" s="38"/>
      <c r="NQ1641" s="38"/>
      <c r="NR1641" s="38"/>
      <c r="NS1641" s="38"/>
      <c r="NT1641" s="38"/>
      <c r="NU1641" s="38"/>
      <c r="NV1641" s="38"/>
      <c r="NW1641" s="38"/>
      <c r="NX1641" s="38"/>
      <c r="NY1641" s="38"/>
      <c r="NZ1641" s="38"/>
      <c r="OA1641" s="38"/>
      <c r="OB1641" s="38"/>
      <c r="OC1641" s="38"/>
      <c r="OD1641" s="38"/>
      <c r="OE1641" s="38"/>
      <c r="OF1641" s="38"/>
      <c r="OG1641" s="38"/>
      <c r="OH1641" s="38"/>
      <c r="OI1641" s="38"/>
      <c r="OJ1641" s="38"/>
      <c r="OK1641" s="38"/>
      <c r="OL1641" s="38"/>
      <c r="OM1641" s="38"/>
      <c r="ON1641" s="38"/>
      <c r="OO1641" s="38"/>
      <c r="OP1641" s="38"/>
      <c r="OQ1641" s="38"/>
      <c r="OR1641" s="38"/>
      <c r="OS1641" s="38"/>
      <c r="OT1641" s="38"/>
      <c r="OU1641" s="38"/>
      <c r="OV1641" s="38"/>
      <c r="OW1641" s="38"/>
      <c r="OX1641" s="38"/>
      <c r="OY1641" s="38"/>
      <c r="OZ1641" s="38"/>
      <c r="PA1641" s="38"/>
      <c r="PB1641" s="38"/>
      <c r="PC1641" s="38"/>
      <c r="PD1641" s="38"/>
      <c r="PE1641" s="38"/>
      <c r="PF1641" s="38"/>
      <c r="PG1641" s="38"/>
      <c r="PH1641" s="38"/>
      <c r="PI1641" s="38"/>
      <c r="PJ1641" s="38"/>
      <c r="PK1641" s="38"/>
      <c r="PL1641" s="38"/>
      <c r="PM1641" s="38"/>
      <c r="PN1641" s="38"/>
      <c r="PO1641" s="38"/>
      <c r="PP1641" s="38"/>
      <c r="PQ1641" s="38"/>
      <c r="PR1641" s="38"/>
      <c r="PS1641" s="38"/>
      <c r="PT1641" s="38"/>
      <c r="PU1641" s="38"/>
      <c r="PV1641" s="38"/>
      <c r="PW1641" s="38"/>
      <c r="PX1641" s="38"/>
      <c r="PY1641" s="38"/>
      <c r="PZ1641" s="38"/>
      <c r="QA1641" s="38"/>
      <c r="QB1641" s="38"/>
      <c r="QC1641" s="38"/>
      <c r="QD1641" s="38"/>
      <c r="QE1641" s="38"/>
      <c r="QF1641" s="38"/>
      <c r="QG1641" s="38"/>
      <c r="QH1641" s="38"/>
      <c r="QI1641" s="38"/>
      <c r="QJ1641" s="38"/>
      <c r="QK1641" s="38"/>
      <c r="QL1641" s="38"/>
      <c r="QM1641" s="38"/>
      <c r="QN1641" s="38"/>
      <c r="QO1641" s="38"/>
      <c r="QP1641" s="38"/>
      <c r="QQ1641" s="38"/>
      <c r="QR1641" s="38"/>
      <c r="QS1641" s="38"/>
      <c r="QT1641" s="38"/>
      <c r="QU1641" s="38"/>
      <c r="QV1641" s="38"/>
      <c r="QW1641" s="38"/>
      <c r="QX1641" s="38"/>
      <c r="QY1641" s="38"/>
      <c r="QZ1641" s="38"/>
      <c r="RA1641" s="38"/>
      <c r="RB1641" s="38"/>
      <c r="RC1641" s="38"/>
      <c r="RD1641" s="38"/>
      <c r="RE1641" s="38"/>
      <c r="RF1641" s="38"/>
      <c r="RG1641" s="38"/>
      <c r="RH1641" s="38"/>
      <c r="RI1641" s="38"/>
      <c r="RJ1641" s="38"/>
      <c r="RK1641" s="38"/>
      <c r="RL1641" s="38"/>
      <c r="RM1641" s="38"/>
      <c r="RN1641" s="38"/>
      <c r="RO1641" s="38"/>
      <c r="RP1641" s="38"/>
      <c r="RQ1641" s="38"/>
      <c r="RR1641" s="38"/>
      <c r="RS1641" s="38"/>
      <c r="RT1641" s="38"/>
      <c r="RU1641" s="38"/>
      <c r="RV1641" s="38"/>
      <c r="RW1641" s="38"/>
      <c r="RX1641" s="38"/>
      <c r="RY1641" s="38"/>
      <c r="RZ1641" s="38"/>
      <c r="SA1641" s="38"/>
      <c r="SB1641" s="38"/>
      <c r="SC1641" s="38"/>
      <c r="SD1641" s="38"/>
      <c r="SE1641" s="38"/>
      <c r="SF1641" s="38"/>
      <c r="SG1641" s="38"/>
      <c r="SH1641" s="38"/>
      <c r="SI1641" s="38"/>
      <c r="SJ1641" s="38"/>
      <c r="SK1641" s="38"/>
      <c r="SL1641" s="38"/>
      <c r="SM1641" s="38"/>
      <c r="SN1641" s="38"/>
      <c r="SO1641" s="38"/>
      <c r="SP1641" s="38"/>
      <c r="SQ1641" s="38"/>
      <c r="SR1641" s="38"/>
      <c r="SS1641" s="38"/>
      <c r="ST1641" s="38"/>
      <c r="SU1641" s="38"/>
      <c r="SV1641" s="38"/>
      <c r="SW1641" s="38"/>
      <c r="SX1641" s="38"/>
      <c r="SY1641" s="38"/>
      <c r="SZ1641" s="38"/>
      <c r="TA1641" s="38"/>
      <c r="TB1641" s="38"/>
      <c r="TC1641" s="38"/>
      <c r="TD1641" s="38"/>
      <c r="TE1641" s="38"/>
      <c r="TF1641" s="38"/>
      <c r="TG1641" s="38"/>
      <c r="TH1641" s="38"/>
      <c r="TI1641" s="38"/>
      <c r="TJ1641" s="38"/>
      <c r="TK1641" s="38"/>
      <c r="TL1641" s="38"/>
      <c r="TM1641" s="38"/>
      <c r="TN1641" s="38"/>
      <c r="TO1641" s="38"/>
      <c r="TP1641" s="38"/>
      <c r="TQ1641" s="38"/>
      <c r="TR1641" s="38"/>
      <c r="TS1641" s="38"/>
      <c r="TT1641" s="38"/>
      <c r="TU1641" s="38"/>
      <c r="TV1641" s="38"/>
      <c r="TW1641" s="38"/>
      <c r="TX1641" s="38"/>
      <c r="TY1641" s="38"/>
      <c r="TZ1641" s="38"/>
      <c r="UA1641" s="38"/>
      <c r="UB1641" s="38"/>
      <c r="UC1641" s="38"/>
      <c r="UD1641" s="38"/>
      <c r="UE1641" s="38"/>
      <c r="UF1641" s="38"/>
      <c r="UG1641" s="38"/>
      <c r="UH1641" s="38"/>
      <c r="UI1641" s="38"/>
      <c r="UJ1641" s="38"/>
      <c r="UK1641" s="38"/>
      <c r="UL1641" s="38"/>
      <c r="UM1641" s="38"/>
      <c r="UN1641" s="38"/>
      <c r="UO1641" s="38"/>
      <c r="UP1641" s="38"/>
      <c r="UQ1641" s="38"/>
      <c r="UR1641" s="38"/>
      <c r="US1641" s="38"/>
      <c r="UT1641" s="38"/>
      <c r="UU1641" s="38"/>
      <c r="UV1641" s="38"/>
      <c r="UW1641" s="38"/>
      <c r="UX1641" s="38"/>
      <c r="UY1641" s="38"/>
      <c r="UZ1641" s="38"/>
      <c r="VA1641" s="38"/>
      <c r="VB1641" s="38"/>
      <c r="VC1641" s="38"/>
      <c r="VD1641" s="38"/>
      <c r="VE1641" s="38"/>
      <c r="VF1641" s="38"/>
      <c r="VG1641" s="38"/>
      <c r="VH1641" s="38"/>
      <c r="VI1641" s="38"/>
      <c r="VJ1641" s="38"/>
      <c r="VK1641" s="38"/>
      <c r="VL1641" s="38"/>
      <c r="VM1641" s="38"/>
      <c r="VN1641" s="38"/>
      <c r="VO1641" s="38"/>
      <c r="VP1641" s="38"/>
      <c r="VQ1641" s="38"/>
      <c r="VR1641" s="38"/>
      <c r="VS1641" s="38"/>
      <c r="VT1641" s="38"/>
      <c r="VU1641" s="38"/>
      <c r="VV1641" s="38"/>
      <c r="VW1641" s="38"/>
      <c r="VX1641" s="38"/>
      <c r="VY1641" s="38"/>
      <c r="VZ1641" s="38"/>
      <c r="WA1641" s="38"/>
      <c r="WB1641" s="38"/>
      <c r="WC1641" s="38"/>
      <c r="WD1641" s="38"/>
      <c r="WE1641" s="38"/>
      <c r="WF1641" s="38"/>
      <c r="WG1641" s="38"/>
      <c r="WH1641" s="38"/>
      <c r="WI1641" s="38"/>
      <c r="WJ1641" s="38"/>
      <c r="WK1641" s="38"/>
      <c r="WL1641" s="38"/>
      <c r="WM1641" s="38"/>
      <c r="WN1641" s="38"/>
      <c r="WO1641" s="38"/>
      <c r="WP1641" s="38"/>
      <c r="WQ1641" s="38"/>
      <c r="WR1641" s="38"/>
      <c r="WS1641" s="38"/>
      <c r="WT1641" s="38"/>
      <c r="WU1641" s="38"/>
      <c r="WV1641" s="38"/>
      <c r="WW1641" s="38"/>
      <c r="WX1641" s="38"/>
      <c r="WY1641" s="38"/>
      <c r="WZ1641" s="38"/>
      <c r="XA1641" s="38"/>
      <c r="XB1641" s="38"/>
      <c r="XC1641" s="38"/>
      <c r="XD1641" s="38"/>
      <c r="XE1641" s="38"/>
      <c r="XF1641" s="38"/>
      <c r="XG1641" s="38"/>
      <c r="XH1641" s="38"/>
      <c r="XI1641" s="38"/>
      <c r="XJ1641" s="38"/>
      <c r="XK1641" s="38"/>
      <c r="XL1641" s="38"/>
      <c r="XM1641" s="38"/>
      <c r="XN1641" s="38"/>
      <c r="XO1641" s="38"/>
      <c r="XP1641" s="38"/>
      <c r="XQ1641" s="38"/>
      <c r="XR1641" s="38"/>
      <c r="XS1641" s="38"/>
      <c r="XT1641" s="38"/>
      <c r="XU1641" s="38"/>
      <c r="XV1641" s="38"/>
      <c r="XW1641" s="38"/>
      <c r="XX1641" s="38"/>
      <c r="XY1641" s="38"/>
      <c r="XZ1641" s="38"/>
      <c r="YA1641" s="38"/>
      <c r="YB1641" s="38"/>
      <c r="YC1641" s="38"/>
      <c r="YD1641" s="38"/>
      <c r="YE1641" s="38"/>
      <c r="YF1641" s="38"/>
      <c r="YG1641" s="38"/>
      <c r="YH1641" s="38"/>
      <c r="YI1641" s="38"/>
      <c r="YJ1641" s="38"/>
      <c r="YK1641" s="38"/>
      <c r="YL1641" s="38"/>
      <c r="YM1641" s="38"/>
      <c r="YN1641" s="38"/>
      <c r="YO1641" s="38"/>
      <c r="YP1641" s="38"/>
      <c r="YQ1641" s="38"/>
      <c r="YR1641" s="38"/>
      <c r="YS1641" s="38"/>
      <c r="YT1641" s="38"/>
      <c r="YU1641" s="38"/>
      <c r="YV1641" s="38"/>
      <c r="YW1641" s="38"/>
      <c r="YX1641" s="38"/>
      <c r="YY1641" s="38"/>
      <c r="YZ1641" s="38"/>
      <c r="ZA1641" s="38"/>
      <c r="ZB1641" s="38"/>
      <c r="ZC1641" s="38"/>
      <c r="ZD1641" s="38"/>
      <c r="ZE1641" s="38"/>
      <c r="ZF1641" s="38"/>
      <c r="ZG1641" s="38"/>
      <c r="ZH1641" s="38"/>
      <c r="ZI1641" s="38"/>
      <c r="ZJ1641" s="38"/>
      <c r="ZK1641" s="38"/>
      <c r="ZL1641" s="38"/>
      <c r="ZM1641" s="38"/>
      <c r="ZN1641" s="38"/>
      <c r="ZO1641" s="38"/>
      <c r="ZP1641" s="38"/>
      <c r="ZQ1641" s="38"/>
      <c r="ZR1641" s="38"/>
      <c r="ZS1641" s="38"/>
      <c r="ZT1641" s="38"/>
      <c r="ZU1641" s="38"/>
      <c r="ZV1641" s="38"/>
      <c r="ZW1641" s="38"/>
      <c r="ZX1641" s="38"/>
      <c r="ZY1641" s="38"/>
      <c r="ZZ1641" s="38"/>
      <c r="AAA1641" s="38"/>
      <c r="AAB1641" s="38"/>
      <c r="AAC1641" s="38"/>
      <c r="AAD1641" s="38"/>
      <c r="AAE1641" s="38"/>
      <c r="AAF1641" s="38"/>
      <c r="AAG1641" s="38"/>
      <c r="AAH1641" s="38"/>
      <c r="AAI1641" s="38"/>
      <c r="AAJ1641" s="38"/>
      <c r="AAK1641" s="38"/>
      <c r="AAL1641" s="38"/>
      <c r="AAM1641" s="38"/>
      <c r="AAN1641" s="38"/>
      <c r="AAO1641" s="38"/>
      <c r="AAP1641" s="38"/>
      <c r="AAQ1641" s="38"/>
      <c r="AAR1641" s="38"/>
      <c r="AAS1641" s="38"/>
      <c r="AAT1641" s="38"/>
      <c r="AAU1641" s="38"/>
      <c r="AAV1641" s="38"/>
      <c r="AAW1641" s="38"/>
      <c r="AAX1641" s="38"/>
      <c r="AAY1641" s="38"/>
      <c r="AAZ1641" s="38"/>
      <c r="ABA1641" s="38"/>
      <c r="ABB1641" s="38"/>
      <c r="ABC1641" s="38"/>
      <c r="ABD1641" s="38"/>
      <c r="ABE1641" s="38"/>
      <c r="ABF1641" s="38"/>
      <c r="ABG1641" s="38"/>
      <c r="ABH1641" s="38"/>
      <c r="ABI1641" s="38"/>
      <c r="ABJ1641" s="38"/>
      <c r="ABK1641" s="38"/>
      <c r="ABL1641" s="38"/>
      <c r="ABM1641" s="38"/>
      <c r="ABN1641" s="38"/>
      <c r="ABO1641" s="38"/>
      <c r="ABP1641" s="38"/>
      <c r="ABQ1641" s="38"/>
      <c r="ABR1641" s="38"/>
      <c r="ABS1641" s="38"/>
      <c r="ABT1641" s="38"/>
      <c r="ABU1641" s="38"/>
      <c r="ABV1641" s="38"/>
      <c r="ABW1641" s="38"/>
      <c r="ABX1641" s="38"/>
      <c r="ABY1641" s="38"/>
      <c r="ABZ1641" s="38"/>
      <c r="ACA1641" s="38"/>
      <c r="ACB1641" s="38"/>
      <c r="ACC1641" s="38"/>
      <c r="ACD1641" s="38"/>
      <c r="ACE1641" s="38"/>
      <c r="ACF1641" s="38"/>
      <c r="ACG1641" s="38"/>
      <c r="ACH1641" s="38"/>
      <c r="ACI1641" s="38"/>
      <c r="ACJ1641" s="38"/>
      <c r="ACK1641" s="38"/>
      <c r="ACL1641" s="38"/>
      <c r="ACM1641" s="38"/>
      <c r="ACN1641" s="38"/>
      <c r="ACO1641" s="38"/>
      <c r="ACP1641" s="38"/>
      <c r="ACQ1641" s="38"/>
      <c r="ACR1641" s="38"/>
      <c r="ACS1641" s="38"/>
      <c r="ACT1641" s="38"/>
      <c r="ACU1641" s="38"/>
      <c r="ACV1641" s="38"/>
      <c r="ACW1641" s="38"/>
      <c r="ACX1641" s="38"/>
      <c r="ACY1641" s="38"/>
      <c r="ACZ1641" s="38"/>
      <c r="ADA1641" s="38"/>
      <c r="ADB1641" s="38"/>
      <c r="ADC1641" s="38"/>
      <c r="ADD1641" s="38"/>
      <c r="ADE1641" s="38"/>
      <c r="ADF1641" s="38"/>
      <c r="ADG1641" s="38"/>
      <c r="ADH1641" s="38"/>
      <c r="ADI1641" s="38"/>
      <c r="ADJ1641" s="38"/>
      <c r="ADK1641" s="38"/>
      <c r="ADL1641" s="38"/>
      <c r="ADM1641" s="38"/>
      <c r="ADN1641" s="38"/>
      <c r="ADO1641" s="38"/>
      <c r="ADP1641" s="38"/>
      <c r="ADQ1641" s="38"/>
      <c r="ADR1641" s="38"/>
      <c r="ADS1641" s="38"/>
      <c r="ADT1641" s="38"/>
      <c r="ADU1641" s="38"/>
      <c r="ADV1641" s="38"/>
      <c r="ADW1641" s="38"/>
      <c r="ADX1641" s="38"/>
      <c r="ADY1641" s="38"/>
      <c r="ADZ1641" s="38"/>
      <c r="AEA1641" s="38"/>
      <c r="AEB1641" s="38"/>
      <c r="AEC1641" s="38"/>
      <c r="AED1641" s="38"/>
      <c r="AEE1641" s="38"/>
      <c r="AEF1641" s="38"/>
      <c r="AEG1641" s="38"/>
      <c r="AEH1641" s="38"/>
      <c r="AEI1641" s="38"/>
      <c r="AEJ1641" s="38"/>
      <c r="AEK1641" s="38"/>
      <c r="AEL1641" s="38"/>
      <c r="AEM1641" s="38"/>
      <c r="AEN1641" s="38"/>
      <c r="AEO1641" s="38"/>
      <c r="AEP1641" s="38"/>
      <c r="AEQ1641" s="38"/>
      <c r="AER1641" s="38"/>
      <c r="AES1641" s="38"/>
      <c r="AET1641" s="38"/>
      <c r="AEU1641" s="38"/>
      <c r="AEV1641" s="38"/>
      <c r="AEW1641" s="38"/>
      <c r="AEX1641" s="38"/>
      <c r="AEY1641" s="38"/>
      <c r="AEZ1641" s="38"/>
      <c r="AFA1641" s="38"/>
      <c r="AFB1641" s="38"/>
      <c r="AFC1641" s="38"/>
      <c r="AFD1641" s="38"/>
      <c r="AFE1641" s="38"/>
      <c r="AFF1641" s="38"/>
      <c r="AFG1641" s="38"/>
      <c r="AFH1641" s="38"/>
      <c r="AFI1641" s="38"/>
      <c r="AFJ1641" s="38"/>
      <c r="AFK1641" s="38"/>
      <c r="AFL1641" s="38"/>
      <c r="AFM1641" s="38"/>
      <c r="AFN1641" s="38"/>
      <c r="AFO1641" s="38"/>
      <c r="AFP1641" s="38"/>
      <c r="AFQ1641" s="38"/>
      <c r="AFR1641" s="38"/>
      <c r="AFS1641" s="38"/>
      <c r="AFT1641" s="38"/>
      <c r="AFU1641" s="38"/>
      <c r="AFV1641" s="38"/>
      <c r="AFW1641" s="38"/>
      <c r="AFX1641" s="38"/>
      <c r="AFY1641" s="38"/>
      <c r="AFZ1641" s="38"/>
      <c r="AGA1641" s="38"/>
      <c r="AGB1641" s="38"/>
      <c r="AGC1641" s="38"/>
      <c r="AGD1641" s="38"/>
      <c r="AGE1641" s="38"/>
      <c r="AGF1641" s="38"/>
      <c r="AGG1641" s="38"/>
      <c r="AGH1641" s="38"/>
      <c r="AGI1641" s="38"/>
      <c r="AGJ1641" s="38"/>
      <c r="AGK1641" s="38"/>
      <c r="AGL1641" s="38"/>
      <c r="AGM1641" s="38"/>
      <c r="AGN1641" s="38"/>
      <c r="AGO1641" s="38"/>
      <c r="AGP1641" s="38"/>
      <c r="AGQ1641" s="38"/>
      <c r="AGR1641" s="38"/>
      <c r="AGS1641" s="38"/>
      <c r="AGT1641" s="38"/>
      <c r="AGU1641" s="38"/>
      <c r="AGV1641" s="38"/>
      <c r="AGW1641" s="38"/>
      <c r="AGX1641" s="38"/>
      <c r="AGY1641" s="38"/>
      <c r="AGZ1641" s="38"/>
      <c r="AHA1641" s="38"/>
      <c r="AHB1641" s="38"/>
      <c r="AHC1641" s="38"/>
      <c r="AHD1641" s="38"/>
      <c r="AHE1641" s="38"/>
      <c r="AHF1641" s="38"/>
      <c r="AHG1641" s="38"/>
      <c r="AHH1641" s="38"/>
      <c r="AHI1641" s="38"/>
      <c r="AHJ1641" s="38"/>
      <c r="AHK1641" s="38"/>
      <c r="AHL1641" s="38"/>
      <c r="AHM1641" s="38"/>
      <c r="AHN1641" s="38"/>
      <c r="AHO1641" s="38"/>
      <c r="AHP1641" s="38"/>
      <c r="AHQ1641" s="38"/>
      <c r="AHR1641" s="38"/>
      <c r="AHS1641" s="38"/>
      <c r="AHT1641" s="38"/>
      <c r="AHU1641" s="38"/>
      <c r="AHV1641" s="38"/>
      <c r="AHW1641" s="38"/>
      <c r="AHX1641" s="38"/>
      <c r="AHY1641" s="38"/>
      <c r="AHZ1641" s="38"/>
      <c r="AIA1641" s="38"/>
      <c r="AIB1641" s="38"/>
      <c r="AIC1641" s="38"/>
      <c r="AID1641" s="38"/>
      <c r="AIE1641" s="38"/>
      <c r="AIF1641" s="38"/>
      <c r="AIG1641" s="38"/>
      <c r="AIH1641" s="38"/>
      <c r="AII1641" s="38"/>
      <c r="AIJ1641" s="38"/>
      <c r="AIK1641" s="38"/>
      <c r="AIL1641" s="38"/>
      <c r="AIM1641" s="38"/>
      <c r="AIN1641" s="38"/>
      <c r="AIO1641" s="38"/>
      <c r="AIP1641" s="38"/>
      <c r="AIQ1641" s="38"/>
      <c r="AIR1641" s="38"/>
      <c r="AIS1641" s="38"/>
      <c r="AIT1641" s="38"/>
      <c r="AIU1641" s="38"/>
      <c r="AIV1641" s="38"/>
      <c r="AIW1641" s="38"/>
      <c r="AIX1641" s="38"/>
      <c r="AIY1641" s="38"/>
      <c r="AIZ1641" s="38"/>
      <c r="AJA1641" s="38"/>
      <c r="AJB1641" s="38"/>
      <c r="AJC1641" s="38"/>
      <c r="AJD1641" s="38"/>
      <c r="AJE1641" s="38"/>
      <c r="AJF1641" s="38"/>
      <c r="AJG1641" s="38"/>
      <c r="AJH1641" s="38"/>
      <c r="AJI1641" s="38"/>
      <c r="AJJ1641" s="38"/>
      <c r="AJK1641" s="38"/>
      <c r="AJL1641" s="38"/>
      <c r="AJM1641" s="38"/>
      <c r="AJN1641" s="38"/>
      <c r="AJO1641" s="38"/>
      <c r="AJP1641" s="38"/>
      <c r="AJQ1641" s="38"/>
      <c r="AJR1641" s="38"/>
      <c r="AJS1641" s="38"/>
      <c r="AJT1641" s="38"/>
      <c r="AJU1641" s="38"/>
      <c r="AJV1641" s="38"/>
      <c r="AJW1641" s="38"/>
      <c r="AJX1641" s="38"/>
      <c r="AJY1641" s="38"/>
      <c r="AJZ1641" s="38"/>
      <c r="AKA1641" s="38"/>
      <c r="AKB1641" s="38"/>
      <c r="AKC1641" s="38"/>
      <c r="AKD1641" s="38"/>
      <c r="AKE1641" s="38"/>
      <c r="AKF1641" s="38"/>
      <c r="AKG1641" s="38"/>
      <c r="AKH1641" s="38"/>
      <c r="AKI1641" s="38"/>
      <c r="AKJ1641" s="38"/>
      <c r="AKK1641" s="38"/>
      <c r="AKL1641" s="38"/>
      <c r="AKM1641" s="38"/>
      <c r="AKN1641" s="38"/>
      <c r="AKO1641" s="38"/>
      <c r="AKP1641" s="38"/>
      <c r="AKQ1641" s="38"/>
      <c r="AKR1641" s="38"/>
      <c r="AKS1641" s="38"/>
      <c r="AKT1641" s="38"/>
      <c r="AKU1641" s="38"/>
      <c r="AKV1641" s="38"/>
      <c r="AKW1641" s="38"/>
      <c r="AKX1641" s="38"/>
      <c r="AKY1641" s="38"/>
      <c r="AKZ1641" s="38"/>
      <c r="ALA1641" s="38"/>
      <c r="ALB1641" s="38"/>
      <c r="ALC1641" s="38"/>
      <c r="ALD1641" s="38"/>
      <c r="ALE1641" s="38"/>
      <c r="ALF1641" s="38"/>
      <c r="ALG1641" s="38"/>
      <c r="ALH1641" s="38"/>
      <c r="ALI1641" s="38"/>
      <c r="ALJ1641" s="38"/>
      <c r="ALK1641" s="38"/>
      <c r="ALL1641" s="38"/>
      <c r="ALM1641" s="38"/>
      <c r="ALN1641" s="38"/>
      <c r="ALO1641" s="38"/>
      <c r="ALP1641" s="38"/>
      <c r="ALQ1641" s="38"/>
      <c r="ALR1641" s="38"/>
      <c r="ALS1641" s="38"/>
      <c r="ALT1641" s="38"/>
      <c r="ALU1641" s="38"/>
      <c r="ALV1641" s="38"/>
      <c r="ALW1641" s="38"/>
      <c r="ALX1641" s="38"/>
      <c r="ALY1641" s="38"/>
      <c r="ALZ1641" s="38"/>
      <c r="AMA1641" s="38"/>
      <c r="AMB1641" s="38"/>
      <c r="AMC1641" s="38"/>
      <c r="AMD1641" s="38"/>
      <c r="AME1641" s="38"/>
      <c r="AMF1641" s="38"/>
      <c r="AMG1641" s="38"/>
      <c r="AMH1641" s="38"/>
      <c r="AMI1641" s="38"/>
      <c r="AMJ1641" s="38"/>
      <c r="AMK1641" s="38"/>
      <c r="AML1641" s="38"/>
      <c r="AMM1641" s="38"/>
      <c r="AMN1641" s="38"/>
      <c r="AMO1641" s="38"/>
      <c r="AMP1641" s="38"/>
      <c r="AMQ1641" s="38"/>
      <c r="AMR1641" s="38"/>
      <c r="AMS1641" s="38"/>
      <c r="AMT1641" s="38"/>
      <c r="AMU1641" s="38"/>
      <c r="AMV1641" s="38"/>
      <c r="AMW1641" s="38"/>
      <c r="AMX1641" s="38"/>
      <c r="AMY1641" s="38"/>
      <c r="AMZ1641" s="38"/>
      <c r="ANA1641" s="38"/>
      <c r="ANB1641" s="38"/>
      <c r="ANC1641" s="38"/>
      <c r="AND1641" s="38"/>
      <c r="ANE1641" s="38"/>
      <c r="ANF1641" s="38"/>
      <c r="ANG1641" s="38"/>
      <c r="ANH1641" s="38"/>
      <c r="ANI1641" s="38"/>
      <c r="ANJ1641" s="38"/>
      <c r="ANK1641" s="38"/>
      <c r="ANL1641" s="38"/>
      <c r="ANM1641" s="38"/>
      <c r="ANN1641" s="38"/>
      <c r="ANO1641" s="38"/>
      <c r="ANP1641" s="38"/>
      <c r="ANQ1641" s="38"/>
      <c r="ANR1641" s="38"/>
      <c r="ANS1641" s="38"/>
      <c r="ANT1641" s="38"/>
      <c r="ANU1641" s="38"/>
      <c r="ANV1641" s="38"/>
      <c r="ANW1641" s="38"/>
      <c r="ANX1641" s="38"/>
      <c r="ANY1641" s="38"/>
      <c r="ANZ1641" s="38"/>
      <c r="AOA1641" s="38"/>
      <c r="AOB1641" s="38"/>
      <c r="AOC1641" s="38"/>
      <c r="AOD1641" s="38"/>
      <c r="AOE1641" s="38"/>
      <c r="AOF1641" s="38"/>
      <c r="AOG1641" s="38"/>
      <c r="AOH1641" s="38"/>
      <c r="AOI1641" s="38"/>
      <c r="AOJ1641" s="38"/>
      <c r="AOK1641" s="38"/>
      <c r="AOL1641" s="38"/>
      <c r="AOM1641" s="38"/>
      <c r="AON1641" s="38"/>
      <c r="AOO1641" s="38"/>
      <c r="AOP1641" s="38"/>
      <c r="AOQ1641" s="38"/>
      <c r="AOR1641" s="38"/>
      <c r="AOS1641" s="38"/>
      <c r="AOT1641" s="38"/>
      <c r="AOU1641" s="38"/>
      <c r="AOV1641" s="38"/>
      <c r="AOW1641" s="38"/>
      <c r="AOX1641" s="38"/>
      <c r="AOY1641" s="38"/>
      <c r="AOZ1641" s="38"/>
      <c r="APA1641" s="38"/>
      <c r="APB1641" s="38"/>
      <c r="APC1641" s="38"/>
    </row>
    <row r="1642" spans="1:1095" s="36" customFormat="1" ht="14.25" customHeight="1">
      <c r="A1642" s="3" t="s">
        <v>1722</v>
      </c>
      <c r="B1642" s="36" t="s">
        <v>3929</v>
      </c>
      <c r="C1642" s="10">
        <v>4099854026133</v>
      </c>
      <c r="D1642" s="224">
        <v>4058075545014</v>
      </c>
      <c r="E1642" s="245" t="s">
        <v>2054</v>
      </c>
      <c r="F1642" s="246"/>
      <c r="G1642" s="66" t="str">
        <f>HYPERLINK("https://ledvance.com/pt/product-datasheet/245373/229021","Ficha de Produto")</f>
        <v>Ficha de Produto</v>
      </c>
      <c r="H1642" s="217">
        <v>10</v>
      </c>
      <c r="I1642" s="34" t="s">
        <v>767</v>
      </c>
      <c r="J1642" s="34" t="s">
        <v>860</v>
      </c>
      <c r="K1642" s="34" t="s">
        <v>788</v>
      </c>
      <c r="L1642" s="34" t="s">
        <v>765</v>
      </c>
      <c r="M1642" s="247">
        <v>39.5</v>
      </c>
      <c r="N1642" s="288" t="s">
        <v>722</v>
      </c>
    </row>
    <row r="1643" spans="1:1095" s="36" customFormat="1" ht="14.25" customHeight="1">
      <c r="A1643" s="3" t="s">
        <v>1722</v>
      </c>
      <c r="B1643" s="36" t="s">
        <v>3930</v>
      </c>
      <c r="C1643" s="10">
        <v>4099854026171</v>
      </c>
      <c r="D1643" s="224">
        <v>4058075545038</v>
      </c>
      <c r="E1643" s="245" t="s">
        <v>1573</v>
      </c>
      <c r="F1643" s="246"/>
      <c r="G1643" s="66" t="str">
        <f>HYPERLINK("https://ledvance.com/pt/product-datasheet/245373/229025","Ficha de Produto")</f>
        <v>Ficha de Produto</v>
      </c>
      <c r="H1643" s="217">
        <v>10</v>
      </c>
      <c r="I1643" s="34" t="s">
        <v>767</v>
      </c>
      <c r="J1643" s="34" t="s">
        <v>860</v>
      </c>
      <c r="K1643" s="34" t="s">
        <v>788</v>
      </c>
      <c r="L1643" s="34" t="s">
        <v>765</v>
      </c>
      <c r="M1643" s="247">
        <v>39.5</v>
      </c>
      <c r="N1643" s="288" t="s">
        <v>722</v>
      </c>
    </row>
    <row r="1644" spans="1:1095" s="36" customFormat="1" ht="14.25" customHeight="1">
      <c r="A1644" s="3" t="s">
        <v>1722</v>
      </c>
      <c r="B1644" s="36" t="s">
        <v>3931</v>
      </c>
      <c r="C1644" s="10">
        <v>4099854026195</v>
      </c>
      <c r="D1644" s="224">
        <v>4058075545076</v>
      </c>
      <c r="E1644" s="245" t="s">
        <v>1574</v>
      </c>
      <c r="F1644" s="246"/>
      <c r="G1644" s="66" t="str">
        <f>HYPERLINK("https://ledvance.com/pt/product-datasheet/245373/229028","Ficha de Produto")</f>
        <v>Ficha de Produto</v>
      </c>
      <c r="H1644" s="217">
        <v>10</v>
      </c>
      <c r="I1644" s="34" t="s">
        <v>847</v>
      </c>
      <c r="J1644" s="34" t="s">
        <v>875</v>
      </c>
      <c r="K1644" s="34" t="s">
        <v>788</v>
      </c>
      <c r="L1644" s="34" t="s">
        <v>765</v>
      </c>
      <c r="M1644" s="247">
        <v>45.900000000000006</v>
      </c>
      <c r="N1644" s="288" t="s">
        <v>722</v>
      </c>
    </row>
    <row r="1645" spans="1:1095" s="36" customFormat="1" ht="14.25" customHeight="1">
      <c r="A1645" s="3" t="s">
        <v>1722</v>
      </c>
      <c r="B1645" s="36" t="s">
        <v>3932</v>
      </c>
      <c r="C1645" s="10">
        <v>4099854026232</v>
      </c>
      <c r="D1645" s="224">
        <v>4058075545151</v>
      </c>
      <c r="E1645" s="245" t="s">
        <v>1575</v>
      </c>
      <c r="F1645" s="246"/>
      <c r="G1645" s="66" t="str">
        <f>HYPERLINK("https://ledvance.com/pt/product-datasheet/245373/229031","Ficha de Produto")</f>
        <v>Ficha de Produto</v>
      </c>
      <c r="H1645" s="217">
        <v>10</v>
      </c>
      <c r="I1645" s="34" t="s">
        <v>847</v>
      </c>
      <c r="J1645" s="34" t="s">
        <v>875</v>
      </c>
      <c r="K1645" s="34" t="s">
        <v>788</v>
      </c>
      <c r="L1645" s="34" t="s">
        <v>765</v>
      </c>
      <c r="M1645" s="247">
        <v>45.900000000000006</v>
      </c>
      <c r="N1645" s="288" t="s">
        <v>722</v>
      </c>
    </row>
    <row r="1646" spans="1:1095" s="39" customFormat="1" ht="14.25" customHeight="1">
      <c r="A1646" s="8" t="s">
        <v>1722</v>
      </c>
      <c r="B1646" s="244" t="s">
        <v>2055</v>
      </c>
      <c r="C1646" s="244"/>
      <c r="D1646" s="7"/>
      <c r="E1646" s="230"/>
      <c r="F1646" s="7"/>
      <c r="G1646" s="68" t="s">
        <v>6505</v>
      </c>
      <c r="H1646" s="230"/>
      <c r="I1646" s="230"/>
      <c r="J1646" s="230"/>
      <c r="K1646" s="230"/>
      <c r="L1646" s="230"/>
      <c r="M1646" s="248"/>
      <c r="N1646" s="284"/>
      <c r="O1646" s="38"/>
      <c r="P1646" s="38"/>
      <c r="Q1646" s="38"/>
      <c r="R1646" s="38"/>
      <c r="S1646" s="38"/>
      <c r="T1646" s="38"/>
      <c r="U1646" s="38"/>
      <c r="V1646" s="38"/>
      <c r="W1646" s="38"/>
      <c r="X1646" s="38"/>
      <c r="Y1646" s="38"/>
      <c r="Z1646" s="38"/>
      <c r="AA1646" s="38"/>
      <c r="AB1646" s="38"/>
      <c r="AC1646" s="38"/>
      <c r="AD1646" s="38"/>
      <c r="AE1646" s="38"/>
      <c r="AF1646" s="38"/>
      <c r="AG1646" s="38"/>
      <c r="AH1646" s="38"/>
      <c r="AI1646" s="38"/>
      <c r="AJ1646" s="38"/>
      <c r="AK1646" s="38"/>
      <c r="AL1646" s="38"/>
      <c r="AM1646" s="38"/>
      <c r="AN1646" s="38"/>
      <c r="AO1646" s="38"/>
      <c r="AP1646" s="38"/>
      <c r="AQ1646" s="38"/>
      <c r="AR1646" s="38"/>
      <c r="AS1646" s="38"/>
      <c r="AT1646" s="38"/>
      <c r="AU1646" s="38"/>
      <c r="AV1646" s="38"/>
      <c r="AW1646" s="38"/>
      <c r="AX1646" s="38"/>
      <c r="AY1646" s="38"/>
      <c r="AZ1646" s="38"/>
      <c r="BA1646" s="38"/>
      <c r="BB1646" s="38"/>
      <c r="BC1646" s="38"/>
      <c r="BD1646" s="38"/>
      <c r="BE1646" s="38"/>
      <c r="BF1646" s="38"/>
      <c r="BG1646" s="38"/>
      <c r="BH1646" s="38"/>
      <c r="BI1646" s="38"/>
      <c r="BJ1646" s="38"/>
      <c r="BK1646" s="38"/>
      <c r="BL1646" s="38"/>
      <c r="BM1646" s="38"/>
      <c r="BN1646" s="38"/>
      <c r="BO1646" s="38"/>
      <c r="BP1646" s="38"/>
      <c r="BQ1646" s="38"/>
      <c r="BR1646" s="38"/>
      <c r="BS1646" s="38"/>
      <c r="BT1646" s="38"/>
      <c r="BU1646" s="38"/>
      <c r="BV1646" s="38"/>
      <c r="BW1646" s="38"/>
      <c r="BX1646" s="38"/>
      <c r="BY1646" s="38"/>
      <c r="BZ1646" s="38"/>
      <c r="CA1646" s="38"/>
      <c r="CB1646" s="38"/>
      <c r="CC1646" s="38"/>
      <c r="CD1646" s="38"/>
      <c r="CE1646" s="38"/>
      <c r="CF1646" s="38"/>
      <c r="CG1646" s="38"/>
      <c r="CH1646" s="38"/>
      <c r="CI1646" s="38"/>
      <c r="CJ1646" s="38"/>
      <c r="CK1646" s="38"/>
      <c r="CL1646" s="38"/>
      <c r="CM1646" s="38"/>
      <c r="CN1646" s="38"/>
      <c r="CO1646" s="38"/>
      <c r="CP1646" s="38"/>
      <c r="CQ1646" s="38"/>
      <c r="CR1646" s="38"/>
      <c r="CS1646" s="38"/>
      <c r="CT1646" s="38"/>
      <c r="CU1646" s="38"/>
      <c r="CV1646" s="38"/>
      <c r="CW1646" s="38"/>
      <c r="CX1646" s="38"/>
      <c r="CY1646" s="38"/>
      <c r="CZ1646" s="38"/>
      <c r="DA1646" s="38"/>
      <c r="DB1646" s="38"/>
      <c r="DC1646" s="38"/>
      <c r="DD1646" s="38"/>
      <c r="DE1646" s="38"/>
      <c r="DF1646" s="38"/>
      <c r="DG1646" s="38"/>
      <c r="DH1646" s="38"/>
      <c r="DI1646" s="38"/>
      <c r="DJ1646" s="38"/>
      <c r="DK1646" s="38"/>
      <c r="DL1646" s="38"/>
      <c r="DM1646" s="38"/>
      <c r="DN1646" s="38"/>
      <c r="DO1646" s="38"/>
      <c r="DP1646" s="38"/>
      <c r="DQ1646" s="38"/>
      <c r="DR1646" s="38"/>
      <c r="DS1646" s="38"/>
      <c r="DT1646" s="38"/>
      <c r="DU1646" s="38"/>
      <c r="DV1646" s="38"/>
      <c r="DW1646" s="38"/>
      <c r="DX1646" s="38"/>
      <c r="DY1646" s="38"/>
      <c r="DZ1646" s="38"/>
      <c r="EA1646" s="38"/>
      <c r="EB1646" s="38"/>
      <c r="EC1646" s="38"/>
      <c r="ED1646" s="38"/>
      <c r="EE1646" s="38"/>
      <c r="EF1646" s="38"/>
      <c r="EG1646" s="38"/>
      <c r="EH1646" s="38"/>
      <c r="EI1646" s="38"/>
      <c r="EJ1646" s="38"/>
      <c r="EK1646" s="38"/>
      <c r="EL1646" s="38"/>
      <c r="EM1646" s="38"/>
      <c r="EN1646" s="38"/>
      <c r="EO1646" s="38"/>
      <c r="EP1646" s="38"/>
      <c r="EQ1646" s="38"/>
      <c r="ER1646" s="38"/>
      <c r="ES1646" s="38"/>
      <c r="ET1646" s="38"/>
      <c r="EU1646" s="38"/>
      <c r="EV1646" s="38"/>
      <c r="EW1646" s="38"/>
      <c r="EX1646" s="38"/>
      <c r="EY1646" s="38"/>
      <c r="EZ1646" s="38"/>
      <c r="FA1646" s="38"/>
      <c r="FB1646" s="38"/>
      <c r="FC1646" s="38"/>
      <c r="FD1646" s="38"/>
      <c r="FE1646" s="38"/>
      <c r="FF1646" s="38"/>
      <c r="FG1646" s="38"/>
      <c r="FH1646" s="38"/>
      <c r="FI1646" s="38"/>
      <c r="FJ1646" s="38"/>
      <c r="FK1646" s="38"/>
      <c r="FL1646" s="38"/>
      <c r="FM1646" s="38"/>
      <c r="FN1646" s="38"/>
      <c r="FO1646" s="38"/>
      <c r="FP1646" s="38"/>
      <c r="FQ1646" s="38"/>
      <c r="FR1646" s="38"/>
      <c r="FS1646" s="38"/>
      <c r="FT1646" s="38"/>
      <c r="FU1646" s="38"/>
      <c r="FV1646" s="38"/>
      <c r="FW1646" s="38"/>
      <c r="FX1646" s="38"/>
      <c r="FY1646" s="38"/>
      <c r="FZ1646" s="38"/>
      <c r="GA1646" s="38"/>
      <c r="GB1646" s="38"/>
      <c r="GC1646" s="38"/>
      <c r="GD1646" s="38"/>
      <c r="GE1646" s="38"/>
      <c r="GF1646" s="38"/>
      <c r="GG1646" s="38"/>
      <c r="GH1646" s="38"/>
      <c r="GI1646" s="38"/>
      <c r="GJ1646" s="38"/>
      <c r="GK1646" s="38"/>
      <c r="GL1646" s="38"/>
      <c r="GM1646" s="38"/>
      <c r="GN1646" s="38"/>
      <c r="GO1646" s="38"/>
      <c r="GP1646" s="38"/>
      <c r="GQ1646" s="38"/>
      <c r="GR1646" s="38"/>
      <c r="GS1646" s="38"/>
      <c r="GT1646" s="38"/>
      <c r="GU1646" s="38"/>
      <c r="GV1646" s="38"/>
      <c r="GW1646" s="38"/>
      <c r="GX1646" s="38"/>
      <c r="GY1646" s="38"/>
      <c r="GZ1646" s="38"/>
      <c r="HA1646" s="38"/>
      <c r="HB1646" s="38"/>
      <c r="HC1646" s="38"/>
      <c r="HD1646" s="38"/>
      <c r="HE1646" s="38"/>
      <c r="HF1646" s="38"/>
      <c r="HG1646" s="38"/>
      <c r="HH1646" s="38"/>
      <c r="HI1646" s="38"/>
      <c r="HJ1646" s="38"/>
      <c r="HK1646" s="38"/>
      <c r="HL1646" s="38"/>
      <c r="HM1646" s="38"/>
      <c r="HN1646" s="38"/>
      <c r="HO1646" s="38"/>
      <c r="HP1646" s="38"/>
      <c r="HQ1646" s="38"/>
      <c r="HR1646" s="38"/>
      <c r="HS1646" s="38"/>
      <c r="HT1646" s="38"/>
      <c r="HU1646" s="38"/>
      <c r="HV1646" s="38"/>
      <c r="HW1646" s="38"/>
      <c r="HX1646" s="38"/>
      <c r="HY1646" s="38"/>
      <c r="HZ1646" s="38"/>
      <c r="IA1646" s="38"/>
      <c r="IB1646" s="38"/>
      <c r="IC1646" s="38"/>
      <c r="ID1646" s="38"/>
      <c r="IE1646" s="38"/>
      <c r="IF1646" s="38"/>
      <c r="IG1646" s="38"/>
      <c r="IH1646" s="38"/>
      <c r="II1646" s="38"/>
      <c r="IJ1646" s="38"/>
      <c r="IK1646" s="38"/>
      <c r="IL1646" s="38"/>
      <c r="IM1646" s="38"/>
      <c r="IN1646" s="38"/>
      <c r="IO1646" s="38"/>
      <c r="IP1646" s="38"/>
      <c r="IQ1646" s="38"/>
      <c r="IR1646" s="38"/>
      <c r="IS1646" s="38"/>
      <c r="IT1646" s="38"/>
      <c r="IU1646" s="38"/>
      <c r="IV1646" s="38"/>
      <c r="IW1646" s="38"/>
      <c r="IX1646" s="38"/>
      <c r="IY1646" s="38"/>
      <c r="IZ1646" s="38"/>
      <c r="JA1646" s="38"/>
      <c r="JB1646" s="38"/>
      <c r="JC1646" s="38"/>
      <c r="JD1646" s="38"/>
      <c r="JE1646" s="38"/>
      <c r="JF1646" s="38"/>
      <c r="JG1646" s="38"/>
      <c r="JH1646" s="38"/>
      <c r="JI1646" s="38"/>
      <c r="JJ1646" s="38"/>
      <c r="JK1646" s="38"/>
      <c r="JL1646" s="38"/>
      <c r="JM1646" s="38"/>
      <c r="JN1646" s="38"/>
      <c r="JO1646" s="38"/>
      <c r="JP1646" s="38"/>
      <c r="JQ1646" s="38"/>
      <c r="JR1646" s="38"/>
      <c r="JS1646" s="38"/>
      <c r="JT1646" s="38"/>
      <c r="JU1646" s="38"/>
      <c r="JV1646" s="38"/>
      <c r="JW1646" s="38"/>
      <c r="JX1646" s="38"/>
      <c r="JY1646" s="38"/>
      <c r="JZ1646" s="38"/>
      <c r="KA1646" s="38"/>
      <c r="KB1646" s="38"/>
      <c r="KC1646" s="38"/>
      <c r="KD1646" s="38"/>
      <c r="KE1646" s="38"/>
      <c r="KF1646" s="38"/>
      <c r="KG1646" s="38"/>
      <c r="KH1646" s="38"/>
      <c r="KI1646" s="38"/>
      <c r="KJ1646" s="38"/>
      <c r="KK1646" s="38"/>
      <c r="KL1646" s="38"/>
      <c r="KM1646" s="38"/>
      <c r="KN1646" s="38"/>
      <c r="KO1646" s="38"/>
      <c r="KP1646" s="38"/>
      <c r="KQ1646" s="38"/>
      <c r="KR1646" s="38"/>
      <c r="KS1646" s="38"/>
      <c r="KT1646" s="38"/>
      <c r="KU1646" s="38"/>
      <c r="KV1646" s="38"/>
      <c r="KW1646" s="38"/>
      <c r="KX1646" s="38"/>
      <c r="KY1646" s="38"/>
      <c r="KZ1646" s="38"/>
      <c r="LA1646" s="38"/>
      <c r="LB1646" s="38"/>
      <c r="LC1646" s="38"/>
      <c r="LD1646" s="38"/>
      <c r="LE1646" s="38"/>
      <c r="LF1646" s="38"/>
      <c r="LG1646" s="38"/>
      <c r="LH1646" s="38"/>
      <c r="LI1646" s="38"/>
      <c r="LJ1646" s="38"/>
      <c r="LK1646" s="38"/>
      <c r="LL1646" s="38"/>
      <c r="LM1646" s="38"/>
      <c r="LN1646" s="38"/>
      <c r="LO1646" s="38"/>
      <c r="LP1646" s="38"/>
      <c r="LQ1646" s="38"/>
      <c r="LR1646" s="38"/>
      <c r="LS1646" s="38"/>
      <c r="LT1646" s="38"/>
      <c r="LU1646" s="38"/>
      <c r="LV1646" s="38"/>
      <c r="LW1646" s="38"/>
      <c r="LX1646" s="38"/>
      <c r="LY1646" s="38"/>
      <c r="LZ1646" s="38"/>
      <c r="MA1646" s="38"/>
      <c r="MB1646" s="38"/>
      <c r="MC1646" s="38"/>
      <c r="MD1646" s="38"/>
      <c r="ME1646" s="38"/>
      <c r="MF1646" s="38"/>
      <c r="MG1646" s="38"/>
      <c r="MH1646" s="38"/>
      <c r="MI1646" s="38"/>
      <c r="MJ1646" s="38"/>
      <c r="MK1646" s="38"/>
      <c r="ML1646" s="38"/>
      <c r="MM1646" s="38"/>
      <c r="MN1646" s="38"/>
      <c r="MO1646" s="38"/>
      <c r="MP1646" s="38"/>
      <c r="MQ1646" s="38"/>
      <c r="MR1646" s="38"/>
      <c r="MS1646" s="38"/>
      <c r="MT1646" s="38"/>
      <c r="MU1646" s="38"/>
      <c r="MV1646" s="38"/>
      <c r="MW1646" s="38"/>
      <c r="MX1646" s="38"/>
      <c r="MY1646" s="38"/>
      <c r="MZ1646" s="38"/>
      <c r="NA1646" s="38"/>
      <c r="NB1646" s="38"/>
      <c r="NC1646" s="38"/>
      <c r="ND1646" s="38"/>
      <c r="NE1646" s="38"/>
      <c r="NF1646" s="38"/>
      <c r="NG1646" s="38"/>
      <c r="NH1646" s="38"/>
      <c r="NI1646" s="38"/>
      <c r="NJ1646" s="38"/>
      <c r="NK1646" s="38"/>
      <c r="NL1646" s="38"/>
      <c r="NM1646" s="38"/>
      <c r="NN1646" s="38"/>
      <c r="NO1646" s="38"/>
      <c r="NP1646" s="38"/>
      <c r="NQ1646" s="38"/>
      <c r="NR1646" s="38"/>
      <c r="NS1646" s="38"/>
      <c r="NT1646" s="38"/>
      <c r="NU1646" s="38"/>
      <c r="NV1646" s="38"/>
      <c r="NW1646" s="38"/>
      <c r="NX1646" s="38"/>
      <c r="NY1646" s="38"/>
      <c r="NZ1646" s="38"/>
      <c r="OA1646" s="38"/>
      <c r="OB1646" s="38"/>
      <c r="OC1646" s="38"/>
      <c r="OD1646" s="38"/>
      <c r="OE1646" s="38"/>
      <c r="OF1646" s="38"/>
      <c r="OG1646" s="38"/>
      <c r="OH1646" s="38"/>
      <c r="OI1646" s="38"/>
      <c r="OJ1646" s="38"/>
      <c r="OK1646" s="38"/>
      <c r="OL1646" s="38"/>
      <c r="OM1646" s="38"/>
      <c r="ON1646" s="38"/>
      <c r="OO1646" s="38"/>
      <c r="OP1646" s="38"/>
      <c r="OQ1646" s="38"/>
      <c r="OR1646" s="38"/>
      <c r="OS1646" s="38"/>
      <c r="OT1646" s="38"/>
      <c r="OU1646" s="38"/>
      <c r="OV1646" s="38"/>
      <c r="OW1646" s="38"/>
      <c r="OX1646" s="38"/>
      <c r="OY1646" s="38"/>
      <c r="OZ1646" s="38"/>
      <c r="PA1646" s="38"/>
      <c r="PB1646" s="38"/>
      <c r="PC1646" s="38"/>
      <c r="PD1646" s="38"/>
      <c r="PE1646" s="38"/>
      <c r="PF1646" s="38"/>
      <c r="PG1646" s="38"/>
      <c r="PH1646" s="38"/>
      <c r="PI1646" s="38"/>
      <c r="PJ1646" s="38"/>
      <c r="PK1646" s="38"/>
      <c r="PL1646" s="38"/>
      <c r="PM1646" s="38"/>
      <c r="PN1646" s="38"/>
      <c r="PO1646" s="38"/>
      <c r="PP1646" s="38"/>
      <c r="PQ1646" s="38"/>
      <c r="PR1646" s="38"/>
      <c r="PS1646" s="38"/>
      <c r="PT1646" s="38"/>
      <c r="PU1646" s="38"/>
      <c r="PV1646" s="38"/>
      <c r="PW1646" s="38"/>
      <c r="PX1646" s="38"/>
      <c r="PY1646" s="38"/>
      <c r="PZ1646" s="38"/>
      <c r="QA1646" s="38"/>
      <c r="QB1646" s="38"/>
      <c r="QC1646" s="38"/>
      <c r="QD1646" s="38"/>
      <c r="QE1646" s="38"/>
      <c r="QF1646" s="38"/>
      <c r="QG1646" s="38"/>
      <c r="QH1646" s="38"/>
      <c r="QI1646" s="38"/>
      <c r="QJ1646" s="38"/>
      <c r="QK1646" s="38"/>
      <c r="QL1646" s="38"/>
      <c r="QM1646" s="38"/>
      <c r="QN1646" s="38"/>
      <c r="QO1646" s="38"/>
      <c r="QP1646" s="38"/>
      <c r="QQ1646" s="38"/>
      <c r="QR1646" s="38"/>
      <c r="QS1646" s="38"/>
      <c r="QT1646" s="38"/>
      <c r="QU1646" s="38"/>
      <c r="QV1646" s="38"/>
      <c r="QW1646" s="38"/>
      <c r="QX1646" s="38"/>
      <c r="QY1646" s="38"/>
      <c r="QZ1646" s="38"/>
      <c r="RA1646" s="38"/>
      <c r="RB1646" s="38"/>
      <c r="RC1646" s="38"/>
      <c r="RD1646" s="38"/>
      <c r="RE1646" s="38"/>
      <c r="RF1646" s="38"/>
      <c r="RG1646" s="38"/>
      <c r="RH1646" s="38"/>
      <c r="RI1646" s="38"/>
      <c r="RJ1646" s="38"/>
      <c r="RK1646" s="38"/>
      <c r="RL1646" s="38"/>
      <c r="RM1646" s="38"/>
      <c r="RN1646" s="38"/>
      <c r="RO1646" s="38"/>
      <c r="RP1646" s="38"/>
      <c r="RQ1646" s="38"/>
      <c r="RR1646" s="38"/>
      <c r="RS1646" s="38"/>
      <c r="RT1646" s="38"/>
      <c r="RU1646" s="38"/>
      <c r="RV1646" s="38"/>
      <c r="RW1646" s="38"/>
      <c r="RX1646" s="38"/>
      <c r="RY1646" s="38"/>
      <c r="RZ1646" s="38"/>
      <c r="SA1646" s="38"/>
      <c r="SB1646" s="38"/>
      <c r="SC1646" s="38"/>
      <c r="SD1646" s="38"/>
      <c r="SE1646" s="38"/>
      <c r="SF1646" s="38"/>
      <c r="SG1646" s="38"/>
      <c r="SH1646" s="38"/>
      <c r="SI1646" s="38"/>
      <c r="SJ1646" s="38"/>
      <c r="SK1646" s="38"/>
      <c r="SL1646" s="38"/>
      <c r="SM1646" s="38"/>
      <c r="SN1646" s="38"/>
      <c r="SO1646" s="38"/>
      <c r="SP1646" s="38"/>
      <c r="SQ1646" s="38"/>
      <c r="SR1646" s="38"/>
      <c r="SS1646" s="38"/>
      <c r="ST1646" s="38"/>
      <c r="SU1646" s="38"/>
      <c r="SV1646" s="38"/>
      <c r="SW1646" s="38"/>
      <c r="SX1646" s="38"/>
      <c r="SY1646" s="38"/>
      <c r="SZ1646" s="38"/>
      <c r="TA1646" s="38"/>
      <c r="TB1646" s="38"/>
      <c r="TC1646" s="38"/>
      <c r="TD1646" s="38"/>
      <c r="TE1646" s="38"/>
      <c r="TF1646" s="38"/>
      <c r="TG1646" s="38"/>
      <c r="TH1646" s="38"/>
      <c r="TI1646" s="38"/>
      <c r="TJ1646" s="38"/>
      <c r="TK1646" s="38"/>
      <c r="TL1646" s="38"/>
      <c r="TM1646" s="38"/>
      <c r="TN1646" s="38"/>
      <c r="TO1646" s="38"/>
      <c r="TP1646" s="38"/>
      <c r="TQ1646" s="38"/>
      <c r="TR1646" s="38"/>
      <c r="TS1646" s="38"/>
      <c r="TT1646" s="38"/>
      <c r="TU1646" s="38"/>
      <c r="TV1646" s="38"/>
      <c r="TW1646" s="38"/>
      <c r="TX1646" s="38"/>
      <c r="TY1646" s="38"/>
      <c r="TZ1646" s="38"/>
      <c r="UA1646" s="38"/>
      <c r="UB1646" s="38"/>
      <c r="UC1646" s="38"/>
      <c r="UD1646" s="38"/>
      <c r="UE1646" s="38"/>
      <c r="UF1646" s="38"/>
      <c r="UG1646" s="38"/>
      <c r="UH1646" s="38"/>
      <c r="UI1646" s="38"/>
      <c r="UJ1646" s="38"/>
      <c r="UK1646" s="38"/>
      <c r="UL1646" s="38"/>
      <c r="UM1646" s="38"/>
      <c r="UN1646" s="38"/>
      <c r="UO1646" s="38"/>
      <c r="UP1646" s="38"/>
      <c r="UQ1646" s="38"/>
      <c r="UR1646" s="38"/>
      <c r="US1646" s="38"/>
      <c r="UT1646" s="38"/>
      <c r="UU1646" s="38"/>
      <c r="UV1646" s="38"/>
      <c r="UW1646" s="38"/>
      <c r="UX1646" s="38"/>
      <c r="UY1646" s="38"/>
      <c r="UZ1646" s="38"/>
      <c r="VA1646" s="38"/>
      <c r="VB1646" s="38"/>
      <c r="VC1646" s="38"/>
      <c r="VD1646" s="38"/>
      <c r="VE1646" s="38"/>
      <c r="VF1646" s="38"/>
      <c r="VG1646" s="38"/>
      <c r="VH1646" s="38"/>
      <c r="VI1646" s="38"/>
      <c r="VJ1646" s="38"/>
      <c r="VK1646" s="38"/>
      <c r="VL1646" s="38"/>
      <c r="VM1646" s="38"/>
      <c r="VN1646" s="38"/>
      <c r="VO1646" s="38"/>
      <c r="VP1646" s="38"/>
      <c r="VQ1646" s="38"/>
      <c r="VR1646" s="38"/>
      <c r="VS1646" s="38"/>
      <c r="VT1646" s="38"/>
      <c r="VU1646" s="38"/>
      <c r="VV1646" s="38"/>
      <c r="VW1646" s="38"/>
      <c r="VX1646" s="38"/>
      <c r="VY1646" s="38"/>
      <c r="VZ1646" s="38"/>
      <c r="WA1646" s="38"/>
      <c r="WB1646" s="38"/>
      <c r="WC1646" s="38"/>
      <c r="WD1646" s="38"/>
      <c r="WE1646" s="38"/>
      <c r="WF1646" s="38"/>
      <c r="WG1646" s="38"/>
      <c r="WH1646" s="38"/>
      <c r="WI1646" s="38"/>
      <c r="WJ1646" s="38"/>
      <c r="WK1646" s="38"/>
      <c r="WL1646" s="38"/>
      <c r="WM1646" s="38"/>
      <c r="WN1646" s="38"/>
      <c r="WO1646" s="38"/>
      <c r="WP1646" s="38"/>
      <c r="WQ1646" s="38"/>
      <c r="WR1646" s="38"/>
      <c r="WS1646" s="38"/>
      <c r="WT1646" s="38"/>
      <c r="WU1646" s="38"/>
      <c r="WV1646" s="38"/>
      <c r="WW1646" s="38"/>
      <c r="WX1646" s="38"/>
      <c r="WY1646" s="38"/>
      <c r="WZ1646" s="38"/>
      <c r="XA1646" s="38"/>
      <c r="XB1646" s="38"/>
      <c r="XC1646" s="38"/>
      <c r="XD1646" s="38"/>
      <c r="XE1646" s="38"/>
      <c r="XF1646" s="38"/>
      <c r="XG1646" s="38"/>
      <c r="XH1646" s="38"/>
      <c r="XI1646" s="38"/>
      <c r="XJ1646" s="38"/>
      <c r="XK1646" s="38"/>
      <c r="XL1646" s="38"/>
      <c r="XM1646" s="38"/>
      <c r="XN1646" s="38"/>
      <c r="XO1646" s="38"/>
      <c r="XP1646" s="38"/>
      <c r="XQ1646" s="38"/>
      <c r="XR1646" s="38"/>
      <c r="XS1646" s="38"/>
      <c r="XT1646" s="38"/>
      <c r="XU1646" s="38"/>
      <c r="XV1646" s="38"/>
      <c r="XW1646" s="38"/>
      <c r="XX1646" s="38"/>
      <c r="XY1646" s="38"/>
      <c r="XZ1646" s="38"/>
      <c r="YA1646" s="38"/>
      <c r="YB1646" s="38"/>
      <c r="YC1646" s="38"/>
      <c r="YD1646" s="38"/>
      <c r="YE1646" s="38"/>
      <c r="YF1646" s="38"/>
      <c r="YG1646" s="38"/>
      <c r="YH1646" s="38"/>
      <c r="YI1646" s="38"/>
      <c r="YJ1646" s="38"/>
      <c r="YK1646" s="38"/>
      <c r="YL1646" s="38"/>
      <c r="YM1646" s="38"/>
      <c r="YN1646" s="38"/>
      <c r="YO1646" s="38"/>
      <c r="YP1646" s="38"/>
      <c r="YQ1646" s="38"/>
      <c r="YR1646" s="38"/>
      <c r="YS1646" s="38"/>
      <c r="YT1646" s="38"/>
      <c r="YU1646" s="38"/>
      <c r="YV1646" s="38"/>
      <c r="YW1646" s="38"/>
      <c r="YX1646" s="38"/>
      <c r="YY1646" s="38"/>
      <c r="YZ1646" s="38"/>
      <c r="ZA1646" s="38"/>
      <c r="ZB1646" s="38"/>
      <c r="ZC1646" s="38"/>
      <c r="ZD1646" s="38"/>
      <c r="ZE1646" s="38"/>
      <c r="ZF1646" s="38"/>
      <c r="ZG1646" s="38"/>
      <c r="ZH1646" s="38"/>
      <c r="ZI1646" s="38"/>
      <c r="ZJ1646" s="38"/>
      <c r="ZK1646" s="38"/>
      <c r="ZL1646" s="38"/>
      <c r="ZM1646" s="38"/>
      <c r="ZN1646" s="38"/>
      <c r="ZO1646" s="38"/>
      <c r="ZP1646" s="38"/>
      <c r="ZQ1646" s="38"/>
      <c r="ZR1646" s="38"/>
      <c r="ZS1646" s="38"/>
      <c r="ZT1646" s="38"/>
      <c r="ZU1646" s="38"/>
      <c r="ZV1646" s="38"/>
      <c r="ZW1646" s="38"/>
      <c r="ZX1646" s="38"/>
      <c r="ZY1646" s="38"/>
      <c r="ZZ1646" s="38"/>
      <c r="AAA1646" s="38"/>
      <c r="AAB1646" s="38"/>
      <c r="AAC1646" s="38"/>
      <c r="AAD1646" s="38"/>
      <c r="AAE1646" s="38"/>
      <c r="AAF1646" s="38"/>
      <c r="AAG1646" s="38"/>
      <c r="AAH1646" s="38"/>
      <c r="AAI1646" s="38"/>
      <c r="AAJ1646" s="38"/>
      <c r="AAK1646" s="38"/>
      <c r="AAL1646" s="38"/>
      <c r="AAM1646" s="38"/>
      <c r="AAN1646" s="38"/>
      <c r="AAO1646" s="38"/>
      <c r="AAP1646" s="38"/>
      <c r="AAQ1646" s="38"/>
      <c r="AAR1646" s="38"/>
      <c r="AAS1646" s="38"/>
      <c r="AAT1646" s="38"/>
      <c r="AAU1646" s="38"/>
      <c r="AAV1646" s="38"/>
      <c r="AAW1646" s="38"/>
      <c r="AAX1646" s="38"/>
      <c r="AAY1646" s="38"/>
      <c r="AAZ1646" s="38"/>
      <c r="ABA1646" s="38"/>
      <c r="ABB1646" s="38"/>
      <c r="ABC1646" s="38"/>
      <c r="ABD1646" s="38"/>
      <c r="ABE1646" s="38"/>
      <c r="ABF1646" s="38"/>
      <c r="ABG1646" s="38"/>
      <c r="ABH1646" s="38"/>
      <c r="ABI1646" s="38"/>
      <c r="ABJ1646" s="38"/>
      <c r="ABK1646" s="38"/>
      <c r="ABL1646" s="38"/>
      <c r="ABM1646" s="38"/>
      <c r="ABN1646" s="38"/>
      <c r="ABO1646" s="38"/>
      <c r="ABP1646" s="38"/>
      <c r="ABQ1646" s="38"/>
      <c r="ABR1646" s="38"/>
      <c r="ABS1646" s="38"/>
      <c r="ABT1646" s="38"/>
      <c r="ABU1646" s="38"/>
      <c r="ABV1646" s="38"/>
      <c r="ABW1646" s="38"/>
      <c r="ABX1646" s="38"/>
      <c r="ABY1646" s="38"/>
      <c r="ABZ1646" s="38"/>
      <c r="ACA1646" s="38"/>
      <c r="ACB1646" s="38"/>
      <c r="ACC1646" s="38"/>
      <c r="ACD1646" s="38"/>
      <c r="ACE1646" s="38"/>
      <c r="ACF1646" s="38"/>
      <c r="ACG1646" s="38"/>
      <c r="ACH1646" s="38"/>
      <c r="ACI1646" s="38"/>
      <c r="ACJ1646" s="38"/>
      <c r="ACK1646" s="38"/>
      <c r="ACL1646" s="38"/>
      <c r="ACM1646" s="38"/>
      <c r="ACN1646" s="38"/>
      <c r="ACO1646" s="38"/>
      <c r="ACP1646" s="38"/>
      <c r="ACQ1646" s="38"/>
      <c r="ACR1646" s="38"/>
      <c r="ACS1646" s="38"/>
      <c r="ACT1646" s="38"/>
      <c r="ACU1646" s="38"/>
      <c r="ACV1646" s="38"/>
      <c r="ACW1646" s="38"/>
      <c r="ACX1646" s="38"/>
      <c r="ACY1646" s="38"/>
      <c r="ACZ1646" s="38"/>
      <c r="ADA1646" s="38"/>
      <c r="ADB1646" s="38"/>
      <c r="ADC1646" s="38"/>
      <c r="ADD1646" s="38"/>
      <c r="ADE1646" s="38"/>
      <c r="ADF1646" s="38"/>
      <c r="ADG1646" s="38"/>
      <c r="ADH1646" s="38"/>
      <c r="ADI1646" s="38"/>
      <c r="ADJ1646" s="38"/>
      <c r="ADK1646" s="38"/>
      <c r="ADL1646" s="38"/>
      <c r="ADM1646" s="38"/>
      <c r="ADN1646" s="38"/>
      <c r="ADO1646" s="38"/>
      <c r="ADP1646" s="38"/>
      <c r="ADQ1646" s="38"/>
      <c r="ADR1646" s="38"/>
      <c r="ADS1646" s="38"/>
      <c r="ADT1646" s="38"/>
      <c r="ADU1646" s="38"/>
      <c r="ADV1646" s="38"/>
      <c r="ADW1646" s="38"/>
      <c r="ADX1646" s="38"/>
      <c r="ADY1646" s="38"/>
      <c r="ADZ1646" s="38"/>
      <c r="AEA1646" s="38"/>
      <c r="AEB1646" s="38"/>
      <c r="AEC1646" s="38"/>
      <c r="AED1646" s="38"/>
      <c r="AEE1646" s="38"/>
      <c r="AEF1646" s="38"/>
      <c r="AEG1646" s="38"/>
      <c r="AEH1646" s="38"/>
      <c r="AEI1646" s="38"/>
      <c r="AEJ1646" s="38"/>
      <c r="AEK1646" s="38"/>
      <c r="AEL1646" s="38"/>
      <c r="AEM1646" s="38"/>
      <c r="AEN1646" s="38"/>
      <c r="AEO1646" s="38"/>
      <c r="AEP1646" s="38"/>
      <c r="AEQ1646" s="38"/>
      <c r="AER1646" s="38"/>
      <c r="AES1646" s="38"/>
      <c r="AET1646" s="38"/>
      <c r="AEU1646" s="38"/>
      <c r="AEV1646" s="38"/>
      <c r="AEW1646" s="38"/>
      <c r="AEX1646" s="38"/>
      <c r="AEY1646" s="38"/>
      <c r="AEZ1646" s="38"/>
      <c r="AFA1646" s="38"/>
      <c r="AFB1646" s="38"/>
      <c r="AFC1646" s="38"/>
      <c r="AFD1646" s="38"/>
      <c r="AFE1646" s="38"/>
      <c r="AFF1646" s="38"/>
      <c r="AFG1646" s="38"/>
      <c r="AFH1646" s="38"/>
      <c r="AFI1646" s="38"/>
      <c r="AFJ1646" s="38"/>
      <c r="AFK1646" s="38"/>
      <c r="AFL1646" s="38"/>
      <c r="AFM1646" s="38"/>
      <c r="AFN1646" s="38"/>
      <c r="AFO1646" s="38"/>
      <c r="AFP1646" s="38"/>
      <c r="AFQ1646" s="38"/>
      <c r="AFR1646" s="38"/>
      <c r="AFS1646" s="38"/>
      <c r="AFT1646" s="38"/>
      <c r="AFU1646" s="38"/>
      <c r="AFV1646" s="38"/>
      <c r="AFW1646" s="38"/>
      <c r="AFX1646" s="38"/>
      <c r="AFY1646" s="38"/>
      <c r="AFZ1646" s="38"/>
      <c r="AGA1646" s="38"/>
      <c r="AGB1646" s="38"/>
      <c r="AGC1646" s="38"/>
      <c r="AGD1646" s="38"/>
      <c r="AGE1646" s="38"/>
      <c r="AGF1646" s="38"/>
      <c r="AGG1646" s="38"/>
      <c r="AGH1646" s="38"/>
      <c r="AGI1646" s="38"/>
      <c r="AGJ1646" s="38"/>
      <c r="AGK1646" s="38"/>
      <c r="AGL1646" s="38"/>
      <c r="AGM1646" s="38"/>
      <c r="AGN1646" s="38"/>
      <c r="AGO1646" s="38"/>
      <c r="AGP1646" s="38"/>
      <c r="AGQ1646" s="38"/>
      <c r="AGR1646" s="38"/>
      <c r="AGS1646" s="38"/>
      <c r="AGT1646" s="38"/>
      <c r="AGU1646" s="38"/>
      <c r="AGV1646" s="38"/>
      <c r="AGW1646" s="38"/>
      <c r="AGX1646" s="38"/>
      <c r="AGY1646" s="38"/>
      <c r="AGZ1646" s="38"/>
      <c r="AHA1646" s="38"/>
      <c r="AHB1646" s="38"/>
      <c r="AHC1646" s="38"/>
      <c r="AHD1646" s="38"/>
      <c r="AHE1646" s="38"/>
      <c r="AHF1646" s="38"/>
      <c r="AHG1646" s="38"/>
      <c r="AHH1646" s="38"/>
      <c r="AHI1646" s="38"/>
      <c r="AHJ1646" s="38"/>
      <c r="AHK1646" s="38"/>
      <c r="AHL1646" s="38"/>
      <c r="AHM1646" s="38"/>
      <c r="AHN1646" s="38"/>
      <c r="AHO1646" s="38"/>
      <c r="AHP1646" s="38"/>
      <c r="AHQ1646" s="38"/>
      <c r="AHR1646" s="38"/>
      <c r="AHS1646" s="38"/>
      <c r="AHT1646" s="38"/>
      <c r="AHU1646" s="38"/>
      <c r="AHV1646" s="38"/>
      <c r="AHW1646" s="38"/>
      <c r="AHX1646" s="38"/>
      <c r="AHY1646" s="38"/>
      <c r="AHZ1646" s="38"/>
      <c r="AIA1646" s="38"/>
      <c r="AIB1646" s="38"/>
      <c r="AIC1646" s="38"/>
      <c r="AID1646" s="38"/>
      <c r="AIE1646" s="38"/>
      <c r="AIF1646" s="38"/>
      <c r="AIG1646" s="38"/>
      <c r="AIH1646" s="38"/>
      <c r="AII1646" s="38"/>
      <c r="AIJ1646" s="38"/>
      <c r="AIK1646" s="38"/>
      <c r="AIL1646" s="38"/>
      <c r="AIM1646" s="38"/>
      <c r="AIN1646" s="38"/>
      <c r="AIO1646" s="38"/>
      <c r="AIP1646" s="38"/>
      <c r="AIQ1646" s="38"/>
      <c r="AIR1646" s="38"/>
      <c r="AIS1646" s="38"/>
      <c r="AIT1646" s="38"/>
      <c r="AIU1646" s="38"/>
      <c r="AIV1646" s="38"/>
      <c r="AIW1646" s="38"/>
      <c r="AIX1646" s="38"/>
      <c r="AIY1646" s="38"/>
      <c r="AIZ1646" s="38"/>
      <c r="AJA1646" s="38"/>
      <c r="AJB1646" s="38"/>
      <c r="AJC1646" s="38"/>
      <c r="AJD1646" s="38"/>
      <c r="AJE1646" s="38"/>
      <c r="AJF1646" s="38"/>
      <c r="AJG1646" s="38"/>
      <c r="AJH1646" s="38"/>
      <c r="AJI1646" s="38"/>
      <c r="AJJ1646" s="38"/>
      <c r="AJK1646" s="38"/>
      <c r="AJL1646" s="38"/>
      <c r="AJM1646" s="38"/>
      <c r="AJN1646" s="38"/>
      <c r="AJO1646" s="38"/>
      <c r="AJP1646" s="38"/>
      <c r="AJQ1646" s="38"/>
      <c r="AJR1646" s="38"/>
      <c r="AJS1646" s="38"/>
      <c r="AJT1646" s="38"/>
      <c r="AJU1646" s="38"/>
      <c r="AJV1646" s="38"/>
      <c r="AJW1646" s="38"/>
      <c r="AJX1646" s="38"/>
      <c r="AJY1646" s="38"/>
      <c r="AJZ1646" s="38"/>
      <c r="AKA1646" s="38"/>
      <c r="AKB1646" s="38"/>
      <c r="AKC1646" s="38"/>
      <c r="AKD1646" s="38"/>
      <c r="AKE1646" s="38"/>
      <c r="AKF1646" s="38"/>
      <c r="AKG1646" s="38"/>
      <c r="AKH1646" s="38"/>
      <c r="AKI1646" s="38"/>
      <c r="AKJ1646" s="38"/>
      <c r="AKK1646" s="38"/>
      <c r="AKL1646" s="38"/>
      <c r="AKM1646" s="38"/>
      <c r="AKN1646" s="38"/>
      <c r="AKO1646" s="38"/>
      <c r="AKP1646" s="38"/>
      <c r="AKQ1646" s="38"/>
      <c r="AKR1646" s="38"/>
      <c r="AKS1646" s="38"/>
      <c r="AKT1646" s="38"/>
      <c r="AKU1646" s="38"/>
      <c r="AKV1646" s="38"/>
      <c r="AKW1646" s="38"/>
      <c r="AKX1646" s="38"/>
      <c r="AKY1646" s="38"/>
      <c r="AKZ1646" s="38"/>
      <c r="ALA1646" s="38"/>
      <c r="ALB1646" s="38"/>
      <c r="ALC1646" s="38"/>
      <c r="ALD1646" s="38"/>
      <c r="ALE1646" s="38"/>
      <c r="ALF1646" s="38"/>
      <c r="ALG1646" s="38"/>
      <c r="ALH1646" s="38"/>
      <c r="ALI1646" s="38"/>
      <c r="ALJ1646" s="38"/>
      <c r="ALK1646" s="38"/>
      <c r="ALL1646" s="38"/>
      <c r="ALM1646" s="38"/>
      <c r="ALN1646" s="38"/>
      <c r="ALO1646" s="38"/>
      <c r="ALP1646" s="38"/>
      <c r="ALQ1646" s="38"/>
      <c r="ALR1646" s="38"/>
      <c r="ALS1646" s="38"/>
      <c r="ALT1646" s="38"/>
      <c r="ALU1646" s="38"/>
      <c r="ALV1646" s="38"/>
      <c r="ALW1646" s="38"/>
      <c r="ALX1646" s="38"/>
      <c r="ALY1646" s="38"/>
      <c r="ALZ1646" s="38"/>
      <c r="AMA1646" s="38"/>
      <c r="AMB1646" s="38"/>
      <c r="AMC1646" s="38"/>
      <c r="AMD1646" s="38"/>
      <c r="AME1646" s="38"/>
      <c r="AMF1646" s="38"/>
      <c r="AMG1646" s="38"/>
      <c r="AMH1646" s="38"/>
      <c r="AMI1646" s="38"/>
      <c r="AMJ1646" s="38"/>
      <c r="AMK1646" s="38"/>
      <c r="AML1646" s="38"/>
      <c r="AMM1646" s="38"/>
      <c r="AMN1646" s="38"/>
      <c r="AMO1646" s="38"/>
      <c r="AMP1646" s="38"/>
      <c r="AMQ1646" s="38"/>
      <c r="AMR1646" s="38"/>
      <c r="AMS1646" s="38"/>
      <c r="AMT1646" s="38"/>
      <c r="AMU1646" s="38"/>
      <c r="AMV1646" s="38"/>
      <c r="AMW1646" s="38"/>
      <c r="AMX1646" s="38"/>
      <c r="AMY1646" s="38"/>
      <c r="AMZ1646" s="38"/>
      <c r="ANA1646" s="38"/>
      <c r="ANB1646" s="38"/>
      <c r="ANC1646" s="38"/>
      <c r="AND1646" s="38"/>
      <c r="ANE1646" s="38"/>
      <c r="ANF1646" s="38"/>
      <c r="ANG1646" s="38"/>
      <c r="ANH1646" s="38"/>
      <c r="ANI1646" s="38"/>
      <c r="ANJ1646" s="38"/>
      <c r="ANK1646" s="38"/>
      <c r="ANL1646" s="38"/>
      <c r="ANM1646" s="38"/>
      <c r="ANN1646" s="38"/>
      <c r="ANO1646" s="38"/>
      <c r="ANP1646" s="38"/>
      <c r="ANQ1646" s="38"/>
      <c r="ANR1646" s="38"/>
      <c r="ANS1646" s="38"/>
      <c r="ANT1646" s="38"/>
      <c r="ANU1646" s="38"/>
      <c r="ANV1646" s="38"/>
      <c r="ANW1646" s="38"/>
      <c r="ANX1646" s="38"/>
      <c r="ANY1646" s="38"/>
      <c r="ANZ1646" s="38"/>
      <c r="AOA1646" s="38"/>
      <c r="AOB1646" s="38"/>
      <c r="AOC1646" s="38"/>
      <c r="AOD1646" s="38"/>
      <c r="AOE1646" s="38"/>
      <c r="AOF1646" s="38"/>
      <c r="AOG1646" s="38"/>
      <c r="AOH1646" s="38"/>
      <c r="AOI1646" s="38"/>
      <c r="AOJ1646" s="38"/>
      <c r="AOK1646" s="38"/>
      <c r="AOL1646" s="38"/>
      <c r="AOM1646" s="38"/>
      <c r="AON1646" s="38"/>
      <c r="AOO1646" s="38"/>
      <c r="AOP1646" s="38"/>
      <c r="AOQ1646" s="38"/>
      <c r="AOR1646" s="38"/>
      <c r="AOS1646" s="38"/>
      <c r="AOT1646" s="38"/>
      <c r="AOU1646" s="38"/>
      <c r="AOV1646" s="38"/>
      <c r="AOW1646" s="38"/>
      <c r="AOX1646" s="38"/>
      <c r="AOY1646" s="38"/>
      <c r="AOZ1646" s="38"/>
      <c r="APA1646" s="38"/>
      <c r="APB1646" s="38"/>
      <c r="APC1646" s="38"/>
    </row>
    <row r="1647" spans="1:1095" s="36" customFormat="1" ht="14.25" customHeight="1">
      <c r="A1647" s="3" t="s">
        <v>1722</v>
      </c>
      <c r="B1647" s="36" t="s">
        <v>3933</v>
      </c>
      <c r="C1647" s="10">
        <v>4099854026058</v>
      </c>
      <c r="D1647" s="224">
        <v>4058075545052</v>
      </c>
      <c r="E1647" s="245" t="s">
        <v>1576</v>
      </c>
      <c r="F1647" s="246"/>
      <c r="G1647" s="66" t="str">
        <f>HYPERLINK("https://ledvance.com/pt/product-datasheet/245376/229012","Ficha de Produto")</f>
        <v>Ficha de Produto</v>
      </c>
      <c r="H1647" s="217">
        <v>10</v>
      </c>
      <c r="I1647" s="34" t="s">
        <v>858</v>
      </c>
      <c r="J1647" s="34" t="s">
        <v>6292</v>
      </c>
      <c r="K1647" s="34" t="s">
        <v>788</v>
      </c>
      <c r="L1647" s="34" t="s">
        <v>765</v>
      </c>
      <c r="M1647" s="247">
        <v>33.300000000000004</v>
      </c>
      <c r="N1647" s="288" t="s">
        <v>722</v>
      </c>
    </row>
    <row r="1648" spans="1:1095" s="36" customFormat="1" ht="14.25" customHeight="1">
      <c r="A1648" s="3" t="s">
        <v>1722</v>
      </c>
      <c r="B1648" s="36" t="s">
        <v>3934</v>
      </c>
      <c r="C1648" s="10">
        <v>4099854026072</v>
      </c>
      <c r="D1648" s="224">
        <v>4058075545090</v>
      </c>
      <c r="E1648" s="245" t="s">
        <v>1577</v>
      </c>
      <c r="F1648" s="246"/>
      <c r="G1648" s="66" t="str">
        <f>HYPERLINK("https://ledvance.com/pt/product-datasheet/245376/229015","Ficha de Produto")</f>
        <v>Ficha de Produto</v>
      </c>
      <c r="H1648" s="217">
        <v>10</v>
      </c>
      <c r="I1648" s="34" t="s">
        <v>929</v>
      </c>
      <c r="J1648" s="34" t="s">
        <v>6292</v>
      </c>
      <c r="K1648" s="34" t="s">
        <v>788</v>
      </c>
      <c r="L1648" s="34" t="s">
        <v>765</v>
      </c>
      <c r="M1648" s="247">
        <v>33.300000000000004</v>
      </c>
      <c r="N1648" s="288" t="s">
        <v>722</v>
      </c>
    </row>
    <row r="1649" spans="1:1095" s="36" customFormat="1" ht="14.25" customHeight="1">
      <c r="A1649" s="3" t="s">
        <v>1722</v>
      </c>
      <c r="B1649" s="36" t="s">
        <v>3935</v>
      </c>
      <c r="C1649" s="10">
        <v>4099854026096</v>
      </c>
      <c r="D1649" s="224">
        <v>4058075545113</v>
      </c>
      <c r="E1649" s="245" t="s">
        <v>1578</v>
      </c>
      <c r="F1649" s="246"/>
      <c r="G1649" s="66" t="str">
        <f>HYPERLINK("https://ledvance.com/pt/product-datasheet/245376/229018","Ficha de Produto")</f>
        <v>Ficha de Produto</v>
      </c>
      <c r="H1649" s="217">
        <v>10</v>
      </c>
      <c r="I1649" s="34" t="s">
        <v>929</v>
      </c>
      <c r="J1649" s="34" t="s">
        <v>6292</v>
      </c>
      <c r="K1649" s="34" t="s">
        <v>788</v>
      </c>
      <c r="L1649" s="34" t="s">
        <v>765</v>
      </c>
      <c r="M1649" s="247">
        <v>33.300000000000004</v>
      </c>
      <c r="N1649" s="288" t="s">
        <v>722</v>
      </c>
    </row>
    <row r="1650" spans="1:1095" s="36" customFormat="1" ht="14.25" customHeight="1">
      <c r="A1650" s="3" t="s">
        <v>1722</v>
      </c>
      <c r="B1650" s="36" t="s">
        <v>3936</v>
      </c>
      <c r="C1650" s="10">
        <v>4099854025914</v>
      </c>
      <c r="D1650" s="224">
        <v>4058075545137</v>
      </c>
      <c r="E1650" s="245" t="s">
        <v>1579</v>
      </c>
      <c r="F1650" s="246"/>
      <c r="G1650" s="66" t="str">
        <f>HYPERLINK("https://ledvance.com/pt/product-datasheet/245376/228994","Ficha de Produto")</f>
        <v>Ficha de Produto</v>
      </c>
      <c r="H1650" s="217">
        <v>10</v>
      </c>
      <c r="I1650" s="34" t="s">
        <v>812</v>
      </c>
      <c r="J1650" s="34" t="s">
        <v>763</v>
      </c>
      <c r="K1650" s="34" t="s">
        <v>788</v>
      </c>
      <c r="L1650" s="34" t="s">
        <v>765</v>
      </c>
      <c r="M1650" s="247">
        <v>35.1</v>
      </c>
      <c r="N1650" s="288" t="s">
        <v>722</v>
      </c>
    </row>
    <row r="1651" spans="1:1095" s="36" customFormat="1" ht="14.25" customHeight="1">
      <c r="A1651" s="3" t="s">
        <v>1722</v>
      </c>
      <c r="B1651" s="36" t="s">
        <v>3937</v>
      </c>
      <c r="C1651" s="10">
        <v>4099854025938</v>
      </c>
      <c r="D1651" s="224">
        <v>4058075545175</v>
      </c>
      <c r="E1651" s="245" t="s">
        <v>1580</v>
      </c>
      <c r="F1651" s="246"/>
      <c r="G1651" s="66" t="str">
        <f>HYPERLINK("https://ledvance.com/pt/product-datasheet/245376/228997","Ficha de Produto")</f>
        <v>Ficha de Produto</v>
      </c>
      <c r="H1651" s="217">
        <v>10</v>
      </c>
      <c r="I1651" s="34" t="s">
        <v>6304</v>
      </c>
      <c r="J1651" s="34" t="s">
        <v>763</v>
      </c>
      <c r="K1651" s="34" t="s">
        <v>788</v>
      </c>
      <c r="L1651" s="34" t="s">
        <v>765</v>
      </c>
      <c r="M1651" s="247">
        <v>35.1</v>
      </c>
      <c r="N1651" s="288" t="s">
        <v>722</v>
      </c>
    </row>
    <row r="1652" spans="1:1095" s="36" customFormat="1" ht="14.25" customHeight="1">
      <c r="A1652" s="3" t="s">
        <v>1722</v>
      </c>
      <c r="B1652" s="36" t="s">
        <v>3938</v>
      </c>
      <c r="C1652" s="10">
        <v>4099854025952</v>
      </c>
      <c r="D1652" s="224">
        <v>4058075545205</v>
      </c>
      <c r="E1652" s="245" t="s">
        <v>1581</v>
      </c>
      <c r="F1652" s="246"/>
      <c r="G1652" s="66" t="str">
        <f>HYPERLINK("https://ledvance.com/pt/product-datasheet/245376/229000","Ficha de Produto")</f>
        <v>Ficha de Produto</v>
      </c>
      <c r="H1652" s="217">
        <v>10</v>
      </c>
      <c r="I1652" s="34" t="s">
        <v>6304</v>
      </c>
      <c r="J1652" s="34" t="s">
        <v>763</v>
      </c>
      <c r="K1652" s="34" t="s">
        <v>788</v>
      </c>
      <c r="L1652" s="34" t="s">
        <v>765</v>
      </c>
      <c r="M1652" s="247">
        <v>35.1</v>
      </c>
      <c r="N1652" s="288" t="s">
        <v>722</v>
      </c>
    </row>
    <row r="1653" spans="1:1095" s="36" customFormat="1" ht="14.25" customHeight="1">
      <c r="A1653" s="3" t="s">
        <v>1722</v>
      </c>
      <c r="B1653" s="36" t="s">
        <v>3939</v>
      </c>
      <c r="C1653" s="10">
        <v>4099854025976</v>
      </c>
      <c r="D1653" s="224">
        <v>4058075545229</v>
      </c>
      <c r="E1653" s="245" t="s">
        <v>1582</v>
      </c>
      <c r="F1653" s="246"/>
      <c r="G1653" s="66" t="str">
        <f>HYPERLINK("https://ledvance.com/pt/product-datasheet/245376/229003","Ficha de Produto")</f>
        <v>Ficha de Produto</v>
      </c>
      <c r="H1653" s="217">
        <v>10</v>
      </c>
      <c r="I1653" s="34" t="s">
        <v>814</v>
      </c>
      <c r="J1653" s="34" t="s">
        <v>775</v>
      </c>
      <c r="K1653" s="34" t="s">
        <v>788</v>
      </c>
      <c r="L1653" s="34" t="s">
        <v>765</v>
      </c>
      <c r="M1653" s="247">
        <v>37.800000000000004</v>
      </c>
      <c r="N1653" s="288" t="s">
        <v>722</v>
      </c>
    </row>
    <row r="1654" spans="1:1095" s="36" customFormat="1" ht="14.25" customHeight="1">
      <c r="A1654" s="3" t="s">
        <v>1722</v>
      </c>
      <c r="B1654" s="36" t="s">
        <v>3940</v>
      </c>
      <c r="C1654" s="10">
        <v>4099854025990</v>
      </c>
      <c r="D1654" s="224">
        <v>4058075545243</v>
      </c>
      <c r="E1654" s="245" t="s">
        <v>1583</v>
      </c>
      <c r="F1654" s="246"/>
      <c r="G1654" s="66" t="str">
        <f>HYPERLINK("https://ledvance.com/pt/product-datasheet/245376/229006","Ficha de Produto")</f>
        <v>Ficha de Produto</v>
      </c>
      <c r="H1654" s="217">
        <v>10</v>
      </c>
      <c r="I1654" s="34" t="s">
        <v>840</v>
      </c>
      <c r="J1654" s="34" t="s">
        <v>775</v>
      </c>
      <c r="K1654" s="34" t="s">
        <v>788</v>
      </c>
      <c r="L1654" s="34" t="s">
        <v>765</v>
      </c>
      <c r="M1654" s="247">
        <v>37.800000000000004</v>
      </c>
      <c r="N1654" s="288" t="s">
        <v>722</v>
      </c>
    </row>
    <row r="1655" spans="1:1095" s="36" customFormat="1" ht="14.25" customHeight="1">
      <c r="A1655" s="3" t="s">
        <v>1722</v>
      </c>
      <c r="B1655" s="36" t="s">
        <v>3941</v>
      </c>
      <c r="C1655" s="10">
        <v>4099854026010</v>
      </c>
      <c r="D1655" s="224">
        <v>4058075545267</v>
      </c>
      <c r="E1655" s="245" t="s">
        <v>1584</v>
      </c>
      <c r="F1655" s="246"/>
      <c r="G1655" s="66" t="str">
        <f>HYPERLINK("https://ledvance.com/pt/product-datasheet/245376/229009","Ficha de Produto")</f>
        <v>Ficha de Produto</v>
      </c>
      <c r="H1655" s="217">
        <v>10</v>
      </c>
      <c r="I1655" s="34" t="s">
        <v>840</v>
      </c>
      <c r="J1655" s="34" t="s">
        <v>775</v>
      </c>
      <c r="K1655" s="34" t="s">
        <v>788</v>
      </c>
      <c r="L1655" s="34" t="s">
        <v>765</v>
      </c>
      <c r="M1655" s="247">
        <v>37.800000000000004</v>
      </c>
      <c r="N1655" s="288" t="s">
        <v>722</v>
      </c>
    </row>
    <row r="1656" spans="1:1095" s="39" customFormat="1" ht="14.25" customHeight="1">
      <c r="A1656" s="8" t="s">
        <v>1722</v>
      </c>
      <c r="B1656" s="244" t="s">
        <v>3942</v>
      </c>
      <c r="C1656" s="244"/>
      <c r="D1656" s="7"/>
      <c r="E1656" s="230"/>
      <c r="F1656" s="7"/>
      <c r="G1656" s="68" t="s">
        <v>6505</v>
      </c>
      <c r="H1656" s="230"/>
      <c r="I1656" s="230"/>
      <c r="J1656" s="230"/>
      <c r="K1656" s="230"/>
      <c r="L1656" s="230"/>
      <c r="M1656" s="248"/>
      <c r="N1656" s="284"/>
      <c r="O1656" s="38"/>
      <c r="P1656" s="38"/>
      <c r="Q1656" s="38"/>
      <c r="R1656" s="38"/>
      <c r="S1656" s="38"/>
      <c r="T1656" s="38"/>
      <c r="U1656" s="38"/>
      <c r="V1656" s="38"/>
      <c r="W1656" s="38"/>
      <c r="X1656" s="38"/>
      <c r="Y1656" s="38"/>
      <c r="Z1656" s="38"/>
      <c r="AA1656" s="38"/>
      <c r="AB1656" s="38"/>
      <c r="AC1656" s="38"/>
      <c r="AD1656" s="38"/>
      <c r="AE1656" s="38"/>
      <c r="AF1656" s="38"/>
      <c r="AG1656" s="38"/>
      <c r="AH1656" s="38"/>
      <c r="AI1656" s="38"/>
      <c r="AJ1656" s="38"/>
      <c r="AK1656" s="38"/>
      <c r="AL1656" s="38"/>
      <c r="AM1656" s="38"/>
      <c r="AN1656" s="38"/>
      <c r="AO1656" s="38"/>
      <c r="AP1656" s="38"/>
      <c r="AQ1656" s="38"/>
      <c r="AR1656" s="38"/>
      <c r="AS1656" s="38"/>
      <c r="AT1656" s="38"/>
      <c r="AU1656" s="38"/>
      <c r="AV1656" s="38"/>
      <c r="AW1656" s="38"/>
      <c r="AX1656" s="38"/>
      <c r="AY1656" s="38"/>
      <c r="AZ1656" s="38"/>
      <c r="BA1656" s="38"/>
      <c r="BB1656" s="38"/>
      <c r="BC1656" s="38"/>
      <c r="BD1656" s="38"/>
      <c r="BE1656" s="38"/>
      <c r="BF1656" s="38"/>
      <c r="BG1656" s="38"/>
      <c r="BH1656" s="38"/>
      <c r="BI1656" s="38"/>
      <c r="BJ1656" s="38"/>
      <c r="BK1656" s="38"/>
      <c r="BL1656" s="38"/>
      <c r="BM1656" s="38"/>
      <c r="BN1656" s="38"/>
      <c r="BO1656" s="38"/>
      <c r="BP1656" s="38"/>
      <c r="BQ1656" s="38"/>
      <c r="BR1656" s="38"/>
      <c r="BS1656" s="38"/>
      <c r="BT1656" s="38"/>
      <c r="BU1656" s="38"/>
      <c r="BV1656" s="38"/>
      <c r="BW1656" s="38"/>
      <c r="BX1656" s="38"/>
      <c r="BY1656" s="38"/>
      <c r="BZ1656" s="38"/>
      <c r="CA1656" s="38"/>
      <c r="CB1656" s="38"/>
      <c r="CC1656" s="38"/>
      <c r="CD1656" s="38"/>
      <c r="CE1656" s="38"/>
      <c r="CF1656" s="38"/>
      <c r="CG1656" s="38"/>
      <c r="CH1656" s="38"/>
      <c r="CI1656" s="38"/>
      <c r="CJ1656" s="38"/>
      <c r="CK1656" s="38"/>
      <c r="CL1656" s="38"/>
      <c r="CM1656" s="38"/>
      <c r="CN1656" s="38"/>
      <c r="CO1656" s="38"/>
      <c r="CP1656" s="38"/>
      <c r="CQ1656" s="38"/>
      <c r="CR1656" s="38"/>
      <c r="CS1656" s="38"/>
      <c r="CT1656" s="38"/>
      <c r="CU1656" s="38"/>
      <c r="CV1656" s="38"/>
      <c r="CW1656" s="38"/>
      <c r="CX1656" s="38"/>
      <c r="CY1656" s="38"/>
      <c r="CZ1656" s="38"/>
      <c r="DA1656" s="38"/>
      <c r="DB1656" s="38"/>
      <c r="DC1656" s="38"/>
      <c r="DD1656" s="38"/>
      <c r="DE1656" s="38"/>
      <c r="DF1656" s="38"/>
      <c r="DG1656" s="38"/>
      <c r="DH1656" s="38"/>
      <c r="DI1656" s="38"/>
      <c r="DJ1656" s="38"/>
      <c r="DK1656" s="38"/>
      <c r="DL1656" s="38"/>
      <c r="DM1656" s="38"/>
      <c r="DN1656" s="38"/>
      <c r="DO1656" s="38"/>
      <c r="DP1656" s="38"/>
      <c r="DQ1656" s="38"/>
      <c r="DR1656" s="38"/>
      <c r="DS1656" s="38"/>
      <c r="DT1656" s="38"/>
      <c r="DU1656" s="38"/>
      <c r="DV1656" s="38"/>
      <c r="DW1656" s="38"/>
      <c r="DX1656" s="38"/>
      <c r="DY1656" s="38"/>
      <c r="DZ1656" s="38"/>
      <c r="EA1656" s="38"/>
      <c r="EB1656" s="38"/>
      <c r="EC1656" s="38"/>
      <c r="ED1656" s="38"/>
      <c r="EE1656" s="38"/>
      <c r="EF1656" s="38"/>
      <c r="EG1656" s="38"/>
      <c r="EH1656" s="38"/>
      <c r="EI1656" s="38"/>
      <c r="EJ1656" s="38"/>
      <c r="EK1656" s="38"/>
      <c r="EL1656" s="38"/>
      <c r="EM1656" s="38"/>
      <c r="EN1656" s="38"/>
      <c r="EO1656" s="38"/>
      <c r="EP1656" s="38"/>
      <c r="EQ1656" s="38"/>
      <c r="ER1656" s="38"/>
      <c r="ES1656" s="38"/>
      <c r="ET1656" s="38"/>
      <c r="EU1656" s="38"/>
      <c r="EV1656" s="38"/>
      <c r="EW1656" s="38"/>
      <c r="EX1656" s="38"/>
      <c r="EY1656" s="38"/>
      <c r="EZ1656" s="38"/>
      <c r="FA1656" s="38"/>
      <c r="FB1656" s="38"/>
      <c r="FC1656" s="38"/>
      <c r="FD1656" s="38"/>
      <c r="FE1656" s="38"/>
      <c r="FF1656" s="38"/>
      <c r="FG1656" s="38"/>
      <c r="FH1656" s="38"/>
      <c r="FI1656" s="38"/>
      <c r="FJ1656" s="38"/>
      <c r="FK1656" s="38"/>
      <c r="FL1656" s="38"/>
      <c r="FM1656" s="38"/>
      <c r="FN1656" s="38"/>
      <c r="FO1656" s="38"/>
      <c r="FP1656" s="38"/>
      <c r="FQ1656" s="38"/>
      <c r="FR1656" s="38"/>
      <c r="FS1656" s="38"/>
      <c r="FT1656" s="38"/>
      <c r="FU1656" s="38"/>
      <c r="FV1656" s="38"/>
      <c r="FW1656" s="38"/>
      <c r="FX1656" s="38"/>
      <c r="FY1656" s="38"/>
      <c r="FZ1656" s="38"/>
      <c r="GA1656" s="38"/>
      <c r="GB1656" s="38"/>
      <c r="GC1656" s="38"/>
      <c r="GD1656" s="38"/>
      <c r="GE1656" s="38"/>
      <c r="GF1656" s="38"/>
      <c r="GG1656" s="38"/>
      <c r="GH1656" s="38"/>
      <c r="GI1656" s="38"/>
      <c r="GJ1656" s="38"/>
      <c r="GK1656" s="38"/>
      <c r="GL1656" s="38"/>
      <c r="GM1656" s="38"/>
      <c r="GN1656" s="38"/>
      <c r="GO1656" s="38"/>
      <c r="GP1656" s="38"/>
      <c r="GQ1656" s="38"/>
      <c r="GR1656" s="38"/>
      <c r="GS1656" s="38"/>
      <c r="GT1656" s="38"/>
      <c r="GU1656" s="38"/>
      <c r="GV1656" s="38"/>
      <c r="GW1656" s="38"/>
      <c r="GX1656" s="38"/>
      <c r="GY1656" s="38"/>
      <c r="GZ1656" s="38"/>
      <c r="HA1656" s="38"/>
      <c r="HB1656" s="38"/>
      <c r="HC1656" s="38"/>
      <c r="HD1656" s="38"/>
      <c r="HE1656" s="38"/>
      <c r="HF1656" s="38"/>
      <c r="HG1656" s="38"/>
      <c r="HH1656" s="38"/>
      <c r="HI1656" s="38"/>
      <c r="HJ1656" s="38"/>
      <c r="HK1656" s="38"/>
      <c r="HL1656" s="38"/>
      <c r="HM1656" s="38"/>
      <c r="HN1656" s="38"/>
      <c r="HO1656" s="38"/>
      <c r="HP1656" s="38"/>
      <c r="HQ1656" s="38"/>
      <c r="HR1656" s="38"/>
      <c r="HS1656" s="38"/>
      <c r="HT1656" s="38"/>
      <c r="HU1656" s="38"/>
      <c r="HV1656" s="38"/>
      <c r="HW1656" s="38"/>
      <c r="HX1656" s="38"/>
      <c r="HY1656" s="38"/>
      <c r="HZ1656" s="38"/>
      <c r="IA1656" s="38"/>
      <c r="IB1656" s="38"/>
      <c r="IC1656" s="38"/>
      <c r="ID1656" s="38"/>
      <c r="IE1656" s="38"/>
      <c r="IF1656" s="38"/>
      <c r="IG1656" s="38"/>
      <c r="IH1656" s="38"/>
      <c r="II1656" s="38"/>
      <c r="IJ1656" s="38"/>
      <c r="IK1656" s="38"/>
      <c r="IL1656" s="38"/>
      <c r="IM1656" s="38"/>
      <c r="IN1656" s="38"/>
      <c r="IO1656" s="38"/>
      <c r="IP1656" s="38"/>
      <c r="IQ1656" s="38"/>
      <c r="IR1656" s="38"/>
      <c r="IS1656" s="38"/>
      <c r="IT1656" s="38"/>
      <c r="IU1656" s="38"/>
      <c r="IV1656" s="38"/>
      <c r="IW1656" s="38"/>
      <c r="IX1656" s="38"/>
      <c r="IY1656" s="38"/>
      <c r="IZ1656" s="38"/>
      <c r="JA1656" s="38"/>
      <c r="JB1656" s="38"/>
      <c r="JC1656" s="38"/>
      <c r="JD1656" s="38"/>
      <c r="JE1656" s="38"/>
      <c r="JF1656" s="38"/>
      <c r="JG1656" s="38"/>
      <c r="JH1656" s="38"/>
      <c r="JI1656" s="38"/>
      <c r="JJ1656" s="38"/>
      <c r="JK1656" s="38"/>
      <c r="JL1656" s="38"/>
      <c r="JM1656" s="38"/>
      <c r="JN1656" s="38"/>
      <c r="JO1656" s="38"/>
      <c r="JP1656" s="38"/>
      <c r="JQ1656" s="38"/>
      <c r="JR1656" s="38"/>
      <c r="JS1656" s="38"/>
      <c r="JT1656" s="38"/>
      <c r="JU1656" s="38"/>
      <c r="JV1656" s="38"/>
      <c r="JW1656" s="38"/>
      <c r="JX1656" s="38"/>
      <c r="JY1656" s="38"/>
      <c r="JZ1656" s="38"/>
      <c r="KA1656" s="38"/>
      <c r="KB1656" s="38"/>
      <c r="KC1656" s="38"/>
      <c r="KD1656" s="38"/>
      <c r="KE1656" s="38"/>
      <c r="KF1656" s="38"/>
      <c r="KG1656" s="38"/>
      <c r="KH1656" s="38"/>
      <c r="KI1656" s="38"/>
      <c r="KJ1656" s="38"/>
      <c r="KK1656" s="38"/>
      <c r="KL1656" s="38"/>
      <c r="KM1656" s="38"/>
      <c r="KN1656" s="38"/>
      <c r="KO1656" s="38"/>
      <c r="KP1656" s="38"/>
      <c r="KQ1656" s="38"/>
      <c r="KR1656" s="38"/>
      <c r="KS1656" s="38"/>
      <c r="KT1656" s="38"/>
      <c r="KU1656" s="38"/>
      <c r="KV1656" s="38"/>
      <c r="KW1656" s="38"/>
      <c r="KX1656" s="38"/>
      <c r="KY1656" s="38"/>
      <c r="KZ1656" s="38"/>
      <c r="LA1656" s="38"/>
      <c r="LB1656" s="38"/>
      <c r="LC1656" s="38"/>
      <c r="LD1656" s="38"/>
      <c r="LE1656" s="38"/>
      <c r="LF1656" s="38"/>
      <c r="LG1656" s="38"/>
      <c r="LH1656" s="38"/>
      <c r="LI1656" s="38"/>
      <c r="LJ1656" s="38"/>
      <c r="LK1656" s="38"/>
      <c r="LL1656" s="38"/>
      <c r="LM1656" s="38"/>
      <c r="LN1656" s="38"/>
      <c r="LO1656" s="38"/>
      <c r="LP1656" s="38"/>
      <c r="LQ1656" s="38"/>
      <c r="LR1656" s="38"/>
      <c r="LS1656" s="38"/>
      <c r="LT1656" s="38"/>
      <c r="LU1656" s="38"/>
      <c r="LV1656" s="38"/>
      <c r="LW1656" s="38"/>
      <c r="LX1656" s="38"/>
      <c r="LY1656" s="38"/>
      <c r="LZ1656" s="38"/>
      <c r="MA1656" s="38"/>
      <c r="MB1656" s="38"/>
      <c r="MC1656" s="38"/>
      <c r="MD1656" s="38"/>
      <c r="ME1656" s="38"/>
      <c r="MF1656" s="38"/>
      <c r="MG1656" s="38"/>
      <c r="MH1656" s="38"/>
      <c r="MI1656" s="38"/>
      <c r="MJ1656" s="38"/>
      <c r="MK1656" s="38"/>
      <c r="ML1656" s="38"/>
      <c r="MM1656" s="38"/>
      <c r="MN1656" s="38"/>
      <c r="MO1656" s="38"/>
      <c r="MP1656" s="38"/>
      <c r="MQ1656" s="38"/>
      <c r="MR1656" s="38"/>
      <c r="MS1656" s="38"/>
      <c r="MT1656" s="38"/>
      <c r="MU1656" s="38"/>
      <c r="MV1656" s="38"/>
      <c r="MW1656" s="38"/>
      <c r="MX1656" s="38"/>
      <c r="MY1656" s="38"/>
      <c r="MZ1656" s="38"/>
      <c r="NA1656" s="38"/>
      <c r="NB1656" s="38"/>
      <c r="NC1656" s="38"/>
      <c r="ND1656" s="38"/>
      <c r="NE1656" s="38"/>
      <c r="NF1656" s="38"/>
      <c r="NG1656" s="38"/>
      <c r="NH1656" s="38"/>
      <c r="NI1656" s="38"/>
      <c r="NJ1656" s="38"/>
      <c r="NK1656" s="38"/>
      <c r="NL1656" s="38"/>
      <c r="NM1656" s="38"/>
      <c r="NN1656" s="38"/>
      <c r="NO1656" s="38"/>
      <c r="NP1656" s="38"/>
      <c r="NQ1656" s="38"/>
      <c r="NR1656" s="38"/>
      <c r="NS1656" s="38"/>
      <c r="NT1656" s="38"/>
      <c r="NU1656" s="38"/>
      <c r="NV1656" s="38"/>
      <c r="NW1656" s="38"/>
      <c r="NX1656" s="38"/>
      <c r="NY1656" s="38"/>
      <c r="NZ1656" s="38"/>
      <c r="OA1656" s="38"/>
      <c r="OB1656" s="38"/>
      <c r="OC1656" s="38"/>
      <c r="OD1656" s="38"/>
      <c r="OE1656" s="38"/>
      <c r="OF1656" s="38"/>
      <c r="OG1656" s="38"/>
      <c r="OH1656" s="38"/>
      <c r="OI1656" s="38"/>
      <c r="OJ1656" s="38"/>
      <c r="OK1656" s="38"/>
      <c r="OL1656" s="38"/>
      <c r="OM1656" s="38"/>
      <c r="ON1656" s="38"/>
      <c r="OO1656" s="38"/>
      <c r="OP1656" s="38"/>
      <c r="OQ1656" s="38"/>
      <c r="OR1656" s="38"/>
      <c r="OS1656" s="38"/>
      <c r="OT1656" s="38"/>
      <c r="OU1656" s="38"/>
      <c r="OV1656" s="38"/>
      <c r="OW1656" s="38"/>
      <c r="OX1656" s="38"/>
      <c r="OY1656" s="38"/>
      <c r="OZ1656" s="38"/>
      <c r="PA1656" s="38"/>
      <c r="PB1656" s="38"/>
      <c r="PC1656" s="38"/>
      <c r="PD1656" s="38"/>
      <c r="PE1656" s="38"/>
      <c r="PF1656" s="38"/>
      <c r="PG1656" s="38"/>
      <c r="PH1656" s="38"/>
      <c r="PI1656" s="38"/>
      <c r="PJ1656" s="38"/>
      <c r="PK1656" s="38"/>
      <c r="PL1656" s="38"/>
      <c r="PM1656" s="38"/>
      <c r="PN1656" s="38"/>
      <c r="PO1656" s="38"/>
      <c r="PP1656" s="38"/>
      <c r="PQ1656" s="38"/>
      <c r="PR1656" s="38"/>
      <c r="PS1656" s="38"/>
      <c r="PT1656" s="38"/>
      <c r="PU1656" s="38"/>
      <c r="PV1656" s="38"/>
      <c r="PW1656" s="38"/>
      <c r="PX1656" s="38"/>
      <c r="PY1656" s="38"/>
      <c r="PZ1656" s="38"/>
      <c r="QA1656" s="38"/>
      <c r="QB1656" s="38"/>
      <c r="QC1656" s="38"/>
      <c r="QD1656" s="38"/>
      <c r="QE1656" s="38"/>
      <c r="QF1656" s="38"/>
      <c r="QG1656" s="38"/>
      <c r="QH1656" s="38"/>
      <c r="QI1656" s="38"/>
      <c r="QJ1656" s="38"/>
      <c r="QK1656" s="38"/>
      <c r="QL1656" s="38"/>
      <c r="QM1656" s="38"/>
      <c r="QN1656" s="38"/>
      <c r="QO1656" s="38"/>
      <c r="QP1656" s="38"/>
      <c r="QQ1656" s="38"/>
      <c r="QR1656" s="38"/>
      <c r="QS1656" s="38"/>
      <c r="QT1656" s="38"/>
      <c r="QU1656" s="38"/>
      <c r="QV1656" s="38"/>
      <c r="QW1656" s="38"/>
      <c r="QX1656" s="38"/>
      <c r="QY1656" s="38"/>
      <c r="QZ1656" s="38"/>
      <c r="RA1656" s="38"/>
      <c r="RB1656" s="38"/>
      <c r="RC1656" s="38"/>
      <c r="RD1656" s="38"/>
      <c r="RE1656" s="38"/>
      <c r="RF1656" s="38"/>
      <c r="RG1656" s="38"/>
      <c r="RH1656" s="38"/>
      <c r="RI1656" s="38"/>
      <c r="RJ1656" s="38"/>
      <c r="RK1656" s="38"/>
      <c r="RL1656" s="38"/>
      <c r="RM1656" s="38"/>
      <c r="RN1656" s="38"/>
      <c r="RO1656" s="38"/>
      <c r="RP1656" s="38"/>
      <c r="RQ1656" s="38"/>
      <c r="RR1656" s="38"/>
      <c r="RS1656" s="38"/>
      <c r="RT1656" s="38"/>
      <c r="RU1656" s="38"/>
      <c r="RV1656" s="38"/>
      <c r="RW1656" s="38"/>
      <c r="RX1656" s="38"/>
      <c r="RY1656" s="38"/>
      <c r="RZ1656" s="38"/>
      <c r="SA1656" s="38"/>
      <c r="SB1656" s="38"/>
      <c r="SC1656" s="38"/>
      <c r="SD1656" s="38"/>
      <c r="SE1656" s="38"/>
      <c r="SF1656" s="38"/>
      <c r="SG1656" s="38"/>
      <c r="SH1656" s="38"/>
      <c r="SI1656" s="38"/>
      <c r="SJ1656" s="38"/>
      <c r="SK1656" s="38"/>
      <c r="SL1656" s="38"/>
      <c r="SM1656" s="38"/>
      <c r="SN1656" s="38"/>
      <c r="SO1656" s="38"/>
      <c r="SP1656" s="38"/>
      <c r="SQ1656" s="38"/>
      <c r="SR1656" s="38"/>
      <c r="SS1656" s="38"/>
      <c r="ST1656" s="38"/>
      <c r="SU1656" s="38"/>
      <c r="SV1656" s="38"/>
      <c r="SW1656" s="38"/>
      <c r="SX1656" s="38"/>
      <c r="SY1656" s="38"/>
      <c r="SZ1656" s="38"/>
      <c r="TA1656" s="38"/>
      <c r="TB1656" s="38"/>
      <c r="TC1656" s="38"/>
      <c r="TD1656" s="38"/>
      <c r="TE1656" s="38"/>
      <c r="TF1656" s="38"/>
      <c r="TG1656" s="38"/>
      <c r="TH1656" s="38"/>
      <c r="TI1656" s="38"/>
      <c r="TJ1656" s="38"/>
      <c r="TK1656" s="38"/>
      <c r="TL1656" s="38"/>
      <c r="TM1656" s="38"/>
      <c r="TN1656" s="38"/>
      <c r="TO1656" s="38"/>
      <c r="TP1656" s="38"/>
      <c r="TQ1656" s="38"/>
      <c r="TR1656" s="38"/>
      <c r="TS1656" s="38"/>
      <c r="TT1656" s="38"/>
      <c r="TU1656" s="38"/>
      <c r="TV1656" s="38"/>
      <c r="TW1656" s="38"/>
      <c r="TX1656" s="38"/>
      <c r="TY1656" s="38"/>
      <c r="TZ1656" s="38"/>
      <c r="UA1656" s="38"/>
      <c r="UB1656" s="38"/>
      <c r="UC1656" s="38"/>
      <c r="UD1656" s="38"/>
      <c r="UE1656" s="38"/>
      <c r="UF1656" s="38"/>
      <c r="UG1656" s="38"/>
      <c r="UH1656" s="38"/>
      <c r="UI1656" s="38"/>
      <c r="UJ1656" s="38"/>
      <c r="UK1656" s="38"/>
      <c r="UL1656" s="38"/>
      <c r="UM1656" s="38"/>
      <c r="UN1656" s="38"/>
      <c r="UO1656" s="38"/>
      <c r="UP1656" s="38"/>
      <c r="UQ1656" s="38"/>
      <c r="UR1656" s="38"/>
      <c r="US1656" s="38"/>
      <c r="UT1656" s="38"/>
      <c r="UU1656" s="38"/>
      <c r="UV1656" s="38"/>
      <c r="UW1656" s="38"/>
      <c r="UX1656" s="38"/>
      <c r="UY1656" s="38"/>
      <c r="UZ1656" s="38"/>
      <c r="VA1656" s="38"/>
      <c r="VB1656" s="38"/>
      <c r="VC1656" s="38"/>
      <c r="VD1656" s="38"/>
      <c r="VE1656" s="38"/>
      <c r="VF1656" s="38"/>
      <c r="VG1656" s="38"/>
      <c r="VH1656" s="38"/>
      <c r="VI1656" s="38"/>
      <c r="VJ1656" s="38"/>
      <c r="VK1656" s="38"/>
      <c r="VL1656" s="38"/>
      <c r="VM1656" s="38"/>
      <c r="VN1656" s="38"/>
      <c r="VO1656" s="38"/>
      <c r="VP1656" s="38"/>
      <c r="VQ1656" s="38"/>
      <c r="VR1656" s="38"/>
      <c r="VS1656" s="38"/>
      <c r="VT1656" s="38"/>
      <c r="VU1656" s="38"/>
      <c r="VV1656" s="38"/>
      <c r="VW1656" s="38"/>
      <c r="VX1656" s="38"/>
      <c r="VY1656" s="38"/>
      <c r="VZ1656" s="38"/>
      <c r="WA1656" s="38"/>
      <c r="WB1656" s="38"/>
      <c r="WC1656" s="38"/>
      <c r="WD1656" s="38"/>
      <c r="WE1656" s="38"/>
      <c r="WF1656" s="38"/>
      <c r="WG1656" s="38"/>
      <c r="WH1656" s="38"/>
      <c r="WI1656" s="38"/>
      <c r="WJ1656" s="38"/>
      <c r="WK1656" s="38"/>
      <c r="WL1656" s="38"/>
      <c r="WM1656" s="38"/>
      <c r="WN1656" s="38"/>
      <c r="WO1656" s="38"/>
      <c r="WP1656" s="38"/>
      <c r="WQ1656" s="38"/>
      <c r="WR1656" s="38"/>
      <c r="WS1656" s="38"/>
      <c r="WT1656" s="38"/>
      <c r="WU1656" s="38"/>
      <c r="WV1656" s="38"/>
      <c r="WW1656" s="38"/>
      <c r="WX1656" s="38"/>
      <c r="WY1656" s="38"/>
      <c r="WZ1656" s="38"/>
      <c r="XA1656" s="38"/>
      <c r="XB1656" s="38"/>
      <c r="XC1656" s="38"/>
      <c r="XD1656" s="38"/>
      <c r="XE1656" s="38"/>
      <c r="XF1656" s="38"/>
      <c r="XG1656" s="38"/>
      <c r="XH1656" s="38"/>
      <c r="XI1656" s="38"/>
      <c r="XJ1656" s="38"/>
      <c r="XK1656" s="38"/>
      <c r="XL1656" s="38"/>
      <c r="XM1656" s="38"/>
      <c r="XN1656" s="38"/>
      <c r="XO1656" s="38"/>
      <c r="XP1656" s="38"/>
      <c r="XQ1656" s="38"/>
      <c r="XR1656" s="38"/>
      <c r="XS1656" s="38"/>
      <c r="XT1656" s="38"/>
      <c r="XU1656" s="38"/>
      <c r="XV1656" s="38"/>
      <c r="XW1656" s="38"/>
      <c r="XX1656" s="38"/>
      <c r="XY1656" s="38"/>
      <c r="XZ1656" s="38"/>
      <c r="YA1656" s="38"/>
      <c r="YB1656" s="38"/>
      <c r="YC1656" s="38"/>
      <c r="YD1656" s="38"/>
      <c r="YE1656" s="38"/>
      <c r="YF1656" s="38"/>
      <c r="YG1656" s="38"/>
      <c r="YH1656" s="38"/>
      <c r="YI1656" s="38"/>
      <c r="YJ1656" s="38"/>
      <c r="YK1656" s="38"/>
      <c r="YL1656" s="38"/>
      <c r="YM1656" s="38"/>
      <c r="YN1656" s="38"/>
      <c r="YO1656" s="38"/>
      <c r="YP1656" s="38"/>
      <c r="YQ1656" s="38"/>
      <c r="YR1656" s="38"/>
      <c r="YS1656" s="38"/>
      <c r="YT1656" s="38"/>
      <c r="YU1656" s="38"/>
      <c r="YV1656" s="38"/>
      <c r="YW1656" s="38"/>
      <c r="YX1656" s="38"/>
      <c r="YY1656" s="38"/>
      <c r="YZ1656" s="38"/>
      <c r="ZA1656" s="38"/>
      <c r="ZB1656" s="38"/>
      <c r="ZC1656" s="38"/>
      <c r="ZD1656" s="38"/>
      <c r="ZE1656" s="38"/>
      <c r="ZF1656" s="38"/>
      <c r="ZG1656" s="38"/>
      <c r="ZH1656" s="38"/>
      <c r="ZI1656" s="38"/>
      <c r="ZJ1656" s="38"/>
      <c r="ZK1656" s="38"/>
      <c r="ZL1656" s="38"/>
      <c r="ZM1656" s="38"/>
      <c r="ZN1656" s="38"/>
      <c r="ZO1656" s="38"/>
      <c r="ZP1656" s="38"/>
      <c r="ZQ1656" s="38"/>
      <c r="ZR1656" s="38"/>
      <c r="ZS1656" s="38"/>
      <c r="ZT1656" s="38"/>
      <c r="ZU1656" s="38"/>
      <c r="ZV1656" s="38"/>
      <c r="ZW1656" s="38"/>
      <c r="ZX1656" s="38"/>
      <c r="ZY1656" s="38"/>
      <c r="ZZ1656" s="38"/>
      <c r="AAA1656" s="38"/>
      <c r="AAB1656" s="38"/>
      <c r="AAC1656" s="38"/>
      <c r="AAD1656" s="38"/>
      <c r="AAE1656" s="38"/>
      <c r="AAF1656" s="38"/>
      <c r="AAG1656" s="38"/>
      <c r="AAH1656" s="38"/>
      <c r="AAI1656" s="38"/>
      <c r="AAJ1656" s="38"/>
      <c r="AAK1656" s="38"/>
      <c r="AAL1656" s="38"/>
      <c r="AAM1656" s="38"/>
      <c r="AAN1656" s="38"/>
      <c r="AAO1656" s="38"/>
      <c r="AAP1656" s="38"/>
      <c r="AAQ1656" s="38"/>
      <c r="AAR1656" s="38"/>
      <c r="AAS1656" s="38"/>
      <c r="AAT1656" s="38"/>
      <c r="AAU1656" s="38"/>
      <c r="AAV1656" s="38"/>
      <c r="AAW1656" s="38"/>
      <c r="AAX1656" s="38"/>
      <c r="AAY1656" s="38"/>
      <c r="AAZ1656" s="38"/>
      <c r="ABA1656" s="38"/>
      <c r="ABB1656" s="38"/>
      <c r="ABC1656" s="38"/>
      <c r="ABD1656" s="38"/>
      <c r="ABE1656" s="38"/>
      <c r="ABF1656" s="38"/>
      <c r="ABG1656" s="38"/>
      <c r="ABH1656" s="38"/>
      <c r="ABI1656" s="38"/>
      <c r="ABJ1656" s="38"/>
      <c r="ABK1656" s="38"/>
      <c r="ABL1656" s="38"/>
      <c r="ABM1656" s="38"/>
      <c r="ABN1656" s="38"/>
      <c r="ABO1656" s="38"/>
      <c r="ABP1656" s="38"/>
      <c r="ABQ1656" s="38"/>
      <c r="ABR1656" s="38"/>
      <c r="ABS1656" s="38"/>
      <c r="ABT1656" s="38"/>
      <c r="ABU1656" s="38"/>
      <c r="ABV1656" s="38"/>
      <c r="ABW1656" s="38"/>
      <c r="ABX1656" s="38"/>
      <c r="ABY1656" s="38"/>
      <c r="ABZ1656" s="38"/>
      <c r="ACA1656" s="38"/>
      <c r="ACB1656" s="38"/>
      <c r="ACC1656" s="38"/>
      <c r="ACD1656" s="38"/>
      <c r="ACE1656" s="38"/>
      <c r="ACF1656" s="38"/>
      <c r="ACG1656" s="38"/>
      <c r="ACH1656" s="38"/>
      <c r="ACI1656" s="38"/>
      <c r="ACJ1656" s="38"/>
      <c r="ACK1656" s="38"/>
      <c r="ACL1656" s="38"/>
      <c r="ACM1656" s="38"/>
      <c r="ACN1656" s="38"/>
      <c r="ACO1656" s="38"/>
      <c r="ACP1656" s="38"/>
      <c r="ACQ1656" s="38"/>
      <c r="ACR1656" s="38"/>
      <c r="ACS1656" s="38"/>
      <c r="ACT1656" s="38"/>
      <c r="ACU1656" s="38"/>
      <c r="ACV1656" s="38"/>
      <c r="ACW1656" s="38"/>
      <c r="ACX1656" s="38"/>
      <c r="ACY1656" s="38"/>
      <c r="ACZ1656" s="38"/>
      <c r="ADA1656" s="38"/>
      <c r="ADB1656" s="38"/>
      <c r="ADC1656" s="38"/>
      <c r="ADD1656" s="38"/>
      <c r="ADE1656" s="38"/>
      <c r="ADF1656" s="38"/>
      <c r="ADG1656" s="38"/>
      <c r="ADH1656" s="38"/>
      <c r="ADI1656" s="38"/>
      <c r="ADJ1656" s="38"/>
      <c r="ADK1656" s="38"/>
      <c r="ADL1656" s="38"/>
      <c r="ADM1656" s="38"/>
      <c r="ADN1656" s="38"/>
      <c r="ADO1656" s="38"/>
      <c r="ADP1656" s="38"/>
      <c r="ADQ1656" s="38"/>
      <c r="ADR1656" s="38"/>
      <c r="ADS1656" s="38"/>
      <c r="ADT1656" s="38"/>
      <c r="ADU1656" s="38"/>
      <c r="ADV1656" s="38"/>
      <c r="ADW1656" s="38"/>
      <c r="ADX1656" s="38"/>
      <c r="ADY1656" s="38"/>
      <c r="ADZ1656" s="38"/>
      <c r="AEA1656" s="38"/>
      <c r="AEB1656" s="38"/>
      <c r="AEC1656" s="38"/>
      <c r="AED1656" s="38"/>
      <c r="AEE1656" s="38"/>
      <c r="AEF1656" s="38"/>
      <c r="AEG1656" s="38"/>
      <c r="AEH1656" s="38"/>
      <c r="AEI1656" s="38"/>
      <c r="AEJ1656" s="38"/>
      <c r="AEK1656" s="38"/>
      <c r="AEL1656" s="38"/>
      <c r="AEM1656" s="38"/>
      <c r="AEN1656" s="38"/>
      <c r="AEO1656" s="38"/>
      <c r="AEP1656" s="38"/>
      <c r="AEQ1656" s="38"/>
      <c r="AER1656" s="38"/>
      <c r="AES1656" s="38"/>
      <c r="AET1656" s="38"/>
      <c r="AEU1656" s="38"/>
      <c r="AEV1656" s="38"/>
      <c r="AEW1656" s="38"/>
      <c r="AEX1656" s="38"/>
      <c r="AEY1656" s="38"/>
      <c r="AEZ1656" s="38"/>
      <c r="AFA1656" s="38"/>
      <c r="AFB1656" s="38"/>
      <c r="AFC1656" s="38"/>
      <c r="AFD1656" s="38"/>
      <c r="AFE1656" s="38"/>
      <c r="AFF1656" s="38"/>
      <c r="AFG1656" s="38"/>
      <c r="AFH1656" s="38"/>
      <c r="AFI1656" s="38"/>
      <c r="AFJ1656" s="38"/>
      <c r="AFK1656" s="38"/>
      <c r="AFL1656" s="38"/>
      <c r="AFM1656" s="38"/>
      <c r="AFN1656" s="38"/>
      <c r="AFO1656" s="38"/>
      <c r="AFP1656" s="38"/>
      <c r="AFQ1656" s="38"/>
      <c r="AFR1656" s="38"/>
      <c r="AFS1656" s="38"/>
      <c r="AFT1656" s="38"/>
      <c r="AFU1656" s="38"/>
      <c r="AFV1656" s="38"/>
      <c r="AFW1656" s="38"/>
      <c r="AFX1656" s="38"/>
      <c r="AFY1656" s="38"/>
      <c r="AFZ1656" s="38"/>
      <c r="AGA1656" s="38"/>
      <c r="AGB1656" s="38"/>
      <c r="AGC1656" s="38"/>
      <c r="AGD1656" s="38"/>
      <c r="AGE1656" s="38"/>
      <c r="AGF1656" s="38"/>
      <c r="AGG1656" s="38"/>
      <c r="AGH1656" s="38"/>
      <c r="AGI1656" s="38"/>
      <c r="AGJ1656" s="38"/>
      <c r="AGK1656" s="38"/>
      <c r="AGL1656" s="38"/>
      <c r="AGM1656" s="38"/>
      <c r="AGN1656" s="38"/>
      <c r="AGO1656" s="38"/>
      <c r="AGP1656" s="38"/>
      <c r="AGQ1656" s="38"/>
      <c r="AGR1656" s="38"/>
      <c r="AGS1656" s="38"/>
      <c r="AGT1656" s="38"/>
      <c r="AGU1656" s="38"/>
      <c r="AGV1656" s="38"/>
      <c r="AGW1656" s="38"/>
      <c r="AGX1656" s="38"/>
      <c r="AGY1656" s="38"/>
      <c r="AGZ1656" s="38"/>
      <c r="AHA1656" s="38"/>
      <c r="AHB1656" s="38"/>
      <c r="AHC1656" s="38"/>
      <c r="AHD1656" s="38"/>
      <c r="AHE1656" s="38"/>
      <c r="AHF1656" s="38"/>
      <c r="AHG1656" s="38"/>
      <c r="AHH1656" s="38"/>
      <c r="AHI1656" s="38"/>
      <c r="AHJ1656" s="38"/>
      <c r="AHK1656" s="38"/>
      <c r="AHL1656" s="38"/>
      <c r="AHM1656" s="38"/>
      <c r="AHN1656" s="38"/>
      <c r="AHO1656" s="38"/>
      <c r="AHP1656" s="38"/>
      <c r="AHQ1656" s="38"/>
      <c r="AHR1656" s="38"/>
      <c r="AHS1656" s="38"/>
      <c r="AHT1656" s="38"/>
      <c r="AHU1656" s="38"/>
      <c r="AHV1656" s="38"/>
      <c r="AHW1656" s="38"/>
      <c r="AHX1656" s="38"/>
      <c r="AHY1656" s="38"/>
      <c r="AHZ1656" s="38"/>
      <c r="AIA1656" s="38"/>
      <c r="AIB1656" s="38"/>
      <c r="AIC1656" s="38"/>
      <c r="AID1656" s="38"/>
      <c r="AIE1656" s="38"/>
      <c r="AIF1656" s="38"/>
      <c r="AIG1656" s="38"/>
      <c r="AIH1656" s="38"/>
      <c r="AII1656" s="38"/>
      <c r="AIJ1656" s="38"/>
      <c r="AIK1656" s="38"/>
      <c r="AIL1656" s="38"/>
      <c r="AIM1656" s="38"/>
      <c r="AIN1656" s="38"/>
      <c r="AIO1656" s="38"/>
      <c r="AIP1656" s="38"/>
      <c r="AIQ1656" s="38"/>
      <c r="AIR1656" s="38"/>
      <c r="AIS1656" s="38"/>
      <c r="AIT1656" s="38"/>
      <c r="AIU1656" s="38"/>
      <c r="AIV1656" s="38"/>
      <c r="AIW1656" s="38"/>
      <c r="AIX1656" s="38"/>
      <c r="AIY1656" s="38"/>
      <c r="AIZ1656" s="38"/>
      <c r="AJA1656" s="38"/>
      <c r="AJB1656" s="38"/>
      <c r="AJC1656" s="38"/>
      <c r="AJD1656" s="38"/>
      <c r="AJE1656" s="38"/>
      <c r="AJF1656" s="38"/>
      <c r="AJG1656" s="38"/>
      <c r="AJH1656" s="38"/>
      <c r="AJI1656" s="38"/>
      <c r="AJJ1656" s="38"/>
      <c r="AJK1656" s="38"/>
      <c r="AJL1656" s="38"/>
      <c r="AJM1656" s="38"/>
      <c r="AJN1656" s="38"/>
      <c r="AJO1656" s="38"/>
      <c r="AJP1656" s="38"/>
      <c r="AJQ1656" s="38"/>
      <c r="AJR1656" s="38"/>
      <c r="AJS1656" s="38"/>
      <c r="AJT1656" s="38"/>
      <c r="AJU1656" s="38"/>
      <c r="AJV1656" s="38"/>
      <c r="AJW1656" s="38"/>
      <c r="AJX1656" s="38"/>
      <c r="AJY1656" s="38"/>
      <c r="AJZ1656" s="38"/>
      <c r="AKA1656" s="38"/>
      <c r="AKB1656" s="38"/>
      <c r="AKC1656" s="38"/>
      <c r="AKD1656" s="38"/>
      <c r="AKE1656" s="38"/>
      <c r="AKF1656" s="38"/>
      <c r="AKG1656" s="38"/>
      <c r="AKH1656" s="38"/>
      <c r="AKI1656" s="38"/>
      <c r="AKJ1656" s="38"/>
      <c r="AKK1656" s="38"/>
      <c r="AKL1656" s="38"/>
      <c r="AKM1656" s="38"/>
      <c r="AKN1656" s="38"/>
      <c r="AKO1656" s="38"/>
      <c r="AKP1656" s="38"/>
      <c r="AKQ1656" s="38"/>
      <c r="AKR1656" s="38"/>
      <c r="AKS1656" s="38"/>
      <c r="AKT1656" s="38"/>
      <c r="AKU1656" s="38"/>
      <c r="AKV1656" s="38"/>
      <c r="AKW1656" s="38"/>
      <c r="AKX1656" s="38"/>
      <c r="AKY1656" s="38"/>
      <c r="AKZ1656" s="38"/>
      <c r="ALA1656" s="38"/>
      <c r="ALB1656" s="38"/>
      <c r="ALC1656" s="38"/>
      <c r="ALD1656" s="38"/>
      <c r="ALE1656" s="38"/>
      <c r="ALF1656" s="38"/>
      <c r="ALG1656" s="38"/>
      <c r="ALH1656" s="38"/>
      <c r="ALI1656" s="38"/>
      <c r="ALJ1656" s="38"/>
      <c r="ALK1656" s="38"/>
      <c r="ALL1656" s="38"/>
      <c r="ALM1656" s="38"/>
      <c r="ALN1656" s="38"/>
      <c r="ALO1656" s="38"/>
      <c r="ALP1656" s="38"/>
      <c r="ALQ1656" s="38"/>
      <c r="ALR1656" s="38"/>
      <c r="ALS1656" s="38"/>
      <c r="ALT1656" s="38"/>
      <c r="ALU1656" s="38"/>
      <c r="ALV1656" s="38"/>
      <c r="ALW1656" s="38"/>
      <c r="ALX1656" s="38"/>
      <c r="ALY1656" s="38"/>
      <c r="ALZ1656" s="38"/>
      <c r="AMA1656" s="38"/>
      <c r="AMB1656" s="38"/>
      <c r="AMC1656" s="38"/>
      <c r="AMD1656" s="38"/>
      <c r="AME1656" s="38"/>
      <c r="AMF1656" s="38"/>
      <c r="AMG1656" s="38"/>
      <c r="AMH1656" s="38"/>
      <c r="AMI1656" s="38"/>
      <c r="AMJ1656" s="38"/>
      <c r="AMK1656" s="38"/>
      <c r="AML1656" s="38"/>
      <c r="AMM1656" s="38"/>
      <c r="AMN1656" s="38"/>
      <c r="AMO1656" s="38"/>
      <c r="AMP1656" s="38"/>
      <c r="AMQ1656" s="38"/>
      <c r="AMR1656" s="38"/>
      <c r="AMS1656" s="38"/>
      <c r="AMT1656" s="38"/>
      <c r="AMU1656" s="38"/>
      <c r="AMV1656" s="38"/>
      <c r="AMW1656" s="38"/>
      <c r="AMX1656" s="38"/>
      <c r="AMY1656" s="38"/>
      <c r="AMZ1656" s="38"/>
      <c r="ANA1656" s="38"/>
      <c r="ANB1656" s="38"/>
      <c r="ANC1656" s="38"/>
      <c r="AND1656" s="38"/>
      <c r="ANE1656" s="38"/>
      <c r="ANF1656" s="38"/>
      <c r="ANG1656" s="38"/>
      <c r="ANH1656" s="38"/>
      <c r="ANI1656" s="38"/>
      <c r="ANJ1656" s="38"/>
      <c r="ANK1656" s="38"/>
      <c r="ANL1656" s="38"/>
      <c r="ANM1656" s="38"/>
      <c r="ANN1656" s="38"/>
      <c r="ANO1656" s="38"/>
      <c r="ANP1656" s="38"/>
      <c r="ANQ1656" s="38"/>
      <c r="ANR1656" s="38"/>
      <c r="ANS1656" s="38"/>
      <c r="ANT1656" s="38"/>
      <c r="ANU1656" s="38"/>
      <c r="ANV1656" s="38"/>
      <c r="ANW1656" s="38"/>
      <c r="ANX1656" s="38"/>
      <c r="ANY1656" s="38"/>
      <c r="ANZ1656" s="38"/>
      <c r="AOA1656" s="38"/>
      <c r="AOB1656" s="38"/>
      <c r="AOC1656" s="38"/>
      <c r="AOD1656" s="38"/>
      <c r="AOE1656" s="38"/>
      <c r="AOF1656" s="38"/>
      <c r="AOG1656" s="38"/>
      <c r="AOH1656" s="38"/>
      <c r="AOI1656" s="38"/>
      <c r="AOJ1656" s="38"/>
      <c r="AOK1656" s="38"/>
      <c r="AOL1656" s="38"/>
      <c r="AOM1656" s="38"/>
      <c r="AON1656" s="38"/>
      <c r="AOO1656" s="38"/>
      <c r="AOP1656" s="38"/>
      <c r="AOQ1656" s="38"/>
      <c r="AOR1656" s="38"/>
      <c r="AOS1656" s="38"/>
      <c r="AOT1656" s="38"/>
      <c r="AOU1656" s="38"/>
      <c r="AOV1656" s="38"/>
      <c r="AOW1656" s="38"/>
      <c r="AOX1656" s="38"/>
      <c r="AOY1656" s="38"/>
      <c r="AOZ1656" s="38"/>
      <c r="APA1656" s="38"/>
      <c r="APB1656" s="38"/>
      <c r="APC1656" s="38"/>
    </row>
    <row r="1657" spans="1:1095" s="36" customFormat="1" ht="14.25" customHeight="1">
      <c r="A1657" s="3" t="s">
        <v>1722</v>
      </c>
      <c r="B1657" s="36" t="s">
        <v>3943</v>
      </c>
      <c r="C1657" s="10">
        <v>4099854026256</v>
      </c>
      <c r="D1657" s="224">
        <v>4058075545366</v>
      </c>
      <c r="E1657" s="245" t="s">
        <v>1585</v>
      </c>
      <c r="F1657" s="246"/>
      <c r="G1657" s="66" t="str">
        <f>HYPERLINK("https://ledvance.com/pt/product-datasheet/245378/229034","Ficha de Produto")</f>
        <v>Ficha de Produto</v>
      </c>
      <c r="H1657" s="217">
        <v>10</v>
      </c>
      <c r="I1657" s="34" t="s">
        <v>1042</v>
      </c>
      <c r="J1657" s="34" t="s">
        <v>807</v>
      </c>
      <c r="K1657" s="34" t="s">
        <v>788</v>
      </c>
      <c r="L1657" s="34" t="s">
        <v>793</v>
      </c>
      <c r="M1657" s="247">
        <v>27.200000000000003</v>
      </c>
      <c r="N1657" s="288" t="s">
        <v>722</v>
      </c>
    </row>
    <row r="1658" spans="1:1095" s="36" customFormat="1" ht="14.25" customHeight="1">
      <c r="A1658" s="3" t="s">
        <v>1722</v>
      </c>
      <c r="B1658" s="36" t="s">
        <v>3944</v>
      </c>
      <c r="C1658" s="10">
        <v>4099854026270</v>
      </c>
      <c r="D1658" s="224">
        <v>4058075545380</v>
      </c>
      <c r="E1658" s="245" t="s">
        <v>1586</v>
      </c>
      <c r="F1658" s="246"/>
      <c r="G1658" s="66" t="str">
        <f>HYPERLINK("https://ledvance.com/pt/product-datasheet/245378/229037","Ficha de Produto")</f>
        <v>Ficha de Produto</v>
      </c>
      <c r="H1658" s="217">
        <v>10</v>
      </c>
      <c r="I1658" s="34" t="s">
        <v>1042</v>
      </c>
      <c r="J1658" s="34" t="s">
        <v>807</v>
      </c>
      <c r="K1658" s="34" t="s">
        <v>788</v>
      </c>
      <c r="L1658" s="34" t="s">
        <v>793</v>
      </c>
      <c r="M1658" s="247">
        <v>27.200000000000003</v>
      </c>
      <c r="N1658" s="288" t="s">
        <v>722</v>
      </c>
    </row>
    <row r="1659" spans="1:1095" s="39" customFormat="1" ht="14.25" customHeight="1">
      <c r="A1659" s="8" t="s">
        <v>1722</v>
      </c>
      <c r="B1659" s="244" t="s">
        <v>2056</v>
      </c>
      <c r="C1659" s="244"/>
      <c r="D1659" s="7"/>
      <c r="E1659" s="230"/>
      <c r="F1659" s="7"/>
      <c r="G1659" s="68"/>
      <c r="H1659" s="230"/>
      <c r="I1659" s="230"/>
      <c r="J1659" s="230"/>
      <c r="K1659" s="230"/>
      <c r="L1659" s="230"/>
      <c r="M1659" s="248"/>
      <c r="N1659" s="284"/>
      <c r="O1659" s="38"/>
      <c r="P1659" s="38"/>
      <c r="Q1659" s="38"/>
      <c r="R1659" s="38"/>
      <c r="S1659" s="38"/>
      <c r="T1659" s="38"/>
      <c r="U1659" s="38"/>
      <c r="V1659" s="38"/>
      <c r="W1659" s="38"/>
      <c r="X1659" s="38"/>
      <c r="Y1659" s="38"/>
      <c r="Z1659" s="38"/>
      <c r="AA1659" s="38"/>
      <c r="AB1659" s="38"/>
      <c r="AC1659" s="38"/>
      <c r="AD1659" s="38"/>
      <c r="AE1659" s="38"/>
      <c r="AF1659" s="38"/>
      <c r="AG1659" s="38"/>
      <c r="AH1659" s="38"/>
      <c r="AI1659" s="38"/>
      <c r="AJ1659" s="38"/>
      <c r="AK1659" s="38"/>
      <c r="AL1659" s="38"/>
      <c r="AM1659" s="38"/>
      <c r="AN1659" s="38"/>
      <c r="AO1659" s="38"/>
      <c r="AP1659" s="38"/>
      <c r="AQ1659" s="38"/>
      <c r="AR1659" s="38"/>
      <c r="AS1659" s="38"/>
      <c r="AT1659" s="38"/>
      <c r="AU1659" s="38"/>
      <c r="AV1659" s="38"/>
      <c r="AW1659" s="38"/>
      <c r="AX1659" s="38"/>
      <c r="AY1659" s="38"/>
      <c r="AZ1659" s="38"/>
      <c r="BA1659" s="38"/>
      <c r="BB1659" s="38"/>
      <c r="BC1659" s="38"/>
      <c r="BD1659" s="38"/>
      <c r="BE1659" s="38"/>
      <c r="BF1659" s="38"/>
      <c r="BG1659" s="38"/>
      <c r="BH1659" s="38"/>
      <c r="BI1659" s="38"/>
      <c r="BJ1659" s="38"/>
      <c r="BK1659" s="38"/>
      <c r="BL1659" s="38"/>
      <c r="BM1659" s="38"/>
      <c r="BN1659" s="38"/>
      <c r="BO1659" s="38"/>
      <c r="BP1659" s="38"/>
      <c r="BQ1659" s="38"/>
      <c r="BR1659" s="38"/>
      <c r="BS1659" s="38"/>
      <c r="BT1659" s="38"/>
      <c r="BU1659" s="38"/>
      <c r="BV1659" s="38"/>
      <c r="BW1659" s="38"/>
      <c r="BX1659" s="38"/>
      <c r="BY1659" s="38"/>
      <c r="BZ1659" s="38"/>
      <c r="CA1659" s="38"/>
      <c r="CB1659" s="38"/>
      <c r="CC1659" s="38"/>
      <c r="CD1659" s="38"/>
      <c r="CE1659" s="38"/>
      <c r="CF1659" s="38"/>
      <c r="CG1659" s="38"/>
      <c r="CH1659" s="38"/>
      <c r="CI1659" s="38"/>
      <c r="CJ1659" s="38"/>
      <c r="CK1659" s="38"/>
      <c r="CL1659" s="38"/>
      <c r="CM1659" s="38"/>
      <c r="CN1659" s="38"/>
      <c r="CO1659" s="38"/>
      <c r="CP1659" s="38"/>
      <c r="CQ1659" s="38"/>
      <c r="CR1659" s="38"/>
      <c r="CS1659" s="38"/>
      <c r="CT1659" s="38"/>
      <c r="CU1659" s="38"/>
      <c r="CV1659" s="38"/>
      <c r="CW1659" s="38"/>
      <c r="CX1659" s="38"/>
      <c r="CY1659" s="38"/>
      <c r="CZ1659" s="38"/>
      <c r="DA1659" s="38"/>
      <c r="DB1659" s="38"/>
      <c r="DC1659" s="38"/>
      <c r="DD1659" s="38"/>
      <c r="DE1659" s="38"/>
      <c r="DF1659" s="38"/>
      <c r="DG1659" s="38"/>
      <c r="DH1659" s="38"/>
      <c r="DI1659" s="38"/>
      <c r="DJ1659" s="38"/>
      <c r="DK1659" s="38"/>
      <c r="DL1659" s="38"/>
      <c r="DM1659" s="38"/>
      <c r="DN1659" s="38"/>
      <c r="DO1659" s="38"/>
      <c r="DP1659" s="38"/>
      <c r="DQ1659" s="38"/>
      <c r="DR1659" s="38"/>
      <c r="DS1659" s="38"/>
      <c r="DT1659" s="38"/>
      <c r="DU1659" s="38"/>
      <c r="DV1659" s="38"/>
      <c r="DW1659" s="38"/>
      <c r="DX1659" s="38"/>
      <c r="DY1659" s="38"/>
      <c r="DZ1659" s="38"/>
      <c r="EA1659" s="38"/>
      <c r="EB1659" s="38"/>
      <c r="EC1659" s="38"/>
      <c r="ED1659" s="38"/>
      <c r="EE1659" s="38"/>
      <c r="EF1659" s="38"/>
      <c r="EG1659" s="38"/>
      <c r="EH1659" s="38"/>
      <c r="EI1659" s="38"/>
      <c r="EJ1659" s="38"/>
      <c r="EK1659" s="38"/>
      <c r="EL1659" s="38"/>
      <c r="EM1659" s="38"/>
      <c r="EN1659" s="38"/>
      <c r="EO1659" s="38"/>
      <c r="EP1659" s="38"/>
      <c r="EQ1659" s="38"/>
      <c r="ER1659" s="38"/>
      <c r="ES1659" s="38"/>
      <c r="ET1659" s="38"/>
      <c r="EU1659" s="38"/>
      <c r="EV1659" s="38"/>
      <c r="EW1659" s="38"/>
      <c r="EX1659" s="38"/>
      <c r="EY1659" s="38"/>
      <c r="EZ1659" s="38"/>
      <c r="FA1659" s="38"/>
      <c r="FB1659" s="38"/>
      <c r="FC1659" s="38"/>
      <c r="FD1659" s="38"/>
      <c r="FE1659" s="38"/>
      <c r="FF1659" s="38"/>
      <c r="FG1659" s="38"/>
      <c r="FH1659" s="38"/>
      <c r="FI1659" s="38"/>
      <c r="FJ1659" s="38"/>
      <c r="FK1659" s="38"/>
      <c r="FL1659" s="38"/>
      <c r="FM1659" s="38"/>
      <c r="FN1659" s="38"/>
      <c r="FO1659" s="38"/>
      <c r="FP1659" s="38"/>
      <c r="FQ1659" s="38"/>
      <c r="FR1659" s="38"/>
      <c r="FS1659" s="38"/>
      <c r="FT1659" s="38"/>
      <c r="FU1659" s="38"/>
      <c r="FV1659" s="38"/>
      <c r="FW1659" s="38"/>
      <c r="FX1659" s="38"/>
      <c r="FY1659" s="38"/>
      <c r="FZ1659" s="38"/>
      <c r="GA1659" s="38"/>
      <c r="GB1659" s="38"/>
      <c r="GC1659" s="38"/>
      <c r="GD1659" s="38"/>
      <c r="GE1659" s="38"/>
      <c r="GF1659" s="38"/>
      <c r="GG1659" s="38"/>
      <c r="GH1659" s="38"/>
      <c r="GI1659" s="38"/>
      <c r="GJ1659" s="38"/>
      <c r="GK1659" s="38"/>
      <c r="GL1659" s="38"/>
      <c r="GM1659" s="38"/>
      <c r="GN1659" s="38"/>
      <c r="GO1659" s="38"/>
      <c r="GP1659" s="38"/>
      <c r="GQ1659" s="38"/>
      <c r="GR1659" s="38"/>
      <c r="GS1659" s="38"/>
      <c r="GT1659" s="38"/>
      <c r="GU1659" s="38"/>
      <c r="GV1659" s="38"/>
      <c r="GW1659" s="38"/>
      <c r="GX1659" s="38"/>
      <c r="GY1659" s="38"/>
      <c r="GZ1659" s="38"/>
      <c r="HA1659" s="38"/>
      <c r="HB1659" s="38"/>
      <c r="HC1659" s="38"/>
      <c r="HD1659" s="38"/>
      <c r="HE1659" s="38"/>
      <c r="HF1659" s="38"/>
      <c r="HG1659" s="38"/>
      <c r="HH1659" s="38"/>
      <c r="HI1659" s="38"/>
      <c r="HJ1659" s="38"/>
      <c r="HK1659" s="38"/>
      <c r="HL1659" s="38"/>
      <c r="HM1659" s="38"/>
      <c r="HN1659" s="38"/>
      <c r="HO1659" s="38"/>
      <c r="HP1659" s="38"/>
      <c r="HQ1659" s="38"/>
      <c r="HR1659" s="38"/>
      <c r="HS1659" s="38"/>
      <c r="HT1659" s="38"/>
      <c r="HU1659" s="38"/>
      <c r="HV1659" s="38"/>
      <c r="HW1659" s="38"/>
      <c r="HX1659" s="38"/>
      <c r="HY1659" s="38"/>
      <c r="HZ1659" s="38"/>
      <c r="IA1659" s="38"/>
      <c r="IB1659" s="38"/>
      <c r="IC1659" s="38"/>
      <c r="ID1659" s="38"/>
      <c r="IE1659" s="38"/>
      <c r="IF1659" s="38"/>
      <c r="IG1659" s="38"/>
      <c r="IH1659" s="38"/>
      <c r="II1659" s="38"/>
      <c r="IJ1659" s="38"/>
      <c r="IK1659" s="38"/>
      <c r="IL1659" s="38"/>
      <c r="IM1659" s="38"/>
      <c r="IN1659" s="38"/>
      <c r="IO1659" s="38"/>
      <c r="IP1659" s="38"/>
      <c r="IQ1659" s="38"/>
      <c r="IR1659" s="38"/>
      <c r="IS1659" s="38"/>
      <c r="IT1659" s="38"/>
      <c r="IU1659" s="38"/>
      <c r="IV1659" s="38"/>
      <c r="IW1659" s="38"/>
      <c r="IX1659" s="38"/>
      <c r="IY1659" s="38"/>
      <c r="IZ1659" s="38"/>
      <c r="JA1659" s="38"/>
      <c r="JB1659" s="38"/>
      <c r="JC1659" s="38"/>
      <c r="JD1659" s="38"/>
      <c r="JE1659" s="38"/>
      <c r="JF1659" s="38"/>
      <c r="JG1659" s="38"/>
      <c r="JH1659" s="38"/>
      <c r="JI1659" s="38"/>
      <c r="JJ1659" s="38"/>
      <c r="JK1659" s="38"/>
      <c r="JL1659" s="38"/>
      <c r="JM1659" s="38"/>
      <c r="JN1659" s="38"/>
      <c r="JO1659" s="38"/>
      <c r="JP1659" s="38"/>
      <c r="JQ1659" s="38"/>
      <c r="JR1659" s="38"/>
      <c r="JS1659" s="38"/>
      <c r="JT1659" s="38"/>
      <c r="JU1659" s="38"/>
      <c r="JV1659" s="38"/>
      <c r="JW1659" s="38"/>
      <c r="JX1659" s="38"/>
      <c r="JY1659" s="38"/>
      <c r="JZ1659" s="38"/>
      <c r="KA1659" s="38"/>
      <c r="KB1659" s="38"/>
      <c r="KC1659" s="38"/>
      <c r="KD1659" s="38"/>
      <c r="KE1659" s="38"/>
      <c r="KF1659" s="38"/>
      <c r="KG1659" s="38"/>
      <c r="KH1659" s="38"/>
      <c r="KI1659" s="38"/>
      <c r="KJ1659" s="38"/>
      <c r="KK1659" s="38"/>
      <c r="KL1659" s="38"/>
      <c r="KM1659" s="38"/>
      <c r="KN1659" s="38"/>
      <c r="KO1659" s="38"/>
      <c r="KP1659" s="38"/>
      <c r="KQ1659" s="38"/>
      <c r="KR1659" s="38"/>
      <c r="KS1659" s="38"/>
      <c r="KT1659" s="38"/>
      <c r="KU1659" s="38"/>
      <c r="KV1659" s="38"/>
      <c r="KW1659" s="38"/>
      <c r="KX1659" s="38"/>
      <c r="KY1659" s="38"/>
      <c r="KZ1659" s="38"/>
      <c r="LA1659" s="38"/>
      <c r="LB1659" s="38"/>
      <c r="LC1659" s="38"/>
      <c r="LD1659" s="38"/>
      <c r="LE1659" s="38"/>
      <c r="LF1659" s="38"/>
      <c r="LG1659" s="38"/>
      <c r="LH1659" s="38"/>
      <c r="LI1659" s="38"/>
      <c r="LJ1659" s="38"/>
      <c r="LK1659" s="38"/>
      <c r="LL1659" s="38"/>
      <c r="LM1659" s="38"/>
      <c r="LN1659" s="38"/>
      <c r="LO1659" s="38"/>
      <c r="LP1659" s="38"/>
      <c r="LQ1659" s="38"/>
      <c r="LR1659" s="38"/>
      <c r="LS1659" s="38"/>
      <c r="LT1659" s="38"/>
      <c r="LU1659" s="38"/>
      <c r="LV1659" s="38"/>
      <c r="LW1659" s="38"/>
      <c r="LX1659" s="38"/>
      <c r="LY1659" s="38"/>
      <c r="LZ1659" s="38"/>
      <c r="MA1659" s="38"/>
      <c r="MB1659" s="38"/>
      <c r="MC1659" s="38"/>
      <c r="MD1659" s="38"/>
      <c r="ME1659" s="38"/>
      <c r="MF1659" s="38"/>
      <c r="MG1659" s="38"/>
      <c r="MH1659" s="38"/>
      <c r="MI1659" s="38"/>
      <c r="MJ1659" s="38"/>
      <c r="MK1659" s="38"/>
      <c r="ML1659" s="38"/>
      <c r="MM1659" s="38"/>
      <c r="MN1659" s="38"/>
      <c r="MO1659" s="38"/>
      <c r="MP1659" s="38"/>
      <c r="MQ1659" s="38"/>
      <c r="MR1659" s="38"/>
      <c r="MS1659" s="38"/>
      <c r="MT1659" s="38"/>
      <c r="MU1659" s="38"/>
      <c r="MV1659" s="38"/>
      <c r="MW1659" s="38"/>
      <c r="MX1659" s="38"/>
      <c r="MY1659" s="38"/>
      <c r="MZ1659" s="38"/>
      <c r="NA1659" s="38"/>
      <c r="NB1659" s="38"/>
      <c r="NC1659" s="38"/>
      <c r="ND1659" s="38"/>
      <c r="NE1659" s="38"/>
      <c r="NF1659" s="38"/>
      <c r="NG1659" s="38"/>
      <c r="NH1659" s="38"/>
      <c r="NI1659" s="38"/>
      <c r="NJ1659" s="38"/>
      <c r="NK1659" s="38"/>
      <c r="NL1659" s="38"/>
      <c r="NM1659" s="38"/>
      <c r="NN1659" s="38"/>
      <c r="NO1659" s="38"/>
      <c r="NP1659" s="38"/>
      <c r="NQ1659" s="38"/>
      <c r="NR1659" s="38"/>
      <c r="NS1659" s="38"/>
      <c r="NT1659" s="38"/>
      <c r="NU1659" s="38"/>
      <c r="NV1659" s="38"/>
      <c r="NW1659" s="38"/>
      <c r="NX1659" s="38"/>
      <c r="NY1659" s="38"/>
      <c r="NZ1659" s="38"/>
      <c r="OA1659" s="38"/>
      <c r="OB1659" s="38"/>
      <c r="OC1659" s="38"/>
      <c r="OD1659" s="38"/>
      <c r="OE1659" s="38"/>
      <c r="OF1659" s="38"/>
      <c r="OG1659" s="38"/>
      <c r="OH1659" s="38"/>
      <c r="OI1659" s="38"/>
      <c r="OJ1659" s="38"/>
      <c r="OK1659" s="38"/>
      <c r="OL1659" s="38"/>
      <c r="OM1659" s="38"/>
      <c r="ON1659" s="38"/>
      <c r="OO1659" s="38"/>
      <c r="OP1659" s="38"/>
      <c r="OQ1659" s="38"/>
      <c r="OR1659" s="38"/>
      <c r="OS1659" s="38"/>
      <c r="OT1659" s="38"/>
      <c r="OU1659" s="38"/>
      <c r="OV1659" s="38"/>
      <c r="OW1659" s="38"/>
      <c r="OX1659" s="38"/>
      <c r="OY1659" s="38"/>
      <c r="OZ1659" s="38"/>
      <c r="PA1659" s="38"/>
      <c r="PB1659" s="38"/>
      <c r="PC1659" s="38"/>
      <c r="PD1659" s="38"/>
      <c r="PE1659" s="38"/>
      <c r="PF1659" s="38"/>
      <c r="PG1659" s="38"/>
      <c r="PH1659" s="38"/>
      <c r="PI1659" s="38"/>
      <c r="PJ1659" s="38"/>
      <c r="PK1659" s="38"/>
      <c r="PL1659" s="38"/>
      <c r="PM1659" s="38"/>
      <c r="PN1659" s="38"/>
      <c r="PO1659" s="38"/>
      <c r="PP1659" s="38"/>
      <c r="PQ1659" s="38"/>
      <c r="PR1659" s="38"/>
      <c r="PS1659" s="38"/>
      <c r="PT1659" s="38"/>
      <c r="PU1659" s="38"/>
      <c r="PV1659" s="38"/>
      <c r="PW1659" s="38"/>
      <c r="PX1659" s="38"/>
      <c r="PY1659" s="38"/>
      <c r="PZ1659" s="38"/>
      <c r="QA1659" s="38"/>
      <c r="QB1659" s="38"/>
      <c r="QC1659" s="38"/>
      <c r="QD1659" s="38"/>
      <c r="QE1659" s="38"/>
      <c r="QF1659" s="38"/>
      <c r="QG1659" s="38"/>
      <c r="QH1659" s="38"/>
      <c r="QI1659" s="38"/>
      <c r="QJ1659" s="38"/>
      <c r="QK1659" s="38"/>
      <c r="QL1659" s="38"/>
      <c r="QM1659" s="38"/>
      <c r="QN1659" s="38"/>
      <c r="QO1659" s="38"/>
      <c r="QP1659" s="38"/>
      <c r="QQ1659" s="38"/>
      <c r="QR1659" s="38"/>
      <c r="QS1659" s="38"/>
      <c r="QT1659" s="38"/>
      <c r="QU1659" s="38"/>
      <c r="QV1659" s="38"/>
      <c r="QW1659" s="38"/>
      <c r="QX1659" s="38"/>
      <c r="QY1659" s="38"/>
      <c r="QZ1659" s="38"/>
      <c r="RA1659" s="38"/>
      <c r="RB1659" s="38"/>
      <c r="RC1659" s="38"/>
      <c r="RD1659" s="38"/>
      <c r="RE1659" s="38"/>
      <c r="RF1659" s="38"/>
      <c r="RG1659" s="38"/>
      <c r="RH1659" s="38"/>
      <c r="RI1659" s="38"/>
      <c r="RJ1659" s="38"/>
      <c r="RK1659" s="38"/>
      <c r="RL1659" s="38"/>
      <c r="RM1659" s="38"/>
      <c r="RN1659" s="38"/>
      <c r="RO1659" s="38"/>
      <c r="RP1659" s="38"/>
      <c r="RQ1659" s="38"/>
      <c r="RR1659" s="38"/>
      <c r="RS1659" s="38"/>
      <c r="RT1659" s="38"/>
      <c r="RU1659" s="38"/>
      <c r="RV1659" s="38"/>
      <c r="RW1659" s="38"/>
      <c r="RX1659" s="38"/>
      <c r="RY1659" s="38"/>
      <c r="RZ1659" s="38"/>
      <c r="SA1659" s="38"/>
      <c r="SB1659" s="38"/>
      <c r="SC1659" s="38"/>
      <c r="SD1659" s="38"/>
      <c r="SE1659" s="38"/>
      <c r="SF1659" s="38"/>
      <c r="SG1659" s="38"/>
      <c r="SH1659" s="38"/>
      <c r="SI1659" s="38"/>
      <c r="SJ1659" s="38"/>
      <c r="SK1659" s="38"/>
      <c r="SL1659" s="38"/>
      <c r="SM1659" s="38"/>
      <c r="SN1659" s="38"/>
      <c r="SO1659" s="38"/>
      <c r="SP1659" s="38"/>
      <c r="SQ1659" s="38"/>
      <c r="SR1659" s="38"/>
      <c r="SS1659" s="38"/>
      <c r="ST1659" s="38"/>
      <c r="SU1659" s="38"/>
      <c r="SV1659" s="38"/>
      <c r="SW1659" s="38"/>
      <c r="SX1659" s="38"/>
      <c r="SY1659" s="38"/>
      <c r="SZ1659" s="38"/>
      <c r="TA1659" s="38"/>
      <c r="TB1659" s="38"/>
      <c r="TC1659" s="38"/>
      <c r="TD1659" s="38"/>
      <c r="TE1659" s="38"/>
      <c r="TF1659" s="38"/>
      <c r="TG1659" s="38"/>
      <c r="TH1659" s="38"/>
      <c r="TI1659" s="38"/>
      <c r="TJ1659" s="38"/>
      <c r="TK1659" s="38"/>
      <c r="TL1659" s="38"/>
      <c r="TM1659" s="38"/>
      <c r="TN1659" s="38"/>
      <c r="TO1659" s="38"/>
      <c r="TP1659" s="38"/>
      <c r="TQ1659" s="38"/>
      <c r="TR1659" s="38"/>
      <c r="TS1659" s="38"/>
      <c r="TT1659" s="38"/>
      <c r="TU1659" s="38"/>
      <c r="TV1659" s="38"/>
      <c r="TW1659" s="38"/>
      <c r="TX1659" s="38"/>
      <c r="TY1659" s="38"/>
      <c r="TZ1659" s="38"/>
      <c r="UA1659" s="38"/>
      <c r="UB1659" s="38"/>
      <c r="UC1659" s="38"/>
      <c r="UD1659" s="38"/>
      <c r="UE1659" s="38"/>
      <c r="UF1659" s="38"/>
      <c r="UG1659" s="38"/>
      <c r="UH1659" s="38"/>
      <c r="UI1659" s="38"/>
      <c r="UJ1659" s="38"/>
      <c r="UK1659" s="38"/>
      <c r="UL1659" s="38"/>
      <c r="UM1659" s="38"/>
      <c r="UN1659" s="38"/>
      <c r="UO1659" s="38"/>
      <c r="UP1659" s="38"/>
      <c r="UQ1659" s="38"/>
      <c r="UR1659" s="38"/>
      <c r="US1659" s="38"/>
      <c r="UT1659" s="38"/>
      <c r="UU1659" s="38"/>
      <c r="UV1659" s="38"/>
      <c r="UW1659" s="38"/>
      <c r="UX1659" s="38"/>
      <c r="UY1659" s="38"/>
      <c r="UZ1659" s="38"/>
      <c r="VA1659" s="38"/>
      <c r="VB1659" s="38"/>
      <c r="VC1659" s="38"/>
      <c r="VD1659" s="38"/>
      <c r="VE1659" s="38"/>
      <c r="VF1659" s="38"/>
      <c r="VG1659" s="38"/>
      <c r="VH1659" s="38"/>
      <c r="VI1659" s="38"/>
      <c r="VJ1659" s="38"/>
      <c r="VK1659" s="38"/>
      <c r="VL1659" s="38"/>
      <c r="VM1659" s="38"/>
      <c r="VN1659" s="38"/>
      <c r="VO1659" s="38"/>
      <c r="VP1659" s="38"/>
      <c r="VQ1659" s="38"/>
      <c r="VR1659" s="38"/>
      <c r="VS1659" s="38"/>
      <c r="VT1659" s="38"/>
      <c r="VU1659" s="38"/>
      <c r="VV1659" s="38"/>
      <c r="VW1659" s="38"/>
      <c r="VX1659" s="38"/>
      <c r="VY1659" s="38"/>
      <c r="VZ1659" s="38"/>
      <c r="WA1659" s="38"/>
      <c r="WB1659" s="38"/>
      <c r="WC1659" s="38"/>
      <c r="WD1659" s="38"/>
      <c r="WE1659" s="38"/>
      <c r="WF1659" s="38"/>
      <c r="WG1659" s="38"/>
      <c r="WH1659" s="38"/>
      <c r="WI1659" s="38"/>
      <c r="WJ1659" s="38"/>
      <c r="WK1659" s="38"/>
      <c r="WL1659" s="38"/>
      <c r="WM1659" s="38"/>
      <c r="WN1659" s="38"/>
      <c r="WO1659" s="38"/>
      <c r="WP1659" s="38"/>
      <c r="WQ1659" s="38"/>
      <c r="WR1659" s="38"/>
      <c r="WS1659" s="38"/>
      <c r="WT1659" s="38"/>
      <c r="WU1659" s="38"/>
      <c r="WV1659" s="38"/>
      <c r="WW1659" s="38"/>
      <c r="WX1659" s="38"/>
      <c r="WY1659" s="38"/>
      <c r="WZ1659" s="38"/>
      <c r="XA1659" s="38"/>
      <c r="XB1659" s="38"/>
      <c r="XC1659" s="38"/>
      <c r="XD1659" s="38"/>
      <c r="XE1659" s="38"/>
      <c r="XF1659" s="38"/>
      <c r="XG1659" s="38"/>
      <c r="XH1659" s="38"/>
      <c r="XI1659" s="38"/>
      <c r="XJ1659" s="38"/>
      <c r="XK1659" s="38"/>
      <c r="XL1659" s="38"/>
      <c r="XM1659" s="38"/>
      <c r="XN1659" s="38"/>
      <c r="XO1659" s="38"/>
      <c r="XP1659" s="38"/>
      <c r="XQ1659" s="38"/>
      <c r="XR1659" s="38"/>
      <c r="XS1659" s="38"/>
      <c r="XT1659" s="38"/>
      <c r="XU1659" s="38"/>
      <c r="XV1659" s="38"/>
      <c r="XW1659" s="38"/>
      <c r="XX1659" s="38"/>
      <c r="XY1659" s="38"/>
      <c r="XZ1659" s="38"/>
      <c r="YA1659" s="38"/>
      <c r="YB1659" s="38"/>
      <c r="YC1659" s="38"/>
      <c r="YD1659" s="38"/>
      <c r="YE1659" s="38"/>
      <c r="YF1659" s="38"/>
      <c r="YG1659" s="38"/>
      <c r="YH1659" s="38"/>
      <c r="YI1659" s="38"/>
      <c r="YJ1659" s="38"/>
      <c r="YK1659" s="38"/>
      <c r="YL1659" s="38"/>
      <c r="YM1659" s="38"/>
      <c r="YN1659" s="38"/>
      <c r="YO1659" s="38"/>
      <c r="YP1659" s="38"/>
      <c r="YQ1659" s="38"/>
      <c r="YR1659" s="38"/>
      <c r="YS1659" s="38"/>
      <c r="YT1659" s="38"/>
      <c r="YU1659" s="38"/>
      <c r="YV1659" s="38"/>
      <c r="YW1659" s="38"/>
      <c r="YX1659" s="38"/>
      <c r="YY1659" s="38"/>
      <c r="YZ1659" s="38"/>
      <c r="ZA1659" s="38"/>
      <c r="ZB1659" s="38"/>
      <c r="ZC1659" s="38"/>
      <c r="ZD1659" s="38"/>
      <c r="ZE1659" s="38"/>
      <c r="ZF1659" s="38"/>
      <c r="ZG1659" s="38"/>
      <c r="ZH1659" s="38"/>
      <c r="ZI1659" s="38"/>
      <c r="ZJ1659" s="38"/>
      <c r="ZK1659" s="38"/>
      <c r="ZL1659" s="38"/>
      <c r="ZM1659" s="38"/>
      <c r="ZN1659" s="38"/>
      <c r="ZO1659" s="38"/>
      <c r="ZP1659" s="38"/>
      <c r="ZQ1659" s="38"/>
      <c r="ZR1659" s="38"/>
      <c r="ZS1659" s="38"/>
      <c r="ZT1659" s="38"/>
      <c r="ZU1659" s="38"/>
      <c r="ZV1659" s="38"/>
      <c r="ZW1659" s="38"/>
      <c r="ZX1659" s="38"/>
      <c r="ZY1659" s="38"/>
      <c r="ZZ1659" s="38"/>
      <c r="AAA1659" s="38"/>
      <c r="AAB1659" s="38"/>
      <c r="AAC1659" s="38"/>
      <c r="AAD1659" s="38"/>
      <c r="AAE1659" s="38"/>
      <c r="AAF1659" s="38"/>
      <c r="AAG1659" s="38"/>
      <c r="AAH1659" s="38"/>
      <c r="AAI1659" s="38"/>
      <c r="AAJ1659" s="38"/>
      <c r="AAK1659" s="38"/>
      <c r="AAL1659" s="38"/>
      <c r="AAM1659" s="38"/>
      <c r="AAN1659" s="38"/>
      <c r="AAO1659" s="38"/>
      <c r="AAP1659" s="38"/>
      <c r="AAQ1659" s="38"/>
      <c r="AAR1659" s="38"/>
      <c r="AAS1659" s="38"/>
      <c r="AAT1659" s="38"/>
      <c r="AAU1659" s="38"/>
      <c r="AAV1659" s="38"/>
      <c r="AAW1659" s="38"/>
      <c r="AAX1659" s="38"/>
      <c r="AAY1659" s="38"/>
      <c r="AAZ1659" s="38"/>
      <c r="ABA1659" s="38"/>
      <c r="ABB1659" s="38"/>
      <c r="ABC1659" s="38"/>
      <c r="ABD1659" s="38"/>
      <c r="ABE1659" s="38"/>
      <c r="ABF1659" s="38"/>
      <c r="ABG1659" s="38"/>
      <c r="ABH1659" s="38"/>
      <c r="ABI1659" s="38"/>
      <c r="ABJ1659" s="38"/>
      <c r="ABK1659" s="38"/>
      <c r="ABL1659" s="38"/>
      <c r="ABM1659" s="38"/>
      <c r="ABN1659" s="38"/>
      <c r="ABO1659" s="38"/>
      <c r="ABP1659" s="38"/>
      <c r="ABQ1659" s="38"/>
      <c r="ABR1659" s="38"/>
      <c r="ABS1659" s="38"/>
      <c r="ABT1659" s="38"/>
      <c r="ABU1659" s="38"/>
      <c r="ABV1659" s="38"/>
      <c r="ABW1659" s="38"/>
      <c r="ABX1659" s="38"/>
      <c r="ABY1659" s="38"/>
      <c r="ABZ1659" s="38"/>
      <c r="ACA1659" s="38"/>
      <c r="ACB1659" s="38"/>
      <c r="ACC1659" s="38"/>
      <c r="ACD1659" s="38"/>
      <c r="ACE1659" s="38"/>
      <c r="ACF1659" s="38"/>
      <c r="ACG1659" s="38"/>
      <c r="ACH1659" s="38"/>
      <c r="ACI1659" s="38"/>
      <c r="ACJ1659" s="38"/>
      <c r="ACK1659" s="38"/>
      <c r="ACL1659" s="38"/>
      <c r="ACM1659" s="38"/>
      <c r="ACN1659" s="38"/>
      <c r="ACO1659" s="38"/>
      <c r="ACP1659" s="38"/>
      <c r="ACQ1659" s="38"/>
      <c r="ACR1659" s="38"/>
      <c r="ACS1659" s="38"/>
      <c r="ACT1659" s="38"/>
      <c r="ACU1659" s="38"/>
      <c r="ACV1659" s="38"/>
      <c r="ACW1659" s="38"/>
      <c r="ACX1659" s="38"/>
      <c r="ACY1659" s="38"/>
      <c r="ACZ1659" s="38"/>
      <c r="ADA1659" s="38"/>
      <c r="ADB1659" s="38"/>
      <c r="ADC1659" s="38"/>
      <c r="ADD1659" s="38"/>
      <c r="ADE1659" s="38"/>
      <c r="ADF1659" s="38"/>
      <c r="ADG1659" s="38"/>
      <c r="ADH1659" s="38"/>
      <c r="ADI1659" s="38"/>
      <c r="ADJ1659" s="38"/>
      <c r="ADK1659" s="38"/>
      <c r="ADL1659" s="38"/>
      <c r="ADM1659" s="38"/>
      <c r="ADN1659" s="38"/>
      <c r="ADO1659" s="38"/>
      <c r="ADP1659" s="38"/>
      <c r="ADQ1659" s="38"/>
      <c r="ADR1659" s="38"/>
      <c r="ADS1659" s="38"/>
      <c r="ADT1659" s="38"/>
      <c r="ADU1659" s="38"/>
      <c r="ADV1659" s="38"/>
      <c r="ADW1659" s="38"/>
      <c r="ADX1659" s="38"/>
      <c r="ADY1659" s="38"/>
      <c r="ADZ1659" s="38"/>
      <c r="AEA1659" s="38"/>
      <c r="AEB1659" s="38"/>
      <c r="AEC1659" s="38"/>
      <c r="AED1659" s="38"/>
      <c r="AEE1659" s="38"/>
      <c r="AEF1659" s="38"/>
      <c r="AEG1659" s="38"/>
      <c r="AEH1659" s="38"/>
      <c r="AEI1659" s="38"/>
      <c r="AEJ1659" s="38"/>
      <c r="AEK1659" s="38"/>
      <c r="AEL1659" s="38"/>
      <c r="AEM1659" s="38"/>
      <c r="AEN1659" s="38"/>
      <c r="AEO1659" s="38"/>
      <c r="AEP1659" s="38"/>
      <c r="AEQ1659" s="38"/>
      <c r="AER1659" s="38"/>
      <c r="AES1659" s="38"/>
      <c r="AET1659" s="38"/>
      <c r="AEU1659" s="38"/>
      <c r="AEV1659" s="38"/>
      <c r="AEW1659" s="38"/>
      <c r="AEX1659" s="38"/>
      <c r="AEY1659" s="38"/>
      <c r="AEZ1659" s="38"/>
      <c r="AFA1659" s="38"/>
      <c r="AFB1659" s="38"/>
      <c r="AFC1659" s="38"/>
      <c r="AFD1659" s="38"/>
      <c r="AFE1659" s="38"/>
      <c r="AFF1659" s="38"/>
      <c r="AFG1659" s="38"/>
      <c r="AFH1659" s="38"/>
      <c r="AFI1659" s="38"/>
      <c r="AFJ1659" s="38"/>
      <c r="AFK1659" s="38"/>
      <c r="AFL1659" s="38"/>
      <c r="AFM1659" s="38"/>
      <c r="AFN1659" s="38"/>
      <c r="AFO1659" s="38"/>
      <c r="AFP1659" s="38"/>
      <c r="AFQ1659" s="38"/>
      <c r="AFR1659" s="38"/>
      <c r="AFS1659" s="38"/>
      <c r="AFT1659" s="38"/>
      <c r="AFU1659" s="38"/>
      <c r="AFV1659" s="38"/>
      <c r="AFW1659" s="38"/>
      <c r="AFX1659" s="38"/>
      <c r="AFY1659" s="38"/>
      <c r="AFZ1659" s="38"/>
      <c r="AGA1659" s="38"/>
      <c r="AGB1659" s="38"/>
      <c r="AGC1659" s="38"/>
      <c r="AGD1659" s="38"/>
      <c r="AGE1659" s="38"/>
      <c r="AGF1659" s="38"/>
      <c r="AGG1659" s="38"/>
      <c r="AGH1659" s="38"/>
      <c r="AGI1659" s="38"/>
      <c r="AGJ1659" s="38"/>
      <c r="AGK1659" s="38"/>
      <c r="AGL1659" s="38"/>
      <c r="AGM1659" s="38"/>
      <c r="AGN1659" s="38"/>
      <c r="AGO1659" s="38"/>
      <c r="AGP1659" s="38"/>
      <c r="AGQ1659" s="38"/>
      <c r="AGR1659" s="38"/>
      <c r="AGS1659" s="38"/>
      <c r="AGT1659" s="38"/>
      <c r="AGU1659" s="38"/>
      <c r="AGV1659" s="38"/>
      <c r="AGW1659" s="38"/>
      <c r="AGX1659" s="38"/>
      <c r="AGY1659" s="38"/>
      <c r="AGZ1659" s="38"/>
      <c r="AHA1659" s="38"/>
      <c r="AHB1659" s="38"/>
      <c r="AHC1659" s="38"/>
      <c r="AHD1659" s="38"/>
      <c r="AHE1659" s="38"/>
      <c r="AHF1659" s="38"/>
      <c r="AHG1659" s="38"/>
      <c r="AHH1659" s="38"/>
      <c r="AHI1659" s="38"/>
      <c r="AHJ1659" s="38"/>
      <c r="AHK1659" s="38"/>
      <c r="AHL1659" s="38"/>
      <c r="AHM1659" s="38"/>
      <c r="AHN1659" s="38"/>
      <c r="AHO1659" s="38"/>
      <c r="AHP1659" s="38"/>
      <c r="AHQ1659" s="38"/>
      <c r="AHR1659" s="38"/>
      <c r="AHS1659" s="38"/>
      <c r="AHT1659" s="38"/>
      <c r="AHU1659" s="38"/>
      <c r="AHV1659" s="38"/>
      <c r="AHW1659" s="38"/>
      <c r="AHX1659" s="38"/>
      <c r="AHY1659" s="38"/>
      <c r="AHZ1659" s="38"/>
      <c r="AIA1659" s="38"/>
      <c r="AIB1659" s="38"/>
      <c r="AIC1659" s="38"/>
      <c r="AID1659" s="38"/>
      <c r="AIE1659" s="38"/>
      <c r="AIF1659" s="38"/>
      <c r="AIG1659" s="38"/>
      <c r="AIH1659" s="38"/>
      <c r="AII1659" s="38"/>
      <c r="AIJ1659" s="38"/>
      <c r="AIK1659" s="38"/>
      <c r="AIL1659" s="38"/>
      <c r="AIM1659" s="38"/>
      <c r="AIN1659" s="38"/>
      <c r="AIO1659" s="38"/>
      <c r="AIP1659" s="38"/>
      <c r="AIQ1659" s="38"/>
      <c r="AIR1659" s="38"/>
      <c r="AIS1659" s="38"/>
      <c r="AIT1659" s="38"/>
      <c r="AIU1659" s="38"/>
      <c r="AIV1659" s="38"/>
      <c r="AIW1659" s="38"/>
      <c r="AIX1659" s="38"/>
      <c r="AIY1659" s="38"/>
      <c r="AIZ1659" s="38"/>
      <c r="AJA1659" s="38"/>
      <c r="AJB1659" s="38"/>
      <c r="AJC1659" s="38"/>
      <c r="AJD1659" s="38"/>
      <c r="AJE1659" s="38"/>
      <c r="AJF1659" s="38"/>
      <c r="AJG1659" s="38"/>
      <c r="AJH1659" s="38"/>
      <c r="AJI1659" s="38"/>
      <c r="AJJ1659" s="38"/>
      <c r="AJK1659" s="38"/>
      <c r="AJL1659" s="38"/>
      <c r="AJM1659" s="38"/>
      <c r="AJN1659" s="38"/>
      <c r="AJO1659" s="38"/>
      <c r="AJP1659" s="38"/>
      <c r="AJQ1659" s="38"/>
      <c r="AJR1659" s="38"/>
      <c r="AJS1659" s="38"/>
      <c r="AJT1659" s="38"/>
      <c r="AJU1659" s="38"/>
      <c r="AJV1659" s="38"/>
      <c r="AJW1659" s="38"/>
      <c r="AJX1659" s="38"/>
      <c r="AJY1659" s="38"/>
      <c r="AJZ1659" s="38"/>
      <c r="AKA1659" s="38"/>
      <c r="AKB1659" s="38"/>
      <c r="AKC1659" s="38"/>
      <c r="AKD1659" s="38"/>
      <c r="AKE1659" s="38"/>
      <c r="AKF1659" s="38"/>
      <c r="AKG1659" s="38"/>
      <c r="AKH1659" s="38"/>
      <c r="AKI1659" s="38"/>
      <c r="AKJ1659" s="38"/>
      <c r="AKK1659" s="38"/>
      <c r="AKL1659" s="38"/>
      <c r="AKM1659" s="38"/>
      <c r="AKN1659" s="38"/>
      <c r="AKO1659" s="38"/>
      <c r="AKP1659" s="38"/>
      <c r="AKQ1659" s="38"/>
      <c r="AKR1659" s="38"/>
      <c r="AKS1659" s="38"/>
      <c r="AKT1659" s="38"/>
      <c r="AKU1659" s="38"/>
      <c r="AKV1659" s="38"/>
      <c r="AKW1659" s="38"/>
      <c r="AKX1659" s="38"/>
      <c r="AKY1659" s="38"/>
      <c r="AKZ1659" s="38"/>
      <c r="ALA1659" s="38"/>
      <c r="ALB1659" s="38"/>
      <c r="ALC1659" s="38"/>
      <c r="ALD1659" s="38"/>
      <c r="ALE1659" s="38"/>
      <c r="ALF1659" s="38"/>
      <c r="ALG1659" s="38"/>
      <c r="ALH1659" s="38"/>
      <c r="ALI1659" s="38"/>
      <c r="ALJ1659" s="38"/>
      <c r="ALK1659" s="38"/>
      <c r="ALL1659" s="38"/>
      <c r="ALM1659" s="38"/>
      <c r="ALN1659" s="38"/>
      <c r="ALO1659" s="38"/>
      <c r="ALP1659" s="38"/>
      <c r="ALQ1659" s="38"/>
      <c r="ALR1659" s="38"/>
      <c r="ALS1659" s="38"/>
      <c r="ALT1659" s="38"/>
      <c r="ALU1659" s="38"/>
      <c r="ALV1659" s="38"/>
      <c r="ALW1659" s="38"/>
      <c r="ALX1659" s="38"/>
      <c r="ALY1659" s="38"/>
      <c r="ALZ1659" s="38"/>
      <c r="AMA1659" s="38"/>
      <c r="AMB1659" s="38"/>
      <c r="AMC1659" s="38"/>
      <c r="AMD1659" s="38"/>
      <c r="AME1659" s="38"/>
      <c r="AMF1659" s="38"/>
      <c r="AMG1659" s="38"/>
      <c r="AMH1659" s="38"/>
      <c r="AMI1659" s="38"/>
      <c r="AMJ1659" s="38"/>
      <c r="AMK1659" s="38"/>
      <c r="AML1659" s="38"/>
      <c r="AMM1659" s="38"/>
      <c r="AMN1659" s="38"/>
      <c r="AMO1659" s="38"/>
      <c r="AMP1659" s="38"/>
      <c r="AMQ1659" s="38"/>
      <c r="AMR1659" s="38"/>
      <c r="AMS1659" s="38"/>
      <c r="AMT1659" s="38"/>
      <c r="AMU1659" s="38"/>
      <c r="AMV1659" s="38"/>
      <c r="AMW1659" s="38"/>
      <c r="AMX1659" s="38"/>
      <c r="AMY1659" s="38"/>
      <c r="AMZ1659" s="38"/>
      <c r="ANA1659" s="38"/>
      <c r="ANB1659" s="38"/>
      <c r="ANC1659" s="38"/>
      <c r="AND1659" s="38"/>
      <c r="ANE1659" s="38"/>
      <c r="ANF1659" s="38"/>
      <c r="ANG1659" s="38"/>
      <c r="ANH1659" s="38"/>
      <c r="ANI1659" s="38"/>
      <c r="ANJ1659" s="38"/>
      <c r="ANK1659" s="38"/>
      <c r="ANL1659" s="38"/>
      <c r="ANM1659" s="38"/>
      <c r="ANN1659" s="38"/>
      <c r="ANO1659" s="38"/>
      <c r="ANP1659" s="38"/>
      <c r="ANQ1659" s="38"/>
      <c r="ANR1659" s="38"/>
      <c r="ANS1659" s="38"/>
      <c r="ANT1659" s="38"/>
      <c r="ANU1659" s="38"/>
      <c r="ANV1659" s="38"/>
      <c r="ANW1659" s="38"/>
      <c r="ANX1659" s="38"/>
      <c r="ANY1659" s="38"/>
      <c r="ANZ1659" s="38"/>
      <c r="AOA1659" s="38"/>
      <c r="AOB1659" s="38"/>
      <c r="AOC1659" s="38"/>
      <c r="AOD1659" s="38"/>
      <c r="AOE1659" s="38"/>
      <c r="AOF1659" s="38"/>
      <c r="AOG1659" s="38"/>
      <c r="AOH1659" s="38"/>
      <c r="AOI1659" s="38"/>
      <c r="AOJ1659" s="38"/>
      <c r="AOK1659" s="38"/>
      <c r="AOL1659" s="38"/>
      <c r="AOM1659" s="38"/>
      <c r="AON1659" s="38"/>
      <c r="AOO1659" s="38"/>
      <c r="AOP1659" s="38"/>
      <c r="AOQ1659" s="38"/>
      <c r="AOR1659" s="38"/>
      <c r="AOS1659" s="38"/>
      <c r="AOT1659" s="38"/>
      <c r="AOU1659" s="38"/>
      <c r="AOV1659" s="38"/>
      <c r="AOW1659" s="38"/>
      <c r="AOX1659" s="38"/>
      <c r="AOY1659" s="38"/>
      <c r="AOZ1659" s="38"/>
      <c r="APA1659" s="38"/>
      <c r="APB1659" s="38"/>
      <c r="APC1659" s="38"/>
    </row>
    <row r="1660" spans="1:1095" s="36" customFormat="1" ht="14.25" customHeight="1">
      <c r="A1660" s="3" t="s">
        <v>1722</v>
      </c>
      <c r="B1660" s="36" t="s">
        <v>3945</v>
      </c>
      <c r="C1660" s="10">
        <v>4099854029059</v>
      </c>
      <c r="D1660" s="224">
        <v>4058075542945</v>
      </c>
      <c r="E1660" s="245" t="s">
        <v>1587</v>
      </c>
      <c r="F1660" s="246"/>
      <c r="G1660" s="66" t="str">
        <f>HYPERLINK("https://ledvance.com/pt/product-datasheet/245161/229918","Ficha de Produto")</f>
        <v>Ficha de Produto</v>
      </c>
      <c r="H1660" s="217">
        <v>10</v>
      </c>
      <c r="I1660" s="34" t="s">
        <v>837</v>
      </c>
      <c r="J1660" s="34" t="s">
        <v>831</v>
      </c>
      <c r="K1660" s="34" t="s">
        <v>788</v>
      </c>
      <c r="L1660" s="34" t="s">
        <v>765</v>
      </c>
      <c r="M1660" s="247">
        <v>56.6</v>
      </c>
      <c r="N1660" s="288" t="s">
        <v>722</v>
      </c>
    </row>
    <row r="1661" spans="1:1095" s="36" customFormat="1" ht="14.25" customHeight="1">
      <c r="A1661" s="3" t="s">
        <v>1722</v>
      </c>
      <c r="B1661" s="36" t="s">
        <v>3946</v>
      </c>
      <c r="C1661" s="10">
        <v>4099854029073</v>
      </c>
      <c r="D1661" s="224">
        <v>4058075542969</v>
      </c>
      <c r="E1661" s="245" t="s">
        <v>1588</v>
      </c>
      <c r="F1661" s="246"/>
      <c r="G1661" s="66" t="str">
        <f>HYPERLINK("https://ledvance.com/pt/product-datasheet/245161/229921","Ficha de Produto")</f>
        <v>Ficha de Produto</v>
      </c>
      <c r="H1661" s="217">
        <v>10</v>
      </c>
      <c r="I1661" s="34" t="s">
        <v>863</v>
      </c>
      <c r="J1661" s="34" t="s">
        <v>831</v>
      </c>
      <c r="K1661" s="34" t="s">
        <v>788</v>
      </c>
      <c r="L1661" s="34" t="s">
        <v>765</v>
      </c>
      <c r="M1661" s="247">
        <v>56.6</v>
      </c>
      <c r="N1661" s="288" t="s">
        <v>722</v>
      </c>
    </row>
    <row r="1662" spans="1:1095" s="36" customFormat="1" ht="14.25" customHeight="1">
      <c r="A1662" s="3" t="s">
        <v>1722</v>
      </c>
      <c r="B1662" s="36" t="s">
        <v>3947</v>
      </c>
      <c r="C1662" s="10">
        <v>4099854029097</v>
      </c>
      <c r="D1662" s="224">
        <v>4058075542983</v>
      </c>
      <c r="E1662" s="245" t="s">
        <v>1589</v>
      </c>
      <c r="F1662" s="246"/>
      <c r="G1662" s="66" t="str">
        <f>HYPERLINK("https://ledvance.com/pt/product-datasheet/245161/229924","Ficha de Produto")</f>
        <v>Ficha de Produto</v>
      </c>
      <c r="H1662" s="217">
        <v>10</v>
      </c>
      <c r="I1662" s="34" t="s">
        <v>863</v>
      </c>
      <c r="J1662" s="34" t="s">
        <v>831</v>
      </c>
      <c r="K1662" s="34" t="s">
        <v>788</v>
      </c>
      <c r="L1662" s="34" t="s">
        <v>765</v>
      </c>
      <c r="M1662" s="247">
        <v>56.6</v>
      </c>
      <c r="N1662" s="288" t="s">
        <v>722</v>
      </c>
    </row>
    <row r="1663" spans="1:1095" s="39" customFormat="1" ht="14.25" customHeight="1">
      <c r="A1663" s="8" t="s">
        <v>1722</v>
      </c>
      <c r="B1663" s="244" t="s">
        <v>2057</v>
      </c>
      <c r="C1663" s="244"/>
      <c r="D1663" s="7"/>
      <c r="E1663" s="230"/>
      <c r="F1663" s="7"/>
      <c r="G1663" s="68"/>
      <c r="H1663" s="230"/>
      <c r="I1663" s="230"/>
      <c r="J1663" s="230"/>
      <c r="K1663" s="230"/>
      <c r="L1663" s="230"/>
      <c r="M1663" s="248"/>
      <c r="N1663" s="284"/>
      <c r="O1663" s="38"/>
      <c r="P1663" s="38"/>
      <c r="Q1663" s="38"/>
      <c r="R1663" s="38"/>
      <c r="S1663" s="38"/>
      <c r="T1663" s="38"/>
      <c r="U1663" s="38"/>
      <c r="V1663" s="38"/>
      <c r="W1663" s="38"/>
      <c r="X1663" s="38"/>
      <c r="Y1663" s="38"/>
      <c r="Z1663" s="38"/>
      <c r="AA1663" s="38"/>
      <c r="AB1663" s="38"/>
      <c r="AC1663" s="38"/>
      <c r="AD1663" s="38"/>
      <c r="AE1663" s="38"/>
      <c r="AF1663" s="38"/>
      <c r="AG1663" s="38"/>
      <c r="AH1663" s="38"/>
      <c r="AI1663" s="38"/>
      <c r="AJ1663" s="38"/>
      <c r="AK1663" s="38"/>
      <c r="AL1663" s="38"/>
      <c r="AM1663" s="38"/>
      <c r="AN1663" s="38"/>
      <c r="AO1663" s="38"/>
      <c r="AP1663" s="38"/>
      <c r="AQ1663" s="38"/>
      <c r="AR1663" s="38"/>
      <c r="AS1663" s="38"/>
      <c r="AT1663" s="38"/>
      <c r="AU1663" s="38"/>
      <c r="AV1663" s="38"/>
      <c r="AW1663" s="38"/>
      <c r="AX1663" s="38"/>
      <c r="AY1663" s="38"/>
      <c r="AZ1663" s="38"/>
      <c r="BA1663" s="38"/>
      <c r="BB1663" s="38"/>
      <c r="BC1663" s="38"/>
      <c r="BD1663" s="38"/>
      <c r="BE1663" s="38"/>
      <c r="BF1663" s="38"/>
      <c r="BG1663" s="38"/>
      <c r="BH1663" s="38"/>
      <c r="BI1663" s="38"/>
      <c r="BJ1663" s="38"/>
      <c r="BK1663" s="38"/>
      <c r="BL1663" s="38"/>
      <c r="BM1663" s="38"/>
      <c r="BN1663" s="38"/>
      <c r="BO1663" s="38"/>
      <c r="BP1663" s="38"/>
      <c r="BQ1663" s="38"/>
      <c r="BR1663" s="38"/>
      <c r="BS1663" s="38"/>
      <c r="BT1663" s="38"/>
      <c r="BU1663" s="38"/>
      <c r="BV1663" s="38"/>
      <c r="BW1663" s="38"/>
      <c r="BX1663" s="38"/>
      <c r="BY1663" s="38"/>
      <c r="BZ1663" s="38"/>
      <c r="CA1663" s="38"/>
      <c r="CB1663" s="38"/>
      <c r="CC1663" s="38"/>
      <c r="CD1663" s="38"/>
      <c r="CE1663" s="38"/>
      <c r="CF1663" s="38"/>
      <c r="CG1663" s="38"/>
      <c r="CH1663" s="38"/>
      <c r="CI1663" s="38"/>
      <c r="CJ1663" s="38"/>
      <c r="CK1663" s="38"/>
      <c r="CL1663" s="38"/>
      <c r="CM1663" s="38"/>
      <c r="CN1663" s="38"/>
      <c r="CO1663" s="38"/>
      <c r="CP1663" s="38"/>
      <c r="CQ1663" s="38"/>
      <c r="CR1663" s="38"/>
      <c r="CS1663" s="38"/>
      <c r="CT1663" s="38"/>
      <c r="CU1663" s="38"/>
      <c r="CV1663" s="38"/>
      <c r="CW1663" s="38"/>
      <c r="CX1663" s="38"/>
      <c r="CY1663" s="38"/>
      <c r="CZ1663" s="38"/>
      <c r="DA1663" s="38"/>
      <c r="DB1663" s="38"/>
      <c r="DC1663" s="38"/>
      <c r="DD1663" s="38"/>
      <c r="DE1663" s="38"/>
      <c r="DF1663" s="38"/>
      <c r="DG1663" s="38"/>
      <c r="DH1663" s="38"/>
      <c r="DI1663" s="38"/>
      <c r="DJ1663" s="38"/>
      <c r="DK1663" s="38"/>
      <c r="DL1663" s="38"/>
      <c r="DM1663" s="38"/>
      <c r="DN1663" s="38"/>
      <c r="DO1663" s="38"/>
      <c r="DP1663" s="38"/>
      <c r="DQ1663" s="38"/>
      <c r="DR1663" s="38"/>
      <c r="DS1663" s="38"/>
      <c r="DT1663" s="38"/>
      <c r="DU1663" s="38"/>
      <c r="DV1663" s="38"/>
      <c r="DW1663" s="38"/>
      <c r="DX1663" s="38"/>
      <c r="DY1663" s="38"/>
      <c r="DZ1663" s="38"/>
      <c r="EA1663" s="38"/>
      <c r="EB1663" s="38"/>
      <c r="EC1663" s="38"/>
      <c r="ED1663" s="38"/>
      <c r="EE1663" s="38"/>
      <c r="EF1663" s="38"/>
      <c r="EG1663" s="38"/>
      <c r="EH1663" s="38"/>
      <c r="EI1663" s="38"/>
      <c r="EJ1663" s="38"/>
      <c r="EK1663" s="38"/>
      <c r="EL1663" s="38"/>
      <c r="EM1663" s="38"/>
      <c r="EN1663" s="38"/>
      <c r="EO1663" s="38"/>
      <c r="EP1663" s="38"/>
      <c r="EQ1663" s="38"/>
      <c r="ER1663" s="38"/>
      <c r="ES1663" s="38"/>
      <c r="ET1663" s="38"/>
      <c r="EU1663" s="38"/>
      <c r="EV1663" s="38"/>
      <c r="EW1663" s="38"/>
      <c r="EX1663" s="38"/>
      <c r="EY1663" s="38"/>
      <c r="EZ1663" s="38"/>
      <c r="FA1663" s="38"/>
      <c r="FB1663" s="38"/>
      <c r="FC1663" s="38"/>
      <c r="FD1663" s="38"/>
      <c r="FE1663" s="38"/>
      <c r="FF1663" s="38"/>
      <c r="FG1663" s="38"/>
      <c r="FH1663" s="38"/>
      <c r="FI1663" s="38"/>
      <c r="FJ1663" s="38"/>
      <c r="FK1663" s="38"/>
      <c r="FL1663" s="38"/>
      <c r="FM1663" s="38"/>
      <c r="FN1663" s="38"/>
      <c r="FO1663" s="38"/>
      <c r="FP1663" s="38"/>
      <c r="FQ1663" s="38"/>
      <c r="FR1663" s="38"/>
      <c r="FS1663" s="38"/>
      <c r="FT1663" s="38"/>
      <c r="FU1663" s="38"/>
      <c r="FV1663" s="38"/>
      <c r="FW1663" s="38"/>
      <c r="FX1663" s="38"/>
      <c r="FY1663" s="38"/>
      <c r="FZ1663" s="38"/>
      <c r="GA1663" s="38"/>
      <c r="GB1663" s="38"/>
      <c r="GC1663" s="38"/>
      <c r="GD1663" s="38"/>
      <c r="GE1663" s="38"/>
      <c r="GF1663" s="38"/>
      <c r="GG1663" s="38"/>
      <c r="GH1663" s="38"/>
      <c r="GI1663" s="38"/>
      <c r="GJ1663" s="38"/>
      <c r="GK1663" s="38"/>
      <c r="GL1663" s="38"/>
      <c r="GM1663" s="38"/>
      <c r="GN1663" s="38"/>
      <c r="GO1663" s="38"/>
      <c r="GP1663" s="38"/>
      <c r="GQ1663" s="38"/>
      <c r="GR1663" s="38"/>
      <c r="GS1663" s="38"/>
      <c r="GT1663" s="38"/>
      <c r="GU1663" s="38"/>
      <c r="GV1663" s="38"/>
      <c r="GW1663" s="38"/>
      <c r="GX1663" s="38"/>
      <c r="GY1663" s="38"/>
      <c r="GZ1663" s="38"/>
      <c r="HA1663" s="38"/>
      <c r="HB1663" s="38"/>
      <c r="HC1663" s="38"/>
      <c r="HD1663" s="38"/>
      <c r="HE1663" s="38"/>
      <c r="HF1663" s="38"/>
      <c r="HG1663" s="38"/>
      <c r="HH1663" s="38"/>
      <c r="HI1663" s="38"/>
      <c r="HJ1663" s="38"/>
      <c r="HK1663" s="38"/>
      <c r="HL1663" s="38"/>
      <c r="HM1663" s="38"/>
      <c r="HN1663" s="38"/>
      <c r="HO1663" s="38"/>
      <c r="HP1663" s="38"/>
      <c r="HQ1663" s="38"/>
      <c r="HR1663" s="38"/>
      <c r="HS1663" s="38"/>
      <c r="HT1663" s="38"/>
      <c r="HU1663" s="38"/>
      <c r="HV1663" s="38"/>
      <c r="HW1663" s="38"/>
      <c r="HX1663" s="38"/>
      <c r="HY1663" s="38"/>
      <c r="HZ1663" s="38"/>
      <c r="IA1663" s="38"/>
      <c r="IB1663" s="38"/>
      <c r="IC1663" s="38"/>
      <c r="ID1663" s="38"/>
      <c r="IE1663" s="38"/>
      <c r="IF1663" s="38"/>
      <c r="IG1663" s="38"/>
      <c r="IH1663" s="38"/>
      <c r="II1663" s="38"/>
      <c r="IJ1663" s="38"/>
      <c r="IK1663" s="38"/>
      <c r="IL1663" s="38"/>
      <c r="IM1663" s="38"/>
      <c r="IN1663" s="38"/>
      <c r="IO1663" s="38"/>
      <c r="IP1663" s="38"/>
      <c r="IQ1663" s="38"/>
      <c r="IR1663" s="38"/>
      <c r="IS1663" s="38"/>
      <c r="IT1663" s="38"/>
      <c r="IU1663" s="38"/>
      <c r="IV1663" s="38"/>
      <c r="IW1663" s="38"/>
      <c r="IX1663" s="38"/>
      <c r="IY1663" s="38"/>
      <c r="IZ1663" s="38"/>
      <c r="JA1663" s="38"/>
      <c r="JB1663" s="38"/>
      <c r="JC1663" s="38"/>
      <c r="JD1663" s="38"/>
      <c r="JE1663" s="38"/>
      <c r="JF1663" s="38"/>
      <c r="JG1663" s="38"/>
      <c r="JH1663" s="38"/>
      <c r="JI1663" s="38"/>
      <c r="JJ1663" s="38"/>
      <c r="JK1663" s="38"/>
      <c r="JL1663" s="38"/>
      <c r="JM1663" s="38"/>
      <c r="JN1663" s="38"/>
      <c r="JO1663" s="38"/>
      <c r="JP1663" s="38"/>
      <c r="JQ1663" s="38"/>
      <c r="JR1663" s="38"/>
      <c r="JS1663" s="38"/>
      <c r="JT1663" s="38"/>
      <c r="JU1663" s="38"/>
      <c r="JV1663" s="38"/>
      <c r="JW1663" s="38"/>
      <c r="JX1663" s="38"/>
      <c r="JY1663" s="38"/>
      <c r="JZ1663" s="38"/>
      <c r="KA1663" s="38"/>
      <c r="KB1663" s="38"/>
      <c r="KC1663" s="38"/>
      <c r="KD1663" s="38"/>
      <c r="KE1663" s="38"/>
      <c r="KF1663" s="38"/>
      <c r="KG1663" s="38"/>
      <c r="KH1663" s="38"/>
      <c r="KI1663" s="38"/>
      <c r="KJ1663" s="38"/>
      <c r="KK1663" s="38"/>
      <c r="KL1663" s="38"/>
      <c r="KM1663" s="38"/>
      <c r="KN1663" s="38"/>
      <c r="KO1663" s="38"/>
      <c r="KP1663" s="38"/>
      <c r="KQ1663" s="38"/>
      <c r="KR1663" s="38"/>
      <c r="KS1663" s="38"/>
      <c r="KT1663" s="38"/>
      <c r="KU1663" s="38"/>
      <c r="KV1663" s="38"/>
      <c r="KW1663" s="38"/>
      <c r="KX1663" s="38"/>
      <c r="KY1663" s="38"/>
      <c r="KZ1663" s="38"/>
      <c r="LA1663" s="38"/>
      <c r="LB1663" s="38"/>
      <c r="LC1663" s="38"/>
      <c r="LD1663" s="38"/>
      <c r="LE1663" s="38"/>
      <c r="LF1663" s="38"/>
      <c r="LG1663" s="38"/>
      <c r="LH1663" s="38"/>
      <c r="LI1663" s="38"/>
      <c r="LJ1663" s="38"/>
      <c r="LK1663" s="38"/>
      <c r="LL1663" s="38"/>
      <c r="LM1663" s="38"/>
      <c r="LN1663" s="38"/>
      <c r="LO1663" s="38"/>
      <c r="LP1663" s="38"/>
      <c r="LQ1663" s="38"/>
      <c r="LR1663" s="38"/>
      <c r="LS1663" s="38"/>
      <c r="LT1663" s="38"/>
      <c r="LU1663" s="38"/>
      <c r="LV1663" s="38"/>
      <c r="LW1663" s="38"/>
      <c r="LX1663" s="38"/>
      <c r="LY1663" s="38"/>
      <c r="LZ1663" s="38"/>
      <c r="MA1663" s="38"/>
      <c r="MB1663" s="38"/>
      <c r="MC1663" s="38"/>
      <c r="MD1663" s="38"/>
      <c r="ME1663" s="38"/>
      <c r="MF1663" s="38"/>
      <c r="MG1663" s="38"/>
      <c r="MH1663" s="38"/>
      <c r="MI1663" s="38"/>
      <c r="MJ1663" s="38"/>
      <c r="MK1663" s="38"/>
      <c r="ML1663" s="38"/>
      <c r="MM1663" s="38"/>
      <c r="MN1663" s="38"/>
      <c r="MO1663" s="38"/>
      <c r="MP1663" s="38"/>
      <c r="MQ1663" s="38"/>
      <c r="MR1663" s="38"/>
      <c r="MS1663" s="38"/>
      <c r="MT1663" s="38"/>
      <c r="MU1663" s="38"/>
      <c r="MV1663" s="38"/>
      <c r="MW1663" s="38"/>
      <c r="MX1663" s="38"/>
      <c r="MY1663" s="38"/>
      <c r="MZ1663" s="38"/>
      <c r="NA1663" s="38"/>
      <c r="NB1663" s="38"/>
      <c r="NC1663" s="38"/>
      <c r="ND1663" s="38"/>
      <c r="NE1663" s="38"/>
      <c r="NF1663" s="38"/>
      <c r="NG1663" s="38"/>
      <c r="NH1663" s="38"/>
      <c r="NI1663" s="38"/>
      <c r="NJ1663" s="38"/>
      <c r="NK1663" s="38"/>
      <c r="NL1663" s="38"/>
      <c r="NM1663" s="38"/>
      <c r="NN1663" s="38"/>
      <c r="NO1663" s="38"/>
      <c r="NP1663" s="38"/>
      <c r="NQ1663" s="38"/>
      <c r="NR1663" s="38"/>
      <c r="NS1663" s="38"/>
      <c r="NT1663" s="38"/>
      <c r="NU1663" s="38"/>
      <c r="NV1663" s="38"/>
      <c r="NW1663" s="38"/>
      <c r="NX1663" s="38"/>
      <c r="NY1663" s="38"/>
      <c r="NZ1663" s="38"/>
      <c r="OA1663" s="38"/>
      <c r="OB1663" s="38"/>
      <c r="OC1663" s="38"/>
      <c r="OD1663" s="38"/>
      <c r="OE1663" s="38"/>
      <c r="OF1663" s="38"/>
      <c r="OG1663" s="38"/>
      <c r="OH1663" s="38"/>
      <c r="OI1663" s="38"/>
      <c r="OJ1663" s="38"/>
      <c r="OK1663" s="38"/>
      <c r="OL1663" s="38"/>
      <c r="OM1663" s="38"/>
      <c r="ON1663" s="38"/>
      <c r="OO1663" s="38"/>
      <c r="OP1663" s="38"/>
      <c r="OQ1663" s="38"/>
      <c r="OR1663" s="38"/>
      <c r="OS1663" s="38"/>
      <c r="OT1663" s="38"/>
      <c r="OU1663" s="38"/>
      <c r="OV1663" s="38"/>
      <c r="OW1663" s="38"/>
      <c r="OX1663" s="38"/>
      <c r="OY1663" s="38"/>
      <c r="OZ1663" s="38"/>
      <c r="PA1663" s="38"/>
      <c r="PB1663" s="38"/>
      <c r="PC1663" s="38"/>
      <c r="PD1663" s="38"/>
      <c r="PE1663" s="38"/>
      <c r="PF1663" s="38"/>
      <c r="PG1663" s="38"/>
      <c r="PH1663" s="38"/>
      <c r="PI1663" s="38"/>
      <c r="PJ1663" s="38"/>
      <c r="PK1663" s="38"/>
      <c r="PL1663" s="38"/>
      <c r="PM1663" s="38"/>
      <c r="PN1663" s="38"/>
      <c r="PO1663" s="38"/>
      <c r="PP1663" s="38"/>
      <c r="PQ1663" s="38"/>
      <c r="PR1663" s="38"/>
      <c r="PS1663" s="38"/>
      <c r="PT1663" s="38"/>
      <c r="PU1663" s="38"/>
      <c r="PV1663" s="38"/>
      <c r="PW1663" s="38"/>
      <c r="PX1663" s="38"/>
      <c r="PY1663" s="38"/>
      <c r="PZ1663" s="38"/>
      <c r="QA1663" s="38"/>
      <c r="QB1663" s="38"/>
      <c r="QC1663" s="38"/>
      <c r="QD1663" s="38"/>
      <c r="QE1663" s="38"/>
      <c r="QF1663" s="38"/>
      <c r="QG1663" s="38"/>
      <c r="QH1663" s="38"/>
      <c r="QI1663" s="38"/>
      <c r="QJ1663" s="38"/>
      <c r="QK1663" s="38"/>
      <c r="QL1663" s="38"/>
      <c r="QM1663" s="38"/>
      <c r="QN1663" s="38"/>
      <c r="QO1663" s="38"/>
      <c r="QP1663" s="38"/>
      <c r="QQ1663" s="38"/>
      <c r="QR1663" s="38"/>
      <c r="QS1663" s="38"/>
      <c r="QT1663" s="38"/>
      <c r="QU1663" s="38"/>
      <c r="QV1663" s="38"/>
      <c r="QW1663" s="38"/>
      <c r="QX1663" s="38"/>
      <c r="QY1663" s="38"/>
      <c r="QZ1663" s="38"/>
      <c r="RA1663" s="38"/>
      <c r="RB1663" s="38"/>
      <c r="RC1663" s="38"/>
      <c r="RD1663" s="38"/>
      <c r="RE1663" s="38"/>
      <c r="RF1663" s="38"/>
      <c r="RG1663" s="38"/>
      <c r="RH1663" s="38"/>
      <c r="RI1663" s="38"/>
      <c r="RJ1663" s="38"/>
      <c r="RK1663" s="38"/>
      <c r="RL1663" s="38"/>
      <c r="RM1663" s="38"/>
      <c r="RN1663" s="38"/>
      <c r="RO1663" s="38"/>
      <c r="RP1663" s="38"/>
      <c r="RQ1663" s="38"/>
      <c r="RR1663" s="38"/>
      <c r="RS1663" s="38"/>
      <c r="RT1663" s="38"/>
      <c r="RU1663" s="38"/>
      <c r="RV1663" s="38"/>
      <c r="RW1663" s="38"/>
      <c r="RX1663" s="38"/>
      <c r="RY1663" s="38"/>
      <c r="RZ1663" s="38"/>
      <c r="SA1663" s="38"/>
      <c r="SB1663" s="38"/>
      <c r="SC1663" s="38"/>
      <c r="SD1663" s="38"/>
      <c r="SE1663" s="38"/>
      <c r="SF1663" s="38"/>
      <c r="SG1663" s="38"/>
      <c r="SH1663" s="38"/>
      <c r="SI1663" s="38"/>
      <c r="SJ1663" s="38"/>
      <c r="SK1663" s="38"/>
      <c r="SL1663" s="38"/>
      <c r="SM1663" s="38"/>
      <c r="SN1663" s="38"/>
      <c r="SO1663" s="38"/>
      <c r="SP1663" s="38"/>
      <c r="SQ1663" s="38"/>
      <c r="SR1663" s="38"/>
      <c r="SS1663" s="38"/>
      <c r="ST1663" s="38"/>
      <c r="SU1663" s="38"/>
      <c r="SV1663" s="38"/>
      <c r="SW1663" s="38"/>
      <c r="SX1663" s="38"/>
      <c r="SY1663" s="38"/>
      <c r="SZ1663" s="38"/>
      <c r="TA1663" s="38"/>
      <c r="TB1663" s="38"/>
      <c r="TC1663" s="38"/>
      <c r="TD1663" s="38"/>
      <c r="TE1663" s="38"/>
      <c r="TF1663" s="38"/>
      <c r="TG1663" s="38"/>
      <c r="TH1663" s="38"/>
      <c r="TI1663" s="38"/>
      <c r="TJ1663" s="38"/>
      <c r="TK1663" s="38"/>
      <c r="TL1663" s="38"/>
      <c r="TM1663" s="38"/>
      <c r="TN1663" s="38"/>
      <c r="TO1663" s="38"/>
      <c r="TP1663" s="38"/>
      <c r="TQ1663" s="38"/>
      <c r="TR1663" s="38"/>
      <c r="TS1663" s="38"/>
      <c r="TT1663" s="38"/>
      <c r="TU1663" s="38"/>
      <c r="TV1663" s="38"/>
      <c r="TW1663" s="38"/>
      <c r="TX1663" s="38"/>
      <c r="TY1663" s="38"/>
      <c r="TZ1663" s="38"/>
      <c r="UA1663" s="38"/>
      <c r="UB1663" s="38"/>
      <c r="UC1663" s="38"/>
      <c r="UD1663" s="38"/>
      <c r="UE1663" s="38"/>
      <c r="UF1663" s="38"/>
      <c r="UG1663" s="38"/>
      <c r="UH1663" s="38"/>
      <c r="UI1663" s="38"/>
      <c r="UJ1663" s="38"/>
      <c r="UK1663" s="38"/>
      <c r="UL1663" s="38"/>
      <c r="UM1663" s="38"/>
      <c r="UN1663" s="38"/>
      <c r="UO1663" s="38"/>
      <c r="UP1663" s="38"/>
      <c r="UQ1663" s="38"/>
      <c r="UR1663" s="38"/>
      <c r="US1663" s="38"/>
      <c r="UT1663" s="38"/>
      <c r="UU1663" s="38"/>
      <c r="UV1663" s="38"/>
      <c r="UW1663" s="38"/>
      <c r="UX1663" s="38"/>
      <c r="UY1663" s="38"/>
      <c r="UZ1663" s="38"/>
      <c r="VA1663" s="38"/>
      <c r="VB1663" s="38"/>
      <c r="VC1663" s="38"/>
      <c r="VD1663" s="38"/>
      <c r="VE1663" s="38"/>
      <c r="VF1663" s="38"/>
      <c r="VG1663" s="38"/>
      <c r="VH1663" s="38"/>
      <c r="VI1663" s="38"/>
      <c r="VJ1663" s="38"/>
      <c r="VK1663" s="38"/>
      <c r="VL1663" s="38"/>
      <c r="VM1663" s="38"/>
      <c r="VN1663" s="38"/>
      <c r="VO1663" s="38"/>
      <c r="VP1663" s="38"/>
      <c r="VQ1663" s="38"/>
      <c r="VR1663" s="38"/>
      <c r="VS1663" s="38"/>
      <c r="VT1663" s="38"/>
      <c r="VU1663" s="38"/>
      <c r="VV1663" s="38"/>
      <c r="VW1663" s="38"/>
      <c r="VX1663" s="38"/>
      <c r="VY1663" s="38"/>
      <c r="VZ1663" s="38"/>
      <c r="WA1663" s="38"/>
      <c r="WB1663" s="38"/>
      <c r="WC1663" s="38"/>
      <c r="WD1663" s="38"/>
      <c r="WE1663" s="38"/>
      <c r="WF1663" s="38"/>
      <c r="WG1663" s="38"/>
      <c r="WH1663" s="38"/>
      <c r="WI1663" s="38"/>
      <c r="WJ1663" s="38"/>
      <c r="WK1663" s="38"/>
      <c r="WL1663" s="38"/>
      <c r="WM1663" s="38"/>
      <c r="WN1663" s="38"/>
      <c r="WO1663" s="38"/>
      <c r="WP1663" s="38"/>
      <c r="WQ1663" s="38"/>
      <c r="WR1663" s="38"/>
      <c r="WS1663" s="38"/>
      <c r="WT1663" s="38"/>
      <c r="WU1663" s="38"/>
      <c r="WV1663" s="38"/>
      <c r="WW1663" s="38"/>
      <c r="WX1663" s="38"/>
      <c r="WY1663" s="38"/>
      <c r="WZ1663" s="38"/>
      <c r="XA1663" s="38"/>
      <c r="XB1663" s="38"/>
      <c r="XC1663" s="38"/>
      <c r="XD1663" s="38"/>
      <c r="XE1663" s="38"/>
      <c r="XF1663" s="38"/>
      <c r="XG1663" s="38"/>
      <c r="XH1663" s="38"/>
      <c r="XI1663" s="38"/>
      <c r="XJ1663" s="38"/>
      <c r="XK1663" s="38"/>
      <c r="XL1663" s="38"/>
      <c r="XM1663" s="38"/>
      <c r="XN1663" s="38"/>
      <c r="XO1663" s="38"/>
      <c r="XP1663" s="38"/>
      <c r="XQ1663" s="38"/>
      <c r="XR1663" s="38"/>
      <c r="XS1663" s="38"/>
      <c r="XT1663" s="38"/>
      <c r="XU1663" s="38"/>
      <c r="XV1663" s="38"/>
      <c r="XW1663" s="38"/>
      <c r="XX1663" s="38"/>
      <c r="XY1663" s="38"/>
      <c r="XZ1663" s="38"/>
      <c r="YA1663" s="38"/>
      <c r="YB1663" s="38"/>
      <c r="YC1663" s="38"/>
      <c r="YD1663" s="38"/>
      <c r="YE1663" s="38"/>
      <c r="YF1663" s="38"/>
      <c r="YG1663" s="38"/>
      <c r="YH1663" s="38"/>
      <c r="YI1663" s="38"/>
      <c r="YJ1663" s="38"/>
      <c r="YK1663" s="38"/>
      <c r="YL1663" s="38"/>
      <c r="YM1663" s="38"/>
      <c r="YN1663" s="38"/>
      <c r="YO1663" s="38"/>
      <c r="YP1663" s="38"/>
      <c r="YQ1663" s="38"/>
      <c r="YR1663" s="38"/>
      <c r="YS1663" s="38"/>
      <c r="YT1663" s="38"/>
      <c r="YU1663" s="38"/>
      <c r="YV1663" s="38"/>
      <c r="YW1663" s="38"/>
      <c r="YX1663" s="38"/>
      <c r="YY1663" s="38"/>
      <c r="YZ1663" s="38"/>
      <c r="ZA1663" s="38"/>
      <c r="ZB1663" s="38"/>
      <c r="ZC1663" s="38"/>
      <c r="ZD1663" s="38"/>
      <c r="ZE1663" s="38"/>
      <c r="ZF1663" s="38"/>
      <c r="ZG1663" s="38"/>
      <c r="ZH1663" s="38"/>
      <c r="ZI1663" s="38"/>
      <c r="ZJ1663" s="38"/>
      <c r="ZK1663" s="38"/>
      <c r="ZL1663" s="38"/>
      <c r="ZM1663" s="38"/>
      <c r="ZN1663" s="38"/>
      <c r="ZO1663" s="38"/>
      <c r="ZP1663" s="38"/>
      <c r="ZQ1663" s="38"/>
      <c r="ZR1663" s="38"/>
      <c r="ZS1663" s="38"/>
      <c r="ZT1663" s="38"/>
      <c r="ZU1663" s="38"/>
      <c r="ZV1663" s="38"/>
      <c r="ZW1663" s="38"/>
      <c r="ZX1663" s="38"/>
      <c r="ZY1663" s="38"/>
      <c r="ZZ1663" s="38"/>
      <c r="AAA1663" s="38"/>
      <c r="AAB1663" s="38"/>
      <c r="AAC1663" s="38"/>
      <c r="AAD1663" s="38"/>
      <c r="AAE1663" s="38"/>
      <c r="AAF1663" s="38"/>
      <c r="AAG1663" s="38"/>
      <c r="AAH1663" s="38"/>
      <c r="AAI1663" s="38"/>
      <c r="AAJ1663" s="38"/>
      <c r="AAK1663" s="38"/>
      <c r="AAL1663" s="38"/>
      <c r="AAM1663" s="38"/>
      <c r="AAN1663" s="38"/>
      <c r="AAO1663" s="38"/>
      <c r="AAP1663" s="38"/>
      <c r="AAQ1663" s="38"/>
      <c r="AAR1663" s="38"/>
      <c r="AAS1663" s="38"/>
      <c r="AAT1663" s="38"/>
      <c r="AAU1663" s="38"/>
      <c r="AAV1663" s="38"/>
      <c r="AAW1663" s="38"/>
      <c r="AAX1663" s="38"/>
      <c r="AAY1663" s="38"/>
      <c r="AAZ1663" s="38"/>
      <c r="ABA1663" s="38"/>
      <c r="ABB1663" s="38"/>
      <c r="ABC1663" s="38"/>
      <c r="ABD1663" s="38"/>
      <c r="ABE1663" s="38"/>
      <c r="ABF1663" s="38"/>
      <c r="ABG1663" s="38"/>
      <c r="ABH1663" s="38"/>
      <c r="ABI1663" s="38"/>
      <c r="ABJ1663" s="38"/>
      <c r="ABK1663" s="38"/>
      <c r="ABL1663" s="38"/>
      <c r="ABM1663" s="38"/>
      <c r="ABN1663" s="38"/>
      <c r="ABO1663" s="38"/>
      <c r="ABP1663" s="38"/>
      <c r="ABQ1663" s="38"/>
      <c r="ABR1663" s="38"/>
      <c r="ABS1663" s="38"/>
      <c r="ABT1663" s="38"/>
      <c r="ABU1663" s="38"/>
      <c r="ABV1663" s="38"/>
      <c r="ABW1663" s="38"/>
      <c r="ABX1663" s="38"/>
      <c r="ABY1663" s="38"/>
      <c r="ABZ1663" s="38"/>
      <c r="ACA1663" s="38"/>
      <c r="ACB1663" s="38"/>
      <c r="ACC1663" s="38"/>
      <c r="ACD1663" s="38"/>
      <c r="ACE1663" s="38"/>
      <c r="ACF1663" s="38"/>
      <c r="ACG1663" s="38"/>
      <c r="ACH1663" s="38"/>
      <c r="ACI1663" s="38"/>
      <c r="ACJ1663" s="38"/>
      <c r="ACK1663" s="38"/>
      <c r="ACL1663" s="38"/>
      <c r="ACM1663" s="38"/>
      <c r="ACN1663" s="38"/>
      <c r="ACO1663" s="38"/>
      <c r="ACP1663" s="38"/>
      <c r="ACQ1663" s="38"/>
      <c r="ACR1663" s="38"/>
      <c r="ACS1663" s="38"/>
      <c r="ACT1663" s="38"/>
      <c r="ACU1663" s="38"/>
      <c r="ACV1663" s="38"/>
      <c r="ACW1663" s="38"/>
      <c r="ACX1663" s="38"/>
      <c r="ACY1663" s="38"/>
      <c r="ACZ1663" s="38"/>
      <c r="ADA1663" s="38"/>
      <c r="ADB1663" s="38"/>
      <c r="ADC1663" s="38"/>
      <c r="ADD1663" s="38"/>
      <c r="ADE1663" s="38"/>
      <c r="ADF1663" s="38"/>
      <c r="ADG1663" s="38"/>
      <c r="ADH1663" s="38"/>
      <c r="ADI1663" s="38"/>
      <c r="ADJ1663" s="38"/>
      <c r="ADK1663" s="38"/>
      <c r="ADL1663" s="38"/>
      <c r="ADM1663" s="38"/>
      <c r="ADN1663" s="38"/>
      <c r="ADO1663" s="38"/>
      <c r="ADP1663" s="38"/>
      <c r="ADQ1663" s="38"/>
      <c r="ADR1663" s="38"/>
      <c r="ADS1663" s="38"/>
      <c r="ADT1663" s="38"/>
      <c r="ADU1663" s="38"/>
      <c r="ADV1663" s="38"/>
      <c r="ADW1663" s="38"/>
      <c r="ADX1663" s="38"/>
      <c r="ADY1663" s="38"/>
      <c r="ADZ1663" s="38"/>
      <c r="AEA1663" s="38"/>
      <c r="AEB1663" s="38"/>
      <c r="AEC1663" s="38"/>
      <c r="AED1663" s="38"/>
      <c r="AEE1663" s="38"/>
      <c r="AEF1663" s="38"/>
      <c r="AEG1663" s="38"/>
      <c r="AEH1663" s="38"/>
      <c r="AEI1663" s="38"/>
      <c r="AEJ1663" s="38"/>
      <c r="AEK1663" s="38"/>
      <c r="AEL1663" s="38"/>
      <c r="AEM1663" s="38"/>
      <c r="AEN1663" s="38"/>
      <c r="AEO1663" s="38"/>
      <c r="AEP1663" s="38"/>
      <c r="AEQ1663" s="38"/>
      <c r="AER1663" s="38"/>
      <c r="AES1663" s="38"/>
      <c r="AET1663" s="38"/>
      <c r="AEU1663" s="38"/>
      <c r="AEV1663" s="38"/>
      <c r="AEW1663" s="38"/>
      <c r="AEX1663" s="38"/>
      <c r="AEY1663" s="38"/>
      <c r="AEZ1663" s="38"/>
      <c r="AFA1663" s="38"/>
      <c r="AFB1663" s="38"/>
      <c r="AFC1663" s="38"/>
      <c r="AFD1663" s="38"/>
      <c r="AFE1663" s="38"/>
      <c r="AFF1663" s="38"/>
      <c r="AFG1663" s="38"/>
      <c r="AFH1663" s="38"/>
      <c r="AFI1663" s="38"/>
      <c r="AFJ1663" s="38"/>
      <c r="AFK1663" s="38"/>
      <c r="AFL1663" s="38"/>
      <c r="AFM1663" s="38"/>
      <c r="AFN1663" s="38"/>
      <c r="AFO1663" s="38"/>
      <c r="AFP1663" s="38"/>
      <c r="AFQ1663" s="38"/>
      <c r="AFR1663" s="38"/>
      <c r="AFS1663" s="38"/>
      <c r="AFT1663" s="38"/>
      <c r="AFU1663" s="38"/>
      <c r="AFV1663" s="38"/>
      <c r="AFW1663" s="38"/>
      <c r="AFX1663" s="38"/>
      <c r="AFY1663" s="38"/>
      <c r="AFZ1663" s="38"/>
      <c r="AGA1663" s="38"/>
      <c r="AGB1663" s="38"/>
      <c r="AGC1663" s="38"/>
      <c r="AGD1663" s="38"/>
      <c r="AGE1663" s="38"/>
      <c r="AGF1663" s="38"/>
      <c r="AGG1663" s="38"/>
      <c r="AGH1663" s="38"/>
      <c r="AGI1663" s="38"/>
      <c r="AGJ1663" s="38"/>
      <c r="AGK1663" s="38"/>
      <c r="AGL1663" s="38"/>
      <c r="AGM1663" s="38"/>
      <c r="AGN1663" s="38"/>
      <c r="AGO1663" s="38"/>
      <c r="AGP1663" s="38"/>
      <c r="AGQ1663" s="38"/>
      <c r="AGR1663" s="38"/>
      <c r="AGS1663" s="38"/>
      <c r="AGT1663" s="38"/>
      <c r="AGU1663" s="38"/>
      <c r="AGV1663" s="38"/>
      <c r="AGW1663" s="38"/>
      <c r="AGX1663" s="38"/>
      <c r="AGY1663" s="38"/>
      <c r="AGZ1663" s="38"/>
      <c r="AHA1663" s="38"/>
      <c r="AHB1663" s="38"/>
      <c r="AHC1663" s="38"/>
      <c r="AHD1663" s="38"/>
      <c r="AHE1663" s="38"/>
      <c r="AHF1663" s="38"/>
      <c r="AHG1663" s="38"/>
      <c r="AHH1663" s="38"/>
      <c r="AHI1663" s="38"/>
      <c r="AHJ1663" s="38"/>
      <c r="AHK1663" s="38"/>
      <c r="AHL1663" s="38"/>
      <c r="AHM1663" s="38"/>
      <c r="AHN1663" s="38"/>
      <c r="AHO1663" s="38"/>
      <c r="AHP1663" s="38"/>
      <c r="AHQ1663" s="38"/>
      <c r="AHR1663" s="38"/>
      <c r="AHS1663" s="38"/>
      <c r="AHT1663" s="38"/>
      <c r="AHU1663" s="38"/>
      <c r="AHV1663" s="38"/>
      <c r="AHW1663" s="38"/>
      <c r="AHX1663" s="38"/>
      <c r="AHY1663" s="38"/>
      <c r="AHZ1663" s="38"/>
      <c r="AIA1663" s="38"/>
      <c r="AIB1663" s="38"/>
      <c r="AIC1663" s="38"/>
      <c r="AID1663" s="38"/>
      <c r="AIE1663" s="38"/>
      <c r="AIF1663" s="38"/>
      <c r="AIG1663" s="38"/>
      <c r="AIH1663" s="38"/>
      <c r="AII1663" s="38"/>
      <c r="AIJ1663" s="38"/>
      <c r="AIK1663" s="38"/>
      <c r="AIL1663" s="38"/>
      <c r="AIM1663" s="38"/>
      <c r="AIN1663" s="38"/>
      <c r="AIO1663" s="38"/>
      <c r="AIP1663" s="38"/>
      <c r="AIQ1663" s="38"/>
      <c r="AIR1663" s="38"/>
      <c r="AIS1663" s="38"/>
      <c r="AIT1663" s="38"/>
      <c r="AIU1663" s="38"/>
      <c r="AIV1663" s="38"/>
      <c r="AIW1663" s="38"/>
      <c r="AIX1663" s="38"/>
      <c r="AIY1663" s="38"/>
      <c r="AIZ1663" s="38"/>
      <c r="AJA1663" s="38"/>
      <c r="AJB1663" s="38"/>
      <c r="AJC1663" s="38"/>
      <c r="AJD1663" s="38"/>
      <c r="AJE1663" s="38"/>
      <c r="AJF1663" s="38"/>
      <c r="AJG1663" s="38"/>
      <c r="AJH1663" s="38"/>
      <c r="AJI1663" s="38"/>
      <c r="AJJ1663" s="38"/>
      <c r="AJK1663" s="38"/>
      <c r="AJL1663" s="38"/>
      <c r="AJM1663" s="38"/>
      <c r="AJN1663" s="38"/>
      <c r="AJO1663" s="38"/>
      <c r="AJP1663" s="38"/>
      <c r="AJQ1663" s="38"/>
      <c r="AJR1663" s="38"/>
      <c r="AJS1663" s="38"/>
      <c r="AJT1663" s="38"/>
      <c r="AJU1663" s="38"/>
      <c r="AJV1663" s="38"/>
      <c r="AJW1663" s="38"/>
      <c r="AJX1663" s="38"/>
      <c r="AJY1663" s="38"/>
      <c r="AJZ1663" s="38"/>
      <c r="AKA1663" s="38"/>
      <c r="AKB1663" s="38"/>
      <c r="AKC1663" s="38"/>
      <c r="AKD1663" s="38"/>
      <c r="AKE1663" s="38"/>
      <c r="AKF1663" s="38"/>
      <c r="AKG1663" s="38"/>
      <c r="AKH1663" s="38"/>
      <c r="AKI1663" s="38"/>
      <c r="AKJ1663" s="38"/>
      <c r="AKK1663" s="38"/>
      <c r="AKL1663" s="38"/>
      <c r="AKM1663" s="38"/>
      <c r="AKN1663" s="38"/>
      <c r="AKO1663" s="38"/>
      <c r="AKP1663" s="38"/>
      <c r="AKQ1663" s="38"/>
      <c r="AKR1663" s="38"/>
      <c r="AKS1663" s="38"/>
      <c r="AKT1663" s="38"/>
      <c r="AKU1663" s="38"/>
      <c r="AKV1663" s="38"/>
      <c r="AKW1663" s="38"/>
      <c r="AKX1663" s="38"/>
      <c r="AKY1663" s="38"/>
      <c r="AKZ1663" s="38"/>
      <c r="ALA1663" s="38"/>
      <c r="ALB1663" s="38"/>
      <c r="ALC1663" s="38"/>
      <c r="ALD1663" s="38"/>
      <c r="ALE1663" s="38"/>
      <c r="ALF1663" s="38"/>
      <c r="ALG1663" s="38"/>
      <c r="ALH1663" s="38"/>
      <c r="ALI1663" s="38"/>
      <c r="ALJ1663" s="38"/>
      <c r="ALK1663" s="38"/>
      <c r="ALL1663" s="38"/>
      <c r="ALM1663" s="38"/>
      <c r="ALN1663" s="38"/>
      <c r="ALO1663" s="38"/>
      <c r="ALP1663" s="38"/>
      <c r="ALQ1663" s="38"/>
      <c r="ALR1663" s="38"/>
      <c r="ALS1663" s="38"/>
      <c r="ALT1663" s="38"/>
      <c r="ALU1663" s="38"/>
      <c r="ALV1663" s="38"/>
      <c r="ALW1663" s="38"/>
      <c r="ALX1663" s="38"/>
      <c r="ALY1663" s="38"/>
      <c r="ALZ1663" s="38"/>
      <c r="AMA1663" s="38"/>
      <c r="AMB1663" s="38"/>
      <c r="AMC1663" s="38"/>
      <c r="AMD1663" s="38"/>
      <c r="AME1663" s="38"/>
      <c r="AMF1663" s="38"/>
      <c r="AMG1663" s="38"/>
      <c r="AMH1663" s="38"/>
      <c r="AMI1663" s="38"/>
      <c r="AMJ1663" s="38"/>
      <c r="AMK1663" s="38"/>
      <c r="AML1663" s="38"/>
      <c r="AMM1663" s="38"/>
      <c r="AMN1663" s="38"/>
      <c r="AMO1663" s="38"/>
      <c r="AMP1663" s="38"/>
      <c r="AMQ1663" s="38"/>
      <c r="AMR1663" s="38"/>
      <c r="AMS1663" s="38"/>
      <c r="AMT1663" s="38"/>
      <c r="AMU1663" s="38"/>
      <c r="AMV1663" s="38"/>
      <c r="AMW1663" s="38"/>
      <c r="AMX1663" s="38"/>
      <c r="AMY1663" s="38"/>
      <c r="AMZ1663" s="38"/>
      <c r="ANA1663" s="38"/>
      <c r="ANB1663" s="38"/>
      <c r="ANC1663" s="38"/>
      <c r="AND1663" s="38"/>
      <c r="ANE1663" s="38"/>
      <c r="ANF1663" s="38"/>
      <c r="ANG1663" s="38"/>
      <c r="ANH1663" s="38"/>
      <c r="ANI1663" s="38"/>
      <c r="ANJ1663" s="38"/>
      <c r="ANK1663" s="38"/>
      <c r="ANL1663" s="38"/>
      <c r="ANM1663" s="38"/>
      <c r="ANN1663" s="38"/>
      <c r="ANO1663" s="38"/>
      <c r="ANP1663" s="38"/>
      <c r="ANQ1663" s="38"/>
      <c r="ANR1663" s="38"/>
      <c r="ANS1663" s="38"/>
      <c r="ANT1663" s="38"/>
      <c r="ANU1663" s="38"/>
      <c r="ANV1663" s="38"/>
      <c r="ANW1663" s="38"/>
      <c r="ANX1663" s="38"/>
      <c r="ANY1663" s="38"/>
      <c r="ANZ1663" s="38"/>
      <c r="AOA1663" s="38"/>
      <c r="AOB1663" s="38"/>
      <c r="AOC1663" s="38"/>
      <c r="AOD1663" s="38"/>
      <c r="AOE1663" s="38"/>
      <c r="AOF1663" s="38"/>
      <c r="AOG1663" s="38"/>
      <c r="AOH1663" s="38"/>
      <c r="AOI1663" s="38"/>
      <c r="AOJ1663" s="38"/>
      <c r="AOK1663" s="38"/>
      <c r="AOL1663" s="38"/>
      <c r="AOM1663" s="38"/>
      <c r="AON1663" s="38"/>
      <c r="AOO1663" s="38"/>
      <c r="AOP1663" s="38"/>
      <c r="AOQ1663" s="38"/>
      <c r="AOR1663" s="38"/>
      <c r="AOS1663" s="38"/>
      <c r="AOT1663" s="38"/>
      <c r="AOU1663" s="38"/>
      <c r="AOV1663" s="38"/>
      <c r="AOW1663" s="38"/>
      <c r="AOX1663" s="38"/>
      <c r="AOY1663" s="38"/>
      <c r="AOZ1663" s="38"/>
      <c r="APA1663" s="38"/>
      <c r="APB1663" s="38"/>
      <c r="APC1663" s="38"/>
    </row>
    <row r="1664" spans="1:1095" s="36" customFormat="1" ht="14.25" customHeight="1">
      <c r="A1664" s="3" t="s">
        <v>1722</v>
      </c>
      <c r="B1664" s="36" t="s">
        <v>3948</v>
      </c>
      <c r="C1664" s="251">
        <v>4099854029257</v>
      </c>
      <c r="D1664" s="224">
        <v>4058075543003</v>
      </c>
      <c r="E1664" s="245" t="s">
        <v>1590</v>
      </c>
      <c r="F1664" s="246"/>
      <c r="G1664" s="66" t="str">
        <f>HYPERLINK("https://ledvance.com/pt/product-datasheet/245161/229927","Ficha de Produto")</f>
        <v>Ficha de Produto</v>
      </c>
      <c r="H1664" s="217">
        <v>10</v>
      </c>
      <c r="I1664" s="34" t="s">
        <v>834</v>
      </c>
      <c r="J1664" s="34" t="s">
        <v>881</v>
      </c>
      <c r="K1664" s="34" t="s">
        <v>788</v>
      </c>
      <c r="L1664" s="34" t="s">
        <v>765</v>
      </c>
      <c r="M1664" s="247">
        <v>51.5</v>
      </c>
      <c r="N1664" s="288" t="s">
        <v>722</v>
      </c>
    </row>
    <row r="1665" spans="1:1095" s="36" customFormat="1" ht="14.25" customHeight="1">
      <c r="A1665" s="3" t="s">
        <v>1722</v>
      </c>
      <c r="B1665" s="36" t="s">
        <v>3949</v>
      </c>
      <c r="C1665" s="251">
        <v>4099854029271</v>
      </c>
      <c r="D1665" s="224">
        <v>4058075543027</v>
      </c>
      <c r="E1665" s="245" t="s">
        <v>1591</v>
      </c>
      <c r="F1665" s="246"/>
      <c r="G1665" s="66" t="str">
        <f>HYPERLINK("https://ledvance.com/pt/product-datasheet/245161/229930","Ficha de Produto")</f>
        <v>Ficha de Produto</v>
      </c>
      <c r="H1665" s="217">
        <v>10</v>
      </c>
      <c r="I1665" s="34" t="s">
        <v>815</v>
      </c>
      <c r="J1665" s="34" t="s">
        <v>881</v>
      </c>
      <c r="K1665" s="34" t="s">
        <v>788</v>
      </c>
      <c r="L1665" s="34" t="s">
        <v>765</v>
      </c>
      <c r="M1665" s="247">
        <v>51.5</v>
      </c>
      <c r="N1665" s="288" t="s">
        <v>722</v>
      </c>
    </row>
    <row r="1666" spans="1:1095" s="36" customFormat="1" ht="14.25" customHeight="1">
      <c r="A1666" s="3" t="s">
        <v>1722</v>
      </c>
      <c r="B1666" s="36" t="s">
        <v>3950</v>
      </c>
      <c r="C1666" s="251">
        <v>4099854029301</v>
      </c>
      <c r="D1666" s="224">
        <v>4058075543041</v>
      </c>
      <c r="E1666" s="245" t="s">
        <v>1592</v>
      </c>
      <c r="F1666" s="246"/>
      <c r="G1666" s="66" t="str">
        <f>HYPERLINK("https://ledvance.com/pt/product-datasheet/245161/229933","Ficha de Produto")</f>
        <v>Ficha de Produto</v>
      </c>
      <c r="H1666" s="217">
        <v>10</v>
      </c>
      <c r="I1666" s="34" t="s">
        <v>815</v>
      </c>
      <c r="J1666" s="34" t="s">
        <v>881</v>
      </c>
      <c r="K1666" s="34" t="s">
        <v>788</v>
      </c>
      <c r="L1666" s="34" t="s">
        <v>765</v>
      </c>
      <c r="M1666" s="247">
        <v>51.5</v>
      </c>
      <c r="N1666" s="288" t="s">
        <v>722</v>
      </c>
    </row>
    <row r="1667" spans="1:1095" s="39" customFormat="1" ht="14.25" customHeight="1">
      <c r="A1667" s="8" t="s">
        <v>1722</v>
      </c>
      <c r="B1667" s="244" t="s">
        <v>2058</v>
      </c>
      <c r="C1667" s="244"/>
      <c r="D1667" s="7"/>
      <c r="E1667" s="230"/>
      <c r="F1667" s="7"/>
      <c r="G1667" s="68"/>
      <c r="H1667" s="230"/>
      <c r="I1667" s="230"/>
      <c r="J1667" s="230"/>
      <c r="K1667" s="230"/>
      <c r="L1667" s="230"/>
      <c r="M1667" s="248"/>
      <c r="N1667" s="284"/>
      <c r="O1667" s="38"/>
      <c r="P1667" s="38"/>
      <c r="Q1667" s="38"/>
      <c r="R1667" s="38"/>
      <c r="S1667" s="38"/>
      <c r="T1667" s="38"/>
      <c r="U1667" s="38"/>
      <c r="V1667" s="38"/>
      <c r="W1667" s="38"/>
      <c r="X1667" s="38"/>
      <c r="Y1667" s="38"/>
      <c r="Z1667" s="38"/>
      <c r="AA1667" s="38"/>
      <c r="AB1667" s="38"/>
      <c r="AC1667" s="38"/>
      <c r="AD1667" s="38"/>
      <c r="AE1667" s="38"/>
      <c r="AF1667" s="38"/>
      <c r="AG1667" s="38"/>
      <c r="AH1667" s="38"/>
      <c r="AI1667" s="38"/>
      <c r="AJ1667" s="38"/>
      <c r="AK1667" s="38"/>
      <c r="AL1667" s="38"/>
      <c r="AM1667" s="38"/>
      <c r="AN1667" s="38"/>
      <c r="AO1667" s="38"/>
      <c r="AP1667" s="38"/>
      <c r="AQ1667" s="38"/>
      <c r="AR1667" s="38"/>
      <c r="AS1667" s="38"/>
      <c r="AT1667" s="38"/>
      <c r="AU1667" s="38"/>
      <c r="AV1667" s="38"/>
      <c r="AW1667" s="38"/>
      <c r="AX1667" s="38"/>
      <c r="AY1667" s="38"/>
      <c r="AZ1667" s="38"/>
      <c r="BA1667" s="38"/>
      <c r="BB1667" s="38"/>
      <c r="BC1667" s="38"/>
      <c r="BD1667" s="38"/>
      <c r="BE1667" s="38"/>
      <c r="BF1667" s="38"/>
      <c r="BG1667" s="38"/>
      <c r="BH1667" s="38"/>
      <c r="BI1667" s="38"/>
      <c r="BJ1667" s="38"/>
      <c r="BK1667" s="38"/>
      <c r="BL1667" s="38"/>
      <c r="BM1667" s="38"/>
      <c r="BN1667" s="38"/>
      <c r="BO1667" s="38"/>
      <c r="BP1667" s="38"/>
      <c r="BQ1667" s="38"/>
      <c r="BR1667" s="38"/>
      <c r="BS1667" s="38"/>
      <c r="BT1667" s="38"/>
      <c r="BU1667" s="38"/>
      <c r="BV1667" s="38"/>
      <c r="BW1667" s="38"/>
      <c r="BX1667" s="38"/>
      <c r="BY1667" s="38"/>
      <c r="BZ1667" s="38"/>
      <c r="CA1667" s="38"/>
      <c r="CB1667" s="38"/>
      <c r="CC1667" s="38"/>
      <c r="CD1667" s="38"/>
      <c r="CE1667" s="38"/>
      <c r="CF1667" s="38"/>
      <c r="CG1667" s="38"/>
      <c r="CH1667" s="38"/>
      <c r="CI1667" s="38"/>
      <c r="CJ1667" s="38"/>
      <c r="CK1667" s="38"/>
      <c r="CL1667" s="38"/>
      <c r="CM1667" s="38"/>
      <c r="CN1667" s="38"/>
      <c r="CO1667" s="38"/>
      <c r="CP1667" s="38"/>
      <c r="CQ1667" s="38"/>
      <c r="CR1667" s="38"/>
      <c r="CS1667" s="38"/>
      <c r="CT1667" s="38"/>
      <c r="CU1667" s="38"/>
      <c r="CV1667" s="38"/>
      <c r="CW1667" s="38"/>
      <c r="CX1667" s="38"/>
      <c r="CY1667" s="38"/>
      <c r="CZ1667" s="38"/>
      <c r="DA1667" s="38"/>
      <c r="DB1667" s="38"/>
      <c r="DC1667" s="38"/>
      <c r="DD1667" s="38"/>
      <c r="DE1667" s="38"/>
      <c r="DF1667" s="38"/>
      <c r="DG1667" s="38"/>
      <c r="DH1667" s="38"/>
      <c r="DI1667" s="38"/>
      <c r="DJ1667" s="38"/>
      <c r="DK1667" s="38"/>
      <c r="DL1667" s="38"/>
      <c r="DM1667" s="38"/>
      <c r="DN1667" s="38"/>
      <c r="DO1667" s="38"/>
      <c r="DP1667" s="38"/>
      <c r="DQ1667" s="38"/>
      <c r="DR1667" s="38"/>
      <c r="DS1667" s="38"/>
      <c r="DT1667" s="38"/>
      <c r="DU1667" s="38"/>
      <c r="DV1667" s="38"/>
      <c r="DW1667" s="38"/>
      <c r="DX1667" s="38"/>
      <c r="DY1667" s="38"/>
      <c r="DZ1667" s="38"/>
      <c r="EA1667" s="38"/>
      <c r="EB1667" s="38"/>
      <c r="EC1667" s="38"/>
      <c r="ED1667" s="38"/>
      <c r="EE1667" s="38"/>
      <c r="EF1667" s="38"/>
      <c r="EG1667" s="38"/>
      <c r="EH1667" s="38"/>
      <c r="EI1667" s="38"/>
      <c r="EJ1667" s="38"/>
      <c r="EK1667" s="38"/>
      <c r="EL1667" s="38"/>
      <c r="EM1667" s="38"/>
      <c r="EN1667" s="38"/>
      <c r="EO1667" s="38"/>
      <c r="EP1667" s="38"/>
      <c r="EQ1667" s="38"/>
      <c r="ER1667" s="38"/>
      <c r="ES1667" s="38"/>
      <c r="ET1667" s="38"/>
      <c r="EU1667" s="38"/>
      <c r="EV1667" s="38"/>
      <c r="EW1667" s="38"/>
      <c r="EX1667" s="38"/>
      <c r="EY1667" s="38"/>
      <c r="EZ1667" s="38"/>
      <c r="FA1667" s="38"/>
      <c r="FB1667" s="38"/>
      <c r="FC1667" s="38"/>
      <c r="FD1667" s="38"/>
      <c r="FE1667" s="38"/>
      <c r="FF1667" s="38"/>
      <c r="FG1667" s="38"/>
      <c r="FH1667" s="38"/>
      <c r="FI1667" s="38"/>
      <c r="FJ1667" s="38"/>
      <c r="FK1667" s="38"/>
      <c r="FL1667" s="38"/>
      <c r="FM1667" s="38"/>
      <c r="FN1667" s="38"/>
      <c r="FO1667" s="38"/>
      <c r="FP1667" s="38"/>
      <c r="FQ1667" s="38"/>
      <c r="FR1667" s="38"/>
      <c r="FS1667" s="38"/>
      <c r="FT1667" s="38"/>
      <c r="FU1667" s="38"/>
      <c r="FV1667" s="38"/>
      <c r="FW1667" s="38"/>
      <c r="FX1667" s="38"/>
      <c r="FY1667" s="38"/>
      <c r="FZ1667" s="38"/>
      <c r="GA1667" s="38"/>
      <c r="GB1667" s="38"/>
      <c r="GC1667" s="38"/>
      <c r="GD1667" s="38"/>
      <c r="GE1667" s="38"/>
      <c r="GF1667" s="38"/>
      <c r="GG1667" s="38"/>
      <c r="GH1667" s="38"/>
      <c r="GI1667" s="38"/>
      <c r="GJ1667" s="38"/>
      <c r="GK1667" s="38"/>
      <c r="GL1667" s="38"/>
      <c r="GM1667" s="38"/>
      <c r="GN1667" s="38"/>
      <c r="GO1667" s="38"/>
      <c r="GP1667" s="38"/>
      <c r="GQ1667" s="38"/>
      <c r="GR1667" s="38"/>
      <c r="GS1667" s="38"/>
      <c r="GT1667" s="38"/>
      <c r="GU1667" s="38"/>
      <c r="GV1667" s="38"/>
      <c r="GW1667" s="38"/>
      <c r="GX1667" s="38"/>
      <c r="GY1667" s="38"/>
      <c r="GZ1667" s="38"/>
      <c r="HA1667" s="38"/>
      <c r="HB1667" s="38"/>
      <c r="HC1667" s="38"/>
      <c r="HD1667" s="38"/>
      <c r="HE1667" s="38"/>
      <c r="HF1667" s="38"/>
      <c r="HG1667" s="38"/>
      <c r="HH1667" s="38"/>
      <c r="HI1667" s="38"/>
      <c r="HJ1667" s="38"/>
      <c r="HK1667" s="38"/>
      <c r="HL1667" s="38"/>
      <c r="HM1667" s="38"/>
      <c r="HN1667" s="38"/>
      <c r="HO1667" s="38"/>
      <c r="HP1667" s="38"/>
      <c r="HQ1667" s="38"/>
      <c r="HR1667" s="38"/>
      <c r="HS1667" s="38"/>
      <c r="HT1667" s="38"/>
      <c r="HU1667" s="38"/>
      <c r="HV1667" s="38"/>
      <c r="HW1667" s="38"/>
      <c r="HX1667" s="38"/>
      <c r="HY1667" s="38"/>
      <c r="HZ1667" s="38"/>
      <c r="IA1667" s="38"/>
      <c r="IB1667" s="38"/>
      <c r="IC1667" s="38"/>
      <c r="ID1667" s="38"/>
      <c r="IE1667" s="38"/>
      <c r="IF1667" s="38"/>
      <c r="IG1667" s="38"/>
      <c r="IH1667" s="38"/>
      <c r="II1667" s="38"/>
      <c r="IJ1667" s="38"/>
      <c r="IK1667" s="38"/>
      <c r="IL1667" s="38"/>
      <c r="IM1667" s="38"/>
      <c r="IN1667" s="38"/>
      <c r="IO1667" s="38"/>
      <c r="IP1667" s="38"/>
      <c r="IQ1667" s="38"/>
      <c r="IR1667" s="38"/>
      <c r="IS1667" s="38"/>
      <c r="IT1667" s="38"/>
      <c r="IU1667" s="38"/>
      <c r="IV1667" s="38"/>
      <c r="IW1667" s="38"/>
      <c r="IX1667" s="38"/>
      <c r="IY1667" s="38"/>
      <c r="IZ1667" s="38"/>
      <c r="JA1667" s="38"/>
      <c r="JB1667" s="38"/>
      <c r="JC1667" s="38"/>
      <c r="JD1667" s="38"/>
      <c r="JE1667" s="38"/>
      <c r="JF1667" s="38"/>
      <c r="JG1667" s="38"/>
      <c r="JH1667" s="38"/>
      <c r="JI1667" s="38"/>
      <c r="JJ1667" s="38"/>
      <c r="JK1667" s="38"/>
      <c r="JL1667" s="38"/>
      <c r="JM1667" s="38"/>
      <c r="JN1667" s="38"/>
      <c r="JO1667" s="38"/>
      <c r="JP1667" s="38"/>
      <c r="JQ1667" s="38"/>
      <c r="JR1667" s="38"/>
      <c r="JS1667" s="38"/>
      <c r="JT1667" s="38"/>
      <c r="JU1667" s="38"/>
      <c r="JV1667" s="38"/>
      <c r="JW1667" s="38"/>
      <c r="JX1667" s="38"/>
      <c r="JY1667" s="38"/>
      <c r="JZ1667" s="38"/>
      <c r="KA1667" s="38"/>
      <c r="KB1667" s="38"/>
      <c r="KC1667" s="38"/>
      <c r="KD1667" s="38"/>
      <c r="KE1667" s="38"/>
      <c r="KF1667" s="38"/>
      <c r="KG1667" s="38"/>
      <c r="KH1667" s="38"/>
      <c r="KI1667" s="38"/>
      <c r="KJ1667" s="38"/>
      <c r="KK1667" s="38"/>
      <c r="KL1667" s="38"/>
      <c r="KM1667" s="38"/>
      <c r="KN1667" s="38"/>
      <c r="KO1667" s="38"/>
      <c r="KP1667" s="38"/>
      <c r="KQ1667" s="38"/>
      <c r="KR1667" s="38"/>
      <c r="KS1667" s="38"/>
      <c r="KT1667" s="38"/>
      <c r="KU1667" s="38"/>
      <c r="KV1667" s="38"/>
      <c r="KW1667" s="38"/>
      <c r="KX1667" s="38"/>
      <c r="KY1667" s="38"/>
      <c r="KZ1667" s="38"/>
      <c r="LA1667" s="38"/>
      <c r="LB1667" s="38"/>
      <c r="LC1667" s="38"/>
      <c r="LD1667" s="38"/>
      <c r="LE1667" s="38"/>
      <c r="LF1667" s="38"/>
      <c r="LG1667" s="38"/>
      <c r="LH1667" s="38"/>
      <c r="LI1667" s="38"/>
      <c r="LJ1667" s="38"/>
      <c r="LK1667" s="38"/>
      <c r="LL1667" s="38"/>
      <c r="LM1667" s="38"/>
      <c r="LN1667" s="38"/>
      <c r="LO1667" s="38"/>
      <c r="LP1667" s="38"/>
      <c r="LQ1667" s="38"/>
      <c r="LR1667" s="38"/>
      <c r="LS1667" s="38"/>
      <c r="LT1667" s="38"/>
      <c r="LU1667" s="38"/>
      <c r="LV1667" s="38"/>
      <c r="LW1667" s="38"/>
      <c r="LX1667" s="38"/>
      <c r="LY1667" s="38"/>
      <c r="LZ1667" s="38"/>
      <c r="MA1667" s="38"/>
      <c r="MB1667" s="38"/>
      <c r="MC1667" s="38"/>
      <c r="MD1667" s="38"/>
      <c r="ME1667" s="38"/>
      <c r="MF1667" s="38"/>
      <c r="MG1667" s="38"/>
      <c r="MH1667" s="38"/>
      <c r="MI1667" s="38"/>
      <c r="MJ1667" s="38"/>
      <c r="MK1667" s="38"/>
      <c r="ML1667" s="38"/>
      <c r="MM1667" s="38"/>
      <c r="MN1667" s="38"/>
      <c r="MO1667" s="38"/>
      <c r="MP1667" s="38"/>
      <c r="MQ1667" s="38"/>
      <c r="MR1667" s="38"/>
      <c r="MS1667" s="38"/>
      <c r="MT1667" s="38"/>
      <c r="MU1667" s="38"/>
      <c r="MV1667" s="38"/>
      <c r="MW1667" s="38"/>
      <c r="MX1667" s="38"/>
      <c r="MY1667" s="38"/>
      <c r="MZ1667" s="38"/>
      <c r="NA1667" s="38"/>
      <c r="NB1667" s="38"/>
      <c r="NC1667" s="38"/>
      <c r="ND1667" s="38"/>
      <c r="NE1667" s="38"/>
      <c r="NF1667" s="38"/>
      <c r="NG1667" s="38"/>
      <c r="NH1667" s="38"/>
      <c r="NI1667" s="38"/>
      <c r="NJ1667" s="38"/>
      <c r="NK1667" s="38"/>
      <c r="NL1667" s="38"/>
      <c r="NM1667" s="38"/>
      <c r="NN1667" s="38"/>
      <c r="NO1667" s="38"/>
      <c r="NP1667" s="38"/>
      <c r="NQ1667" s="38"/>
      <c r="NR1667" s="38"/>
      <c r="NS1667" s="38"/>
      <c r="NT1667" s="38"/>
      <c r="NU1667" s="38"/>
      <c r="NV1667" s="38"/>
      <c r="NW1667" s="38"/>
      <c r="NX1667" s="38"/>
      <c r="NY1667" s="38"/>
      <c r="NZ1667" s="38"/>
      <c r="OA1667" s="38"/>
      <c r="OB1667" s="38"/>
      <c r="OC1667" s="38"/>
      <c r="OD1667" s="38"/>
      <c r="OE1667" s="38"/>
      <c r="OF1667" s="38"/>
      <c r="OG1667" s="38"/>
      <c r="OH1667" s="38"/>
      <c r="OI1667" s="38"/>
      <c r="OJ1667" s="38"/>
      <c r="OK1667" s="38"/>
      <c r="OL1667" s="38"/>
      <c r="OM1667" s="38"/>
      <c r="ON1667" s="38"/>
      <c r="OO1667" s="38"/>
      <c r="OP1667" s="38"/>
      <c r="OQ1667" s="38"/>
      <c r="OR1667" s="38"/>
      <c r="OS1667" s="38"/>
      <c r="OT1667" s="38"/>
      <c r="OU1667" s="38"/>
      <c r="OV1667" s="38"/>
      <c r="OW1667" s="38"/>
      <c r="OX1667" s="38"/>
      <c r="OY1667" s="38"/>
      <c r="OZ1667" s="38"/>
      <c r="PA1667" s="38"/>
      <c r="PB1667" s="38"/>
      <c r="PC1667" s="38"/>
      <c r="PD1667" s="38"/>
      <c r="PE1667" s="38"/>
      <c r="PF1667" s="38"/>
      <c r="PG1667" s="38"/>
      <c r="PH1667" s="38"/>
      <c r="PI1667" s="38"/>
      <c r="PJ1667" s="38"/>
      <c r="PK1667" s="38"/>
      <c r="PL1667" s="38"/>
      <c r="PM1667" s="38"/>
      <c r="PN1667" s="38"/>
      <c r="PO1667" s="38"/>
      <c r="PP1667" s="38"/>
      <c r="PQ1667" s="38"/>
      <c r="PR1667" s="38"/>
      <c r="PS1667" s="38"/>
      <c r="PT1667" s="38"/>
      <c r="PU1667" s="38"/>
      <c r="PV1667" s="38"/>
      <c r="PW1667" s="38"/>
      <c r="PX1667" s="38"/>
      <c r="PY1667" s="38"/>
      <c r="PZ1667" s="38"/>
      <c r="QA1667" s="38"/>
      <c r="QB1667" s="38"/>
      <c r="QC1667" s="38"/>
      <c r="QD1667" s="38"/>
      <c r="QE1667" s="38"/>
      <c r="QF1667" s="38"/>
      <c r="QG1667" s="38"/>
      <c r="QH1667" s="38"/>
      <c r="QI1667" s="38"/>
      <c r="QJ1667" s="38"/>
      <c r="QK1667" s="38"/>
      <c r="QL1667" s="38"/>
      <c r="QM1667" s="38"/>
      <c r="QN1667" s="38"/>
      <c r="QO1667" s="38"/>
      <c r="QP1667" s="38"/>
      <c r="QQ1667" s="38"/>
      <c r="QR1667" s="38"/>
      <c r="QS1667" s="38"/>
      <c r="QT1667" s="38"/>
      <c r="QU1667" s="38"/>
      <c r="QV1667" s="38"/>
      <c r="QW1667" s="38"/>
      <c r="QX1667" s="38"/>
      <c r="QY1667" s="38"/>
      <c r="QZ1667" s="38"/>
      <c r="RA1667" s="38"/>
      <c r="RB1667" s="38"/>
      <c r="RC1667" s="38"/>
      <c r="RD1667" s="38"/>
      <c r="RE1667" s="38"/>
      <c r="RF1667" s="38"/>
      <c r="RG1667" s="38"/>
      <c r="RH1667" s="38"/>
      <c r="RI1667" s="38"/>
      <c r="RJ1667" s="38"/>
      <c r="RK1667" s="38"/>
      <c r="RL1667" s="38"/>
      <c r="RM1667" s="38"/>
      <c r="RN1667" s="38"/>
      <c r="RO1667" s="38"/>
      <c r="RP1667" s="38"/>
      <c r="RQ1667" s="38"/>
      <c r="RR1667" s="38"/>
      <c r="RS1667" s="38"/>
      <c r="RT1667" s="38"/>
      <c r="RU1667" s="38"/>
      <c r="RV1667" s="38"/>
      <c r="RW1667" s="38"/>
      <c r="RX1667" s="38"/>
      <c r="RY1667" s="38"/>
      <c r="RZ1667" s="38"/>
      <c r="SA1667" s="38"/>
      <c r="SB1667" s="38"/>
      <c r="SC1667" s="38"/>
      <c r="SD1667" s="38"/>
      <c r="SE1667" s="38"/>
      <c r="SF1667" s="38"/>
      <c r="SG1667" s="38"/>
      <c r="SH1667" s="38"/>
      <c r="SI1667" s="38"/>
      <c r="SJ1667" s="38"/>
      <c r="SK1667" s="38"/>
      <c r="SL1667" s="38"/>
      <c r="SM1667" s="38"/>
      <c r="SN1667" s="38"/>
      <c r="SO1667" s="38"/>
      <c r="SP1667" s="38"/>
      <c r="SQ1667" s="38"/>
      <c r="SR1667" s="38"/>
      <c r="SS1667" s="38"/>
      <c r="ST1667" s="38"/>
      <c r="SU1667" s="38"/>
      <c r="SV1667" s="38"/>
      <c r="SW1667" s="38"/>
      <c r="SX1667" s="38"/>
      <c r="SY1667" s="38"/>
      <c r="SZ1667" s="38"/>
      <c r="TA1667" s="38"/>
      <c r="TB1667" s="38"/>
      <c r="TC1667" s="38"/>
      <c r="TD1667" s="38"/>
      <c r="TE1667" s="38"/>
      <c r="TF1667" s="38"/>
      <c r="TG1667" s="38"/>
      <c r="TH1667" s="38"/>
      <c r="TI1667" s="38"/>
      <c r="TJ1667" s="38"/>
      <c r="TK1667" s="38"/>
      <c r="TL1667" s="38"/>
      <c r="TM1667" s="38"/>
      <c r="TN1667" s="38"/>
      <c r="TO1667" s="38"/>
      <c r="TP1667" s="38"/>
      <c r="TQ1667" s="38"/>
      <c r="TR1667" s="38"/>
      <c r="TS1667" s="38"/>
      <c r="TT1667" s="38"/>
      <c r="TU1667" s="38"/>
      <c r="TV1667" s="38"/>
      <c r="TW1667" s="38"/>
      <c r="TX1667" s="38"/>
      <c r="TY1667" s="38"/>
      <c r="TZ1667" s="38"/>
      <c r="UA1667" s="38"/>
      <c r="UB1667" s="38"/>
      <c r="UC1667" s="38"/>
      <c r="UD1667" s="38"/>
      <c r="UE1667" s="38"/>
      <c r="UF1667" s="38"/>
      <c r="UG1667" s="38"/>
      <c r="UH1667" s="38"/>
      <c r="UI1667" s="38"/>
      <c r="UJ1667" s="38"/>
      <c r="UK1667" s="38"/>
      <c r="UL1667" s="38"/>
      <c r="UM1667" s="38"/>
      <c r="UN1667" s="38"/>
      <c r="UO1667" s="38"/>
      <c r="UP1667" s="38"/>
      <c r="UQ1667" s="38"/>
      <c r="UR1667" s="38"/>
      <c r="US1667" s="38"/>
      <c r="UT1667" s="38"/>
      <c r="UU1667" s="38"/>
      <c r="UV1667" s="38"/>
      <c r="UW1667" s="38"/>
      <c r="UX1667" s="38"/>
      <c r="UY1667" s="38"/>
      <c r="UZ1667" s="38"/>
      <c r="VA1667" s="38"/>
      <c r="VB1667" s="38"/>
      <c r="VC1667" s="38"/>
      <c r="VD1667" s="38"/>
      <c r="VE1667" s="38"/>
      <c r="VF1667" s="38"/>
      <c r="VG1667" s="38"/>
      <c r="VH1667" s="38"/>
      <c r="VI1667" s="38"/>
      <c r="VJ1667" s="38"/>
      <c r="VK1667" s="38"/>
      <c r="VL1667" s="38"/>
      <c r="VM1667" s="38"/>
      <c r="VN1667" s="38"/>
      <c r="VO1667" s="38"/>
      <c r="VP1667" s="38"/>
      <c r="VQ1667" s="38"/>
      <c r="VR1667" s="38"/>
      <c r="VS1667" s="38"/>
      <c r="VT1667" s="38"/>
      <c r="VU1667" s="38"/>
      <c r="VV1667" s="38"/>
      <c r="VW1667" s="38"/>
      <c r="VX1667" s="38"/>
      <c r="VY1667" s="38"/>
      <c r="VZ1667" s="38"/>
      <c r="WA1667" s="38"/>
      <c r="WB1667" s="38"/>
      <c r="WC1667" s="38"/>
      <c r="WD1667" s="38"/>
      <c r="WE1667" s="38"/>
      <c r="WF1667" s="38"/>
      <c r="WG1667" s="38"/>
      <c r="WH1667" s="38"/>
      <c r="WI1667" s="38"/>
      <c r="WJ1667" s="38"/>
      <c r="WK1667" s="38"/>
      <c r="WL1667" s="38"/>
      <c r="WM1667" s="38"/>
      <c r="WN1667" s="38"/>
      <c r="WO1667" s="38"/>
      <c r="WP1667" s="38"/>
      <c r="WQ1667" s="38"/>
      <c r="WR1667" s="38"/>
      <c r="WS1667" s="38"/>
      <c r="WT1667" s="38"/>
      <c r="WU1667" s="38"/>
      <c r="WV1667" s="38"/>
      <c r="WW1667" s="38"/>
      <c r="WX1667" s="38"/>
      <c r="WY1667" s="38"/>
      <c r="WZ1667" s="38"/>
      <c r="XA1667" s="38"/>
      <c r="XB1667" s="38"/>
      <c r="XC1667" s="38"/>
      <c r="XD1667" s="38"/>
      <c r="XE1667" s="38"/>
      <c r="XF1667" s="38"/>
      <c r="XG1667" s="38"/>
      <c r="XH1667" s="38"/>
      <c r="XI1667" s="38"/>
      <c r="XJ1667" s="38"/>
      <c r="XK1667" s="38"/>
      <c r="XL1667" s="38"/>
      <c r="XM1667" s="38"/>
      <c r="XN1667" s="38"/>
      <c r="XO1667" s="38"/>
      <c r="XP1667" s="38"/>
      <c r="XQ1667" s="38"/>
      <c r="XR1667" s="38"/>
      <c r="XS1667" s="38"/>
      <c r="XT1667" s="38"/>
      <c r="XU1667" s="38"/>
      <c r="XV1667" s="38"/>
      <c r="XW1667" s="38"/>
      <c r="XX1667" s="38"/>
      <c r="XY1667" s="38"/>
      <c r="XZ1667" s="38"/>
      <c r="YA1667" s="38"/>
      <c r="YB1667" s="38"/>
      <c r="YC1667" s="38"/>
      <c r="YD1667" s="38"/>
      <c r="YE1667" s="38"/>
      <c r="YF1667" s="38"/>
      <c r="YG1667" s="38"/>
      <c r="YH1667" s="38"/>
      <c r="YI1667" s="38"/>
      <c r="YJ1667" s="38"/>
      <c r="YK1667" s="38"/>
      <c r="YL1667" s="38"/>
      <c r="YM1667" s="38"/>
      <c r="YN1667" s="38"/>
      <c r="YO1667" s="38"/>
      <c r="YP1667" s="38"/>
      <c r="YQ1667" s="38"/>
      <c r="YR1667" s="38"/>
      <c r="YS1667" s="38"/>
      <c r="YT1667" s="38"/>
      <c r="YU1667" s="38"/>
      <c r="YV1667" s="38"/>
      <c r="YW1667" s="38"/>
      <c r="YX1667" s="38"/>
      <c r="YY1667" s="38"/>
      <c r="YZ1667" s="38"/>
      <c r="ZA1667" s="38"/>
      <c r="ZB1667" s="38"/>
      <c r="ZC1667" s="38"/>
      <c r="ZD1667" s="38"/>
      <c r="ZE1667" s="38"/>
      <c r="ZF1667" s="38"/>
      <c r="ZG1667" s="38"/>
      <c r="ZH1667" s="38"/>
      <c r="ZI1667" s="38"/>
      <c r="ZJ1667" s="38"/>
      <c r="ZK1667" s="38"/>
      <c r="ZL1667" s="38"/>
      <c r="ZM1667" s="38"/>
      <c r="ZN1667" s="38"/>
      <c r="ZO1667" s="38"/>
      <c r="ZP1667" s="38"/>
      <c r="ZQ1667" s="38"/>
      <c r="ZR1667" s="38"/>
      <c r="ZS1667" s="38"/>
      <c r="ZT1667" s="38"/>
      <c r="ZU1667" s="38"/>
      <c r="ZV1667" s="38"/>
      <c r="ZW1667" s="38"/>
      <c r="ZX1667" s="38"/>
      <c r="ZY1667" s="38"/>
      <c r="ZZ1667" s="38"/>
      <c r="AAA1667" s="38"/>
      <c r="AAB1667" s="38"/>
      <c r="AAC1667" s="38"/>
      <c r="AAD1667" s="38"/>
      <c r="AAE1667" s="38"/>
      <c r="AAF1667" s="38"/>
      <c r="AAG1667" s="38"/>
      <c r="AAH1667" s="38"/>
      <c r="AAI1667" s="38"/>
      <c r="AAJ1667" s="38"/>
      <c r="AAK1667" s="38"/>
      <c r="AAL1667" s="38"/>
      <c r="AAM1667" s="38"/>
      <c r="AAN1667" s="38"/>
      <c r="AAO1667" s="38"/>
      <c r="AAP1667" s="38"/>
      <c r="AAQ1667" s="38"/>
      <c r="AAR1667" s="38"/>
      <c r="AAS1667" s="38"/>
      <c r="AAT1667" s="38"/>
      <c r="AAU1667" s="38"/>
      <c r="AAV1667" s="38"/>
      <c r="AAW1667" s="38"/>
      <c r="AAX1667" s="38"/>
      <c r="AAY1667" s="38"/>
      <c r="AAZ1667" s="38"/>
      <c r="ABA1667" s="38"/>
      <c r="ABB1667" s="38"/>
      <c r="ABC1667" s="38"/>
      <c r="ABD1667" s="38"/>
      <c r="ABE1667" s="38"/>
      <c r="ABF1667" s="38"/>
      <c r="ABG1667" s="38"/>
      <c r="ABH1667" s="38"/>
      <c r="ABI1667" s="38"/>
      <c r="ABJ1667" s="38"/>
      <c r="ABK1667" s="38"/>
      <c r="ABL1667" s="38"/>
      <c r="ABM1667" s="38"/>
      <c r="ABN1667" s="38"/>
      <c r="ABO1667" s="38"/>
      <c r="ABP1667" s="38"/>
      <c r="ABQ1667" s="38"/>
      <c r="ABR1667" s="38"/>
      <c r="ABS1667" s="38"/>
      <c r="ABT1667" s="38"/>
      <c r="ABU1667" s="38"/>
      <c r="ABV1667" s="38"/>
      <c r="ABW1667" s="38"/>
      <c r="ABX1667" s="38"/>
      <c r="ABY1667" s="38"/>
      <c r="ABZ1667" s="38"/>
      <c r="ACA1667" s="38"/>
      <c r="ACB1667" s="38"/>
      <c r="ACC1667" s="38"/>
      <c r="ACD1667" s="38"/>
      <c r="ACE1667" s="38"/>
      <c r="ACF1667" s="38"/>
      <c r="ACG1667" s="38"/>
      <c r="ACH1667" s="38"/>
      <c r="ACI1667" s="38"/>
      <c r="ACJ1667" s="38"/>
      <c r="ACK1667" s="38"/>
      <c r="ACL1667" s="38"/>
      <c r="ACM1667" s="38"/>
      <c r="ACN1667" s="38"/>
      <c r="ACO1667" s="38"/>
      <c r="ACP1667" s="38"/>
      <c r="ACQ1667" s="38"/>
      <c r="ACR1667" s="38"/>
      <c r="ACS1667" s="38"/>
      <c r="ACT1667" s="38"/>
      <c r="ACU1667" s="38"/>
      <c r="ACV1667" s="38"/>
      <c r="ACW1667" s="38"/>
      <c r="ACX1667" s="38"/>
      <c r="ACY1667" s="38"/>
      <c r="ACZ1667" s="38"/>
      <c r="ADA1667" s="38"/>
      <c r="ADB1667" s="38"/>
      <c r="ADC1667" s="38"/>
      <c r="ADD1667" s="38"/>
      <c r="ADE1667" s="38"/>
      <c r="ADF1667" s="38"/>
      <c r="ADG1667" s="38"/>
      <c r="ADH1667" s="38"/>
      <c r="ADI1667" s="38"/>
      <c r="ADJ1667" s="38"/>
      <c r="ADK1667" s="38"/>
      <c r="ADL1667" s="38"/>
      <c r="ADM1667" s="38"/>
      <c r="ADN1667" s="38"/>
      <c r="ADO1667" s="38"/>
      <c r="ADP1667" s="38"/>
      <c r="ADQ1667" s="38"/>
      <c r="ADR1667" s="38"/>
      <c r="ADS1667" s="38"/>
      <c r="ADT1667" s="38"/>
      <c r="ADU1667" s="38"/>
      <c r="ADV1667" s="38"/>
      <c r="ADW1667" s="38"/>
      <c r="ADX1667" s="38"/>
      <c r="ADY1667" s="38"/>
      <c r="ADZ1667" s="38"/>
      <c r="AEA1667" s="38"/>
      <c r="AEB1667" s="38"/>
      <c r="AEC1667" s="38"/>
      <c r="AED1667" s="38"/>
      <c r="AEE1667" s="38"/>
      <c r="AEF1667" s="38"/>
      <c r="AEG1667" s="38"/>
      <c r="AEH1667" s="38"/>
      <c r="AEI1667" s="38"/>
      <c r="AEJ1667" s="38"/>
      <c r="AEK1667" s="38"/>
      <c r="AEL1667" s="38"/>
      <c r="AEM1667" s="38"/>
      <c r="AEN1667" s="38"/>
      <c r="AEO1667" s="38"/>
      <c r="AEP1667" s="38"/>
      <c r="AEQ1667" s="38"/>
      <c r="AER1667" s="38"/>
      <c r="AES1667" s="38"/>
      <c r="AET1667" s="38"/>
      <c r="AEU1667" s="38"/>
      <c r="AEV1667" s="38"/>
      <c r="AEW1667" s="38"/>
      <c r="AEX1667" s="38"/>
      <c r="AEY1667" s="38"/>
      <c r="AEZ1667" s="38"/>
      <c r="AFA1667" s="38"/>
      <c r="AFB1667" s="38"/>
      <c r="AFC1667" s="38"/>
      <c r="AFD1667" s="38"/>
      <c r="AFE1667" s="38"/>
      <c r="AFF1667" s="38"/>
      <c r="AFG1667" s="38"/>
      <c r="AFH1667" s="38"/>
      <c r="AFI1667" s="38"/>
      <c r="AFJ1667" s="38"/>
      <c r="AFK1667" s="38"/>
      <c r="AFL1667" s="38"/>
      <c r="AFM1667" s="38"/>
      <c r="AFN1667" s="38"/>
      <c r="AFO1667" s="38"/>
      <c r="AFP1667" s="38"/>
      <c r="AFQ1667" s="38"/>
      <c r="AFR1667" s="38"/>
      <c r="AFS1667" s="38"/>
      <c r="AFT1667" s="38"/>
      <c r="AFU1667" s="38"/>
      <c r="AFV1667" s="38"/>
      <c r="AFW1667" s="38"/>
      <c r="AFX1667" s="38"/>
      <c r="AFY1667" s="38"/>
      <c r="AFZ1667" s="38"/>
      <c r="AGA1667" s="38"/>
      <c r="AGB1667" s="38"/>
      <c r="AGC1667" s="38"/>
      <c r="AGD1667" s="38"/>
      <c r="AGE1667" s="38"/>
      <c r="AGF1667" s="38"/>
      <c r="AGG1667" s="38"/>
      <c r="AGH1667" s="38"/>
      <c r="AGI1667" s="38"/>
      <c r="AGJ1667" s="38"/>
      <c r="AGK1667" s="38"/>
      <c r="AGL1667" s="38"/>
      <c r="AGM1667" s="38"/>
      <c r="AGN1667" s="38"/>
      <c r="AGO1667" s="38"/>
      <c r="AGP1667" s="38"/>
      <c r="AGQ1667" s="38"/>
      <c r="AGR1667" s="38"/>
      <c r="AGS1667" s="38"/>
      <c r="AGT1667" s="38"/>
      <c r="AGU1667" s="38"/>
      <c r="AGV1667" s="38"/>
      <c r="AGW1667" s="38"/>
      <c r="AGX1667" s="38"/>
      <c r="AGY1667" s="38"/>
      <c r="AGZ1667" s="38"/>
      <c r="AHA1667" s="38"/>
      <c r="AHB1667" s="38"/>
      <c r="AHC1667" s="38"/>
      <c r="AHD1667" s="38"/>
      <c r="AHE1667" s="38"/>
      <c r="AHF1667" s="38"/>
      <c r="AHG1667" s="38"/>
      <c r="AHH1667" s="38"/>
      <c r="AHI1667" s="38"/>
      <c r="AHJ1667" s="38"/>
      <c r="AHK1667" s="38"/>
      <c r="AHL1667" s="38"/>
      <c r="AHM1667" s="38"/>
      <c r="AHN1667" s="38"/>
      <c r="AHO1667" s="38"/>
      <c r="AHP1667" s="38"/>
      <c r="AHQ1667" s="38"/>
      <c r="AHR1667" s="38"/>
      <c r="AHS1667" s="38"/>
      <c r="AHT1667" s="38"/>
      <c r="AHU1667" s="38"/>
      <c r="AHV1667" s="38"/>
      <c r="AHW1667" s="38"/>
      <c r="AHX1667" s="38"/>
      <c r="AHY1667" s="38"/>
      <c r="AHZ1667" s="38"/>
      <c r="AIA1667" s="38"/>
      <c r="AIB1667" s="38"/>
      <c r="AIC1667" s="38"/>
      <c r="AID1667" s="38"/>
      <c r="AIE1667" s="38"/>
      <c r="AIF1667" s="38"/>
      <c r="AIG1667" s="38"/>
      <c r="AIH1667" s="38"/>
      <c r="AII1667" s="38"/>
      <c r="AIJ1667" s="38"/>
      <c r="AIK1667" s="38"/>
      <c r="AIL1667" s="38"/>
      <c r="AIM1667" s="38"/>
      <c r="AIN1667" s="38"/>
      <c r="AIO1667" s="38"/>
      <c r="AIP1667" s="38"/>
      <c r="AIQ1667" s="38"/>
      <c r="AIR1667" s="38"/>
      <c r="AIS1667" s="38"/>
      <c r="AIT1667" s="38"/>
      <c r="AIU1667" s="38"/>
      <c r="AIV1667" s="38"/>
      <c r="AIW1667" s="38"/>
      <c r="AIX1667" s="38"/>
      <c r="AIY1667" s="38"/>
      <c r="AIZ1667" s="38"/>
      <c r="AJA1667" s="38"/>
      <c r="AJB1667" s="38"/>
      <c r="AJC1667" s="38"/>
      <c r="AJD1667" s="38"/>
      <c r="AJE1667" s="38"/>
      <c r="AJF1667" s="38"/>
      <c r="AJG1667" s="38"/>
      <c r="AJH1667" s="38"/>
      <c r="AJI1667" s="38"/>
      <c r="AJJ1667" s="38"/>
      <c r="AJK1667" s="38"/>
      <c r="AJL1667" s="38"/>
      <c r="AJM1667" s="38"/>
      <c r="AJN1667" s="38"/>
      <c r="AJO1667" s="38"/>
      <c r="AJP1667" s="38"/>
      <c r="AJQ1667" s="38"/>
      <c r="AJR1667" s="38"/>
      <c r="AJS1667" s="38"/>
      <c r="AJT1667" s="38"/>
      <c r="AJU1667" s="38"/>
      <c r="AJV1667" s="38"/>
      <c r="AJW1667" s="38"/>
      <c r="AJX1667" s="38"/>
      <c r="AJY1667" s="38"/>
      <c r="AJZ1667" s="38"/>
      <c r="AKA1667" s="38"/>
      <c r="AKB1667" s="38"/>
      <c r="AKC1667" s="38"/>
      <c r="AKD1667" s="38"/>
      <c r="AKE1667" s="38"/>
      <c r="AKF1667" s="38"/>
      <c r="AKG1667" s="38"/>
      <c r="AKH1667" s="38"/>
      <c r="AKI1667" s="38"/>
      <c r="AKJ1667" s="38"/>
      <c r="AKK1667" s="38"/>
      <c r="AKL1667" s="38"/>
      <c r="AKM1667" s="38"/>
      <c r="AKN1667" s="38"/>
      <c r="AKO1667" s="38"/>
      <c r="AKP1667" s="38"/>
      <c r="AKQ1667" s="38"/>
      <c r="AKR1667" s="38"/>
      <c r="AKS1667" s="38"/>
      <c r="AKT1667" s="38"/>
      <c r="AKU1667" s="38"/>
      <c r="AKV1667" s="38"/>
      <c r="AKW1667" s="38"/>
      <c r="AKX1667" s="38"/>
      <c r="AKY1667" s="38"/>
      <c r="AKZ1667" s="38"/>
      <c r="ALA1667" s="38"/>
      <c r="ALB1667" s="38"/>
      <c r="ALC1667" s="38"/>
      <c r="ALD1667" s="38"/>
      <c r="ALE1667" s="38"/>
      <c r="ALF1667" s="38"/>
      <c r="ALG1667" s="38"/>
      <c r="ALH1667" s="38"/>
      <c r="ALI1667" s="38"/>
      <c r="ALJ1667" s="38"/>
      <c r="ALK1667" s="38"/>
      <c r="ALL1667" s="38"/>
      <c r="ALM1667" s="38"/>
      <c r="ALN1667" s="38"/>
      <c r="ALO1667" s="38"/>
      <c r="ALP1667" s="38"/>
      <c r="ALQ1667" s="38"/>
      <c r="ALR1667" s="38"/>
      <c r="ALS1667" s="38"/>
      <c r="ALT1667" s="38"/>
      <c r="ALU1667" s="38"/>
      <c r="ALV1667" s="38"/>
      <c r="ALW1667" s="38"/>
      <c r="ALX1667" s="38"/>
      <c r="ALY1667" s="38"/>
      <c r="ALZ1667" s="38"/>
      <c r="AMA1667" s="38"/>
      <c r="AMB1667" s="38"/>
      <c r="AMC1667" s="38"/>
      <c r="AMD1667" s="38"/>
      <c r="AME1667" s="38"/>
      <c r="AMF1667" s="38"/>
      <c r="AMG1667" s="38"/>
      <c r="AMH1667" s="38"/>
      <c r="AMI1667" s="38"/>
      <c r="AMJ1667" s="38"/>
      <c r="AMK1667" s="38"/>
      <c r="AML1667" s="38"/>
      <c r="AMM1667" s="38"/>
      <c r="AMN1667" s="38"/>
      <c r="AMO1667" s="38"/>
      <c r="AMP1667" s="38"/>
      <c r="AMQ1667" s="38"/>
      <c r="AMR1667" s="38"/>
      <c r="AMS1667" s="38"/>
      <c r="AMT1667" s="38"/>
      <c r="AMU1667" s="38"/>
      <c r="AMV1667" s="38"/>
      <c r="AMW1667" s="38"/>
      <c r="AMX1667" s="38"/>
      <c r="AMY1667" s="38"/>
      <c r="AMZ1667" s="38"/>
      <c r="ANA1667" s="38"/>
      <c r="ANB1667" s="38"/>
      <c r="ANC1667" s="38"/>
      <c r="AND1667" s="38"/>
      <c r="ANE1667" s="38"/>
      <c r="ANF1667" s="38"/>
      <c r="ANG1667" s="38"/>
      <c r="ANH1667" s="38"/>
      <c r="ANI1667" s="38"/>
      <c r="ANJ1667" s="38"/>
      <c r="ANK1667" s="38"/>
      <c r="ANL1667" s="38"/>
      <c r="ANM1667" s="38"/>
      <c r="ANN1667" s="38"/>
      <c r="ANO1667" s="38"/>
      <c r="ANP1667" s="38"/>
      <c r="ANQ1667" s="38"/>
      <c r="ANR1667" s="38"/>
      <c r="ANS1667" s="38"/>
      <c r="ANT1667" s="38"/>
      <c r="ANU1667" s="38"/>
      <c r="ANV1667" s="38"/>
      <c r="ANW1667" s="38"/>
      <c r="ANX1667" s="38"/>
      <c r="ANY1667" s="38"/>
      <c r="ANZ1667" s="38"/>
      <c r="AOA1667" s="38"/>
      <c r="AOB1667" s="38"/>
      <c r="AOC1667" s="38"/>
      <c r="AOD1667" s="38"/>
      <c r="AOE1667" s="38"/>
      <c r="AOF1667" s="38"/>
      <c r="AOG1667" s="38"/>
      <c r="AOH1667" s="38"/>
      <c r="AOI1667" s="38"/>
      <c r="AOJ1667" s="38"/>
      <c r="AOK1667" s="38"/>
      <c r="AOL1667" s="38"/>
      <c r="AOM1667" s="38"/>
      <c r="AON1667" s="38"/>
      <c r="AOO1667" s="38"/>
      <c r="AOP1667" s="38"/>
      <c r="AOQ1667" s="38"/>
      <c r="AOR1667" s="38"/>
      <c r="AOS1667" s="38"/>
      <c r="AOT1667" s="38"/>
      <c r="AOU1667" s="38"/>
      <c r="AOV1667" s="38"/>
      <c r="AOW1667" s="38"/>
      <c r="AOX1667" s="38"/>
      <c r="AOY1667" s="38"/>
      <c r="AOZ1667" s="38"/>
      <c r="APA1667" s="38"/>
      <c r="APB1667" s="38"/>
      <c r="APC1667" s="38"/>
    </row>
    <row r="1668" spans="1:1095" s="36" customFormat="1" ht="14.25" customHeight="1">
      <c r="A1668" s="3" t="s">
        <v>1722</v>
      </c>
      <c r="B1668" s="36" t="s">
        <v>3951</v>
      </c>
      <c r="C1668" s="251">
        <v>4099854029110</v>
      </c>
      <c r="D1668" s="224">
        <v>4058075543065</v>
      </c>
      <c r="E1668" s="245" t="s">
        <v>1593</v>
      </c>
      <c r="F1668" s="246"/>
      <c r="G1668" s="66" t="str">
        <f>HYPERLINK("https://ledvance.com/pt/product-datasheet/245161/229936","Ficha de Produto")</f>
        <v>Ficha de Produto</v>
      </c>
      <c r="H1668" s="217">
        <v>10</v>
      </c>
      <c r="I1668" s="34" t="s">
        <v>834</v>
      </c>
      <c r="J1668" s="34" t="s">
        <v>881</v>
      </c>
      <c r="K1668" s="34" t="s">
        <v>788</v>
      </c>
      <c r="L1668" s="34" t="s">
        <v>765</v>
      </c>
      <c r="M1668" s="247">
        <v>47</v>
      </c>
      <c r="N1668" s="288" t="s">
        <v>722</v>
      </c>
    </row>
    <row r="1669" spans="1:1095" s="36" customFormat="1" ht="14.25" customHeight="1">
      <c r="A1669" s="3" t="s">
        <v>1722</v>
      </c>
      <c r="B1669" s="36" t="s">
        <v>3952</v>
      </c>
      <c r="C1669" s="251">
        <v>4099854029134</v>
      </c>
      <c r="D1669" s="224">
        <v>4058075543089</v>
      </c>
      <c r="E1669" s="245" t="s">
        <v>1594</v>
      </c>
      <c r="F1669" s="246"/>
      <c r="G1669" s="66" t="str">
        <f>HYPERLINK("https://ledvance.com/pt/product-datasheet/245161/229939","Ficha de Produto")</f>
        <v>Ficha de Produto</v>
      </c>
      <c r="H1669" s="217">
        <v>10</v>
      </c>
      <c r="I1669" s="34" t="s">
        <v>815</v>
      </c>
      <c r="J1669" s="34" t="s">
        <v>881</v>
      </c>
      <c r="K1669" s="34" t="s">
        <v>788</v>
      </c>
      <c r="L1669" s="34" t="s">
        <v>765</v>
      </c>
      <c r="M1669" s="247">
        <v>47</v>
      </c>
      <c r="N1669" s="288" t="s">
        <v>722</v>
      </c>
    </row>
    <row r="1670" spans="1:1095" s="36" customFormat="1" ht="14.25" customHeight="1">
      <c r="A1670" s="3" t="s">
        <v>1722</v>
      </c>
      <c r="B1670" s="36" t="s">
        <v>3953</v>
      </c>
      <c r="C1670" s="251">
        <v>4099854029158</v>
      </c>
      <c r="D1670" s="224">
        <v>4058075543102</v>
      </c>
      <c r="E1670" s="245" t="s">
        <v>1595</v>
      </c>
      <c r="F1670" s="246"/>
      <c r="G1670" s="66" t="str">
        <f>HYPERLINK("https://ledvance.com/pt/product-datasheet/245161/229942","Ficha de Produto")</f>
        <v>Ficha de Produto</v>
      </c>
      <c r="H1670" s="217">
        <v>10</v>
      </c>
      <c r="I1670" s="34" t="s">
        <v>815</v>
      </c>
      <c r="J1670" s="34" t="s">
        <v>881</v>
      </c>
      <c r="K1670" s="34" t="s">
        <v>788</v>
      </c>
      <c r="L1670" s="34" t="s">
        <v>765</v>
      </c>
      <c r="M1670" s="247">
        <v>47</v>
      </c>
      <c r="N1670" s="288" t="s">
        <v>722</v>
      </c>
    </row>
    <row r="1671" spans="1:1095" s="39" customFormat="1" ht="14.25" customHeight="1">
      <c r="A1671" s="8" t="s">
        <v>1722</v>
      </c>
      <c r="B1671" s="244" t="s">
        <v>2059</v>
      </c>
      <c r="C1671" s="244"/>
      <c r="D1671" s="7"/>
      <c r="E1671" s="230"/>
      <c r="F1671" s="7"/>
      <c r="G1671" s="68"/>
      <c r="H1671" s="230"/>
      <c r="I1671" s="230"/>
      <c r="J1671" s="230"/>
      <c r="K1671" s="230"/>
      <c r="L1671" s="230"/>
      <c r="M1671" s="248"/>
      <c r="N1671" s="284"/>
      <c r="O1671" s="38"/>
      <c r="P1671" s="38"/>
      <c r="Q1671" s="38"/>
      <c r="R1671" s="38"/>
      <c r="S1671" s="38"/>
      <c r="T1671" s="38"/>
      <c r="U1671" s="38"/>
      <c r="V1671" s="38"/>
      <c r="W1671" s="38"/>
      <c r="X1671" s="38"/>
      <c r="Y1671" s="38"/>
      <c r="Z1671" s="38"/>
      <c r="AA1671" s="38"/>
      <c r="AB1671" s="38"/>
      <c r="AC1671" s="38"/>
      <c r="AD1671" s="38"/>
      <c r="AE1671" s="38"/>
      <c r="AF1671" s="38"/>
      <c r="AG1671" s="38"/>
      <c r="AH1671" s="38"/>
      <c r="AI1671" s="38"/>
      <c r="AJ1671" s="38"/>
      <c r="AK1671" s="38"/>
      <c r="AL1671" s="38"/>
      <c r="AM1671" s="38"/>
      <c r="AN1671" s="38"/>
      <c r="AO1671" s="38"/>
      <c r="AP1671" s="38"/>
      <c r="AQ1671" s="38"/>
      <c r="AR1671" s="38"/>
      <c r="AS1671" s="38"/>
      <c r="AT1671" s="38"/>
      <c r="AU1671" s="38"/>
      <c r="AV1671" s="38"/>
      <c r="AW1671" s="38"/>
      <c r="AX1671" s="38"/>
      <c r="AY1671" s="38"/>
      <c r="AZ1671" s="38"/>
      <c r="BA1671" s="38"/>
      <c r="BB1671" s="38"/>
      <c r="BC1671" s="38"/>
      <c r="BD1671" s="38"/>
      <c r="BE1671" s="38"/>
      <c r="BF1671" s="38"/>
      <c r="BG1671" s="38"/>
      <c r="BH1671" s="38"/>
      <c r="BI1671" s="38"/>
      <c r="BJ1671" s="38"/>
      <c r="BK1671" s="38"/>
      <c r="BL1671" s="38"/>
      <c r="BM1671" s="38"/>
      <c r="BN1671" s="38"/>
      <c r="BO1671" s="38"/>
      <c r="BP1671" s="38"/>
      <c r="BQ1671" s="38"/>
      <c r="BR1671" s="38"/>
      <c r="BS1671" s="38"/>
      <c r="BT1671" s="38"/>
      <c r="BU1671" s="38"/>
      <c r="BV1671" s="38"/>
      <c r="BW1671" s="38"/>
      <c r="BX1671" s="38"/>
      <c r="BY1671" s="38"/>
      <c r="BZ1671" s="38"/>
      <c r="CA1671" s="38"/>
      <c r="CB1671" s="38"/>
      <c r="CC1671" s="38"/>
      <c r="CD1671" s="38"/>
      <c r="CE1671" s="38"/>
      <c r="CF1671" s="38"/>
      <c r="CG1671" s="38"/>
      <c r="CH1671" s="38"/>
      <c r="CI1671" s="38"/>
      <c r="CJ1671" s="38"/>
      <c r="CK1671" s="38"/>
      <c r="CL1671" s="38"/>
      <c r="CM1671" s="38"/>
      <c r="CN1671" s="38"/>
      <c r="CO1671" s="38"/>
      <c r="CP1671" s="38"/>
      <c r="CQ1671" s="38"/>
      <c r="CR1671" s="38"/>
      <c r="CS1671" s="38"/>
      <c r="CT1671" s="38"/>
      <c r="CU1671" s="38"/>
      <c r="CV1671" s="38"/>
      <c r="CW1671" s="38"/>
      <c r="CX1671" s="38"/>
      <c r="CY1671" s="38"/>
      <c r="CZ1671" s="38"/>
      <c r="DA1671" s="38"/>
      <c r="DB1671" s="38"/>
      <c r="DC1671" s="38"/>
      <c r="DD1671" s="38"/>
      <c r="DE1671" s="38"/>
      <c r="DF1671" s="38"/>
      <c r="DG1671" s="38"/>
      <c r="DH1671" s="38"/>
      <c r="DI1671" s="38"/>
      <c r="DJ1671" s="38"/>
      <c r="DK1671" s="38"/>
      <c r="DL1671" s="38"/>
      <c r="DM1671" s="38"/>
      <c r="DN1671" s="38"/>
      <c r="DO1671" s="38"/>
      <c r="DP1671" s="38"/>
      <c r="DQ1671" s="38"/>
      <c r="DR1671" s="38"/>
      <c r="DS1671" s="38"/>
      <c r="DT1671" s="38"/>
      <c r="DU1671" s="38"/>
      <c r="DV1671" s="38"/>
      <c r="DW1671" s="38"/>
      <c r="DX1671" s="38"/>
      <c r="DY1671" s="38"/>
      <c r="DZ1671" s="38"/>
      <c r="EA1671" s="38"/>
      <c r="EB1671" s="38"/>
      <c r="EC1671" s="38"/>
      <c r="ED1671" s="38"/>
      <c r="EE1671" s="38"/>
      <c r="EF1671" s="38"/>
      <c r="EG1671" s="38"/>
      <c r="EH1671" s="38"/>
      <c r="EI1671" s="38"/>
      <c r="EJ1671" s="38"/>
      <c r="EK1671" s="38"/>
      <c r="EL1671" s="38"/>
      <c r="EM1671" s="38"/>
      <c r="EN1671" s="38"/>
      <c r="EO1671" s="38"/>
      <c r="EP1671" s="38"/>
      <c r="EQ1671" s="38"/>
      <c r="ER1671" s="38"/>
      <c r="ES1671" s="38"/>
      <c r="ET1671" s="38"/>
      <c r="EU1671" s="38"/>
      <c r="EV1671" s="38"/>
      <c r="EW1671" s="38"/>
      <c r="EX1671" s="38"/>
      <c r="EY1671" s="38"/>
      <c r="EZ1671" s="38"/>
      <c r="FA1671" s="38"/>
      <c r="FB1671" s="38"/>
      <c r="FC1671" s="38"/>
      <c r="FD1671" s="38"/>
      <c r="FE1671" s="38"/>
      <c r="FF1671" s="38"/>
      <c r="FG1671" s="38"/>
      <c r="FH1671" s="38"/>
      <c r="FI1671" s="38"/>
      <c r="FJ1671" s="38"/>
      <c r="FK1671" s="38"/>
      <c r="FL1671" s="38"/>
      <c r="FM1671" s="38"/>
      <c r="FN1671" s="38"/>
      <c r="FO1671" s="38"/>
      <c r="FP1671" s="38"/>
      <c r="FQ1671" s="38"/>
      <c r="FR1671" s="38"/>
      <c r="FS1671" s="38"/>
      <c r="FT1671" s="38"/>
      <c r="FU1671" s="38"/>
      <c r="FV1671" s="38"/>
      <c r="FW1671" s="38"/>
      <c r="FX1671" s="38"/>
      <c r="FY1671" s="38"/>
      <c r="FZ1671" s="38"/>
      <c r="GA1671" s="38"/>
      <c r="GB1671" s="38"/>
      <c r="GC1671" s="38"/>
      <c r="GD1671" s="38"/>
      <c r="GE1671" s="38"/>
      <c r="GF1671" s="38"/>
      <c r="GG1671" s="38"/>
      <c r="GH1671" s="38"/>
      <c r="GI1671" s="38"/>
      <c r="GJ1671" s="38"/>
      <c r="GK1671" s="38"/>
      <c r="GL1671" s="38"/>
      <c r="GM1671" s="38"/>
      <c r="GN1671" s="38"/>
      <c r="GO1671" s="38"/>
      <c r="GP1671" s="38"/>
      <c r="GQ1671" s="38"/>
      <c r="GR1671" s="38"/>
      <c r="GS1671" s="38"/>
      <c r="GT1671" s="38"/>
      <c r="GU1671" s="38"/>
      <c r="GV1671" s="38"/>
      <c r="GW1671" s="38"/>
      <c r="GX1671" s="38"/>
      <c r="GY1671" s="38"/>
      <c r="GZ1671" s="38"/>
      <c r="HA1671" s="38"/>
      <c r="HB1671" s="38"/>
      <c r="HC1671" s="38"/>
      <c r="HD1671" s="38"/>
      <c r="HE1671" s="38"/>
      <c r="HF1671" s="38"/>
      <c r="HG1671" s="38"/>
      <c r="HH1671" s="38"/>
      <c r="HI1671" s="38"/>
      <c r="HJ1671" s="38"/>
      <c r="HK1671" s="38"/>
      <c r="HL1671" s="38"/>
      <c r="HM1671" s="38"/>
      <c r="HN1671" s="38"/>
      <c r="HO1671" s="38"/>
      <c r="HP1671" s="38"/>
      <c r="HQ1671" s="38"/>
      <c r="HR1671" s="38"/>
      <c r="HS1671" s="38"/>
      <c r="HT1671" s="38"/>
      <c r="HU1671" s="38"/>
      <c r="HV1671" s="38"/>
      <c r="HW1671" s="38"/>
      <c r="HX1671" s="38"/>
      <c r="HY1671" s="38"/>
      <c r="HZ1671" s="38"/>
      <c r="IA1671" s="38"/>
      <c r="IB1671" s="38"/>
      <c r="IC1671" s="38"/>
      <c r="ID1671" s="38"/>
      <c r="IE1671" s="38"/>
      <c r="IF1671" s="38"/>
      <c r="IG1671" s="38"/>
      <c r="IH1671" s="38"/>
      <c r="II1671" s="38"/>
      <c r="IJ1671" s="38"/>
      <c r="IK1671" s="38"/>
      <c r="IL1671" s="38"/>
      <c r="IM1671" s="38"/>
      <c r="IN1671" s="38"/>
      <c r="IO1671" s="38"/>
      <c r="IP1671" s="38"/>
      <c r="IQ1671" s="38"/>
      <c r="IR1671" s="38"/>
      <c r="IS1671" s="38"/>
      <c r="IT1671" s="38"/>
      <c r="IU1671" s="38"/>
      <c r="IV1671" s="38"/>
      <c r="IW1671" s="38"/>
      <c r="IX1671" s="38"/>
      <c r="IY1671" s="38"/>
      <c r="IZ1671" s="38"/>
      <c r="JA1671" s="38"/>
      <c r="JB1671" s="38"/>
      <c r="JC1671" s="38"/>
      <c r="JD1671" s="38"/>
      <c r="JE1671" s="38"/>
      <c r="JF1671" s="38"/>
      <c r="JG1671" s="38"/>
      <c r="JH1671" s="38"/>
      <c r="JI1671" s="38"/>
      <c r="JJ1671" s="38"/>
      <c r="JK1671" s="38"/>
      <c r="JL1671" s="38"/>
      <c r="JM1671" s="38"/>
      <c r="JN1671" s="38"/>
      <c r="JO1671" s="38"/>
      <c r="JP1671" s="38"/>
      <c r="JQ1671" s="38"/>
      <c r="JR1671" s="38"/>
      <c r="JS1671" s="38"/>
      <c r="JT1671" s="38"/>
      <c r="JU1671" s="38"/>
      <c r="JV1671" s="38"/>
      <c r="JW1671" s="38"/>
      <c r="JX1671" s="38"/>
      <c r="JY1671" s="38"/>
      <c r="JZ1671" s="38"/>
      <c r="KA1671" s="38"/>
      <c r="KB1671" s="38"/>
      <c r="KC1671" s="38"/>
      <c r="KD1671" s="38"/>
      <c r="KE1671" s="38"/>
      <c r="KF1671" s="38"/>
      <c r="KG1671" s="38"/>
      <c r="KH1671" s="38"/>
      <c r="KI1671" s="38"/>
      <c r="KJ1671" s="38"/>
      <c r="KK1671" s="38"/>
      <c r="KL1671" s="38"/>
      <c r="KM1671" s="38"/>
      <c r="KN1671" s="38"/>
      <c r="KO1671" s="38"/>
      <c r="KP1671" s="38"/>
      <c r="KQ1671" s="38"/>
      <c r="KR1671" s="38"/>
      <c r="KS1671" s="38"/>
      <c r="KT1671" s="38"/>
      <c r="KU1671" s="38"/>
      <c r="KV1671" s="38"/>
      <c r="KW1671" s="38"/>
      <c r="KX1671" s="38"/>
      <c r="KY1671" s="38"/>
      <c r="KZ1671" s="38"/>
      <c r="LA1671" s="38"/>
      <c r="LB1671" s="38"/>
      <c r="LC1671" s="38"/>
      <c r="LD1671" s="38"/>
      <c r="LE1671" s="38"/>
      <c r="LF1671" s="38"/>
      <c r="LG1671" s="38"/>
      <c r="LH1671" s="38"/>
      <c r="LI1671" s="38"/>
      <c r="LJ1671" s="38"/>
      <c r="LK1671" s="38"/>
      <c r="LL1671" s="38"/>
      <c r="LM1671" s="38"/>
      <c r="LN1671" s="38"/>
      <c r="LO1671" s="38"/>
      <c r="LP1671" s="38"/>
      <c r="LQ1671" s="38"/>
      <c r="LR1671" s="38"/>
      <c r="LS1671" s="38"/>
      <c r="LT1671" s="38"/>
      <c r="LU1671" s="38"/>
      <c r="LV1671" s="38"/>
      <c r="LW1671" s="38"/>
      <c r="LX1671" s="38"/>
      <c r="LY1671" s="38"/>
      <c r="LZ1671" s="38"/>
      <c r="MA1671" s="38"/>
      <c r="MB1671" s="38"/>
      <c r="MC1671" s="38"/>
      <c r="MD1671" s="38"/>
      <c r="ME1671" s="38"/>
      <c r="MF1671" s="38"/>
      <c r="MG1671" s="38"/>
      <c r="MH1671" s="38"/>
      <c r="MI1671" s="38"/>
      <c r="MJ1671" s="38"/>
      <c r="MK1671" s="38"/>
      <c r="ML1671" s="38"/>
      <c r="MM1671" s="38"/>
      <c r="MN1671" s="38"/>
      <c r="MO1671" s="38"/>
      <c r="MP1671" s="38"/>
      <c r="MQ1671" s="38"/>
      <c r="MR1671" s="38"/>
      <c r="MS1671" s="38"/>
      <c r="MT1671" s="38"/>
      <c r="MU1671" s="38"/>
      <c r="MV1671" s="38"/>
      <c r="MW1671" s="38"/>
      <c r="MX1671" s="38"/>
      <c r="MY1671" s="38"/>
      <c r="MZ1671" s="38"/>
      <c r="NA1671" s="38"/>
      <c r="NB1671" s="38"/>
      <c r="NC1671" s="38"/>
      <c r="ND1671" s="38"/>
      <c r="NE1671" s="38"/>
      <c r="NF1671" s="38"/>
      <c r="NG1671" s="38"/>
      <c r="NH1671" s="38"/>
      <c r="NI1671" s="38"/>
      <c r="NJ1671" s="38"/>
      <c r="NK1671" s="38"/>
      <c r="NL1671" s="38"/>
      <c r="NM1671" s="38"/>
      <c r="NN1671" s="38"/>
      <c r="NO1671" s="38"/>
      <c r="NP1671" s="38"/>
      <c r="NQ1671" s="38"/>
      <c r="NR1671" s="38"/>
      <c r="NS1671" s="38"/>
      <c r="NT1671" s="38"/>
      <c r="NU1671" s="38"/>
      <c r="NV1671" s="38"/>
      <c r="NW1671" s="38"/>
      <c r="NX1671" s="38"/>
      <c r="NY1671" s="38"/>
      <c r="NZ1671" s="38"/>
      <c r="OA1671" s="38"/>
      <c r="OB1671" s="38"/>
      <c r="OC1671" s="38"/>
      <c r="OD1671" s="38"/>
      <c r="OE1671" s="38"/>
      <c r="OF1671" s="38"/>
      <c r="OG1671" s="38"/>
      <c r="OH1671" s="38"/>
      <c r="OI1671" s="38"/>
      <c r="OJ1671" s="38"/>
      <c r="OK1671" s="38"/>
      <c r="OL1671" s="38"/>
      <c r="OM1671" s="38"/>
      <c r="ON1671" s="38"/>
      <c r="OO1671" s="38"/>
      <c r="OP1671" s="38"/>
      <c r="OQ1671" s="38"/>
      <c r="OR1671" s="38"/>
      <c r="OS1671" s="38"/>
      <c r="OT1671" s="38"/>
      <c r="OU1671" s="38"/>
      <c r="OV1671" s="38"/>
      <c r="OW1671" s="38"/>
      <c r="OX1671" s="38"/>
      <c r="OY1671" s="38"/>
      <c r="OZ1671" s="38"/>
      <c r="PA1671" s="38"/>
      <c r="PB1671" s="38"/>
      <c r="PC1671" s="38"/>
      <c r="PD1671" s="38"/>
      <c r="PE1671" s="38"/>
      <c r="PF1671" s="38"/>
      <c r="PG1671" s="38"/>
      <c r="PH1671" s="38"/>
      <c r="PI1671" s="38"/>
      <c r="PJ1671" s="38"/>
      <c r="PK1671" s="38"/>
      <c r="PL1671" s="38"/>
      <c r="PM1671" s="38"/>
      <c r="PN1671" s="38"/>
      <c r="PO1671" s="38"/>
      <c r="PP1671" s="38"/>
      <c r="PQ1671" s="38"/>
      <c r="PR1671" s="38"/>
      <c r="PS1671" s="38"/>
      <c r="PT1671" s="38"/>
      <c r="PU1671" s="38"/>
      <c r="PV1671" s="38"/>
      <c r="PW1671" s="38"/>
      <c r="PX1671" s="38"/>
      <c r="PY1671" s="38"/>
      <c r="PZ1671" s="38"/>
      <c r="QA1671" s="38"/>
      <c r="QB1671" s="38"/>
      <c r="QC1671" s="38"/>
      <c r="QD1671" s="38"/>
      <c r="QE1671" s="38"/>
      <c r="QF1671" s="38"/>
      <c r="QG1671" s="38"/>
      <c r="QH1671" s="38"/>
      <c r="QI1671" s="38"/>
      <c r="QJ1671" s="38"/>
      <c r="QK1671" s="38"/>
      <c r="QL1671" s="38"/>
      <c r="QM1671" s="38"/>
      <c r="QN1671" s="38"/>
      <c r="QO1671" s="38"/>
      <c r="QP1671" s="38"/>
      <c r="QQ1671" s="38"/>
      <c r="QR1671" s="38"/>
      <c r="QS1671" s="38"/>
      <c r="QT1671" s="38"/>
      <c r="QU1671" s="38"/>
      <c r="QV1671" s="38"/>
      <c r="QW1671" s="38"/>
      <c r="QX1671" s="38"/>
      <c r="QY1671" s="38"/>
      <c r="QZ1671" s="38"/>
      <c r="RA1671" s="38"/>
      <c r="RB1671" s="38"/>
      <c r="RC1671" s="38"/>
      <c r="RD1671" s="38"/>
      <c r="RE1671" s="38"/>
      <c r="RF1671" s="38"/>
      <c r="RG1671" s="38"/>
      <c r="RH1671" s="38"/>
      <c r="RI1671" s="38"/>
      <c r="RJ1671" s="38"/>
      <c r="RK1671" s="38"/>
      <c r="RL1671" s="38"/>
      <c r="RM1671" s="38"/>
      <c r="RN1671" s="38"/>
      <c r="RO1671" s="38"/>
      <c r="RP1671" s="38"/>
      <c r="RQ1671" s="38"/>
      <c r="RR1671" s="38"/>
      <c r="RS1671" s="38"/>
      <c r="RT1671" s="38"/>
      <c r="RU1671" s="38"/>
      <c r="RV1671" s="38"/>
      <c r="RW1671" s="38"/>
      <c r="RX1671" s="38"/>
      <c r="RY1671" s="38"/>
      <c r="RZ1671" s="38"/>
      <c r="SA1671" s="38"/>
      <c r="SB1671" s="38"/>
      <c r="SC1671" s="38"/>
      <c r="SD1671" s="38"/>
      <c r="SE1671" s="38"/>
      <c r="SF1671" s="38"/>
      <c r="SG1671" s="38"/>
      <c r="SH1671" s="38"/>
      <c r="SI1671" s="38"/>
      <c r="SJ1671" s="38"/>
      <c r="SK1671" s="38"/>
      <c r="SL1671" s="38"/>
      <c r="SM1671" s="38"/>
      <c r="SN1671" s="38"/>
      <c r="SO1671" s="38"/>
      <c r="SP1671" s="38"/>
      <c r="SQ1671" s="38"/>
      <c r="SR1671" s="38"/>
      <c r="SS1671" s="38"/>
      <c r="ST1671" s="38"/>
      <c r="SU1671" s="38"/>
      <c r="SV1671" s="38"/>
      <c r="SW1671" s="38"/>
      <c r="SX1671" s="38"/>
      <c r="SY1671" s="38"/>
      <c r="SZ1671" s="38"/>
      <c r="TA1671" s="38"/>
      <c r="TB1671" s="38"/>
      <c r="TC1671" s="38"/>
      <c r="TD1671" s="38"/>
      <c r="TE1671" s="38"/>
      <c r="TF1671" s="38"/>
      <c r="TG1671" s="38"/>
      <c r="TH1671" s="38"/>
      <c r="TI1671" s="38"/>
      <c r="TJ1671" s="38"/>
      <c r="TK1671" s="38"/>
      <c r="TL1671" s="38"/>
      <c r="TM1671" s="38"/>
      <c r="TN1671" s="38"/>
      <c r="TO1671" s="38"/>
      <c r="TP1671" s="38"/>
      <c r="TQ1671" s="38"/>
      <c r="TR1671" s="38"/>
      <c r="TS1671" s="38"/>
      <c r="TT1671" s="38"/>
      <c r="TU1671" s="38"/>
      <c r="TV1671" s="38"/>
      <c r="TW1671" s="38"/>
      <c r="TX1671" s="38"/>
      <c r="TY1671" s="38"/>
      <c r="TZ1671" s="38"/>
      <c r="UA1671" s="38"/>
      <c r="UB1671" s="38"/>
      <c r="UC1671" s="38"/>
      <c r="UD1671" s="38"/>
      <c r="UE1671" s="38"/>
      <c r="UF1671" s="38"/>
      <c r="UG1671" s="38"/>
      <c r="UH1671" s="38"/>
      <c r="UI1671" s="38"/>
      <c r="UJ1671" s="38"/>
      <c r="UK1671" s="38"/>
      <c r="UL1671" s="38"/>
      <c r="UM1671" s="38"/>
      <c r="UN1671" s="38"/>
      <c r="UO1671" s="38"/>
      <c r="UP1671" s="38"/>
      <c r="UQ1671" s="38"/>
      <c r="UR1671" s="38"/>
      <c r="US1671" s="38"/>
      <c r="UT1671" s="38"/>
      <c r="UU1671" s="38"/>
      <c r="UV1671" s="38"/>
      <c r="UW1671" s="38"/>
      <c r="UX1671" s="38"/>
      <c r="UY1671" s="38"/>
      <c r="UZ1671" s="38"/>
      <c r="VA1671" s="38"/>
      <c r="VB1671" s="38"/>
      <c r="VC1671" s="38"/>
      <c r="VD1671" s="38"/>
      <c r="VE1671" s="38"/>
      <c r="VF1671" s="38"/>
      <c r="VG1671" s="38"/>
      <c r="VH1671" s="38"/>
      <c r="VI1671" s="38"/>
      <c r="VJ1671" s="38"/>
      <c r="VK1671" s="38"/>
      <c r="VL1671" s="38"/>
      <c r="VM1671" s="38"/>
      <c r="VN1671" s="38"/>
      <c r="VO1671" s="38"/>
      <c r="VP1671" s="38"/>
      <c r="VQ1671" s="38"/>
      <c r="VR1671" s="38"/>
      <c r="VS1671" s="38"/>
      <c r="VT1671" s="38"/>
      <c r="VU1671" s="38"/>
      <c r="VV1671" s="38"/>
      <c r="VW1671" s="38"/>
      <c r="VX1671" s="38"/>
      <c r="VY1671" s="38"/>
      <c r="VZ1671" s="38"/>
      <c r="WA1671" s="38"/>
      <c r="WB1671" s="38"/>
      <c r="WC1671" s="38"/>
      <c r="WD1671" s="38"/>
      <c r="WE1671" s="38"/>
      <c r="WF1671" s="38"/>
      <c r="WG1671" s="38"/>
      <c r="WH1671" s="38"/>
      <c r="WI1671" s="38"/>
      <c r="WJ1671" s="38"/>
      <c r="WK1671" s="38"/>
      <c r="WL1671" s="38"/>
      <c r="WM1671" s="38"/>
      <c r="WN1671" s="38"/>
      <c r="WO1671" s="38"/>
      <c r="WP1671" s="38"/>
      <c r="WQ1671" s="38"/>
      <c r="WR1671" s="38"/>
      <c r="WS1671" s="38"/>
      <c r="WT1671" s="38"/>
      <c r="WU1671" s="38"/>
      <c r="WV1671" s="38"/>
      <c r="WW1671" s="38"/>
      <c r="WX1671" s="38"/>
      <c r="WY1671" s="38"/>
      <c r="WZ1671" s="38"/>
      <c r="XA1671" s="38"/>
      <c r="XB1671" s="38"/>
      <c r="XC1671" s="38"/>
      <c r="XD1671" s="38"/>
      <c r="XE1671" s="38"/>
      <c r="XF1671" s="38"/>
      <c r="XG1671" s="38"/>
      <c r="XH1671" s="38"/>
      <c r="XI1671" s="38"/>
      <c r="XJ1671" s="38"/>
      <c r="XK1671" s="38"/>
      <c r="XL1671" s="38"/>
      <c r="XM1671" s="38"/>
      <c r="XN1671" s="38"/>
      <c r="XO1671" s="38"/>
      <c r="XP1671" s="38"/>
      <c r="XQ1671" s="38"/>
      <c r="XR1671" s="38"/>
      <c r="XS1671" s="38"/>
      <c r="XT1671" s="38"/>
      <c r="XU1671" s="38"/>
      <c r="XV1671" s="38"/>
      <c r="XW1671" s="38"/>
      <c r="XX1671" s="38"/>
      <c r="XY1671" s="38"/>
      <c r="XZ1671" s="38"/>
      <c r="YA1671" s="38"/>
      <c r="YB1671" s="38"/>
      <c r="YC1671" s="38"/>
      <c r="YD1671" s="38"/>
      <c r="YE1671" s="38"/>
      <c r="YF1671" s="38"/>
      <c r="YG1671" s="38"/>
      <c r="YH1671" s="38"/>
      <c r="YI1671" s="38"/>
      <c r="YJ1671" s="38"/>
      <c r="YK1671" s="38"/>
      <c r="YL1671" s="38"/>
      <c r="YM1671" s="38"/>
      <c r="YN1671" s="38"/>
      <c r="YO1671" s="38"/>
      <c r="YP1671" s="38"/>
      <c r="YQ1671" s="38"/>
      <c r="YR1671" s="38"/>
      <c r="YS1671" s="38"/>
      <c r="YT1671" s="38"/>
      <c r="YU1671" s="38"/>
      <c r="YV1671" s="38"/>
      <c r="YW1671" s="38"/>
      <c r="YX1671" s="38"/>
      <c r="YY1671" s="38"/>
      <c r="YZ1671" s="38"/>
      <c r="ZA1671" s="38"/>
      <c r="ZB1671" s="38"/>
      <c r="ZC1671" s="38"/>
      <c r="ZD1671" s="38"/>
      <c r="ZE1671" s="38"/>
      <c r="ZF1671" s="38"/>
      <c r="ZG1671" s="38"/>
      <c r="ZH1671" s="38"/>
      <c r="ZI1671" s="38"/>
      <c r="ZJ1671" s="38"/>
      <c r="ZK1671" s="38"/>
      <c r="ZL1671" s="38"/>
      <c r="ZM1671" s="38"/>
      <c r="ZN1671" s="38"/>
      <c r="ZO1671" s="38"/>
      <c r="ZP1671" s="38"/>
      <c r="ZQ1671" s="38"/>
      <c r="ZR1671" s="38"/>
      <c r="ZS1671" s="38"/>
      <c r="ZT1671" s="38"/>
      <c r="ZU1671" s="38"/>
      <c r="ZV1671" s="38"/>
      <c r="ZW1671" s="38"/>
      <c r="ZX1671" s="38"/>
      <c r="ZY1671" s="38"/>
      <c r="ZZ1671" s="38"/>
      <c r="AAA1671" s="38"/>
      <c r="AAB1671" s="38"/>
      <c r="AAC1671" s="38"/>
      <c r="AAD1671" s="38"/>
      <c r="AAE1671" s="38"/>
      <c r="AAF1671" s="38"/>
      <c r="AAG1671" s="38"/>
      <c r="AAH1671" s="38"/>
      <c r="AAI1671" s="38"/>
      <c r="AAJ1671" s="38"/>
      <c r="AAK1671" s="38"/>
      <c r="AAL1671" s="38"/>
      <c r="AAM1671" s="38"/>
      <c r="AAN1671" s="38"/>
      <c r="AAO1671" s="38"/>
      <c r="AAP1671" s="38"/>
      <c r="AAQ1671" s="38"/>
      <c r="AAR1671" s="38"/>
      <c r="AAS1671" s="38"/>
      <c r="AAT1671" s="38"/>
      <c r="AAU1671" s="38"/>
      <c r="AAV1671" s="38"/>
      <c r="AAW1671" s="38"/>
      <c r="AAX1671" s="38"/>
      <c r="AAY1671" s="38"/>
      <c r="AAZ1671" s="38"/>
      <c r="ABA1671" s="38"/>
      <c r="ABB1671" s="38"/>
      <c r="ABC1671" s="38"/>
      <c r="ABD1671" s="38"/>
      <c r="ABE1671" s="38"/>
      <c r="ABF1671" s="38"/>
      <c r="ABG1671" s="38"/>
      <c r="ABH1671" s="38"/>
      <c r="ABI1671" s="38"/>
      <c r="ABJ1671" s="38"/>
      <c r="ABK1671" s="38"/>
      <c r="ABL1671" s="38"/>
      <c r="ABM1671" s="38"/>
      <c r="ABN1671" s="38"/>
      <c r="ABO1671" s="38"/>
      <c r="ABP1671" s="38"/>
      <c r="ABQ1671" s="38"/>
      <c r="ABR1671" s="38"/>
      <c r="ABS1671" s="38"/>
      <c r="ABT1671" s="38"/>
      <c r="ABU1671" s="38"/>
      <c r="ABV1671" s="38"/>
      <c r="ABW1671" s="38"/>
      <c r="ABX1671" s="38"/>
      <c r="ABY1671" s="38"/>
      <c r="ABZ1671" s="38"/>
      <c r="ACA1671" s="38"/>
      <c r="ACB1671" s="38"/>
      <c r="ACC1671" s="38"/>
      <c r="ACD1671" s="38"/>
      <c r="ACE1671" s="38"/>
      <c r="ACF1671" s="38"/>
      <c r="ACG1671" s="38"/>
      <c r="ACH1671" s="38"/>
      <c r="ACI1671" s="38"/>
      <c r="ACJ1671" s="38"/>
      <c r="ACK1671" s="38"/>
      <c r="ACL1671" s="38"/>
      <c r="ACM1671" s="38"/>
      <c r="ACN1671" s="38"/>
      <c r="ACO1671" s="38"/>
      <c r="ACP1671" s="38"/>
      <c r="ACQ1671" s="38"/>
      <c r="ACR1671" s="38"/>
      <c r="ACS1671" s="38"/>
      <c r="ACT1671" s="38"/>
      <c r="ACU1671" s="38"/>
      <c r="ACV1671" s="38"/>
      <c r="ACW1671" s="38"/>
      <c r="ACX1671" s="38"/>
      <c r="ACY1671" s="38"/>
      <c r="ACZ1671" s="38"/>
      <c r="ADA1671" s="38"/>
      <c r="ADB1671" s="38"/>
      <c r="ADC1671" s="38"/>
      <c r="ADD1671" s="38"/>
      <c r="ADE1671" s="38"/>
      <c r="ADF1671" s="38"/>
      <c r="ADG1671" s="38"/>
      <c r="ADH1671" s="38"/>
      <c r="ADI1671" s="38"/>
      <c r="ADJ1671" s="38"/>
      <c r="ADK1671" s="38"/>
      <c r="ADL1671" s="38"/>
      <c r="ADM1671" s="38"/>
      <c r="ADN1671" s="38"/>
      <c r="ADO1671" s="38"/>
      <c r="ADP1671" s="38"/>
      <c r="ADQ1671" s="38"/>
      <c r="ADR1671" s="38"/>
      <c r="ADS1671" s="38"/>
      <c r="ADT1671" s="38"/>
      <c r="ADU1671" s="38"/>
      <c r="ADV1671" s="38"/>
      <c r="ADW1671" s="38"/>
      <c r="ADX1671" s="38"/>
      <c r="ADY1671" s="38"/>
      <c r="ADZ1671" s="38"/>
      <c r="AEA1671" s="38"/>
      <c r="AEB1671" s="38"/>
      <c r="AEC1671" s="38"/>
      <c r="AED1671" s="38"/>
      <c r="AEE1671" s="38"/>
      <c r="AEF1671" s="38"/>
      <c r="AEG1671" s="38"/>
      <c r="AEH1671" s="38"/>
      <c r="AEI1671" s="38"/>
      <c r="AEJ1671" s="38"/>
      <c r="AEK1671" s="38"/>
      <c r="AEL1671" s="38"/>
      <c r="AEM1671" s="38"/>
      <c r="AEN1671" s="38"/>
      <c r="AEO1671" s="38"/>
      <c r="AEP1671" s="38"/>
      <c r="AEQ1671" s="38"/>
      <c r="AER1671" s="38"/>
      <c r="AES1671" s="38"/>
      <c r="AET1671" s="38"/>
      <c r="AEU1671" s="38"/>
      <c r="AEV1671" s="38"/>
      <c r="AEW1671" s="38"/>
      <c r="AEX1671" s="38"/>
      <c r="AEY1671" s="38"/>
      <c r="AEZ1671" s="38"/>
      <c r="AFA1671" s="38"/>
      <c r="AFB1671" s="38"/>
      <c r="AFC1671" s="38"/>
      <c r="AFD1671" s="38"/>
      <c r="AFE1671" s="38"/>
      <c r="AFF1671" s="38"/>
      <c r="AFG1671" s="38"/>
      <c r="AFH1671" s="38"/>
      <c r="AFI1671" s="38"/>
      <c r="AFJ1671" s="38"/>
      <c r="AFK1671" s="38"/>
      <c r="AFL1671" s="38"/>
      <c r="AFM1671" s="38"/>
      <c r="AFN1671" s="38"/>
      <c r="AFO1671" s="38"/>
      <c r="AFP1671" s="38"/>
      <c r="AFQ1671" s="38"/>
      <c r="AFR1671" s="38"/>
      <c r="AFS1671" s="38"/>
      <c r="AFT1671" s="38"/>
      <c r="AFU1671" s="38"/>
      <c r="AFV1671" s="38"/>
      <c r="AFW1671" s="38"/>
      <c r="AFX1671" s="38"/>
      <c r="AFY1671" s="38"/>
      <c r="AFZ1671" s="38"/>
      <c r="AGA1671" s="38"/>
      <c r="AGB1671" s="38"/>
      <c r="AGC1671" s="38"/>
      <c r="AGD1671" s="38"/>
      <c r="AGE1671" s="38"/>
      <c r="AGF1671" s="38"/>
      <c r="AGG1671" s="38"/>
      <c r="AGH1671" s="38"/>
      <c r="AGI1671" s="38"/>
      <c r="AGJ1671" s="38"/>
      <c r="AGK1671" s="38"/>
      <c r="AGL1671" s="38"/>
      <c r="AGM1671" s="38"/>
      <c r="AGN1671" s="38"/>
      <c r="AGO1671" s="38"/>
      <c r="AGP1671" s="38"/>
      <c r="AGQ1671" s="38"/>
      <c r="AGR1671" s="38"/>
      <c r="AGS1671" s="38"/>
      <c r="AGT1671" s="38"/>
      <c r="AGU1671" s="38"/>
      <c r="AGV1671" s="38"/>
      <c r="AGW1671" s="38"/>
      <c r="AGX1671" s="38"/>
      <c r="AGY1671" s="38"/>
      <c r="AGZ1671" s="38"/>
      <c r="AHA1671" s="38"/>
      <c r="AHB1671" s="38"/>
      <c r="AHC1671" s="38"/>
      <c r="AHD1671" s="38"/>
      <c r="AHE1671" s="38"/>
      <c r="AHF1671" s="38"/>
      <c r="AHG1671" s="38"/>
      <c r="AHH1671" s="38"/>
      <c r="AHI1671" s="38"/>
      <c r="AHJ1671" s="38"/>
      <c r="AHK1671" s="38"/>
      <c r="AHL1671" s="38"/>
      <c r="AHM1671" s="38"/>
      <c r="AHN1671" s="38"/>
      <c r="AHO1671" s="38"/>
      <c r="AHP1671" s="38"/>
      <c r="AHQ1671" s="38"/>
      <c r="AHR1671" s="38"/>
      <c r="AHS1671" s="38"/>
      <c r="AHT1671" s="38"/>
      <c r="AHU1671" s="38"/>
      <c r="AHV1671" s="38"/>
      <c r="AHW1671" s="38"/>
      <c r="AHX1671" s="38"/>
      <c r="AHY1671" s="38"/>
      <c r="AHZ1671" s="38"/>
      <c r="AIA1671" s="38"/>
      <c r="AIB1671" s="38"/>
      <c r="AIC1671" s="38"/>
      <c r="AID1671" s="38"/>
      <c r="AIE1671" s="38"/>
      <c r="AIF1671" s="38"/>
      <c r="AIG1671" s="38"/>
      <c r="AIH1671" s="38"/>
      <c r="AII1671" s="38"/>
      <c r="AIJ1671" s="38"/>
      <c r="AIK1671" s="38"/>
      <c r="AIL1671" s="38"/>
      <c r="AIM1671" s="38"/>
      <c r="AIN1671" s="38"/>
      <c r="AIO1671" s="38"/>
      <c r="AIP1671" s="38"/>
      <c r="AIQ1671" s="38"/>
      <c r="AIR1671" s="38"/>
      <c r="AIS1671" s="38"/>
      <c r="AIT1671" s="38"/>
      <c r="AIU1671" s="38"/>
      <c r="AIV1671" s="38"/>
      <c r="AIW1671" s="38"/>
      <c r="AIX1671" s="38"/>
      <c r="AIY1671" s="38"/>
      <c r="AIZ1671" s="38"/>
      <c r="AJA1671" s="38"/>
      <c r="AJB1671" s="38"/>
      <c r="AJC1671" s="38"/>
      <c r="AJD1671" s="38"/>
      <c r="AJE1671" s="38"/>
      <c r="AJF1671" s="38"/>
      <c r="AJG1671" s="38"/>
      <c r="AJH1671" s="38"/>
      <c r="AJI1671" s="38"/>
      <c r="AJJ1671" s="38"/>
      <c r="AJK1671" s="38"/>
      <c r="AJL1671" s="38"/>
      <c r="AJM1671" s="38"/>
      <c r="AJN1671" s="38"/>
      <c r="AJO1671" s="38"/>
      <c r="AJP1671" s="38"/>
      <c r="AJQ1671" s="38"/>
      <c r="AJR1671" s="38"/>
      <c r="AJS1671" s="38"/>
      <c r="AJT1671" s="38"/>
      <c r="AJU1671" s="38"/>
      <c r="AJV1671" s="38"/>
      <c r="AJW1671" s="38"/>
      <c r="AJX1671" s="38"/>
      <c r="AJY1671" s="38"/>
      <c r="AJZ1671" s="38"/>
      <c r="AKA1671" s="38"/>
      <c r="AKB1671" s="38"/>
      <c r="AKC1671" s="38"/>
      <c r="AKD1671" s="38"/>
      <c r="AKE1671" s="38"/>
      <c r="AKF1671" s="38"/>
      <c r="AKG1671" s="38"/>
      <c r="AKH1671" s="38"/>
      <c r="AKI1671" s="38"/>
      <c r="AKJ1671" s="38"/>
      <c r="AKK1671" s="38"/>
      <c r="AKL1671" s="38"/>
      <c r="AKM1671" s="38"/>
      <c r="AKN1671" s="38"/>
      <c r="AKO1671" s="38"/>
      <c r="AKP1671" s="38"/>
      <c r="AKQ1671" s="38"/>
      <c r="AKR1671" s="38"/>
      <c r="AKS1671" s="38"/>
      <c r="AKT1671" s="38"/>
      <c r="AKU1671" s="38"/>
      <c r="AKV1671" s="38"/>
      <c r="AKW1671" s="38"/>
      <c r="AKX1671" s="38"/>
      <c r="AKY1671" s="38"/>
      <c r="AKZ1671" s="38"/>
      <c r="ALA1671" s="38"/>
      <c r="ALB1671" s="38"/>
      <c r="ALC1671" s="38"/>
      <c r="ALD1671" s="38"/>
      <c r="ALE1671" s="38"/>
      <c r="ALF1671" s="38"/>
      <c r="ALG1671" s="38"/>
      <c r="ALH1671" s="38"/>
      <c r="ALI1671" s="38"/>
      <c r="ALJ1671" s="38"/>
      <c r="ALK1671" s="38"/>
      <c r="ALL1671" s="38"/>
      <c r="ALM1671" s="38"/>
      <c r="ALN1671" s="38"/>
      <c r="ALO1671" s="38"/>
      <c r="ALP1671" s="38"/>
      <c r="ALQ1671" s="38"/>
      <c r="ALR1671" s="38"/>
      <c r="ALS1671" s="38"/>
      <c r="ALT1671" s="38"/>
      <c r="ALU1671" s="38"/>
      <c r="ALV1671" s="38"/>
      <c r="ALW1671" s="38"/>
      <c r="ALX1671" s="38"/>
      <c r="ALY1671" s="38"/>
      <c r="ALZ1671" s="38"/>
      <c r="AMA1671" s="38"/>
      <c r="AMB1671" s="38"/>
      <c r="AMC1671" s="38"/>
      <c r="AMD1671" s="38"/>
      <c r="AME1671" s="38"/>
      <c r="AMF1671" s="38"/>
      <c r="AMG1671" s="38"/>
      <c r="AMH1671" s="38"/>
      <c r="AMI1671" s="38"/>
      <c r="AMJ1671" s="38"/>
      <c r="AMK1671" s="38"/>
      <c r="AML1671" s="38"/>
      <c r="AMM1671" s="38"/>
      <c r="AMN1671" s="38"/>
      <c r="AMO1671" s="38"/>
      <c r="AMP1671" s="38"/>
      <c r="AMQ1671" s="38"/>
      <c r="AMR1671" s="38"/>
      <c r="AMS1671" s="38"/>
      <c r="AMT1671" s="38"/>
      <c r="AMU1671" s="38"/>
      <c r="AMV1671" s="38"/>
      <c r="AMW1671" s="38"/>
      <c r="AMX1671" s="38"/>
      <c r="AMY1671" s="38"/>
      <c r="AMZ1671" s="38"/>
      <c r="ANA1671" s="38"/>
      <c r="ANB1671" s="38"/>
      <c r="ANC1671" s="38"/>
      <c r="AND1671" s="38"/>
      <c r="ANE1671" s="38"/>
      <c r="ANF1671" s="38"/>
      <c r="ANG1671" s="38"/>
      <c r="ANH1671" s="38"/>
      <c r="ANI1671" s="38"/>
      <c r="ANJ1671" s="38"/>
      <c r="ANK1671" s="38"/>
      <c r="ANL1671" s="38"/>
      <c r="ANM1671" s="38"/>
      <c r="ANN1671" s="38"/>
      <c r="ANO1671" s="38"/>
      <c r="ANP1671" s="38"/>
      <c r="ANQ1671" s="38"/>
      <c r="ANR1671" s="38"/>
      <c r="ANS1671" s="38"/>
      <c r="ANT1671" s="38"/>
      <c r="ANU1671" s="38"/>
      <c r="ANV1671" s="38"/>
      <c r="ANW1671" s="38"/>
      <c r="ANX1671" s="38"/>
      <c r="ANY1671" s="38"/>
      <c r="ANZ1671" s="38"/>
      <c r="AOA1671" s="38"/>
      <c r="AOB1671" s="38"/>
      <c r="AOC1671" s="38"/>
      <c r="AOD1671" s="38"/>
      <c r="AOE1671" s="38"/>
      <c r="AOF1671" s="38"/>
      <c r="AOG1671" s="38"/>
      <c r="AOH1671" s="38"/>
      <c r="AOI1671" s="38"/>
      <c r="AOJ1671" s="38"/>
      <c r="AOK1671" s="38"/>
      <c r="AOL1671" s="38"/>
      <c r="AOM1671" s="38"/>
      <c r="AON1671" s="38"/>
      <c r="AOO1671" s="38"/>
      <c r="AOP1671" s="38"/>
      <c r="AOQ1671" s="38"/>
      <c r="AOR1671" s="38"/>
      <c r="AOS1671" s="38"/>
      <c r="AOT1671" s="38"/>
      <c r="AOU1671" s="38"/>
      <c r="AOV1671" s="38"/>
      <c r="AOW1671" s="38"/>
      <c r="AOX1671" s="38"/>
      <c r="AOY1671" s="38"/>
      <c r="AOZ1671" s="38"/>
      <c r="APA1671" s="38"/>
      <c r="APB1671" s="38"/>
      <c r="APC1671" s="38"/>
    </row>
    <row r="1672" spans="1:1095" s="36" customFormat="1" ht="14.25" customHeight="1">
      <c r="A1672" s="3" t="s">
        <v>1722</v>
      </c>
      <c r="B1672" s="36" t="s">
        <v>3954</v>
      </c>
      <c r="C1672" s="251">
        <v>4099854029172</v>
      </c>
      <c r="D1672" s="224">
        <v>4058075543126</v>
      </c>
      <c r="E1672" s="245" t="s">
        <v>1596</v>
      </c>
      <c r="F1672" s="246"/>
      <c r="G1672" s="66" t="str">
        <f>HYPERLINK("https://ledvance.com/pt/product-datasheet/245161/229945","Ficha de Produto")</f>
        <v>Ficha de Produto</v>
      </c>
      <c r="H1672" s="217">
        <v>10</v>
      </c>
      <c r="I1672" s="34" t="s">
        <v>6326</v>
      </c>
      <c r="J1672" s="34" t="s">
        <v>773</v>
      </c>
      <c r="K1672" s="34" t="s">
        <v>788</v>
      </c>
      <c r="L1672" s="34" t="s">
        <v>765</v>
      </c>
      <c r="M1672" s="247">
        <v>46</v>
      </c>
      <c r="N1672" s="288" t="s">
        <v>722</v>
      </c>
    </row>
    <row r="1673" spans="1:1095" s="36" customFormat="1" ht="14.25" customHeight="1">
      <c r="A1673" s="3" t="s">
        <v>1722</v>
      </c>
      <c r="B1673" s="36" t="s">
        <v>3955</v>
      </c>
      <c r="C1673" s="251">
        <v>4099854029196</v>
      </c>
      <c r="D1673" s="224">
        <v>4058075543140</v>
      </c>
      <c r="E1673" s="245" t="s">
        <v>1597</v>
      </c>
      <c r="F1673" s="246"/>
      <c r="G1673" s="66" t="str">
        <f>HYPERLINK("https://ledvance.com/pt/product-datasheet/245161/229948","Ficha de Produto")</f>
        <v>Ficha de Produto</v>
      </c>
      <c r="H1673" s="217">
        <v>10</v>
      </c>
      <c r="I1673" s="34" t="s">
        <v>814</v>
      </c>
      <c r="J1673" s="34" t="s">
        <v>773</v>
      </c>
      <c r="K1673" s="34" t="s">
        <v>788</v>
      </c>
      <c r="L1673" s="34" t="s">
        <v>765</v>
      </c>
      <c r="M1673" s="247">
        <v>46</v>
      </c>
      <c r="N1673" s="288" t="s">
        <v>722</v>
      </c>
    </row>
    <row r="1674" spans="1:1095" s="36" customFormat="1" ht="14.25" customHeight="1">
      <c r="A1674" s="3" t="s">
        <v>1722</v>
      </c>
      <c r="B1674" s="36" t="s">
        <v>3956</v>
      </c>
      <c r="C1674" s="251">
        <v>4099854029219</v>
      </c>
      <c r="D1674" s="224">
        <v>4058075543164</v>
      </c>
      <c r="E1674" s="245" t="s">
        <v>1598</v>
      </c>
      <c r="F1674" s="246"/>
      <c r="G1674" s="66" t="str">
        <f>HYPERLINK("https://ledvance.com/pt/product-datasheet/245161/229951","Ficha de Produto")</f>
        <v>Ficha de Produto</v>
      </c>
      <c r="H1674" s="217">
        <v>10</v>
      </c>
      <c r="I1674" s="34" t="s">
        <v>814</v>
      </c>
      <c r="J1674" s="34" t="s">
        <v>773</v>
      </c>
      <c r="K1674" s="34" t="s">
        <v>788</v>
      </c>
      <c r="L1674" s="34" t="s">
        <v>765</v>
      </c>
      <c r="M1674" s="247">
        <v>46</v>
      </c>
      <c r="N1674" s="288" t="s">
        <v>722</v>
      </c>
    </row>
    <row r="1675" spans="1:1095" s="39" customFormat="1" ht="14.25" customHeight="1">
      <c r="A1675" s="8" t="s">
        <v>1722</v>
      </c>
      <c r="B1675" s="244" t="s">
        <v>2060</v>
      </c>
      <c r="C1675" s="244"/>
      <c r="D1675" s="7"/>
      <c r="E1675" s="230"/>
      <c r="F1675" s="7"/>
      <c r="G1675" s="68"/>
      <c r="H1675" s="230"/>
      <c r="I1675" s="230"/>
      <c r="J1675" s="230"/>
      <c r="K1675" s="230"/>
      <c r="L1675" s="230"/>
      <c r="M1675" s="248"/>
      <c r="N1675" s="284"/>
      <c r="O1675" s="38"/>
      <c r="P1675" s="38"/>
      <c r="Q1675" s="38"/>
      <c r="R1675" s="38"/>
      <c r="S1675" s="38"/>
      <c r="T1675" s="38"/>
      <c r="U1675" s="38"/>
      <c r="V1675" s="38"/>
      <c r="W1675" s="38"/>
      <c r="X1675" s="38"/>
      <c r="Y1675" s="38"/>
      <c r="Z1675" s="38"/>
      <c r="AA1675" s="38"/>
      <c r="AB1675" s="38"/>
      <c r="AC1675" s="38"/>
      <c r="AD1675" s="38"/>
      <c r="AE1675" s="38"/>
      <c r="AF1675" s="38"/>
      <c r="AG1675" s="38"/>
      <c r="AH1675" s="38"/>
      <c r="AI1675" s="38"/>
      <c r="AJ1675" s="38"/>
      <c r="AK1675" s="38"/>
      <c r="AL1675" s="38"/>
      <c r="AM1675" s="38"/>
      <c r="AN1675" s="38"/>
      <c r="AO1675" s="38"/>
      <c r="AP1675" s="38"/>
      <c r="AQ1675" s="38"/>
      <c r="AR1675" s="38"/>
      <c r="AS1675" s="38"/>
      <c r="AT1675" s="38"/>
      <c r="AU1675" s="38"/>
      <c r="AV1675" s="38"/>
      <c r="AW1675" s="38"/>
      <c r="AX1675" s="38"/>
      <c r="AY1675" s="38"/>
      <c r="AZ1675" s="38"/>
      <c r="BA1675" s="38"/>
      <c r="BB1675" s="38"/>
      <c r="BC1675" s="38"/>
      <c r="BD1675" s="38"/>
      <c r="BE1675" s="38"/>
      <c r="BF1675" s="38"/>
      <c r="BG1675" s="38"/>
      <c r="BH1675" s="38"/>
      <c r="BI1675" s="38"/>
      <c r="BJ1675" s="38"/>
      <c r="BK1675" s="38"/>
      <c r="BL1675" s="38"/>
      <c r="BM1675" s="38"/>
      <c r="BN1675" s="38"/>
      <c r="BO1675" s="38"/>
      <c r="BP1675" s="38"/>
      <c r="BQ1675" s="38"/>
      <c r="BR1675" s="38"/>
      <c r="BS1675" s="38"/>
      <c r="BT1675" s="38"/>
      <c r="BU1675" s="38"/>
      <c r="BV1675" s="38"/>
      <c r="BW1675" s="38"/>
      <c r="BX1675" s="38"/>
      <c r="BY1675" s="38"/>
      <c r="BZ1675" s="38"/>
      <c r="CA1675" s="38"/>
      <c r="CB1675" s="38"/>
      <c r="CC1675" s="38"/>
      <c r="CD1675" s="38"/>
      <c r="CE1675" s="38"/>
      <c r="CF1675" s="38"/>
      <c r="CG1675" s="38"/>
      <c r="CH1675" s="38"/>
      <c r="CI1675" s="38"/>
      <c r="CJ1675" s="38"/>
      <c r="CK1675" s="38"/>
      <c r="CL1675" s="38"/>
      <c r="CM1675" s="38"/>
      <c r="CN1675" s="38"/>
      <c r="CO1675" s="38"/>
      <c r="CP1675" s="38"/>
      <c r="CQ1675" s="38"/>
      <c r="CR1675" s="38"/>
      <c r="CS1675" s="38"/>
      <c r="CT1675" s="38"/>
      <c r="CU1675" s="38"/>
      <c r="CV1675" s="38"/>
      <c r="CW1675" s="38"/>
      <c r="CX1675" s="38"/>
      <c r="CY1675" s="38"/>
      <c r="CZ1675" s="38"/>
      <c r="DA1675" s="38"/>
      <c r="DB1675" s="38"/>
      <c r="DC1675" s="38"/>
      <c r="DD1675" s="38"/>
      <c r="DE1675" s="38"/>
      <c r="DF1675" s="38"/>
      <c r="DG1675" s="38"/>
      <c r="DH1675" s="38"/>
      <c r="DI1675" s="38"/>
      <c r="DJ1675" s="38"/>
      <c r="DK1675" s="38"/>
      <c r="DL1675" s="38"/>
      <c r="DM1675" s="38"/>
      <c r="DN1675" s="38"/>
      <c r="DO1675" s="38"/>
      <c r="DP1675" s="38"/>
      <c r="DQ1675" s="38"/>
      <c r="DR1675" s="38"/>
      <c r="DS1675" s="38"/>
      <c r="DT1675" s="38"/>
      <c r="DU1675" s="38"/>
      <c r="DV1675" s="38"/>
      <c r="DW1675" s="38"/>
      <c r="DX1675" s="38"/>
      <c r="DY1675" s="38"/>
      <c r="DZ1675" s="38"/>
      <c r="EA1675" s="38"/>
      <c r="EB1675" s="38"/>
      <c r="EC1675" s="38"/>
      <c r="ED1675" s="38"/>
      <c r="EE1675" s="38"/>
      <c r="EF1675" s="38"/>
      <c r="EG1675" s="38"/>
      <c r="EH1675" s="38"/>
      <c r="EI1675" s="38"/>
      <c r="EJ1675" s="38"/>
      <c r="EK1675" s="38"/>
      <c r="EL1675" s="38"/>
      <c r="EM1675" s="38"/>
      <c r="EN1675" s="38"/>
      <c r="EO1675" s="38"/>
      <c r="EP1675" s="38"/>
      <c r="EQ1675" s="38"/>
      <c r="ER1675" s="38"/>
      <c r="ES1675" s="38"/>
      <c r="ET1675" s="38"/>
      <c r="EU1675" s="38"/>
      <c r="EV1675" s="38"/>
      <c r="EW1675" s="38"/>
      <c r="EX1675" s="38"/>
      <c r="EY1675" s="38"/>
      <c r="EZ1675" s="38"/>
      <c r="FA1675" s="38"/>
      <c r="FB1675" s="38"/>
      <c r="FC1675" s="38"/>
      <c r="FD1675" s="38"/>
      <c r="FE1675" s="38"/>
      <c r="FF1675" s="38"/>
      <c r="FG1675" s="38"/>
      <c r="FH1675" s="38"/>
      <c r="FI1675" s="38"/>
      <c r="FJ1675" s="38"/>
      <c r="FK1675" s="38"/>
      <c r="FL1675" s="38"/>
      <c r="FM1675" s="38"/>
      <c r="FN1675" s="38"/>
      <c r="FO1675" s="38"/>
      <c r="FP1675" s="38"/>
      <c r="FQ1675" s="38"/>
      <c r="FR1675" s="38"/>
      <c r="FS1675" s="38"/>
      <c r="FT1675" s="38"/>
      <c r="FU1675" s="38"/>
      <c r="FV1675" s="38"/>
      <c r="FW1675" s="38"/>
      <c r="FX1675" s="38"/>
      <c r="FY1675" s="38"/>
      <c r="FZ1675" s="38"/>
      <c r="GA1675" s="38"/>
      <c r="GB1675" s="38"/>
      <c r="GC1675" s="38"/>
      <c r="GD1675" s="38"/>
      <c r="GE1675" s="38"/>
      <c r="GF1675" s="38"/>
      <c r="GG1675" s="38"/>
      <c r="GH1675" s="38"/>
      <c r="GI1675" s="38"/>
      <c r="GJ1675" s="38"/>
      <c r="GK1675" s="38"/>
      <c r="GL1675" s="38"/>
      <c r="GM1675" s="38"/>
      <c r="GN1675" s="38"/>
      <c r="GO1675" s="38"/>
      <c r="GP1675" s="38"/>
      <c r="GQ1675" s="38"/>
      <c r="GR1675" s="38"/>
      <c r="GS1675" s="38"/>
      <c r="GT1675" s="38"/>
      <c r="GU1675" s="38"/>
      <c r="GV1675" s="38"/>
      <c r="GW1675" s="38"/>
      <c r="GX1675" s="38"/>
      <c r="GY1675" s="38"/>
      <c r="GZ1675" s="38"/>
      <c r="HA1675" s="38"/>
      <c r="HB1675" s="38"/>
      <c r="HC1675" s="38"/>
      <c r="HD1675" s="38"/>
      <c r="HE1675" s="38"/>
      <c r="HF1675" s="38"/>
      <c r="HG1675" s="38"/>
      <c r="HH1675" s="38"/>
      <c r="HI1675" s="38"/>
      <c r="HJ1675" s="38"/>
      <c r="HK1675" s="38"/>
      <c r="HL1675" s="38"/>
      <c r="HM1675" s="38"/>
      <c r="HN1675" s="38"/>
      <c r="HO1675" s="38"/>
      <c r="HP1675" s="38"/>
      <c r="HQ1675" s="38"/>
      <c r="HR1675" s="38"/>
      <c r="HS1675" s="38"/>
      <c r="HT1675" s="38"/>
      <c r="HU1675" s="38"/>
      <c r="HV1675" s="38"/>
      <c r="HW1675" s="38"/>
      <c r="HX1675" s="38"/>
      <c r="HY1675" s="38"/>
      <c r="HZ1675" s="38"/>
      <c r="IA1675" s="38"/>
      <c r="IB1675" s="38"/>
      <c r="IC1675" s="38"/>
      <c r="ID1675" s="38"/>
      <c r="IE1675" s="38"/>
      <c r="IF1675" s="38"/>
      <c r="IG1675" s="38"/>
      <c r="IH1675" s="38"/>
      <c r="II1675" s="38"/>
      <c r="IJ1675" s="38"/>
      <c r="IK1675" s="38"/>
      <c r="IL1675" s="38"/>
      <c r="IM1675" s="38"/>
      <c r="IN1675" s="38"/>
      <c r="IO1675" s="38"/>
      <c r="IP1675" s="38"/>
      <c r="IQ1675" s="38"/>
      <c r="IR1675" s="38"/>
      <c r="IS1675" s="38"/>
      <c r="IT1675" s="38"/>
      <c r="IU1675" s="38"/>
      <c r="IV1675" s="38"/>
      <c r="IW1675" s="38"/>
      <c r="IX1675" s="38"/>
      <c r="IY1675" s="38"/>
      <c r="IZ1675" s="38"/>
      <c r="JA1675" s="38"/>
      <c r="JB1675" s="38"/>
      <c r="JC1675" s="38"/>
      <c r="JD1675" s="38"/>
      <c r="JE1675" s="38"/>
      <c r="JF1675" s="38"/>
      <c r="JG1675" s="38"/>
      <c r="JH1675" s="38"/>
      <c r="JI1675" s="38"/>
      <c r="JJ1675" s="38"/>
      <c r="JK1675" s="38"/>
      <c r="JL1675" s="38"/>
      <c r="JM1675" s="38"/>
      <c r="JN1675" s="38"/>
      <c r="JO1675" s="38"/>
      <c r="JP1675" s="38"/>
      <c r="JQ1675" s="38"/>
      <c r="JR1675" s="38"/>
      <c r="JS1675" s="38"/>
      <c r="JT1675" s="38"/>
      <c r="JU1675" s="38"/>
      <c r="JV1675" s="38"/>
      <c r="JW1675" s="38"/>
      <c r="JX1675" s="38"/>
      <c r="JY1675" s="38"/>
      <c r="JZ1675" s="38"/>
      <c r="KA1675" s="38"/>
      <c r="KB1675" s="38"/>
      <c r="KC1675" s="38"/>
      <c r="KD1675" s="38"/>
      <c r="KE1675" s="38"/>
      <c r="KF1675" s="38"/>
      <c r="KG1675" s="38"/>
      <c r="KH1675" s="38"/>
      <c r="KI1675" s="38"/>
      <c r="KJ1675" s="38"/>
      <c r="KK1675" s="38"/>
      <c r="KL1675" s="38"/>
      <c r="KM1675" s="38"/>
      <c r="KN1675" s="38"/>
      <c r="KO1675" s="38"/>
      <c r="KP1675" s="38"/>
      <c r="KQ1675" s="38"/>
      <c r="KR1675" s="38"/>
      <c r="KS1675" s="38"/>
      <c r="KT1675" s="38"/>
      <c r="KU1675" s="38"/>
      <c r="KV1675" s="38"/>
      <c r="KW1675" s="38"/>
      <c r="KX1675" s="38"/>
      <c r="KY1675" s="38"/>
      <c r="KZ1675" s="38"/>
      <c r="LA1675" s="38"/>
      <c r="LB1675" s="38"/>
      <c r="LC1675" s="38"/>
      <c r="LD1675" s="38"/>
      <c r="LE1675" s="38"/>
      <c r="LF1675" s="38"/>
      <c r="LG1675" s="38"/>
      <c r="LH1675" s="38"/>
      <c r="LI1675" s="38"/>
      <c r="LJ1675" s="38"/>
      <c r="LK1675" s="38"/>
      <c r="LL1675" s="38"/>
      <c r="LM1675" s="38"/>
      <c r="LN1675" s="38"/>
      <c r="LO1675" s="38"/>
      <c r="LP1675" s="38"/>
      <c r="LQ1675" s="38"/>
      <c r="LR1675" s="38"/>
      <c r="LS1675" s="38"/>
      <c r="LT1675" s="38"/>
      <c r="LU1675" s="38"/>
      <c r="LV1675" s="38"/>
      <c r="LW1675" s="38"/>
      <c r="LX1675" s="38"/>
      <c r="LY1675" s="38"/>
      <c r="LZ1675" s="38"/>
      <c r="MA1675" s="38"/>
      <c r="MB1675" s="38"/>
      <c r="MC1675" s="38"/>
      <c r="MD1675" s="38"/>
      <c r="ME1675" s="38"/>
      <c r="MF1675" s="38"/>
      <c r="MG1675" s="38"/>
      <c r="MH1675" s="38"/>
      <c r="MI1675" s="38"/>
      <c r="MJ1675" s="38"/>
      <c r="MK1675" s="38"/>
      <c r="ML1675" s="38"/>
      <c r="MM1675" s="38"/>
      <c r="MN1675" s="38"/>
      <c r="MO1675" s="38"/>
      <c r="MP1675" s="38"/>
      <c r="MQ1675" s="38"/>
      <c r="MR1675" s="38"/>
      <c r="MS1675" s="38"/>
      <c r="MT1675" s="38"/>
      <c r="MU1675" s="38"/>
      <c r="MV1675" s="38"/>
      <c r="MW1675" s="38"/>
      <c r="MX1675" s="38"/>
      <c r="MY1675" s="38"/>
      <c r="MZ1675" s="38"/>
      <c r="NA1675" s="38"/>
      <c r="NB1675" s="38"/>
      <c r="NC1675" s="38"/>
      <c r="ND1675" s="38"/>
      <c r="NE1675" s="38"/>
      <c r="NF1675" s="38"/>
      <c r="NG1675" s="38"/>
      <c r="NH1675" s="38"/>
      <c r="NI1675" s="38"/>
      <c r="NJ1675" s="38"/>
      <c r="NK1675" s="38"/>
      <c r="NL1675" s="38"/>
      <c r="NM1675" s="38"/>
      <c r="NN1675" s="38"/>
      <c r="NO1675" s="38"/>
      <c r="NP1675" s="38"/>
      <c r="NQ1675" s="38"/>
      <c r="NR1675" s="38"/>
      <c r="NS1675" s="38"/>
      <c r="NT1675" s="38"/>
      <c r="NU1675" s="38"/>
      <c r="NV1675" s="38"/>
      <c r="NW1675" s="38"/>
      <c r="NX1675" s="38"/>
      <c r="NY1675" s="38"/>
      <c r="NZ1675" s="38"/>
      <c r="OA1675" s="38"/>
      <c r="OB1675" s="38"/>
      <c r="OC1675" s="38"/>
      <c r="OD1675" s="38"/>
      <c r="OE1675" s="38"/>
      <c r="OF1675" s="38"/>
      <c r="OG1675" s="38"/>
      <c r="OH1675" s="38"/>
      <c r="OI1675" s="38"/>
      <c r="OJ1675" s="38"/>
      <c r="OK1675" s="38"/>
      <c r="OL1675" s="38"/>
      <c r="OM1675" s="38"/>
      <c r="ON1675" s="38"/>
      <c r="OO1675" s="38"/>
      <c r="OP1675" s="38"/>
      <c r="OQ1675" s="38"/>
      <c r="OR1675" s="38"/>
      <c r="OS1675" s="38"/>
      <c r="OT1675" s="38"/>
      <c r="OU1675" s="38"/>
      <c r="OV1675" s="38"/>
      <c r="OW1675" s="38"/>
      <c r="OX1675" s="38"/>
      <c r="OY1675" s="38"/>
      <c r="OZ1675" s="38"/>
      <c r="PA1675" s="38"/>
      <c r="PB1675" s="38"/>
      <c r="PC1675" s="38"/>
      <c r="PD1675" s="38"/>
      <c r="PE1675" s="38"/>
      <c r="PF1675" s="38"/>
      <c r="PG1675" s="38"/>
      <c r="PH1675" s="38"/>
      <c r="PI1675" s="38"/>
      <c r="PJ1675" s="38"/>
      <c r="PK1675" s="38"/>
      <c r="PL1675" s="38"/>
      <c r="PM1675" s="38"/>
      <c r="PN1675" s="38"/>
      <c r="PO1675" s="38"/>
      <c r="PP1675" s="38"/>
      <c r="PQ1675" s="38"/>
      <c r="PR1675" s="38"/>
      <c r="PS1675" s="38"/>
      <c r="PT1675" s="38"/>
      <c r="PU1675" s="38"/>
      <c r="PV1675" s="38"/>
      <c r="PW1675" s="38"/>
      <c r="PX1675" s="38"/>
      <c r="PY1675" s="38"/>
      <c r="PZ1675" s="38"/>
      <c r="QA1675" s="38"/>
      <c r="QB1675" s="38"/>
      <c r="QC1675" s="38"/>
      <c r="QD1675" s="38"/>
      <c r="QE1675" s="38"/>
      <c r="QF1675" s="38"/>
      <c r="QG1675" s="38"/>
      <c r="QH1675" s="38"/>
      <c r="QI1675" s="38"/>
      <c r="QJ1675" s="38"/>
      <c r="QK1675" s="38"/>
      <c r="QL1675" s="38"/>
      <c r="QM1675" s="38"/>
      <c r="QN1675" s="38"/>
      <c r="QO1675" s="38"/>
      <c r="QP1675" s="38"/>
      <c r="QQ1675" s="38"/>
      <c r="QR1675" s="38"/>
      <c r="QS1675" s="38"/>
      <c r="QT1675" s="38"/>
      <c r="QU1675" s="38"/>
      <c r="QV1675" s="38"/>
      <c r="QW1675" s="38"/>
      <c r="QX1675" s="38"/>
      <c r="QY1675" s="38"/>
      <c r="QZ1675" s="38"/>
      <c r="RA1675" s="38"/>
      <c r="RB1675" s="38"/>
      <c r="RC1675" s="38"/>
      <c r="RD1675" s="38"/>
      <c r="RE1675" s="38"/>
      <c r="RF1675" s="38"/>
      <c r="RG1675" s="38"/>
      <c r="RH1675" s="38"/>
      <c r="RI1675" s="38"/>
      <c r="RJ1675" s="38"/>
      <c r="RK1675" s="38"/>
      <c r="RL1675" s="38"/>
      <c r="RM1675" s="38"/>
      <c r="RN1675" s="38"/>
      <c r="RO1675" s="38"/>
      <c r="RP1675" s="38"/>
      <c r="RQ1675" s="38"/>
      <c r="RR1675" s="38"/>
      <c r="RS1675" s="38"/>
      <c r="RT1675" s="38"/>
      <c r="RU1675" s="38"/>
      <c r="RV1675" s="38"/>
      <c r="RW1675" s="38"/>
      <c r="RX1675" s="38"/>
      <c r="RY1675" s="38"/>
      <c r="RZ1675" s="38"/>
      <c r="SA1675" s="38"/>
      <c r="SB1675" s="38"/>
      <c r="SC1675" s="38"/>
      <c r="SD1675" s="38"/>
      <c r="SE1675" s="38"/>
      <c r="SF1675" s="38"/>
      <c r="SG1675" s="38"/>
      <c r="SH1675" s="38"/>
      <c r="SI1675" s="38"/>
      <c r="SJ1675" s="38"/>
      <c r="SK1675" s="38"/>
      <c r="SL1675" s="38"/>
      <c r="SM1675" s="38"/>
      <c r="SN1675" s="38"/>
      <c r="SO1675" s="38"/>
      <c r="SP1675" s="38"/>
      <c r="SQ1675" s="38"/>
      <c r="SR1675" s="38"/>
      <c r="SS1675" s="38"/>
      <c r="ST1675" s="38"/>
      <c r="SU1675" s="38"/>
      <c r="SV1675" s="38"/>
      <c r="SW1675" s="38"/>
      <c r="SX1675" s="38"/>
      <c r="SY1675" s="38"/>
      <c r="SZ1675" s="38"/>
      <c r="TA1675" s="38"/>
      <c r="TB1675" s="38"/>
      <c r="TC1675" s="38"/>
      <c r="TD1675" s="38"/>
      <c r="TE1675" s="38"/>
      <c r="TF1675" s="38"/>
      <c r="TG1675" s="38"/>
      <c r="TH1675" s="38"/>
      <c r="TI1675" s="38"/>
      <c r="TJ1675" s="38"/>
      <c r="TK1675" s="38"/>
      <c r="TL1675" s="38"/>
      <c r="TM1675" s="38"/>
      <c r="TN1675" s="38"/>
      <c r="TO1675" s="38"/>
      <c r="TP1675" s="38"/>
      <c r="TQ1675" s="38"/>
      <c r="TR1675" s="38"/>
      <c r="TS1675" s="38"/>
      <c r="TT1675" s="38"/>
      <c r="TU1675" s="38"/>
      <c r="TV1675" s="38"/>
      <c r="TW1675" s="38"/>
      <c r="TX1675" s="38"/>
      <c r="TY1675" s="38"/>
      <c r="TZ1675" s="38"/>
      <c r="UA1675" s="38"/>
      <c r="UB1675" s="38"/>
      <c r="UC1675" s="38"/>
      <c r="UD1675" s="38"/>
      <c r="UE1675" s="38"/>
      <c r="UF1675" s="38"/>
      <c r="UG1675" s="38"/>
      <c r="UH1675" s="38"/>
      <c r="UI1675" s="38"/>
      <c r="UJ1675" s="38"/>
      <c r="UK1675" s="38"/>
      <c r="UL1675" s="38"/>
      <c r="UM1675" s="38"/>
      <c r="UN1675" s="38"/>
      <c r="UO1675" s="38"/>
      <c r="UP1675" s="38"/>
      <c r="UQ1675" s="38"/>
      <c r="UR1675" s="38"/>
      <c r="US1675" s="38"/>
      <c r="UT1675" s="38"/>
      <c r="UU1675" s="38"/>
      <c r="UV1675" s="38"/>
      <c r="UW1675" s="38"/>
      <c r="UX1675" s="38"/>
      <c r="UY1675" s="38"/>
      <c r="UZ1675" s="38"/>
      <c r="VA1675" s="38"/>
      <c r="VB1675" s="38"/>
      <c r="VC1675" s="38"/>
      <c r="VD1675" s="38"/>
      <c r="VE1675" s="38"/>
      <c r="VF1675" s="38"/>
      <c r="VG1675" s="38"/>
      <c r="VH1675" s="38"/>
      <c r="VI1675" s="38"/>
      <c r="VJ1675" s="38"/>
      <c r="VK1675" s="38"/>
      <c r="VL1675" s="38"/>
      <c r="VM1675" s="38"/>
      <c r="VN1675" s="38"/>
      <c r="VO1675" s="38"/>
      <c r="VP1675" s="38"/>
      <c r="VQ1675" s="38"/>
      <c r="VR1675" s="38"/>
      <c r="VS1675" s="38"/>
      <c r="VT1675" s="38"/>
      <c r="VU1675" s="38"/>
      <c r="VV1675" s="38"/>
      <c r="VW1675" s="38"/>
      <c r="VX1675" s="38"/>
      <c r="VY1675" s="38"/>
      <c r="VZ1675" s="38"/>
      <c r="WA1675" s="38"/>
      <c r="WB1675" s="38"/>
      <c r="WC1675" s="38"/>
      <c r="WD1675" s="38"/>
      <c r="WE1675" s="38"/>
      <c r="WF1675" s="38"/>
      <c r="WG1675" s="38"/>
      <c r="WH1675" s="38"/>
      <c r="WI1675" s="38"/>
      <c r="WJ1675" s="38"/>
      <c r="WK1675" s="38"/>
      <c r="WL1675" s="38"/>
      <c r="WM1675" s="38"/>
      <c r="WN1675" s="38"/>
      <c r="WO1675" s="38"/>
      <c r="WP1675" s="38"/>
      <c r="WQ1675" s="38"/>
      <c r="WR1675" s="38"/>
      <c r="WS1675" s="38"/>
      <c r="WT1675" s="38"/>
      <c r="WU1675" s="38"/>
      <c r="WV1675" s="38"/>
      <c r="WW1675" s="38"/>
      <c r="WX1675" s="38"/>
      <c r="WY1675" s="38"/>
      <c r="WZ1675" s="38"/>
      <c r="XA1675" s="38"/>
      <c r="XB1675" s="38"/>
      <c r="XC1675" s="38"/>
      <c r="XD1675" s="38"/>
      <c r="XE1675" s="38"/>
      <c r="XF1675" s="38"/>
      <c r="XG1675" s="38"/>
      <c r="XH1675" s="38"/>
      <c r="XI1675" s="38"/>
      <c r="XJ1675" s="38"/>
      <c r="XK1675" s="38"/>
      <c r="XL1675" s="38"/>
      <c r="XM1675" s="38"/>
      <c r="XN1675" s="38"/>
      <c r="XO1675" s="38"/>
      <c r="XP1675" s="38"/>
      <c r="XQ1675" s="38"/>
      <c r="XR1675" s="38"/>
      <c r="XS1675" s="38"/>
      <c r="XT1675" s="38"/>
      <c r="XU1675" s="38"/>
      <c r="XV1675" s="38"/>
      <c r="XW1675" s="38"/>
      <c r="XX1675" s="38"/>
      <c r="XY1675" s="38"/>
      <c r="XZ1675" s="38"/>
      <c r="YA1675" s="38"/>
      <c r="YB1675" s="38"/>
      <c r="YC1675" s="38"/>
      <c r="YD1675" s="38"/>
      <c r="YE1675" s="38"/>
      <c r="YF1675" s="38"/>
      <c r="YG1675" s="38"/>
      <c r="YH1675" s="38"/>
      <c r="YI1675" s="38"/>
      <c r="YJ1675" s="38"/>
      <c r="YK1675" s="38"/>
      <c r="YL1675" s="38"/>
      <c r="YM1675" s="38"/>
      <c r="YN1675" s="38"/>
      <c r="YO1675" s="38"/>
      <c r="YP1675" s="38"/>
      <c r="YQ1675" s="38"/>
      <c r="YR1675" s="38"/>
      <c r="YS1675" s="38"/>
      <c r="YT1675" s="38"/>
      <c r="YU1675" s="38"/>
      <c r="YV1675" s="38"/>
      <c r="YW1675" s="38"/>
      <c r="YX1675" s="38"/>
      <c r="YY1675" s="38"/>
      <c r="YZ1675" s="38"/>
      <c r="ZA1675" s="38"/>
      <c r="ZB1675" s="38"/>
      <c r="ZC1675" s="38"/>
      <c r="ZD1675" s="38"/>
      <c r="ZE1675" s="38"/>
      <c r="ZF1675" s="38"/>
      <c r="ZG1675" s="38"/>
      <c r="ZH1675" s="38"/>
      <c r="ZI1675" s="38"/>
      <c r="ZJ1675" s="38"/>
      <c r="ZK1675" s="38"/>
      <c r="ZL1675" s="38"/>
      <c r="ZM1675" s="38"/>
      <c r="ZN1675" s="38"/>
      <c r="ZO1675" s="38"/>
      <c r="ZP1675" s="38"/>
      <c r="ZQ1675" s="38"/>
      <c r="ZR1675" s="38"/>
      <c r="ZS1675" s="38"/>
      <c r="ZT1675" s="38"/>
      <c r="ZU1675" s="38"/>
      <c r="ZV1675" s="38"/>
      <c r="ZW1675" s="38"/>
      <c r="ZX1675" s="38"/>
      <c r="ZY1675" s="38"/>
      <c r="ZZ1675" s="38"/>
      <c r="AAA1675" s="38"/>
      <c r="AAB1675" s="38"/>
      <c r="AAC1675" s="38"/>
      <c r="AAD1675" s="38"/>
      <c r="AAE1675" s="38"/>
      <c r="AAF1675" s="38"/>
      <c r="AAG1675" s="38"/>
      <c r="AAH1675" s="38"/>
      <c r="AAI1675" s="38"/>
      <c r="AAJ1675" s="38"/>
      <c r="AAK1675" s="38"/>
      <c r="AAL1675" s="38"/>
      <c r="AAM1675" s="38"/>
      <c r="AAN1675" s="38"/>
      <c r="AAO1675" s="38"/>
      <c r="AAP1675" s="38"/>
      <c r="AAQ1675" s="38"/>
      <c r="AAR1675" s="38"/>
      <c r="AAS1675" s="38"/>
      <c r="AAT1675" s="38"/>
      <c r="AAU1675" s="38"/>
      <c r="AAV1675" s="38"/>
      <c r="AAW1675" s="38"/>
      <c r="AAX1675" s="38"/>
      <c r="AAY1675" s="38"/>
      <c r="AAZ1675" s="38"/>
      <c r="ABA1675" s="38"/>
      <c r="ABB1675" s="38"/>
      <c r="ABC1675" s="38"/>
      <c r="ABD1675" s="38"/>
      <c r="ABE1675" s="38"/>
      <c r="ABF1675" s="38"/>
      <c r="ABG1675" s="38"/>
      <c r="ABH1675" s="38"/>
      <c r="ABI1675" s="38"/>
      <c r="ABJ1675" s="38"/>
      <c r="ABK1675" s="38"/>
      <c r="ABL1675" s="38"/>
      <c r="ABM1675" s="38"/>
      <c r="ABN1675" s="38"/>
      <c r="ABO1675" s="38"/>
      <c r="ABP1675" s="38"/>
      <c r="ABQ1675" s="38"/>
      <c r="ABR1675" s="38"/>
      <c r="ABS1675" s="38"/>
      <c r="ABT1675" s="38"/>
      <c r="ABU1675" s="38"/>
      <c r="ABV1675" s="38"/>
      <c r="ABW1675" s="38"/>
      <c r="ABX1675" s="38"/>
      <c r="ABY1675" s="38"/>
      <c r="ABZ1675" s="38"/>
      <c r="ACA1675" s="38"/>
      <c r="ACB1675" s="38"/>
      <c r="ACC1675" s="38"/>
      <c r="ACD1675" s="38"/>
      <c r="ACE1675" s="38"/>
      <c r="ACF1675" s="38"/>
      <c r="ACG1675" s="38"/>
      <c r="ACH1675" s="38"/>
      <c r="ACI1675" s="38"/>
      <c r="ACJ1675" s="38"/>
      <c r="ACK1675" s="38"/>
      <c r="ACL1675" s="38"/>
      <c r="ACM1675" s="38"/>
      <c r="ACN1675" s="38"/>
      <c r="ACO1675" s="38"/>
      <c r="ACP1675" s="38"/>
      <c r="ACQ1675" s="38"/>
      <c r="ACR1675" s="38"/>
      <c r="ACS1675" s="38"/>
      <c r="ACT1675" s="38"/>
      <c r="ACU1675" s="38"/>
      <c r="ACV1675" s="38"/>
      <c r="ACW1675" s="38"/>
      <c r="ACX1675" s="38"/>
      <c r="ACY1675" s="38"/>
      <c r="ACZ1675" s="38"/>
      <c r="ADA1675" s="38"/>
      <c r="ADB1675" s="38"/>
      <c r="ADC1675" s="38"/>
      <c r="ADD1675" s="38"/>
      <c r="ADE1675" s="38"/>
      <c r="ADF1675" s="38"/>
      <c r="ADG1675" s="38"/>
      <c r="ADH1675" s="38"/>
      <c r="ADI1675" s="38"/>
      <c r="ADJ1675" s="38"/>
      <c r="ADK1675" s="38"/>
      <c r="ADL1675" s="38"/>
      <c r="ADM1675" s="38"/>
      <c r="ADN1675" s="38"/>
      <c r="ADO1675" s="38"/>
      <c r="ADP1675" s="38"/>
      <c r="ADQ1675" s="38"/>
      <c r="ADR1675" s="38"/>
      <c r="ADS1675" s="38"/>
      <c r="ADT1675" s="38"/>
      <c r="ADU1675" s="38"/>
      <c r="ADV1675" s="38"/>
      <c r="ADW1675" s="38"/>
      <c r="ADX1675" s="38"/>
      <c r="ADY1675" s="38"/>
      <c r="ADZ1675" s="38"/>
      <c r="AEA1675" s="38"/>
      <c r="AEB1675" s="38"/>
      <c r="AEC1675" s="38"/>
      <c r="AED1675" s="38"/>
      <c r="AEE1675" s="38"/>
      <c r="AEF1675" s="38"/>
      <c r="AEG1675" s="38"/>
      <c r="AEH1675" s="38"/>
      <c r="AEI1675" s="38"/>
      <c r="AEJ1675" s="38"/>
      <c r="AEK1675" s="38"/>
      <c r="AEL1675" s="38"/>
      <c r="AEM1675" s="38"/>
      <c r="AEN1675" s="38"/>
      <c r="AEO1675" s="38"/>
      <c r="AEP1675" s="38"/>
      <c r="AEQ1675" s="38"/>
      <c r="AER1675" s="38"/>
      <c r="AES1675" s="38"/>
      <c r="AET1675" s="38"/>
      <c r="AEU1675" s="38"/>
      <c r="AEV1675" s="38"/>
      <c r="AEW1675" s="38"/>
      <c r="AEX1675" s="38"/>
      <c r="AEY1675" s="38"/>
      <c r="AEZ1675" s="38"/>
      <c r="AFA1675" s="38"/>
      <c r="AFB1675" s="38"/>
      <c r="AFC1675" s="38"/>
      <c r="AFD1675" s="38"/>
      <c r="AFE1675" s="38"/>
      <c r="AFF1675" s="38"/>
      <c r="AFG1675" s="38"/>
      <c r="AFH1675" s="38"/>
      <c r="AFI1675" s="38"/>
      <c r="AFJ1675" s="38"/>
      <c r="AFK1675" s="38"/>
      <c r="AFL1675" s="38"/>
      <c r="AFM1675" s="38"/>
      <c r="AFN1675" s="38"/>
      <c r="AFO1675" s="38"/>
      <c r="AFP1675" s="38"/>
      <c r="AFQ1675" s="38"/>
      <c r="AFR1675" s="38"/>
      <c r="AFS1675" s="38"/>
      <c r="AFT1675" s="38"/>
      <c r="AFU1675" s="38"/>
      <c r="AFV1675" s="38"/>
      <c r="AFW1675" s="38"/>
      <c r="AFX1675" s="38"/>
      <c r="AFY1675" s="38"/>
      <c r="AFZ1675" s="38"/>
      <c r="AGA1675" s="38"/>
      <c r="AGB1675" s="38"/>
      <c r="AGC1675" s="38"/>
      <c r="AGD1675" s="38"/>
      <c r="AGE1675" s="38"/>
      <c r="AGF1675" s="38"/>
      <c r="AGG1675" s="38"/>
      <c r="AGH1675" s="38"/>
      <c r="AGI1675" s="38"/>
      <c r="AGJ1675" s="38"/>
      <c r="AGK1675" s="38"/>
      <c r="AGL1675" s="38"/>
      <c r="AGM1675" s="38"/>
      <c r="AGN1675" s="38"/>
      <c r="AGO1675" s="38"/>
      <c r="AGP1675" s="38"/>
      <c r="AGQ1675" s="38"/>
      <c r="AGR1675" s="38"/>
      <c r="AGS1675" s="38"/>
      <c r="AGT1675" s="38"/>
      <c r="AGU1675" s="38"/>
      <c r="AGV1675" s="38"/>
      <c r="AGW1675" s="38"/>
      <c r="AGX1675" s="38"/>
      <c r="AGY1675" s="38"/>
      <c r="AGZ1675" s="38"/>
      <c r="AHA1675" s="38"/>
      <c r="AHB1675" s="38"/>
      <c r="AHC1675" s="38"/>
      <c r="AHD1675" s="38"/>
      <c r="AHE1675" s="38"/>
      <c r="AHF1675" s="38"/>
      <c r="AHG1675" s="38"/>
      <c r="AHH1675" s="38"/>
      <c r="AHI1675" s="38"/>
      <c r="AHJ1675" s="38"/>
      <c r="AHK1675" s="38"/>
      <c r="AHL1675" s="38"/>
      <c r="AHM1675" s="38"/>
      <c r="AHN1675" s="38"/>
      <c r="AHO1675" s="38"/>
      <c r="AHP1675" s="38"/>
      <c r="AHQ1675" s="38"/>
      <c r="AHR1675" s="38"/>
      <c r="AHS1675" s="38"/>
      <c r="AHT1675" s="38"/>
      <c r="AHU1675" s="38"/>
      <c r="AHV1675" s="38"/>
      <c r="AHW1675" s="38"/>
      <c r="AHX1675" s="38"/>
      <c r="AHY1675" s="38"/>
      <c r="AHZ1675" s="38"/>
      <c r="AIA1675" s="38"/>
      <c r="AIB1675" s="38"/>
      <c r="AIC1675" s="38"/>
      <c r="AID1675" s="38"/>
      <c r="AIE1675" s="38"/>
      <c r="AIF1675" s="38"/>
      <c r="AIG1675" s="38"/>
      <c r="AIH1675" s="38"/>
      <c r="AII1675" s="38"/>
      <c r="AIJ1675" s="38"/>
      <c r="AIK1675" s="38"/>
      <c r="AIL1675" s="38"/>
      <c r="AIM1675" s="38"/>
      <c r="AIN1675" s="38"/>
      <c r="AIO1675" s="38"/>
      <c r="AIP1675" s="38"/>
      <c r="AIQ1675" s="38"/>
      <c r="AIR1675" s="38"/>
      <c r="AIS1675" s="38"/>
      <c r="AIT1675" s="38"/>
      <c r="AIU1675" s="38"/>
      <c r="AIV1675" s="38"/>
      <c r="AIW1675" s="38"/>
      <c r="AIX1675" s="38"/>
      <c r="AIY1675" s="38"/>
      <c r="AIZ1675" s="38"/>
      <c r="AJA1675" s="38"/>
      <c r="AJB1675" s="38"/>
      <c r="AJC1675" s="38"/>
      <c r="AJD1675" s="38"/>
      <c r="AJE1675" s="38"/>
      <c r="AJF1675" s="38"/>
      <c r="AJG1675" s="38"/>
      <c r="AJH1675" s="38"/>
      <c r="AJI1675" s="38"/>
      <c r="AJJ1675" s="38"/>
      <c r="AJK1675" s="38"/>
      <c r="AJL1675" s="38"/>
      <c r="AJM1675" s="38"/>
      <c r="AJN1675" s="38"/>
      <c r="AJO1675" s="38"/>
      <c r="AJP1675" s="38"/>
      <c r="AJQ1675" s="38"/>
      <c r="AJR1675" s="38"/>
      <c r="AJS1675" s="38"/>
      <c r="AJT1675" s="38"/>
      <c r="AJU1675" s="38"/>
      <c r="AJV1675" s="38"/>
      <c r="AJW1675" s="38"/>
      <c r="AJX1675" s="38"/>
      <c r="AJY1675" s="38"/>
      <c r="AJZ1675" s="38"/>
      <c r="AKA1675" s="38"/>
      <c r="AKB1675" s="38"/>
      <c r="AKC1675" s="38"/>
      <c r="AKD1675" s="38"/>
      <c r="AKE1675" s="38"/>
      <c r="AKF1675" s="38"/>
      <c r="AKG1675" s="38"/>
      <c r="AKH1675" s="38"/>
      <c r="AKI1675" s="38"/>
      <c r="AKJ1675" s="38"/>
      <c r="AKK1675" s="38"/>
      <c r="AKL1675" s="38"/>
      <c r="AKM1675" s="38"/>
      <c r="AKN1675" s="38"/>
      <c r="AKO1675" s="38"/>
      <c r="AKP1675" s="38"/>
      <c r="AKQ1675" s="38"/>
      <c r="AKR1675" s="38"/>
      <c r="AKS1675" s="38"/>
      <c r="AKT1675" s="38"/>
      <c r="AKU1675" s="38"/>
      <c r="AKV1675" s="38"/>
      <c r="AKW1675" s="38"/>
      <c r="AKX1675" s="38"/>
      <c r="AKY1675" s="38"/>
      <c r="AKZ1675" s="38"/>
      <c r="ALA1675" s="38"/>
      <c r="ALB1675" s="38"/>
      <c r="ALC1675" s="38"/>
      <c r="ALD1675" s="38"/>
      <c r="ALE1675" s="38"/>
      <c r="ALF1675" s="38"/>
      <c r="ALG1675" s="38"/>
      <c r="ALH1675" s="38"/>
      <c r="ALI1675" s="38"/>
      <c r="ALJ1675" s="38"/>
      <c r="ALK1675" s="38"/>
      <c r="ALL1675" s="38"/>
      <c r="ALM1675" s="38"/>
      <c r="ALN1675" s="38"/>
      <c r="ALO1675" s="38"/>
      <c r="ALP1675" s="38"/>
      <c r="ALQ1675" s="38"/>
      <c r="ALR1675" s="38"/>
      <c r="ALS1675" s="38"/>
      <c r="ALT1675" s="38"/>
      <c r="ALU1675" s="38"/>
      <c r="ALV1675" s="38"/>
      <c r="ALW1675" s="38"/>
      <c r="ALX1675" s="38"/>
      <c r="ALY1675" s="38"/>
      <c r="ALZ1675" s="38"/>
      <c r="AMA1675" s="38"/>
      <c r="AMB1675" s="38"/>
      <c r="AMC1675" s="38"/>
      <c r="AMD1675" s="38"/>
      <c r="AME1675" s="38"/>
      <c r="AMF1675" s="38"/>
      <c r="AMG1675" s="38"/>
      <c r="AMH1675" s="38"/>
      <c r="AMI1675" s="38"/>
      <c r="AMJ1675" s="38"/>
      <c r="AMK1675" s="38"/>
      <c r="AML1675" s="38"/>
      <c r="AMM1675" s="38"/>
      <c r="AMN1675" s="38"/>
      <c r="AMO1675" s="38"/>
      <c r="AMP1675" s="38"/>
      <c r="AMQ1675" s="38"/>
      <c r="AMR1675" s="38"/>
      <c r="AMS1675" s="38"/>
      <c r="AMT1675" s="38"/>
      <c r="AMU1675" s="38"/>
      <c r="AMV1675" s="38"/>
      <c r="AMW1675" s="38"/>
      <c r="AMX1675" s="38"/>
      <c r="AMY1675" s="38"/>
      <c r="AMZ1675" s="38"/>
      <c r="ANA1675" s="38"/>
      <c r="ANB1675" s="38"/>
      <c r="ANC1675" s="38"/>
      <c r="AND1675" s="38"/>
      <c r="ANE1675" s="38"/>
      <c r="ANF1675" s="38"/>
      <c r="ANG1675" s="38"/>
      <c r="ANH1675" s="38"/>
      <c r="ANI1675" s="38"/>
      <c r="ANJ1675" s="38"/>
      <c r="ANK1675" s="38"/>
      <c r="ANL1675" s="38"/>
      <c r="ANM1675" s="38"/>
      <c r="ANN1675" s="38"/>
      <c r="ANO1675" s="38"/>
      <c r="ANP1675" s="38"/>
      <c r="ANQ1675" s="38"/>
      <c r="ANR1675" s="38"/>
      <c r="ANS1675" s="38"/>
      <c r="ANT1675" s="38"/>
      <c r="ANU1675" s="38"/>
      <c r="ANV1675" s="38"/>
      <c r="ANW1675" s="38"/>
      <c r="ANX1675" s="38"/>
      <c r="ANY1675" s="38"/>
      <c r="ANZ1675" s="38"/>
      <c r="AOA1675" s="38"/>
      <c r="AOB1675" s="38"/>
      <c r="AOC1675" s="38"/>
      <c r="AOD1675" s="38"/>
      <c r="AOE1675" s="38"/>
      <c r="AOF1675" s="38"/>
      <c r="AOG1675" s="38"/>
      <c r="AOH1675" s="38"/>
      <c r="AOI1675" s="38"/>
      <c r="AOJ1675" s="38"/>
      <c r="AOK1675" s="38"/>
      <c r="AOL1675" s="38"/>
      <c r="AOM1675" s="38"/>
      <c r="AON1675" s="38"/>
      <c r="AOO1675" s="38"/>
      <c r="AOP1675" s="38"/>
      <c r="AOQ1675" s="38"/>
      <c r="AOR1675" s="38"/>
      <c r="AOS1675" s="38"/>
      <c r="AOT1675" s="38"/>
      <c r="AOU1675" s="38"/>
      <c r="AOV1675" s="38"/>
      <c r="AOW1675" s="38"/>
      <c r="AOX1675" s="38"/>
      <c r="AOY1675" s="38"/>
      <c r="AOZ1675" s="38"/>
      <c r="APA1675" s="38"/>
      <c r="APB1675" s="38"/>
      <c r="APC1675" s="38"/>
    </row>
    <row r="1676" spans="1:1095" s="36" customFormat="1" ht="14.25" customHeight="1">
      <c r="A1676" s="3" t="s">
        <v>1722</v>
      </c>
      <c r="B1676" s="36" t="s">
        <v>3957</v>
      </c>
      <c r="C1676" s="251">
        <v>4099854029325</v>
      </c>
      <c r="D1676" s="224">
        <v>4058075543188</v>
      </c>
      <c r="E1676" s="245" t="s">
        <v>1599</v>
      </c>
      <c r="F1676" s="246"/>
      <c r="G1676" s="66" t="str">
        <f>HYPERLINK("https://ledvance.com/pt/product-datasheet/245161/229954","Ficha de Produto")</f>
        <v>Ficha de Produto</v>
      </c>
      <c r="H1676" s="217">
        <v>10</v>
      </c>
      <c r="I1676" s="34" t="s">
        <v>887</v>
      </c>
      <c r="J1676" s="34" t="s">
        <v>1044</v>
      </c>
      <c r="K1676" s="34" t="s">
        <v>788</v>
      </c>
      <c r="L1676" s="34" t="s">
        <v>765</v>
      </c>
      <c r="M1676" s="247">
        <v>42.2</v>
      </c>
      <c r="N1676" s="288" t="s">
        <v>722</v>
      </c>
    </row>
    <row r="1677" spans="1:1095" s="36" customFormat="1" ht="14.25" customHeight="1">
      <c r="A1677" s="3" t="s">
        <v>1722</v>
      </c>
      <c r="B1677" s="36" t="s">
        <v>3958</v>
      </c>
      <c r="C1677" s="251">
        <v>4099854029349</v>
      </c>
      <c r="D1677" s="224">
        <v>4058075543201</v>
      </c>
      <c r="E1677" s="245" t="s">
        <v>1600</v>
      </c>
      <c r="F1677" s="246"/>
      <c r="G1677" s="66" t="str">
        <f>HYPERLINK("https://ledvance.com/pt/product-datasheet/245161/229957","Ficha de Produto")</f>
        <v>Ficha de Produto</v>
      </c>
      <c r="H1677" s="217">
        <v>10</v>
      </c>
      <c r="I1677" s="34" t="s">
        <v>767</v>
      </c>
      <c r="J1677" s="34" t="s">
        <v>1044</v>
      </c>
      <c r="K1677" s="34" t="s">
        <v>788</v>
      </c>
      <c r="L1677" s="34" t="s">
        <v>765</v>
      </c>
      <c r="M1677" s="247">
        <v>42.2</v>
      </c>
      <c r="N1677" s="288" t="s">
        <v>722</v>
      </c>
    </row>
    <row r="1678" spans="1:1095" s="36" customFormat="1" ht="14.25" customHeight="1">
      <c r="A1678" s="3" t="s">
        <v>1722</v>
      </c>
      <c r="B1678" s="36" t="s">
        <v>3959</v>
      </c>
      <c r="C1678" s="251">
        <v>4099854029363</v>
      </c>
      <c r="D1678" s="224">
        <v>4058075543225</v>
      </c>
      <c r="E1678" s="245" t="s">
        <v>1601</v>
      </c>
      <c r="F1678" s="246"/>
      <c r="G1678" s="66" t="str">
        <f>HYPERLINK("https://ledvance.com/pt/product-datasheet/245161/229960","Ficha de Produto")</f>
        <v>Ficha de Produto</v>
      </c>
      <c r="H1678" s="217">
        <v>10</v>
      </c>
      <c r="I1678" s="34" t="s">
        <v>767</v>
      </c>
      <c r="J1678" s="34" t="s">
        <v>1044</v>
      </c>
      <c r="K1678" s="34" t="s">
        <v>788</v>
      </c>
      <c r="L1678" s="34" t="s">
        <v>765</v>
      </c>
      <c r="M1678" s="247">
        <v>42.2</v>
      </c>
      <c r="N1678" s="288" t="s">
        <v>722</v>
      </c>
    </row>
    <row r="1679" spans="1:1095" s="39" customFormat="1" ht="14.25" customHeight="1">
      <c r="A1679" s="8" t="s">
        <v>1722</v>
      </c>
      <c r="B1679" s="244" t="s">
        <v>2061</v>
      </c>
      <c r="C1679" s="244"/>
      <c r="D1679" s="7"/>
      <c r="E1679" s="230"/>
      <c r="F1679" s="7"/>
      <c r="G1679" s="68" t="s">
        <v>6505</v>
      </c>
      <c r="H1679" s="230"/>
      <c r="I1679" s="230"/>
      <c r="J1679" s="230"/>
      <c r="K1679" s="230"/>
      <c r="L1679" s="230"/>
      <c r="M1679" s="248"/>
      <c r="N1679" s="293"/>
      <c r="O1679" s="38"/>
      <c r="P1679" s="38"/>
      <c r="Q1679" s="38"/>
      <c r="R1679" s="38"/>
      <c r="S1679" s="38"/>
      <c r="T1679" s="38"/>
      <c r="U1679" s="38"/>
      <c r="V1679" s="38"/>
      <c r="W1679" s="38"/>
      <c r="X1679" s="38"/>
      <c r="Y1679" s="38"/>
      <c r="Z1679" s="38"/>
      <c r="AA1679" s="38"/>
      <c r="AB1679" s="38"/>
      <c r="AC1679" s="38"/>
      <c r="AD1679" s="38"/>
      <c r="AE1679" s="38"/>
      <c r="AF1679" s="38"/>
      <c r="AG1679" s="38"/>
      <c r="AH1679" s="38"/>
      <c r="AI1679" s="38"/>
      <c r="AJ1679" s="38"/>
      <c r="AK1679" s="38"/>
      <c r="AL1679" s="38"/>
      <c r="AM1679" s="38"/>
      <c r="AN1679" s="38"/>
      <c r="AO1679" s="38"/>
      <c r="AP1679" s="38"/>
      <c r="AQ1679" s="38"/>
      <c r="AR1679" s="38"/>
      <c r="AS1679" s="38"/>
      <c r="AT1679" s="38"/>
      <c r="AU1679" s="38"/>
      <c r="AV1679" s="38"/>
      <c r="AW1679" s="38"/>
      <c r="AX1679" s="38"/>
      <c r="AY1679" s="38"/>
      <c r="AZ1679" s="38"/>
      <c r="BA1679" s="38"/>
      <c r="BB1679" s="38"/>
      <c r="BC1679" s="38"/>
      <c r="BD1679" s="38"/>
      <c r="BE1679" s="38"/>
      <c r="BF1679" s="38"/>
      <c r="BG1679" s="38"/>
      <c r="BH1679" s="38"/>
      <c r="BI1679" s="38"/>
      <c r="BJ1679" s="38"/>
      <c r="BK1679" s="38"/>
      <c r="BL1679" s="38"/>
      <c r="BM1679" s="38"/>
      <c r="BN1679" s="38"/>
      <c r="BO1679" s="38"/>
      <c r="BP1679" s="38"/>
      <c r="BQ1679" s="38"/>
      <c r="BR1679" s="38"/>
      <c r="BS1679" s="38"/>
      <c r="BT1679" s="38"/>
      <c r="BU1679" s="38"/>
      <c r="BV1679" s="38"/>
      <c r="BW1679" s="38"/>
      <c r="BX1679" s="38"/>
      <c r="BY1679" s="38"/>
      <c r="BZ1679" s="38"/>
      <c r="CA1679" s="38"/>
      <c r="CB1679" s="38"/>
      <c r="CC1679" s="38"/>
      <c r="CD1679" s="38"/>
      <c r="CE1679" s="38"/>
      <c r="CF1679" s="38"/>
      <c r="CG1679" s="38"/>
      <c r="CH1679" s="38"/>
      <c r="CI1679" s="38"/>
      <c r="CJ1679" s="38"/>
      <c r="CK1679" s="38"/>
      <c r="CL1679" s="38"/>
      <c r="CM1679" s="38"/>
      <c r="CN1679" s="38"/>
      <c r="CO1679" s="38"/>
      <c r="CP1679" s="38"/>
      <c r="CQ1679" s="38"/>
      <c r="CR1679" s="38"/>
      <c r="CS1679" s="38"/>
      <c r="CT1679" s="38"/>
      <c r="CU1679" s="38"/>
      <c r="CV1679" s="38"/>
      <c r="CW1679" s="38"/>
      <c r="CX1679" s="38"/>
      <c r="CY1679" s="38"/>
      <c r="CZ1679" s="38"/>
      <c r="DA1679" s="38"/>
      <c r="DB1679" s="38"/>
      <c r="DC1679" s="38"/>
      <c r="DD1679" s="38"/>
      <c r="DE1679" s="38"/>
      <c r="DF1679" s="38"/>
      <c r="DG1679" s="38"/>
      <c r="DH1679" s="38"/>
      <c r="DI1679" s="38"/>
      <c r="DJ1679" s="38"/>
      <c r="DK1679" s="38"/>
      <c r="DL1679" s="38"/>
      <c r="DM1679" s="38"/>
      <c r="DN1679" s="38"/>
      <c r="DO1679" s="38"/>
      <c r="DP1679" s="38"/>
      <c r="DQ1679" s="38"/>
      <c r="DR1679" s="38"/>
      <c r="DS1679" s="38"/>
      <c r="DT1679" s="38"/>
      <c r="DU1679" s="38"/>
      <c r="DV1679" s="38"/>
      <c r="DW1679" s="38"/>
      <c r="DX1679" s="38"/>
      <c r="DY1679" s="38"/>
      <c r="DZ1679" s="38"/>
      <c r="EA1679" s="38"/>
      <c r="EB1679" s="38"/>
      <c r="EC1679" s="38"/>
      <c r="ED1679" s="38"/>
      <c r="EE1679" s="38"/>
      <c r="EF1679" s="38"/>
      <c r="EG1679" s="38"/>
      <c r="EH1679" s="38"/>
      <c r="EI1679" s="38"/>
      <c r="EJ1679" s="38"/>
      <c r="EK1679" s="38"/>
      <c r="EL1679" s="38"/>
      <c r="EM1679" s="38"/>
      <c r="EN1679" s="38"/>
      <c r="EO1679" s="38"/>
      <c r="EP1679" s="38"/>
      <c r="EQ1679" s="38"/>
      <c r="ER1679" s="38"/>
      <c r="ES1679" s="38"/>
      <c r="ET1679" s="38"/>
      <c r="EU1679" s="38"/>
      <c r="EV1679" s="38"/>
      <c r="EW1679" s="38"/>
      <c r="EX1679" s="38"/>
      <c r="EY1679" s="38"/>
      <c r="EZ1679" s="38"/>
      <c r="FA1679" s="38"/>
      <c r="FB1679" s="38"/>
      <c r="FC1679" s="38"/>
      <c r="FD1679" s="38"/>
      <c r="FE1679" s="38"/>
      <c r="FF1679" s="38"/>
      <c r="FG1679" s="38"/>
      <c r="FH1679" s="38"/>
      <c r="FI1679" s="38"/>
      <c r="FJ1679" s="38"/>
      <c r="FK1679" s="38"/>
      <c r="FL1679" s="38"/>
      <c r="FM1679" s="38"/>
      <c r="FN1679" s="38"/>
      <c r="FO1679" s="38"/>
      <c r="FP1679" s="38"/>
      <c r="FQ1679" s="38"/>
      <c r="FR1679" s="38"/>
      <c r="FS1679" s="38"/>
      <c r="FT1679" s="38"/>
      <c r="FU1679" s="38"/>
      <c r="FV1679" s="38"/>
      <c r="FW1679" s="38"/>
      <c r="FX1679" s="38"/>
      <c r="FY1679" s="38"/>
      <c r="FZ1679" s="38"/>
      <c r="GA1679" s="38"/>
      <c r="GB1679" s="38"/>
      <c r="GC1679" s="38"/>
      <c r="GD1679" s="38"/>
      <c r="GE1679" s="38"/>
      <c r="GF1679" s="38"/>
      <c r="GG1679" s="38"/>
      <c r="GH1679" s="38"/>
      <c r="GI1679" s="38"/>
      <c r="GJ1679" s="38"/>
      <c r="GK1679" s="38"/>
      <c r="GL1679" s="38"/>
      <c r="GM1679" s="38"/>
      <c r="GN1679" s="38"/>
      <c r="GO1679" s="38"/>
      <c r="GP1679" s="38"/>
      <c r="GQ1679" s="38"/>
      <c r="GR1679" s="38"/>
      <c r="GS1679" s="38"/>
      <c r="GT1679" s="38"/>
      <c r="GU1679" s="38"/>
      <c r="GV1679" s="38"/>
      <c r="GW1679" s="38"/>
      <c r="GX1679" s="38"/>
      <c r="GY1679" s="38"/>
      <c r="GZ1679" s="38"/>
      <c r="HA1679" s="38"/>
      <c r="HB1679" s="38"/>
      <c r="HC1679" s="38"/>
      <c r="HD1679" s="38"/>
      <c r="HE1679" s="38"/>
      <c r="HF1679" s="38"/>
      <c r="HG1679" s="38"/>
      <c r="HH1679" s="38"/>
      <c r="HI1679" s="38"/>
      <c r="HJ1679" s="38"/>
      <c r="HK1679" s="38"/>
      <c r="HL1679" s="38"/>
      <c r="HM1679" s="38"/>
      <c r="HN1679" s="38"/>
      <c r="HO1679" s="38"/>
      <c r="HP1679" s="38"/>
      <c r="HQ1679" s="38"/>
      <c r="HR1679" s="38"/>
      <c r="HS1679" s="38"/>
      <c r="HT1679" s="38"/>
      <c r="HU1679" s="38"/>
      <c r="HV1679" s="38"/>
      <c r="HW1679" s="38"/>
      <c r="HX1679" s="38"/>
      <c r="HY1679" s="38"/>
      <c r="HZ1679" s="38"/>
      <c r="IA1679" s="38"/>
      <c r="IB1679" s="38"/>
      <c r="IC1679" s="38"/>
      <c r="ID1679" s="38"/>
      <c r="IE1679" s="38"/>
      <c r="IF1679" s="38"/>
      <c r="IG1679" s="38"/>
      <c r="IH1679" s="38"/>
      <c r="II1679" s="38"/>
      <c r="IJ1679" s="38"/>
      <c r="IK1679" s="38"/>
      <c r="IL1679" s="38"/>
      <c r="IM1679" s="38"/>
      <c r="IN1679" s="38"/>
      <c r="IO1679" s="38"/>
      <c r="IP1679" s="38"/>
      <c r="IQ1679" s="38"/>
      <c r="IR1679" s="38"/>
      <c r="IS1679" s="38"/>
      <c r="IT1679" s="38"/>
      <c r="IU1679" s="38"/>
      <c r="IV1679" s="38"/>
      <c r="IW1679" s="38"/>
      <c r="IX1679" s="38"/>
      <c r="IY1679" s="38"/>
      <c r="IZ1679" s="38"/>
      <c r="JA1679" s="38"/>
      <c r="JB1679" s="38"/>
      <c r="JC1679" s="38"/>
      <c r="JD1679" s="38"/>
      <c r="JE1679" s="38"/>
      <c r="JF1679" s="38"/>
      <c r="JG1679" s="38"/>
      <c r="JH1679" s="38"/>
      <c r="JI1679" s="38"/>
      <c r="JJ1679" s="38"/>
      <c r="JK1679" s="38"/>
      <c r="JL1679" s="38"/>
      <c r="JM1679" s="38"/>
      <c r="JN1679" s="38"/>
      <c r="JO1679" s="38"/>
      <c r="JP1679" s="38"/>
      <c r="JQ1679" s="38"/>
      <c r="JR1679" s="38"/>
      <c r="JS1679" s="38"/>
      <c r="JT1679" s="38"/>
      <c r="JU1679" s="38"/>
      <c r="JV1679" s="38"/>
      <c r="JW1679" s="38"/>
      <c r="JX1679" s="38"/>
      <c r="JY1679" s="38"/>
      <c r="JZ1679" s="38"/>
      <c r="KA1679" s="38"/>
      <c r="KB1679" s="38"/>
      <c r="KC1679" s="38"/>
      <c r="KD1679" s="38"/>
      <c r="KE1679" s="38"/>
      <c r="KF1679" s="38"/>
      <c r="KG1679" s="38"/>
      <c r="KH1679" s="38"/>
      <c r="KI1679" s="38"/>
      <c r="KJ1679" s="38"/>
      <c r="KK1679" s="38"/>
      <c r="KL1679" s="38"/>
      <c r="KM1679" s="38"/>
      <c r="KN1679" s="38"/>
      <c r="KO1679" s="38"/>
      <c r="KP1679" s="38"/>
      <c r="KQ1679" s="38"/>
      <c r="KR1679" s="38"/>
      <c r="KS1679" s="38"/>
      <c r="KT1679" s="38"/>
      <c r="KU1679" s="38"/>
      <c r="KV1679" s="38"/>
      <c r="KW1679" s="38"/>
      <c r="KX1679" s="38"/>
      <c r="KY1679" s="38"/>
      <c r="KZ1679" s="38"/>
      <c r="LA1679" s="38"/>
      <c r="LB1679" s="38"/>
      <c r="LC1679" s="38"/>
      <c r="LD1679" s="38"/>
      <c r="LE1679" s="38"/>
      <c r="LF1679" s="38"/>
      <c r="LG1679" s="38"/>
      <c r="LH1679" s="38"/>
      <c r="LI1679" s="38"/>
      <c r="LJ1679" s="38"/>
      <c r="LK1679" s="38"/>
      <c r="LL1679" s="38"/>
      <c r="LM1679" s="38"/>
      <c r="LN1679" s="38"/>
      <c r="LO1679" s="38"/>
      <c r="LP1679" s="38"/>
      <c r="LQ1679" s="38"/>
      <c r="LR1679" s="38"/>
      <c r="LS1679" s="38"/>
      <c r="LT1679" s="38"/>
      <c r="LU1679" s="38"/>
      <c r="LV1679" s="38"/>
      <c r="LW1679" s="38"/>
      <c r="LX1679" s="38"/>
      <c r="LY1679" s="38"/>
      <c r="LZ1679" s="38"/>
      <c r="MA1679" s="38"/>
      <c r="MB1679" s="38"/>
      <c r="MC1679" s="38"/>
      <c r="MD1679" s="38"/>
      <c r="ME1679" s="38"/>
      <c r="MF1679" s="38"/>
      <c r="MG1679" s="38"/>
      <c r="MH1679" s="38"/>
      <c r="MI1679" s="38"/>
      <c r="MJ1679" s="38"/>
      <c r="MK1679" s="38"/>
      <c r="ML1679" s="38"/>
      <c r="MM1679" s="38"/>
      <c r="MN1679" s="38"/>
      <c r="MO1679" s="38"/>
      <c r="MP1679" s="38"/>
      <c r="MQ1679" s="38"/>
      <c r="MR1679" s="38"/>
      <c r="MS1679" s="38"/>
      <c r="MT1679" s="38"/>
      <c r="MU1679" s="38"/>
      <c r="MV1679" s="38"/>
      <c r="MW1679" s="38"/>
      <c r="MX1679" s="38"/>
      <c r="MY1679" s="38"/>
      <c r="MZ1679" s="38"/>
      <c r="NA1679" s="38"/>
      <c r="NB1679" s="38"/>
      <c r="NC1679" s="38"/>
      <c r="ND1679" s="38"/>
      <c r="NE1679" s="38"/>
      <c r="NF1679" s="38"/>
      <c r="NG1679" s="38"/>
      <c r="NH1679" s="38"/>
      <c r="NI1679" s="38"/>
      <c r="NJ1679" s="38"/>
      <c r="NK1679" s="38"/>
      <c r="NL1679" s="38"/>
      <c r="NM1679" s="38"/>
      <c r="NN1679" s="38"/>
      <c r="NO1679" s="38"/>
      <c r="NP1679" s="38"/>
      <c r="NQ1679" s="38"/>
      <c r="NR1679" s="38"/>
      <c r="NS1679" s="38"/>
      <c r="NT1679" s="38"/>
      <c r="NU1679" s="38"/>
      <c r="NV1679" s="38"/>
      <c r="NW1679" s="38"/>
      <c r="NX1679" s="38"/>
      <c r="NY1679" s="38"/>
      <c r="NZ1679" s="38"/>
      <c r="OA1679" s="38"/>
      <c r="OB1679" s="38"/>
      <c r="OC1679" s="38"/>
      <c r="OD1679" s="38"/>
      <c r="OE1679" s="38"/>
      <c r="OF1679" s="38"/>
      <c r="OG1679" s="38"/>
      <c r="OH1679" s="38"/>
      <c r="OI1679" s="38"/>
      <c r="OJ1679" s="38"/>
      <c r="OK1679" s="38"/>
      <c r="OL1679" s="38"/>
      <c r="OM1679" s="38"/>
      <c r="ON1679" s="38"/>
      <c r="OO1679" s="38"/>
      <c r="OP1679" s="38"/>
      <c r="OQ1679" s="38"/>
      <c r="OR1679" s="38"/>
      <c r="OS1679" s="38"/>
      <c r="OT1679" s="38"/>
      <c r="OU1679" s="38"/>
      <c r="OV1679" s="38"/>
      <c r="OW1679" s="38"/>
      <c r="OX1679" s="38"/>
      <c r="OY1679" s="38"/>
      <c r="OZ1679" s="38"/>
      <c r="PA1679" s="38"/>
      <c r="PB1679" s="38"/>
      <c r="PC1679" s="38"/>
      <c r="PD1679" s="38"/>
      <c r="PE1679" s="38"/>
      <c r="PF1679" s="38"/>
      <c r="PG1679" s="38"/>
      <c r="PH1679" s="38"/>
      <c r="PI1679" s="38"/>
      <c r="PJ1679" s="38"/>
      <c r="PK1679" s="38"/>
      <c r="PL1679" s="38"/>
      <c r="PM1679" s="38"/>
      <c r="PN1679" s="38"/>
      <c r="PO1679" s="38"/>
      <c r="PP1679" s="38"/>
      <c r="PQ1679" s="38"/>
      <c r="PR1679" s="38"/>
      <c r="PS1679" s="38"/>
      <c r="PT1679" s="38"/>
      <c r="PU1679" s="38"/>
      <c r="PV1679" s="38"/>
      <c r="PW1679" s="38"/>
      <c r="PX1679" s="38"/>
      <c r="PY1679" s="38"/>
      <c r="PZ1679" s="38"/>
      <c r="QA1679" s="38"/>
      <c r="QB1679" s="38"/>
      <c r="QC1679" s="38"/>
      <c r="QD1679" s="38"/>
      <c r="QE1679" s="38"/>
      <c r="QF1679" s="38"/>
      <c r="QG1679" s="38"/>
      <c r="QH1679" s="38"/>
      <c r="QI1679" s="38"/>
      <c r="QJ1679" s="38"/>
      <c r="QK1679" s="38"/>
      <c r="QL1679" s="38"/>
      <c r="QM1679" s="38"/>
      <c r="QN1679" s="38"/>
      <c r="QO1679" s="38"/>
      <c r="QP1679" s="38"/>
      <c r="QQ1679" s="38"/>
      <c r="QR1679" s="38"/>
      <c r="QS1679" s="38"/>
      <c r="QT1679" s="38"/>
      <c r="QU1679" s="38"/>
      <c r="QV1679" s="38"/>
      <c r="QW1679" s="38"/>
      <c r="QX1679" s="38"/>
      <c r="QY1679" s="38"/>
      <c r="QZ1679" s="38"/>
      <c r="RA1679" s="38"/>
      <c r="RB1679" s="38"/>
      <c r="RC1679" s="38"/>
      <c r="RD1679" s="38"/>
      <c r="RE1679" s="38"/>
      <c r="RF1679" s="38"/>
      <c r="RG1679" s="38"/>
      <c r="RH1679" s="38"/>
      <c r="RI1679" s="38"/>
      <c r="RJ1679" s="38"/>
      <c r="RK1679" s="38"/>
      <c r="RL1679" s="38"/>
      <c r="RM1679" s="38"/>
      <c r="RN1679" s="38"/>
      <c r="RO1679" s="38"/>
      <c r="RP1679" s="38"/>
      <c r="RQ1679" s="38"/>
      <c r="RR1679" s="38"/>
      <c r="RS1679" s="38"/>
      <c r="RT1679" s="38"/>
      <c r="RU1679" s="38"/>
      <c r="RV1679" s="38"/>
      <c r="RW1679" s="38"/>
      <c r="RX1679" s="38"/>
      <c r="RY1679" s="38"/>
      <c r="RZ1679" s="38"/>
      <c r="SA1679" s="38"/>
      <c r="SB1679" s="38"/>
      <c r="SC1679" s="38"/>
      <c r="SD1679" s="38"/>
      <c r="SE1679" s="38"/>
      <c r="SF1679" s="38"/>
      <c r="SG1679" s="38"/>
      <c r="SH1679" s="38"/>
      <c r="SI1679" s="38"/>
      <c r="SJ1679" s="38"/>
      <c r="SK1679" s="38"/>
      <c r="SL1679" s="38"/>
      <c r="SM1679" s="38"/>
      <c r="SN1679" s="38"/>
      <c r="SO1679" s="38"/>
      <c r="SP1679" s="38"/>
      <c r="SQ1679" s="38"/>
      <c r="SR1679" s="38"/>
      <c r="SS1679" s="38"/>
      <c r="ST1679" s="38"/>
      <c r="SU1679" s="38"/>
      <c r="SV1679" s="38"/>
      <c r="SW1679" s="38"/>
      <c r="SX1679" s="38"/>
      <c r="SY1679" s="38"/>
      <c r="SZ1679" s="38"/>
      <c r="TA1679" s="38"/>
      <c r="TB1679" s="38"/>
      <c r="TC1679" s="38"/>
      <c r="TD1679" s="38"/>
      <c r="TE1679" s="38"/>
      <c r="TF1679" s="38"/>
      <c r="TG1679" s="38"/>
      <c r="TH1679" s="38"/>
      <c r="TI1679" s="38"/>
      <c r="TJ1679" s="38"/>
      <c r="TK1679" s="38"/>
      <c r="TL1679" s="38"/>
      <c r="TM1679" s="38"/>
      <c r="TN1679" s="38"/>
      <c r="TO1679" s="38"/>
      <c r="TP1679" s="38"/>
      <c r="TQ1679" s="38"/>
      <c r="TR1679" s="38"/>
      <c r="TS1679" s="38"/>
      <c r="TT1679" s="38"/>
      <c r="TU1679" s="38"/>
      <c r="TV1679" s="38"/>
      <c r="TW1679" s="38"/>
      <c r="TX1679" s="38"/>
      <c r="TY1679" s="38"/>
      <c r="TZ1679" s="38"/>
      <c r="UA1679" s="38"/>
      <c r="UB1679" s="38"/>
      <c r="UC1679" s="38"/>
      <c r="UD1679" s="38"/>
      <c r="UE1679" s="38"/>
      <c r="UF1679" s="38"/>
      <c r="UG1679" s="38"/>
      <c r="UH1679" s="38"/>
      <c r="UI1679" s="38"/>
      <c r="UJ1679" s="38"/>
      <c r="UK1679" s="38"/>
      <c r="UL1679" s="38"/>
      <c r="UM1679" s="38"/>
      <c r="UN1679" s="38"/>
      <c r="UO1679" s="38"/>
      <c r="UP1679" s="38"/>
      <c r="UQ1679" s="38"/>
      <c r="UR1679" s="38"/>
      <c r="US1679" s="38"/>
      <c r="UT1679" s="38"/>
      <c r="UU1679" s="38"/>
      <c r="UV1679" s="38"/>
      <c r="UW1679" s="38"/>
      <c r="UX1679" s="38"/>
      <c r="UY1679" s="38"/>
      <c r="UZ1679" s="38"/>
      <c r="VA1679" s="38"/>
      <c r="VB1679" s="38"/>
      <c r="VC1679" s="38"/>
      <c r="VD1679" s="38"/>
      <c r="VE1679" s="38"/>
      <c r="VF1679" s="38"/>
      <c r="VG1679" s="38"/>
      <c r="VH1679" s="38"/>
      <c r="VI1679" s="38"/>
      <c r="VJ1679" s="38"/>
      <c r="VK1679" s="38"/>
      <c r="VL1679" s="38"/>
      <c r="VM1679" s="38"/>
      <c r="VN1679" s="38"/>
      <c r="VO1679" s="38"/>
      <c r="VP1679" s="38"/>
      <c r="VQ1679" s="38"/>
      <c r="VR1679" s="38"/>
      <c r="VS1679" s="38"/>
      <c r="VT1679" s="38"/>
      <c r="VU1679" s="38"/>
      <c r="VV1679" s="38"/>
      <c r="VW1679" s="38"/>
      <c r="VX1679" s="38"/>
      <c r="VY1679" s="38"/>
      <c r="VZ1679" s="38"/>
      <c r="WA1679" s="38"/>
      <c r="WB1679" s="38"/>
      <c r="WC1679" s="38"/>
      <c r="WD1679" s="38"/>
      <c r="WE1679" s="38"/>
      <c r="WF1679" s="38"/>
      <c r="WG1679" s="38"/>
      <c r="WH1679" s="38"/>
      <c r="WI1679" s="38"/>
      <c r="WJ1679" s="38"/>
      <c r="WK1679" s="38"/>
      <c r="WL1679" s="38"/>
      <c r="WM1679" s="38"/>
      <c r="WN1679" s="38"/>
      <c r="WO1679" s="38"/>
      <c r="WP1679" s="38"/>
      <c r="WQ1679" s="38"/>
      <c r="WR1679" s="38"/>
      <c r="WS1679" s="38"/>
      <c r="WT1679" s="38"/>
      <c r="WU1679" s="38"/>
      <c r="WV1679" s="38"/>
      <c r="WW1679" s="38"/>
      <c r="WX1679" s="38"/>
      <c r="WY1679" s="38"/>
      <c r="WZ1679" s="38"/>
      <c r="XA1679" s="38"/>
      <c r="XB1679" s="38"/>
      <c r="XC1679" s="38"/>
      <c r="XD1679" s="38"/>
      <c r="XE1679" s="38"/>
      <c r="XF1679" s="38"/>
      <c r="XG1679" s="38"/>
      <c r="XH1679" s="38"/>
      <c r="XI1679" s="38"/>
      <c r="XJ1679" s="38"/>
      <c r="XK1679" s="38"/>
      <c r="XL1679" s="38"/>
      <c r="XM1679" s="38"/>
      <c r="XN1679" s="38"/>
      <c r="XO1679" s="38"/>
      <c r="XP1679" s="38"/>
      <c r="XQ1679" s="38"/>
      <c r="XR1679" s="38"/>
      <c r="XS1679" s="38"/>
      <c r="XT1679" s="38"/>
      <c r="XU1679" s="38"/>
      <c r="XV1679" s="38"/>
      <c r="XW1679" s="38"/>
      <c r="XX1679" s="38"/>
      <c r="XY1679" s="38"/>
      <c r="XZ1679" s="38"/>
      <c r="YA1679" s="38"/>
      <c r="YB1679" s="38"/>
      <c r="YC1679" s="38"/>
      <c r="YD1679" s="38"/>
      <c r="YE1679" s="38"/>
      <c r="YF1679" s="38"/>
      <c r="YG1679" s="38"/>
      <c r="YH1679" s="38"/>
      <c r="YI1679" s="38"/>
      <c r="YJ1679" s="38"/>
      <c r="YK1679" s="38"/>
      <c r="YL1679" s="38"/>
      <c r="YM1679" s="38"/>
      <c r="YN1679" s="38"/>
      <c r="YO1679" s="38"/>
      <c r="YP1679" s="38"/>
      <c r="YQ1679" s="38"/>
      <c r="YR1679" s="38"/>
      <c r="YS1679" s="38"/>
      <c r="YT1679" s="38"/>
      <c r="YU1679" s="38"/>
      <c r="YV1679" s="38"/>
      <c r="YW1679" s="38"/>
      <c r="YX1679" s="38"/>
      <c r="YY1679" s="38"/>
      <c r="YZ1679" s="38"/>
      <c r="ZA1679" s="38"/>
      <c r="ZB1679" s="38"/>
      <c r="ZC1679" s="38"/>
      <c r="ZD1679" s="38"/>
      <c r="ZE1679" s="38"/>
      <c r="ZF1679" s="38"/>
      <c r="ZG1679" s="38"/>
      <c r="ZH1679" s="38"/>
      <c r="ZI1679" s="38"/>
      <c r="ZJ1679" s="38"/>
      <c r="ZK1679" s="38"/>
      <c r="ZL1679" s="38"/>
      <c r="ZM1679" s="38"/>
      <c r="ZN1679" s="38"/>
      <c r="ZO1679" s="38"/>
      <c r="ZP1679" s="38"/>
      <c r="ZQ1679" s="38"/>
      <c r="ZR1679" s="38"/>
      <c r="ZS1679" s="38"/>
      <c r="ZT1679" s="38"/>
      <c r="ZU1679" s="38"/>
      <c r="ZV1679" s="38"/>
      <c r="ZW1679" s="38"/>
      <c r="ZX1679" s="38"/>
      <c r="ZY1679" s="38"/>
      <c r="ZZ1679" s="38"/>
      <c r="AAA1679" s="38"/>
      <c r="AAB1679" s="38"/>
      <c r="AAC1679" s="38"/>
      <c r="AAD1679" s="38"/>
      <c r="AAE1679" s="38"/>
      <c r="AAF1679" s="38"/>
      <c r="AAG1679" s="38"/>
      <c r="AAH1679" s="38"/>
      <c r="AAI1679" s="38"/>
      <c r="AAJ1679" s="38"/>
      <c r="AAK1679" s="38"/>
      <c r="AAL1679" s="38"/>
      <c r="AAM1679" s="38"/>
      <c r="AAN1679" s="38"/>
      <c r="AAO1679" s="38"/>
      <c r="AAP1679" s="38"/>
      <c r="AAQ1679" s="38"/>
      <c r="AAR1679" s="38"/>
      <c r="AAS1679" s="38"/>
      <c r="AAT1679" s="38"/>
      <c r="AAU1679" s="38"/>
      <c r="AAV1679" s="38"/>
      <c r="AAW1679" s="38"/>
      <c r="AAX1679" s="38"/>
      <c r="AAY1679" s="38"/>
      <c r="AAZ1679" s="38"/>
      <c r="ABA1679" s="38"/>
      <c r="ABB1679" s="38"/>
      <c r="ABC1679" s="38"/>
      <c r="ABD1679" s="38"/>
      <c r="ABE1679" s="38"/>
      <c r="ABF1679" s="38"/>
      <c r="ABG1679" s="38"/>
      <c r="ABH1679" s="38"/>
      <c r="ABI1679" s="38"/>
      <c r="ABJ1679" s="38"/>
      <c r="ABK1679" s="38"/>
      <c r="ABL1679" s="38"/>
      <c r="ABM1679" s="38"/>
      <c r="ABN1679" s="38"/>
      <c r="ABO1679" s="38"/>
      <c r="ABP1679" s="38"/>
      <c r="ABQ1679" s="38"/>
      <c r="ABR1679" s="38"/>
      <c r="ABS1679" s="38"/>
      <c r="ABT1679" s="38"/>
      <c r="ABU1679" s="38"/>
      <c r="ABV1679" s="38"/>
      <c r="ABW1679" s="38"/>
      <c r="ABX1679" s="38"/>
      <c r="ABY1679" s="38"/>
      <c r="ABZ1679" s="38"/>
      <c r="ACA1679" s="38"/>
      <c r="ACB1679" s="38"/>
      <c r="ACC1679" s="38"/>
      <c r="ACD1679" s="38"/>
      <c r="ACE1679" s="38"/>
      <c r="ACF1679" s="38"/>
      <c r="ACG1679" s="38"/>
      <c r="ACH1679" s="38"/>
      <c r="ACI1679" s="38"/>
      <c r="ACJ1679" s="38"/>
      <c r="ACK1679" s="38"/>
      <c r="ACL1679" s="38"/>
      <c r="ACM1679" s="38"/>
      <c r="ACN1679" s="38"/>
      <c r="ACO1679" s="38"/>
      <c r="ACP1679" s="38"/>
      <c r="ACQ1679" s="38"/>
      <c r="ACR1679" s="38"/>
      <c r="ACS1679" s="38"/>
      <c r="ACT1679" s="38"/>
      <c r="ACU1679" s="38"/>
      <c r="ACV1679" s="38"/>
      <c r="ACW1679" s="38"/>
      <c r="ACX1679" s="38"/>
      <c r="ACY1679" s="38"/>
      <c r="ACZ1679" s="38"/>
      <c r="ADA1679" s="38"/>
      <c r="ADB1679" s="38"/>
      <c r="ADC1679" s="38"/>
      <c r="ADD1679" s="38"/>
      <c r="ADE1679" s="38"/>
      <c r="ADF1679" s="38"/>
      <c r="ADG1679" s="38"/>
      <c r="ADH1679" s="38"/>
      <c r="ADI1679" s="38"/>
      <c r="ADJ1679" s="38"/>
      <c r="ADK1679" s="38"/>
      <c r="ADL1679" s="38"/>
      <c r="ADM1679" s="38"/>
      <c r="ADN1679" s="38"/>
      <c r="ADO1679" s="38"/>
      <c r="ADP1679" s="38"/>
      <c r="ADQ1679" s="38"/>
      <c r="ADR1679" s="38"/>
      <c r="ADS1679" s="38"/>
      <c r="ADT1679" s="38"/>
      <c r="ADU1679" s="38"/>
      <c r="ADV1679" s="38"/>
      <c r="ADW1679" s="38"/>
      <c r="ADX1679" s="38"/>
      <c r="ADY1679" s="38"/>
      <c r="ADZ1679" s="38"/>
      <c r="AEA1679" s="38"/>
      <c r="AEB1679" s="38"/>
      <c r="AEC1679" s="38"/>
      <c r="AED1679" s="38"/>
      <c r="AEE1679" s="38"/>
      <c r="AEF1679" s="38"/>
      <c r="AEG1679" s="38"/>
      <c r="AEH1679" s="38"/>
      <c r="AEI1679" s="38"/>
      <c r="AEJ1679" s="38"/>
      <c r="AEK1679" s="38"/>
      <c r="AEL1679" s="38"/>
      <c r="AEM1679" s="38"/>
      <c r="AEN1679" s="38"/>
      <c r="AEO1679" s="38"/>
      <c r="AEP1679" s="38"/>
      <c r="AEQ1679" s="38"/>
      <c r="AER1679" s="38"/>
      <c r="AES1679" s="38"/>
      <c r="AET1679" s="38"/>
      <c r="AEU1679" s="38"/>
      <c r="AEV1679" s="38"/>
      <c r="AEW1679" s="38"/>
      <c r="AEX1679" s="38"/>
      <c r="AEY1679" s="38"/>
      <c r="AEZ1679" s="38"/>
      <c r="AFA1679" s="38"/>
      <c r="AFB1679" s="38"/>
      <c r="AFC1679" s="38"/>
      <c r="AFD1679" s="38"/>
      <c r="AFE1679" s="38"/>
      <c r="AFF1679" s="38"/>
      <c r="AFG1679" s="38"/>
      <c r="AFH1679" s="38"/>
      <c r="AFI1679" s="38"/>
      <c r="AFJ1679" s="38"/>
      <c r="AFK1679" s="38"/>
      <c r="AFL1679" s="38"/>
      <c r="AFM1679" s="38"/>
      <c r="AFN1679" s="38"/>
      <c r="AFO1679" s="38"/>
      <c r="AFP1679" s="38"/>
      <c r="AFQ1679" s="38"/>
      <c r="AFR1679" s="38"/>
      <c r="AFS1679" s="38"/>
      <c r="AFT1679" s="38"/>
      <c r="AFU1679" s="38"/>
      <c r="AFV1679" s="38"/>
      <c r="AFW1679" s="38"/>
      <c r="AFX1679" s="38"/>
      <c r="AFY1679" s="38"/>
      <c r="AFZ1679" s="38"/>
      <c r="AGA1679" s="38"/>
      <c r="AGB1679" s="38"/>
      <c r="AGC1679" s="38"/>
      <c r="AGD1679" s="38"/>
      <c r="AGE1679" s="38"/>
      <c r="AGF1679" s="38"/>
      <c r="AGG1679" s="38"/>
      <c r="AGH1679" s="38"/>
      <c r="AGI1679" s="38"/>
      <c r="AGJ1679" s="38"/>
      <c r="AGK1679" s="38"/>
      <c r="AGL1679" s="38"/>
      <c r="AGM1679" s="38"/>
      <c r="AGN1679" s="38"/>
      <c r="AGO1679" s="38"/>
      <c r="AGP1679" s="38"/>
      <c r="AGQ1679" s="38"/>
      <c r="AGR1679" s="38"/>
      <c r="AGS1679" s="38"/>
      <c r="AGT1679" s="38"/>
      <c r="AGU1679" s="38"/>
      <c r="AGV1679" s="38"/>
      <c r="AGW1679" s="38"/>
      <c r="AGX1679" s="38"/>
      <c r="AGY1679" s="38"/>
      <c r="AGZ1679" s="38"/>
      <c r="AHA1679" s="38"/>
      <c r="AHB1679" s="38"/>
      <c r="AHC1679" s="38"/>
      <c r="AHD1679" s="38"/>
      <c r="AHE1679" s="38"/>
      <c r="AHF1679" s="38"/>
      <c r="AHG1679" s="38"/>
      <c r="AHH1679" s="38"/>
      <c r="AHI1679" s="38"/>
      <c r="AHJ1679" s="38"/>
      <c r="AHK1679" s="38"/>
      <c r="AHL1679" s="38"/>
      <c r="AHM1679" s="38"/>
      <c r="AHN1679" s="38"/>
      <c r="AHO1679" s="38"/>
      <c r="AHP1679" s="38"/>
      <c r="AHQ1679" s="38"/>
      <c r="AHR1679" s="38"/>
      <c r="AHS1679" s="38"/>
      <c r="AHT1679" s="38"/>
      <c r="AHU1679" s="38"/>
      <c r="AHV1679" s="38"/>
      <c r="AHW1679" s="38"/>
      <c r="AHX1679" s="38"/>
      <c r="AHY1679" s="38"/>
      <c r="AHZ1679" s="38"/>
      <c r="AIA1679" s="38"/>
      <c r="AIB1679" s="38"/>
      <c r="AIC1679" s="38"/>
      <c r="AID1679" s="38"/>
      <c r="AIE1679" s="38"/>
      <c r="AIF1679" s="38"/>
      <c r="AIG1679" s="38"/>
      <c r="AIH1679" s="38"/>
      <c r="AII1679" s="38"/>
      <c r="AIJ1679" s="38"/>
      <c r="AIK1679" s="38"/>
      <c r="AIL1679" s="38"/>
      <c r="AIM1679" s="38"/>
      <c r="AIN1679" s="38"/>
      <c r="AIO1679" s="38"/>
      <c r="AIP1679" s="38"/>
      <c r="AIQ1679" s="38"/>
      <c r="AIR1679" s="38"/>
      <c r="AIS1679" s="38"/>
      <c r="AIT1679" s="38"/>
      <c r="AIU1679" s="38"/>
      <c r="AIV1679" s="38"/>
      <c r="AIW1679" s="38"/>
      <c r="AIX1679" s="38"/>
      <c r="AIY1679" s="38"/>
      <c r="AIZ1679" s="38"/>
      <c r="AJA1679" s="38"/>
      <c r="AJB1679" s="38"/>
      <c r="AJC1679" s="38"/>
      <c r="AJD1679" s="38"/>
      <c r="AJE1679" s="38"/>
      <c r="AJF1679" s="38"/>
      <c r="AJG1679" s="38"/>
      <c r="AJH1679" s="38"/>
      <c r="AJI1679" s="38"/>
      <c r="AJJ1679" s="38"/>
      <c r="AJK1679" s="38"/>
      <c r="AJL1679" s="38"/>
      <c r="AJM1679" s="38"/>
      <c r="AJN1679" s="38"/>
      <c r="AJO1679" s="38"/>
      <c r="AJP1679" s="38"/>
      <c r="AJQ1679" s="38"/>
      <c r="AJR1679" s="38"/>
      <c r="AJS1679" s="38"/>
      <c r="AJT1679" s="38"/>
      <c r="AJU1679" s="38"/>
      <c r="AJV1679" s="38"/>
      <c r="AJW1679" s="38"/>
      <c r="AJX1679" s="38"/>
      <c r="AJY1679" s="38"/>
      <c r="AJZ1679" s="38"/>
      <c r="AKA1679" s="38"/>
      <c r="AKB1679" s="38"/>
      <c r="AKC1679" s="38"/>
      <c r="AKD1679" s="38"/>
      <c r="AKE1679" s="38"/>
      <c r="AKF1679" s="38"/>
      <c r="AKG1679" s="38"/>
      <c r="AKH1679" s="38"/>
      <c r="AKI1679" s="38"/>
      <c r="AKJ1679" s="38"/>
      <c r="AKK1679" s="38"/>
      <c r="AKL1679" s="38"/>
      <c r="AKM1679" s="38"/>
      <c r="AKN1679" s="38"/>
      <c r="AKO1679" s="38"/>
      <c r="AKP1679" s="38"/>
      <c r="AKQ1679" s="38"/>
      <c r="AKR1679" s="38"/>
      <c r="AKS1679" s="38"/>
      <c r="AKT1679" s="38"/>
      <c r="AKU1679" s="38"/>
      <c r="AKV1679" s="38"/>
      <c r="AKW1679" s="38"/>
      <c r="AKX1679" s="38"/>
      <c r="AKY1679" s="38"/>
      <c r="AKZ1679" s="38"/>
      <c r="ALA1679" s="38"/>
      <c r="ALB1679" s="38"/>
      <c r="ALC1679" s="38"/>
      <c r="ALD1679" s="38"/>
      <c r="ALE1679" s="38"/>
      <c r="ALF1679" s="38"/>
      <c r="ALG1679" s="38"/>
      <c r="ALH1679" s="38"/>
      <c r="ALI1679" s="38"/>
      <c r="ALJ1679" s="38"/>
      <c r="ALK1679" s="38"/>
      <c r="ALL1679" s="38"/>
      <c r="ALM1679" s="38"/>
      <c r="ALN1679" s="38"/>
      <c r="ALO1679" s="38"/>
      <c r="ALP1679" s="38"/>
      <c r="ALQ1679" s="38"/>
      <c r="ALR1679" s="38"/>
      <c r="ALS1679" s="38"/>
      <c r="ALT1679" s="38"/>
      <c r="ALU1679" s="38"/>
      <c r="ALV1679" s="38"/>
      <c r="ALW1679" s="38"/>
      <c r="ALX1679" s="38"/>
      <c r="ALY1679" s="38"/>
      <c r="ALZ1679" s="38"/>
      <c r="AMA1679" s="38"/>
      <c r="AMB1679" s="38"/>
      <c r="AMC1679" s="38"/>
      <c r="AMD1679" s="38"/>
      <c r="AME1679" s="38"/>
      <c r="AMF1679" s="38"/>
      <c r="AMG1679" s="38"/>
      <c r="AMH1679" s="38"/>
      <c r="AMI1679" s="38"/>
      <c r="AMJ1679" s="38"/>
      <c r="AMK1679" s="38"/>
      <c r="AML1679" s="38"/>
      <c r="AMM1679" s="38"/>
      <c r="AMN1679" s="38"/>
      <c r="AMO1679" s="38"/>
      <c r="AMP1679" s="38"/>
      <c r="AMQ1679" s="38"/>
      <c r="AMR1679" s="38"/>
      <c r="AMS1679" s="38"/>
      <c r="AMT1679" s="38"/>
      <c r="AMU1679" s="38"/>
      <c r="AMV1679" s="38"/>
      <c r="AMW1679" s="38"/>
      <c r="AMX1679" s="38"/>
      <c r="AMY1679" s="38"/>
      <c r="AMZ1679" s="38"/>
      <c r="ANA1679" s="38"/>
      <c r="ANB1679" s="38"/>
      <c r="ANC1679" s="38"/>
      <c r="AND1679" s="38"/>
      <c r="ANE1679" s="38"/>
      <c r="ANF1679" s="38"/>
      <c r="ANG1679" s="38"/>
      <c r="ANH1679" s="38"/>
      <c r="ANI1679" s="38"/>
      <c r="ANJ1679" s="38"/>
      <c r="ANK1679" s="38"/>
      <c r="ANL1679" s="38"/>
      <c r="ANM1679" s="38"/>
      <c r="ANN1679" s="38"/>
      <c r="ANO1679" s="38"/>
      <c r="ANP1679" s="38"/>
      <c r="ANQ1679" s="38"/>
      <c r="ANR1679" s="38"/>
      <c r="ANS1679" s="38"/>
      <c r="ANT1679" s="38"/>
      <c r="ANU1679" s="38"/>
      <c r="ANV1679" s="38"/>
      <c r="ANW1679" s="38"/>
      <c r="ANX1679" s="38"/>
      <c r="ANY1679" s="38"/>
      <c r="ANZ1679" s="38"/>
      <c r="AOA1679" s="38"/>
      <c r="AOB1679" s="38"/>
      <c r="AOC1679" s="38"/>
      <c r="AOD1679" s="38"/>
      <c r="AOE1679" s="38"/>
      <c r="AOF1679" s="38"/>
      <c r="AOG1679" s="38"/>
      <c r="AOH1679" s="38"/>
      <c r="AOI1679" s="38"/>
      <c r="AOJ1679" s="38"/>
      <c r="AOK1679" s="38"/>
      <c r="AOL1679" s="38"/>
      <c r="AOM1679" s="38"/>
      <c r="AON1679" s="38"/>
      <c r="AOO1679" s="38"/>
      <c r="AOP1679" s="38"/>
      <c r="AOQ1679" s="38"/>
      <c r="AOR1679" s="38"/>
      <c r="AOS1679" s="38"/>
      <c r="AOT1679" s="38"/>
      <c r="AOU1679" s="38"/>
      <c r="AOV1679" s="38"/>
      <c r="AOW1679" s="38"/>
      <c r="AOX1679" s="38"/>
      <c r="AOY1679" s="38"/>
      <c r="AOZ1679" s="38"/>
      <c r="APA1679" s="38"/>
      <c r="APB1679" s="38"/>
      <c r="APC1679" s="38"/>
    </row>
    <row r="1680" spans="1:1095" s="36" customFormat="1" ht="14.25" customHeight="1">
      <c r="A1680" s="3" t="s">
        <v>1722</v>
      </c>
      <c r="B1680" s="36" t="s">
        <v>3960</v>
      </c>
      <c r="C1680" s="251">
        <v>4099854029387</v>
      </c>
      <c r="D1680" s="224">
        <v>4058075543249</v>
      </c>
      <c r="E1680" s="245" t="s">
        <v>1602</v>
      </c>
      <c r="F1680" s="246"/>
      <c r="G1680" s="66" t="str">
        <f>HYPERLINK("https://ledvance.com/pt/product-datasheet/245161/229963","Ficha de Produto")</f>
        <v>Ficha de Produto</v>
      </c>
      <c r="H1680" s="217">
        <v>10</v>
      </c>
      <c r="I1680" s="34" t="s">
        <v>786</v>
      </c>
      <c r="J1680" s="34" t="s">
        <v>859</v>
      </c>
      <c r="K1680" s="34" t="s">
        <v>788</v>
      </c>
      <c r="L1680" s="34" t="s">
        <v>765</v>
      </c>
      <c r="M1680" s="247">
        <v>40.700000000000003</v>
      </c>
      <c r="N1680" s="288" t="s">
        <v>722</v>
      </c>
    </row>
    <row r="1681" spans="1:1095" s="36" customFormat="1" ht="14.25" customHeight="1">
      <c r="A1681" s="3" t="s">
        <v>1722</v>
      </c>
      <c r="B1681" s="36" t="s">
        <v>3961</v>
      </c>
      <c r="C1681" s="251">
        <v>4099854029400</v>
      </c>
      <c r="D1681" s="224">
        <v>4058075543263</v>
      </c>
      <c r="E1681" s="245" t="s">
        <v>1603</v>
      </c>
      <c r="F1681" s="246"/>
      <c r="G1681" s="66" t="str">
        <f>HYPERLINK("https://ledvance.com/pt/product-datasheet/245161/229966","Ficha de Produto")</f>
        <v>Ficha de Produto</v>
      </c>
      <c r="H1681" s="217">
        <v>10</v>
      </c>
      <c r="I1681" s="34" t="s">
        <v>762</v>
      </c>
      <c r="J1681" s="34" t="s">
        <v>859</v>
      </c>
      <c r="K1681" s="34" t="s">
        <v>788</v>
      </c>
      <c r="L1681" s="34" t="s">
        <v>765</v>
      </c>
      <c r="M1681" s="247">
        <v>40.700000000000003</v>
      </c>
      <c r="N1681" s="288" t="s">
        <v>722</v>
      </c>
    </row>
    <row r="1682" spans="1:1095" s="36" customFormat="1" ht="14.25" customHeight="1">
      <c r="A1682" s="3" t="s">
        <v>1722</v>
      </c>
      <c r="B1682" s="36" t="s">
        <v>3962</v>
      </c>
      <c r="C1682" s="251">
        <v>4099854029424</v>
      </c>
      <c r="D1682" s="224">
        <v>4058075543287</v>
      </c>
      <c r="E1682" s="245" t="s">
        <v>1604</v>
      </c>
      <c r="F1682" s="246"/>
      <c r="G1682" s="66" t="str">
        <f>HYPERLINK("https://ledvance.com/pt/product-datasheet/245161/229969","Ficha de Produto")</f>
        <v>Ficha de Produto</v>
      </c>
      <c r="H1682" s="217">
        <v>10</v>
      </c>
      <c r="I1682" s="34" t="s">
        <v>762</v>
      </c>
      <c r="J1682" s="34" t="s">
        <v>859</v>
      </c>
      <c r="K1682" s="34" t="s">
        <v>788</v>
      </c>
      <c r="L1682" s="34" t="s">
        <v>765</v>
      </c>
      <c r="M1682" s="247">
        <v>40.700000000000003</v>
      </c>
      <c r="N1682" s="288" t="s">
        <v>722</v>
      </c>
    </row>
    <row r="1683" spans="1:1095" s="39" customFormat="1" ht="14.25" customHeight="1">
      <c r="A1683" s="8" t="s">
        <v>1722</v>
      </c>
      <c r="B1683" s="244" t="s">
        <v>2062</v>
      </c>
      <c r="C1683" s="244"/>
      <c r="D1683" s="7"/>
      <c r="E1683" s="230"/>
      <c r="F1683" s="7"/>
      <c r="G1683" s="68"/>
      <c r="H1683" s="230"/>
      <c r="I1683" s="230"/>
      <c r="J1683" s="230"/>
      <c r="K1683" s="230"/>
      <c r="L1683" s="230"/>
      <c r="M1683" s="248"/>
      <c r="N1683" s="284"/>
      <c r="O1683" s="38"/>
      <c r="P1683" s="38"/>
      <c r="Q1683" s="38"/>
      <c r="R1683" s="38"/>
      <c r="S1683" s="38"/>
      <c r="T1683" s="38"/>
      <c r="U1683" s="38"/>
      <c r="V1683" s="38"/>
      <c r="W1683" s="38"/>
      <c r="X1683" s="38"/>
      <c r="Y1683" s="38"/>
      <c r="Z1683" s="38"/>
      <c r="AA1683" s="38"/>
      <c r="AB1683" s="38"/>
      <c r="AC1683" s="38"/>
      <c r="AD1683" s="38"/>
      <c r="AE1683" s="38"/>
      <c r="AF1683" s="38"/>
      <c r="AG1683" s="38"/>
      <c r="AH1683" s="38"/>
      <c r="AI1683" s="38"/>
      <c r="AJ1683" s="38"/>
      <c r="AK1683" s="38"/>
      <c r="AL1683" s="38"/>
      <c r="AM1683" s="38"/>
      <c r="AN1683" s="38"/>
      <c r="AO1683" s="38"/>
      <c r="AP1683" s="38"/>
      <c r="AQ1683" s="38"/>
      <c r="AR1683" s="38"/>
      <c r="AS1683" s="38"/>
      <c r="AT1683" s="38"/>
      <c r="AU1683" s="38"/>
      <c r="AV1683" s="38"/>
      <c r="AW1683" s="38"/>
      <c r="AX1683" s="38"/>
      <c r="AY1683" s="38"/>
      <c r="AZ1683" s="38"/>
      <c r="BA1683" s="38"/>
      <c r="BB1683" s="38"/>
      <c r="BC1683" s="38"/>
      <c r="BD1683" s="38"/>
      <c r="BE1683" s="38"/>
      <c r="BF1683" s="38"/>
      <c r="BG1683" s="38"/>
      <c r="BH1683" s="38"/>
      <c r="BI1683" s="38"/>
      <c r="BJ1683" s="38"/>
      <c r="BK1683" s="38"/>
      <c r="BL1683" s="38"/>
      <c r="BM1683" s="38"/>
      <c r="BN1683" s="38"/>
      <c r="BO1683" s="38"/>
      <c r="BP1683" s="38"/>
      <c r="BQ1683" s="38"/>
      <c r="BR1683" s="38"/>
      <c r="BS1683" s="38"/>
      <c r="BT1683" s="38"/>
      <c r="BU1683" s="38"/>
      <c r="BV1683" s="38"/>
      <c r="BW1683" s="38"/>
      <c r="BX1683" s="38"/>
      <c r="BY1683" s="38"/>
      <c r="BZ1683" s="38"/>
      <c r="CA1683" s="38"/>
      <c r="CB1683" s="38"/>
      <c r="CC1683" s="38"/>
      <c r="CD1683" s="38"/>
      <c r="CE1683" s="38"/>
      <c r="CF1683" s="38"/>
      <c r="CG1683" s="38"/>
      <c r="CH1683" s="38"/>
      <c r="CI1683" s="38"/>
      <c r="CJ1683" s="38"/>
      <c r="CK1683" s="38"/>
      <c r="CL1683" s="38"/>
      <c r="CM1683" s="38"/>
      <c r="CN1683" s="38"/>
      <c r="CO1683" s="38"/>
      <c r="CP1683" s="38"/>
      <c r="CQ1683" s="38"/>
      <c r="CR1683" s="38"/>
      <c r="CS1683" s="38"/>
      <c r="CT1683" s="38"/>
      <c r="CU1683" s="38"/>
      <c r="CV1683" s="38"/>
      <c r="CW1683" s="38"/>
      <c r="CX1683" s="38"/>
      <c r="CY1683" s="38"/>
      <c r="CZ1683" s="38"/>
      <c r="DA1683" s="38"/>
      <c r="DB1683" s="38"/>
      <c r="DC1683" s="38"/>
      <c r="DD1683" s="38"/>
      <c r="DE1683" s="38"/>
      <c r="DF1683" s="38"/>
      <c r="DG1683" s="38"/>
      <c r="DH1683" s="38"/>
      <c r="DI1683" s="38"/>
      <c r="DJ1683" s="38"/>
      <c r="DK1683" s="38"/>
      <c r="DL1683" s="38"/>
      <c r="DM1683" s="38"/>
      <c r="DN1683" s="38"/>
      <c r="DO1683" s="38"/>
      <c r="DP1683" s="38"/>
      <c r="DQ1683" s="38"/>
      <c r="DR1683" s="38"/>
      <c r="DS1683" s="38"/>
      <c r="DT1683" s="38"/>
      <c r="DU1683" s="38"/>
      <c r="DV1683" s="38"/>
      <c r="DW1683" s="38"/>
      <c r="DX1683" s="38"/>
      <c r="DY1683" s="38"/>
      <c r="DZ1683" s="38"/>
      <c r="EA1683" s="38"/>
      <c r="EB1683" s="38"/>
      <c r="EC1683" s="38"/>
      <c r="ED1683" s="38"/>
      <c r="EE1683" s="38"/>
      <c r="EF1683" s="38"/>
      <c r="EG1683" s="38"/>
      <c r="EH1683" s="38"/>
      <c r="EI1683" s="38"/>
      <c r="EJ1683" s="38"/>
      <c r="EK1683" s="38"/>
      <c r="EL1683" s="38"/>
      <c r="EM1683" s="38"/>
      <c r="EN1683" s="38"/>
      <c r="EO1683" s="38"/>
      <c r="EP1683" s="38"/>
      <c r="EQ1683" s="38"/>
      <c r="ER1683" s="38"/>
      <c r="ES1683" s="38"/>
      <c r="ET1683" s="38"/>
      <c r="EU1683" s="38"/>
      <c r="EV1683" s="38"/>
      <c r="EW1683" s="38"/>
      <c r="EX1683" s="38"/>
      <c r="EY1683" s="38"/>
      <c r="EZ1683" s="38"/>
      <c r="FA1683" s="38"/>
      <c r="FB1683" s="38"/>
      <c r="FC1683" s="38"/>
      <c r="FD1683" s="38"/>
      <c r="FE1683" s="38"/>
      <c r="FF1683" s="38"/>
      <c r="FG1683" s="38"/>
      <c r="FH1683" s="38"/>
      <c r="FI1683" s="38"/>
      <c r="FJ1683" s="38"/>
      <c r="FK1683" s="38"/>
      <c r="FL1683" s="38"/>
      <c r="FM1683" s="38"/>
      <c r="FN1683" s="38"/>
      <c r="FO1683" s="38"/>
      <c r="FP1683" s="38"/>
      <c r="FQ1683" s="38"/>
      <c r="FR1683" s="38"/>
      <c r="FS1683" s="38"/>
      <c r="FT1683" s="38"/>
      <c r="FU1683" s="38"/>
      <c r="FV1683" s="38"/>
      <c r="FW1683" s="38"/>
      <c r="FX1683" s="38"/>
      <c r="FY1683" s="38"/>
      <c r="FZ1683" s="38"/>
      <c r="GA1683" s="38"/>
      <c r="GB1683" s="38"/>
      <c r="GC1683" s="38"/>
      <c r="GD1683" s="38"/>
      <c r="GE1683" s="38"/>
      <c r="GF1683" s="38"/>
      <c r="GG1683" s="38"/>
      <c r="GH1683" s="38"/>
      <c r="GI1683" s="38"/>
      <c r="GJ1683" s="38"/>
      <c r="GK1683" s="38"/>
      <c r="GL1683" s="38"/>
      <c r="GM1683" s="38"/>
      <c r="GN1683" s="38"/>
      <c r="GO1683" s="38"/>
      <c r="GP1683" s="38"/>
      <c r="GQ1683" s="38"/>
      <c r="GR1683" s="38"/>
      <c r="GS1683" s="38"/>
      <c r="GT1683" s="38"/>
      <c r="GU1683" s="38"/>
      <c r="GV1683" s="38"/>
      <c r="GW1683" s="38"/>
      <c r="GX1683" s="38"/>
      <c r="GY1683" s="38"/>
      <c r="GZ1683" s="38"/>
      <c r="HA1683" s="38"/>
      <c r="HB1683" s="38"/>
      <c r="HC1683" s="38"/>
      <c r="HD1683" s="38"/>
      <c r="HE1683" s="38"/>
      <c r="HF1683" s="38"/>
      <c r="HG1683" s="38"/>
      <c r="HH1683" s="38"/>
      <c r="HI1683" s="38"/>
      <c r="HJ1683" s="38"/>
      <c r="HK1683" s="38"/>
      <c r="HL1683" s="38"/>
      <c r="HM1683" s="38"/>
      <c r="HN1683" s="38"/>
      <c r="HO1683" s="38"/>
      <c r="HP1683" s="38"/>
      <c r="HQ1683" s="38"/>
      <c r="HR1683" s="38"/>
      <c r="HS1683" s="38"/>
      <c r="HT1683" s="38"/>
      <c r="HU1683" s="38"/>
      <c r="HV1683" s="38"/>
      <c r="HW1683" s="38"/>
      <c r="HX1683" s="38"/>
      <c r="HY1683" s="38"/>
      <c r="HZ1683" s="38"/>
      <c r="IA1683" s="38"/>
      <c r="IB1683" s="38"/>
      <c r="IC1683" s="38"/>
      <c r="ID1683" s="38"/>
      <c r="IE1683" s="38"/>
      <c r="IF1683" s="38"/>
      <c r="IG1683" s="38"/>
      <c r="IH1683" s="38"/>
      <c r="II1683" s="38"/>
      <c r="IJ1683" s="38"/>
      <c r="IK1683" s="38"/>
      <c r="IL1683" s="38"/>
      <c r="IM1683" s="38"/>
      <c r="IN1683" s="38"/>
      <c r="IO1683" s="38"/>
      <c r="IP1683" s="38"/>
      <c r="IQ1683" s="38"/>
      <c r="IR1683" s="38"/>
      <c r="IS1683" s="38"/>
      <c r="IT1683" s="38"/>
      <c r="IU1683" s="38"/>
      <c r="IV1683" s="38"/>
      <c r="IW1683" s="38"/>
      <c r="IX1683" s="38"/>
      <c r="IY1683" s="38"/>
      <c r="IZ1683" s="38"/>
      <c r="JA1683" s="38"/>
      <c r="JB1683" s="38"/>
      <c r="JC1683" s="38"/>
      <c r="JD1683" s="38"/>
      <c r="JE1683" s="38"/>
      <c r="JF1683" s="38"/>
      <c r="JG1683" s="38"/>
      <c r="JH1683" s="38"/>
      <c r="JI1683" s="38"/>
      <c r="JJ1683" s="38"/>
      <c r="JK1683" s="38"/>
      <c r="JL1683" s="38"/>
      <c r="JM1683" s="38"/>
      <c r="JN1683" s="38"/>
      <c r="JO1683" s="38"/>
      <c r="JP1683" s="38"/>
      <c r="JQ1683" s="38"/>
      <c r="JR1683" s="38"/>
      <c r="JS1683" s="38"/>
      <c r="JT1683" s="38"/>
      <c r="JU1683" s="38"/>
      <c r="JV1683" s="38"/>
      <c r="JW1683" s="38"/>
      <c r="JX1683" s="38"/>
      <c r="JY1683" s="38"/>
      <c r="JZ1683" s="38"/>
      <c r="KA1683" s="38"/>
      <c r="KB1683" s="38"/>
      <c r="KC1683" s="38"/>
      <c r="KD1683" s="38"/>
      <c r="KE1683" s="38"/>
      <c r="KF1683" s="38"/>
      <c r="KG1683" s="38"/>
      <c r="KH1683" s="38"/>
      <c r="KI1683" s="38"/>
      <c r="KJ1683" s="38"/>
      <c r="KK1683" s="38"/>
      <c r="KL1683" s="38"/>
      <c r="KM1683" s="38"/>
      <c r="KN1683" s="38"/>
      <c r="KO1683" s="38"/>
      <c r="KP1683" s="38"/>
      <c r="KQ1683" s="38"/>
      <c r="KR1683" s="38"/>
      <c r="KS1683" s="38"/>
      <c r="KT1683" s="38"/>
      <c r="KU1683" s="38"/>
      <c r="KV1683" s="38"/>
      <c r="KW1683" s="38"/>
      <c r="KX1683" s="38"/>
      <c r="KY1683" s="38"/>
      <c r="KZ1683" s="38"/>
      <c r="LA1683" s="38"/>
      <c r="LB1683" s="38"/>
      <c r="LC1683" s="38"/>
      <c r="LD1683" s="38"/>
      <c r="LE1683" s="38"/>
      <c r="LF1683" s="38"/>
      <c r="LG1683" s="38"/>
      <c r="LH1683" s="38"/>
      <c r="LI1683" s="38"/>
      <c r="LJ1683" s="38"/>
      <c r="LK1683" s="38"/>
      <c r="LL1683" s="38"/>
      <c r="LM1683" s="38"/>
      <c r="LN1683" s="38"/>
      <c r="LO1683" s="38"/>
      <c r="LP1683" s="38"/>
      <c r="LQ1683" s="38"/>
      <c r="LR1683" s="38"/>
      <c r="LS1683" s="38"/>
      <c r="LT1683" s="38"/>
      <c r="LU1683" s="38"/>
      <c r="LV1683" s="38"/>
      <c r="LW1683" s="38"/>
      <c r="LX1683" s="38"/>
      <c r="LY1683" s="38"/>
      <c r="LZ1683" s="38"/>
      <c r="MA1683" s="38"/>
      <c r="MB1683" s="38"/>
      <c r="MC1683" s="38"/>
      <c r="MD1683" s="38"/>
      <c r="ME1683" s="38"/>
      <c r="MF1683" s="38"/>
      <c r="MG1683" s="38"/>
      <c r="MH1683" s="38"/>
      <c r="MI1683" s="38"/>
      <c r="MJ1683" s="38"/>
      <c r="MK1683" s="38"/>
      <c r="ML1683" s="38"/>
      <c r="MM1683" s="38"/>
      <c r="MN1683" s="38"/>
      <c r="MO1683" s="38"/>
      <c r="MP1683" s="38"/>
      <c r="MQ1683" s="38"/>
      <c r="MR1683" s="38"/>
      <c r="MS1683" s="38"/>
      <c r="MT1683" s="38"/>
      <c r="MU1683" s="38"/>
      <c r="MV1683" s="38"/>
      <c r="MW1683" s="38"/>
      <c r="MX1683" s="38"/>
      <c r="MY1683" s="38"/>
      <c r="MZ1683" s="38"/>
      <c r="NA1683" s="38"/>
      <c r="NB1683" s="38"/>
      <c r="NC1683" s="38"/>
      <c r="ND1683" s="38"/>
      <c r="NE1683" s="38"/>
      <c r="NF1683" s="38"/>
      <c r="NG1683" s="38"/>
      <c r="NH1683" s="38"/>
      <c r="NI1683" s="38"/>
      <c r="NJ1683" s="38"/>
      <c r="NK1683" s="38"/>
      <c r="NL1683" s="38"/>
      <c r="NM1683" s="38"/>
      <c r="NN1683" s="38"/>
      <c r="NO1683" s="38"/>
      <c r="NP1683" s="38"/>
      <c r="NQ1683" s="38"/>
      <c r="NR1683" s="38"/>
      <c r="NS1683" s="38"/>
      <c r="NT1683" s="38"/>
      <c r="NU1683" s="38"/>
      <c r="NV1683" s="38"/>
      <c r="NW1683" s="38"/>
      <c r="NX1683" s="38"/>
      <c r="NY1683" s="38"/>
      <c r="NZ1683" s="38"/>
      <c r="OA1683" s="38"/>
      <c r="OB1683" s="38"/>
      <c r="OC1683" s="38"/>
      <c r="OD1683" s="38"/>
      <c r="OE1683" s="38"/>
      <c r="OF1683" s="38"/>
      <c r="OG1683" s="38"/>
      <c r="OH1683" s="38"/>
      <c r="OI1683" s="38"/>
      <c r="OJ1683" s="38"/>
      <c r="OK1683" s="38"/>
      <c r="OL1683" s="38"/>
      <c r="OM1683" s="38"/>
      <c r="ON1683" s="38"/>
      <c r="OO1683" s="38"/>
      <c r="OP1683" s="38"/>
      <c r="OQ1683" s="38"/>
      <c r="OR1683" s="38"/>
      <c r="OS1683" s="38"/>
      <c r="OT1683" s="38"/>
      <c r="OU1683" s="38"/>
      <c r="OV1683" s="38"/>
      <c r="OW1683" s="38"/>
      <c r="OX1683" s="38"/>
      <c r="OY1683" s="38"/>
      <c r="OZ1683" s="38"/>
      <c r="PA1683" s="38"/>
      <c r="PB1683" s="38"/>
      <c r="PC1683" s="38"/>
      <c r="PD1683" s="38"/>
      <c r="PE1683" s="38"/>
      <c r="PF1683" s="38"/>
      <c r="PG1683" s="38"/>
      <c r="PH1683" s="38"/>
      <c r="PI1683" s="38"/>
      <c r="PJ1683" s="38"/>
      <c r="PK1683" s="38"/>
      <c r="PL1683" s="38"/>
      <c r="PM1683" s="38"/>
      <c r="PN1683" s="38"/>
      <c r="PO1683" s="38"/>
      <c r="PP1683" s="38"/>
      <c r="PQ1683" s="38"/>
      <c r="PR1683" s="38"/>
      <c r="PS1683" s="38"/>
      <c r="PT1683" s="38"/>
      <c r="PU1683" s="38"/>
      <c r="PV1683" s="38"/>
      <c r="PW1683" s="38"/>
      <c r="PX1683" s="38"/>
      <c r="PY1683" s="38"/>
      <c r="PZ1683" s="38"/>
      <c r="QA1683" s="38"/>
      <c r="QB1683" s="38"/>
      <c r="QC1683" s="38"/>
      <c r="QD1683" s="38"/>
      <c r="QE1683" s="38"/>
      <c r="QF1683" s="38"/>
      <c r="QG1683" s="38"/>
      <c r="QH1683" s="38"/>
      <c r="QI1683" s="38"/>
      <c r="QJ1683" s="38"/>
      <c r="QK1683" s="38"/>
      <c r="QL1683" s="38"/>
      <c r="QM1683" s="38"/>
      <c r="QN1683" s="38"/>
      <c r="QO1683" s="38"/>
      <c r="QP1683" s="38"/>
      <c r="QQ1683" s="38"/>
      <c r="QR1683" s="38"/>
      <c r="QS1683" s="38"/>
      <c r="QT1683" s="38"/>
      <c r="QU1683" s="38"/>
      <c r="QV1683" s="38"/>
      <c r="QW1683" s="38"/>
      <c r="QX1683" s="38"/>
      <c r="QY1683" s="38"/>
      <c r="QZ1683" s="38"/>
      <c r="RA1683" s="38"/>
      <c r="RB1683" s="38"/>
      <c r="RC1683" s="38"/>
      <c r="RD1683" s="38"/>
      <c r="RE1683" s="38"/>
      <c r="RF1683" s="38"/>
      <c r="RG1683" s="38"/>
      <c r="RH1683" s="38"/>
      <c r="RI1683" s="38"/>
      <c r="RJ1683" s="38"/>
      <c r="RK1683" s="38"/>
      <c r="RL1683" s="38"/>
      <c r="RM1683" s="38"/>
      <c r="RN1683" s="38"/>
      <c r="RO1683" s="38"/>
      <c r="RP1683" s="38"/>
      <c r="RQ1683" s="38"/>
      <c r="RR1683" s="38"/>
      <c r="RS1683" s="38"/>
      <c r="RT1683" s="38"/>
      <c r="RU1683" s="38"/>
      <c r="RV1683" s="38"/>
      <c r="RW1683" s="38"/>
      <c r="RX1683" s="38"/>
      <c r="RY1683" s="38"/>
      <c r="RZ1683" s="38"/>
      <c r="SA1683" s="38"/>
      <c r="SB1683" s="38"/>
      <c r="SC1683" s="38"/>
      <c r="SD1683" s="38"/>
      <c r="SE1683" s="38"/>
      <c r="SF1683" s="38"/>
      <c r="SG1683" s="38"/>
      <c r="SH1683" s="38"/>
      <c r="SI1683" s="38"/>
      <c r="SJ1683" s="38"/>
      <c r="SK1683" s="38"/>
      <c r="SL1683" s="38"/>
      <c r="SM1683" s="38"/>
      <c r="SN1683" s="38"/>
      <c r="SO1683" s="38"/>
      <c r="SP1683" s="38"/>
      <c r="SQ1683" s="38"/>
      <c r="SR1683" s="38"/>
      <c r="SS1683" s="38"/>
      <c r="ST1683" s="38"/>
      <c r="SU1683" s="38"/>
      <c r="SV1683" s="38"/>
      <c r="SW1683" s="38"/>
      <c r="SX1683" s="38"/>
      <c r="SY1683" s="38"/>
      <c r="SZ1683" s="38"/>
      <c r="TA1683" s="38"/>
      <c r="TB1683" s="38"/>
      <c r="TC1683" s="38"/>
      <c r="TD1683" s="38"/>
      <c r="TE1683" s="38"/>
      <c r="TF1683" s="38"/>
      <c r="TG1683" s="38"/>
      <c r="TH1683" s="38"/>
      <c r="TI1683" s="38"/>
      <c r="TJ1683" s="38"/>
      <c r="TK1683" s="38"/>
      <c r="TL1683" s="38"/>
      <c r="TM1683" s="38"/>
      <c r="TN1683" s="38"/>
      <c r="TO1683" s="38"/>
      <c r="TP1683" s="38"/>
      <c r="TQ1683" s="38"/>
      <c r="TR1683" s="38"/>
      <c r="TS1683" s="38"/>
      <c r="TT1683" s="38"/>
      <c r="TU1683" s="38"/>
      <c r="TV1683" s="38"/>
      <c r="TW1683" s="38"/>
      <c r="TX1683" s="38"/>
      <c r="TY1683" s="38"/>
      <c r="TZ1683" s="38"/>
      <c r="UA1683" s="38"/>
      <c r="UB1683" s="38"/>
      <c r="UC1683" s="38"/>
      <c r="UD1683" s="38"/>
      <c r="UE1683" s="38"/>
      <c r="UF1683" s="38"/>
      <c r="UG1683" s="38"/>
      <c r="UH1683" s="38"/>
      <c r="UI1683" s="38"/>
      <c r="UJ1683" s="38"/>
      <c r="UK1683" s="38"/>
      <c r="UL1683" s="38"/>
      <c r="UM1683" s="38"/>
      <c r="UN1683" s="38"/>
      <c r="UO1683" s="38"/>
      <c r="UP1683" s="38"/>
      <c r="UQ1683" s="38"/>
      <c r="UR1683" s="38"/>
      <c r="US1683" s="38"/>
      <c r="UT1683" s="38"/>
      <c r="UU1683" s="38"/>
      <c r="UV1683" s="38"/>
      <c r="UW1683" s="38"/>
      <c r="UX1683" s="38"/>
      <c r="UY1683" s="38"/>
      <c r="UZ1683" s="38"/>
      <c r="VA1683" s="38"/>
      <c r="VB1683" s="38"/>
      <c r="VC1683" s="38"/>
      <c r="VD1683" s="38"/>
      <c r="VE1683" s="38"/>
      <c r="VF1683" s="38"/>
      <c r="VG1683" s="38"/>
      <c r="VH1683" s="38"/>
      <c r="VI1683" s="38"/>
      <c r="VJ1683" s="38"/>
      <c r="VK1683" s="38"/>
      <c r="VL1683" s="38"/>
      <c r="VM1683" s="38"/>
      <c r="VN1683" s="38"/>
      <c r="VO1683" s="38"/>
      <c r="VP1683" s="38"/>
      <c r="VQ1683" s="38"/>
      <c r="VR1683" s="38"/>
      <c r="VS1683" s="38"/>
      <c r="VT1683" s="38"/>
      <c r="VU1683" s="38"/>
      <c r="VV1683" s="38"/>
      <c r="VW1683" s="38"/>
      <c r="VX1683" s="38"/>
      <c r="VY1683" s="38"/>
      <c r="VZ1683" s="38"/>
      <c r="WA1683" s="38"/>
      <c r="WB1683" s="38"/>
      <c r="WC1683" s="38"/>
      <c r="WD1683" s="38"/>
      <c r="WE1683" s="38"/>
      <c r="WF1683" s="38"/>
      <c r="WG1683" s="38"/>
      <c r="WH1683" s="38"/>
      <c r="WI1683" s="38"/>
      <c r="WJ1683" s="38"/>
      <c r="WK1683" s="38"/>
      <c r="WL1683" s="38"/>
      <c r="WM1683" s="38"/>
      <c r="WN1683" s="38"/>
      <c r="WO1683" s="38"/>
      <c r="WP1683" s="38"/>
      <c r="WQ1683" s="38"/>
      <c r="WR1683" s="38"/>
      <c r="WS1683" s="38"/>
      <c r="WT1683" s="38"/>
      <c r="WU1683" s="38"/>
      <c r="WV1683" s="38"/>
      <c r="WW1683" s="38"/>
      <c r="WX1683" s="38"/>
      <c r="WY1683" s="38"/>
      <c r="WZ1683" s="38"/>
      <c r="XA1683" s="38"/>
      <c r="XB1683" s="38"/>
      <c r="XC1683" s="38"/>
      <c r="XD1683" s="38"/>
      <c r="XE1683" s="38"/>
      <c r="XF1683" s="38"/>
      <c r="XG1683" s="38"/>
      <c r="XH1683" s="38"/>
      <c r="XI1683" s="38"/>
      <c r="XJ1683" s="38"/>
      <c r="XK1683" s="38"/>
      <c r="XL1683" s="38"/>
      <c r="XM1683" s="38"/>
      <c r="XN1683" s="38"/>
      <c r="XO1683" s="38"/>
      <c r="XP1683" s="38"/>
      <c r="XQ1683" s="38"/>
      <c r="XR1683" s="38"/>
      <c r="XS1683" s="38"/>
      <c r="XT1683" s="38"/>
      <c r="XU1683" s="38"/>
      <c r="XV1683" s="38"/>
      <c r="XW1683" s="38"/>
      <c r="XX1683" s="38"/>
      <c r="XY1683" s="38"/>
      <c r="XZ1683" s="38"/>
      <c r="YA1683" s="38"/>
      <c r="YB1683" s="38"/>
      <c r="YC1683" s="38"/>
      <c r="YD1683" s="38"/>
      <c r="YE1683" s="38"/>
      <c r="YF1683" s="38"/>
      <c r="YG1683" s="38"/>
      <c r="YH1683" s="38"/>
      <c r="YI1683" s="38"/>
      <c r="YJ1683" s="38"/>
      <c r="YK1683" s="38"/>
      <c r="YL1683" s="38"/>
      <c r="YM1683" s="38"/>
      <c r="YN1683" s="38"/>
      <c r="YO1683" s="38"/>
      <c r="YP1683" s="38"/>
      <c r="YQ1683" s="38"/>
      <c r="YR1683" s="38"/>
      <c r="YS1683" s="38"/>
      <c r="YT1683" s="38"/>
      <c r="YU1683" s="38"/>
      <c r="YV1683" s="38"/>
      <c r="YW1683" s="38"/>
      <c r="YX1683" s="38"/>
      <c r="YY1683" s="38"/>
      <c r="YZ1683" s="38"/>
      <c r="ZA1683" s="38"/>
      <c r="ZB1683" s="38"/>
      <c r="ZC1683" s="38"/>
      <c r="ZD1683" s="38"/>
      <c r="ZE1683" s="38"/>
      <c r="ZF1683" s="38"/>
      <c r="ZG1683" s="38"/>
      <c r="ZH1683" s="38"/>
      <c r="ZI1683" s="38"/>
      <c r="ZJ1683" s="38"/>
      <c r="ZK1683" s="38"/>
      <c r="ZL1683" s="38"/>
      <c r="ZM1683" s="38"/>
      <c r="ZN1683" s="38"/>
      <c r="ZO1683" s="38"/>
      <c r="ZP1683" s="38"/>
      <c r="ZQ1683" s="38"/>
      <c r="ZR1683" s="38"/>
      <c r="ZS1683" s="38"/>
      <c r="ZT1683" s="38"/>
      <c r="ZU1683" s="38"/>
      <c r="ZV1683" s="38"/>
      <c r="ZW1683" s="38"/>
      <c r="ZX1683" s="38"/>
      <c r="ZY1683" s="38"/>
      <c r="ZZ1683" s="38"/>
      <c r="AAA1683" s="38"/>
      <c r="AAB1683" s="38"/>
      <c r="AAC1683" s="38"/>
      <c r="AAD1683" s="38"/>
      <c r="AAE1683" s="38"/>
      <c r="AAF1683" s="38"/>
      <c r="AAG1683" s="38"/>
      <c r="AAH1683" s="38"/>
      <c r="AAI1683" s="38"/>
      <c r="AAJ1683" s="38"/>
      <c r="AAK1683" s="38"/>
      <c r="AAL1683" s="38"/>
      <c r="AAM1683" s="38"/>
      <c r="AAN1683" s="38"/>
      <c r="AAO1683" s="38"/>
      <c r="AAP1683" s="38"/>
      <c r="AAQ1683" s="38"/>
      <c r="AAR1683" s="38"/>
      <c r="AAS1683" s="38"/>
      <c r="AAT1683" s="38"/>
      <c r="AAU1683" s="38"/>
      <c r="AAV1683" s="38"/>
      <c r="AAW1683" s="38"/>
      <c r="AAX1683" s="38"/>
      <c r="AAY1683" s="38"/>
      <c r="AAZ1683" s="38"/>
      <c r="ABA1683" s="38"/>
      <c r="ABB1683" s="38"/>
      <c r="ABC1683" s="38"/>
      <c r="ABD1683" s="38"/>
      <c r="ABE1683" s="38"/>
      <c r="ABF1683" s="38"/>
      <c r="ABG1683" s="38"/>
      <c r="ABH1683" s="38"/>
      <c r="ABI1683" s="38"/>
      <c r="ABJ1683" s="38"/>
      <c r="ABK1683" s="38"/>
      <c r="ABL1683" s="38"/>
      <c r="ABM1683" s="38"/>
      <c r="ABN1683" s="38"/>
      <c r="ABO1683" s="38"/>
      <c r="ABP1683" s="38"/>
      <c r="ABQ1683" s="38"/>
      <c r="ABR1683" s="38"/>
      <c r="ABS1683" s="38"/>
      <c r="ABT1683" s="38"/>
      <c r="ABU1683" s="38"/>
      <c r="ABV1683" s="38"/>
      <c r="ABW1683" s="38"/>
      <c r="ABX1683" s="38"/>
      <c r="ABY1683" s="38"/>
      <c r="ABZ1683" s="38"/>
      <c r="ACA1683" s="38"/>
      <c r="ACB1683" s="38"/>
      <c r="ACC1683" s="38"/>
      <c r="ACD1683" s="38"/>
      <c r="ACE1683" s="38"/>
      <c r="ACF1683" s="38"/>
      <c r="ACG1683" s="38"/>
      <c r="ACH1683" s="38"/>
      <c r="ACI1683" s="38"/>
      <c r="ACJ1683" s="38"/>
      <c r="ACK1683" s="38"/>
      <c r="ACL1683" s="38"/>
      <c r="ACM1683" s="38"/>
      <c r="ACN1683" s="38"/>
      <c r="ACO1683" s="38"/>
      <c r="ACP1683" s="38"/>
      <c r="ACQ1683" s="38"/>
      <c r="ACR1683" s="38"/>
      <c r="ACS1683" s="38"/>
      <c r="ACT1683" s="38"/>
      <c r="ACU1683" s="38"/>
      <c r="ACV1683" s="38"/>
      <c r="ACW1683" s="38"/>
      <c r="ACX1683" s="38"/>
      <c r="ACY1683" s="38"/>
      <c r="ACZ1683" s="38"/>
      <c r="ADA1683" s="38"/>
      <c r="ADB1683" s="38"/>
      <c r="ADC1683" s="38"/>
      <c r="ADD1683" s="38"/>
      <c r="ADE1683" s="38"/>
      <c r="ADF1683" s="38"/>
      <c r="ADG1683" s="38"/>
      <c r="ADH1683" s="38"/>
      <c r="ADI1683" s="38"/>
      <c r="ADJ1683" s="38"/>
      <c r="ADK1683" s="38"/>
      <c r="ADL1683" s="38"/>
      <c r="ADM1683" s="38"/>
      <c r="ADN1683" s="38"/>
      <c r="ADO1683" s="38"/>
      <c r="ADP1683" s="38"/>
      <c r="ADQ1683" s="38"/>
      <c r="ADR1683" s="38"/>
      <c r="ADS1683" s="38"/>
      <c r="ADT1683" s="38"/>
      <c r="ADU1683" s="38"/>
      <c r="ADV1683" s="38"/>
      <c r="ADW1683" s="38"/>
      <c r="ADX1683" s="38"/>
      <c r="ADY1683" s="38"/>
      <c r="ADZ1683" s="38"/>
      <c r="AEA1683" s="38"/>
      <c r="AEB1683" s="38"/>
      <c r="AEC1683" s="38"/>
      <c r="AED1683" s="38"/>
      <c r="AEE1683" s="38"/>
      <c r="AEF1683" s="38"/>
      <c r="AEG1683" s="38"/>
      <c r="AEH1683" s="38"/>
      <c r="AEI1683" s="38"/>
      <c r="AEJ1683" s="38"/>
      <c r="AEK1683" s="38"/>
      <c r="AEL1683" s="38"/>
      <c r="AEM1683" s="38"/>
      <c r="AEN1683" s="38"/>
      <c r="AEO1683" s="38"/>
      <c r="AEP1683" s="38"/>
      <c r="AEQ1683" s="38"/>
      <c r="AER1683" s="38"/>
      <c r="AES1683" s="38"/>
      <c r="AET1683" s="38"/>
      <c r="AEU1683" s="38"/>
      <c r="AEV1683" s="38"/>
      <c r="AEW1683" s="38"/>
      <c r="AEX1683" s="38"/>
      <c r="AEY1683" s="38"/>
      <c r="AEZ1683" s="38"/>
      <c r="AFA1683" s="38"/>
      <c r="AFB1683" s="38"/>
      <c r="AFC1683" s="38"/>
      <c r="AFD1683" s="38"/>
      <c r="AFE1683" s="38"/>
      <c r="AFF1683" s="38"/>
      <c r="AFG1683" s="38"/>
      <c r="AFH1683" s="38"/>
      <c r="AFI1683" s="38"/>
      <c r="AFJ1683" s="38"/>
      <c r="AFK1683" s="38"/>
      <c r="AFL1683" s="38"/>
      <c r="AFM1683" s="38"/>
      <c r="AFN1683" s="38"/>
      <c r="AFO1683" s="38"/>
      <c r="AFP1683" s="38"/>
      <c r="AFQ1683" s="38"/>
      <c r="AFR1683" s="38"/>
      <c r="AFS1683" s="38"/>
      <c r="AFT1683" s="38"/>
      <c r="AFU1683" s="38"/>
      <c r="AFV1683" s="38"/>
      <c r="AFW1683" s="38"/>
      <c r="AFX1683" s="38"/>
      <c r="AFY1683" s="38"/>
      <c r="AFZ1683" s="38"/>
      <c r="AGA1683" s="38"/>
      <c r="AGB1683" s="38"/>
      <c r="AGC1683" s="38"/>
      <c r="AGD1683" s="38"/>
      <c r="AGE1683" s="38"/>
      <c r="AGF1683" s="38"/>
      <c r="AGG1683" s="38"/>
      <c r="AGH1683" s="38"/>
      <c r="AGI1683" s="38"/>
      <c r="AGJ1683" s="38"/>
      <c r="AGK1683" s="38"/>
      <c r="AGL1683" s="38"/>
      <c r="AGM1683" s="38"/>
      <c r="AGN1683" s="38"/>
      <c r="AGO1683" s="38"/>
      <c r="AGP1683" s="38"/>
      <c r="AGQ1683" s="38"/>
      <c r="AGR1683" s="38"/>
      <c r="AGS1683" s="38"/>
      <c r="AGT1683" s="38"/>
      <c r="AGU1683" s="38"/>
      <c r="AGV1683" s="38"/>
      <c r="AGW1683" s="38"/>
      <c r="AGX1683" s="38"/>
      <c r="AGY1683" s="38"/>
      <c r="AGZ1683" s="38"/>
      <c r="AHA1683" s="38"/>
      <c r="AHB1683" s="38"/>
      <c r="AHC1683" s="38"/>
      <c r="AHD1683" s="38"/>
      <c r="AHE1683" s="38"/>
      <c r="AHF1683" s="38"/>
      <c r="AHG1683" s="38"/>
      <c r="AHH1683" s="38"/>
      <c r="AHI1683" s="38"/>
      <c r="AHJ1683" s="38"/>
      <c r="AHK1683" s="38"/>
      <c r="AHL1683" s="38"/>
      <c r="AHM1683" s="38"/>
      <c r="AHN1683" s="38"/>
      <c r="AHO1683" s="38"/>
      <c r="AHP1683" s="38"/>
      <c r="AHQ1683" s="38"/>
      <c r="AHR1683" s="38"/>
      <c r="AHS1683" s="38"/>
      <c r="AHT1683" s="38"/>
      <c r="AHU1683" s="38"/>
      <c r="AHV1683" s="38"/>
      <c r="AHW1683" s="38"/>
      <c r="AHX1683" s="38"/>
      <c r="AHY1683" s="38"/>
      <c r="AHZ1683" s="38"/>
      <c r="AIA1683" s="38"/>
      <c r="AIB1683" s="38"/>
      <c r="AIC1683" s="38"/>
      <c r="AID1683" s="38"/>
      <c r="AIE1683" s="38"/>
      <c r="AIF1683" s="38"/>
      <c r="AIG1683" s="38"/>
      <c r="AIH1683" s="38"/>
      <c r="AII1683" s="38"/>
      <c r="AIJ1683" s="38"/>
      <c r="AIK1683" s="38"/>
      <c r="AIL1683" s="38"/>
      <c r="AIM1683" s="38"/>
      <c r="AIN1683" s="38"/>
      <c r="AIO1683" s="38"/>
      <c r="AIP1683" s="38"/>
      <c r="AIQ1683" s="38"/>
      <c r="AIR1683" s="38"/>
      <c r="AIS1683" s="38"/>
      <c r="AIT1683" s="38"/>
      <c r="AIU1683" s="38"/>
      <c r="AIV1683" s="38"/>
      <c r="AIW1683" s="38"/>
      <c r="AIX1683" s="38"/>
      <c r="AIY1683" s="38"/>
      <c r="AIZ1683" s="38"/>
      <c r="AJA1683" s="38"/>
      <c r="AJB1683" s="38"/>
      <c r="AJC1683" s="38"/>
      <c r="AJD1683" s="38"/>
      <c r="AJE1683" s="38"/>
      <c r="AJF1683" s="38"/>
      <c r="AJG1683" s="38"/>
      <c r="AJH1683" s="38"/>
      <c r="AJI1683" s="38"/>
      <c r="AJJ1683" s="38"/>
      <c r="AJK1683" s="38"/>
      <c r="AJL1683" s="38"/>
      <c r="AJM1683" s="38"/>
      <c r="AJN1683" s="38"/>
      <c r="AJO1683" s="38"/>
      <c r="AJP1683" s="38"/>
      <c r="AJQ1683" s="38"/>
      <c r="AJR1683" s="38"/>
      <c r="AJS1683" s="38"/>
      <c r="AJT1683" s="38"/>
      <c r="AJU1683" s="38"/>
      <c r="AJV1683" s="38"/>
      <c r="AJW1683" s="38"/>
      <c r="AJX1683" s="38"/>
      <c r="AJY1683" s="38"/>
      <c r="AJZ1683" s="38"/>
      <c r="AKA1683" s="38"/>
      <c r="AKB1683" s="38"/>
      <c r="AKC1683" s="38"/>
      <c r="AKD1683" s="38"/>
      <c r="AKE1683" s="38"/>
      <c r="AKF1683" s="38"/>
      <c r="AKG1683" s="38"/>
      <c r="AKH1683" s="38"/>
      <c r="AKI1683" s="38"/>
      <c r="AKJ1683" s="38"/>
      <c r="AKK1683" s="38"/>
      <c r="AKL1683" s="38"/>
      <c r="AKM1683" s="38"/>
      <c r="AKN1683" s="38"/>
      <c r="AKO1683" s="38"/>
      <c r="AKP1683" s="38"/>
      <c r="AKQ1683" s="38"/>
      <c r="AKR1683" s="38"/>
      <c r="AKS1683" s="38"/>
      <c r="AKT1683" s="38"/>
      <c r="AKU1683" s="38"/>
      <c r="AKV1683" s="38"/>
      <c r="AKW1683" s="38"/>
      <c r="AKX1683" s="38"/>
      <c r="AKY1683" s="38"/>
      <c r="AKZ1683" s="38"/>
      <c r="ALA1683" s="38"/>
      <c r="ALB1683" s="38"/>
      <c r="ALC1683" s="38"/>
      <c r="ALD1683" s="38"/>
      <c r="ALE1683" s="38"/>
      <c r="ALF1683" s="38"/>
      <c r="ALG1683" s="38"/>
      <c r="ALH1683" s="38"/>
      <c r="ALI1683" s="38"/>
      <c r="ALJ1683" s="38"/>
      <c r="ALK1683" s="38"/>
      <c r="ALL1683" s="38"/>
      <c r="ALM1683" s="38"/>
      <c r="ALN1683" s="38"/>
      <c r="ALO1683" s="38"/>
      <c r="ALP1683" s="38"/>
      <c r="ALQ1683" s="38"/>
      <c r="ALR1683" s="38"/>
      <c r="ALS1683" s="38"/>
      <c r="ALT1683" s="38"/>
      <c r="ALU1683" s="38"/>
      <c r="ALV1683" s="38"/>
      <c r="ALW1683" s="38"/>
      <c r="ALX1683" s="38"/>
      <c r="ALY1683" s="38"/>
      <c r="ALZ1683" s="38"/>
      <c r="AMA1683" s="38"/>
      <c r="AMB1683" s="38"/>
      <c r="AMC1683" s="38"/>
      <c r="AMD1683" s="38"/>
      <c r="AME1683" s="38"/>
      <c r="AMF1683" s="38"/>
      <c r="AMG1683" s="38"/>
      <c r="AMH1683" s="38"/>
      <c r="AMI1683" s="38"/>
      <c r="AMJ1683" s="38"/>
      <c r="AMK1683" s="38"/>
      <c r="AML1683" s="38"/>
      <c r="AMM1683" s="38"/>
      <c r="AMN1683" s="38"/>
      <c r="AMO1683" s="38"/>
      <c r="AMP1683" s="38"/>
      <c r="AMQ1683" s="38"/>
      <c r="AMR1683" s="38"/>
      <c r="AMS1683" s="38"/>
      <c r="AMT1683" s="38"/>
      <c r="AMU1683" s="38"/>
      <c r="AMV1683" s="38"/>
      <c r="AMW1683" s="38"/>
      <c r="AMX1683" s="38"/>
      <c r="AMY1683" s="38"/>
      <c r="AMZ1683" s="38"/>
      <c r="ANA1683" s="38"/>
      <c r="ANB1683" s="38"/>
      <c r="ANC1683" s="38"/>
      <c r="AND1683" s="38"/>
      <c r="ANE1683" s="38"/>
      <c r="ANF1683" s="38"/>
      <c r="ANG1683" s="38"/>
      <c r="ANH1683" s="38"/>
      <c r="ANI1683" s="38"/>
      <c r="ANJ1683" s="38"/>
      <c r="ANK1683" s="38"/>
      <c r="ANL1683" s="38"/>
      <c r="ANM1683" s="38"/>
      <c r="ANN1683" s="38"/>
      <c r="ANO1683" s="38"/>
      <c r="ANP1683" s="38"/>
      <c r="ANQ1683" s="38"/>
      <c r="ANR1683" s="38"/>
      <c r="ANS1683" s="38"/>
      <c r="ANT1683" s="38"/>
      <c r="ANU1683" s="38"/>
      <c r="ANV1683" s="38"/>
      <c r="ANW1683" s="38"/>
      <c r="ANX1683" s="38"/>
      <c r="ANY1683" s="38"/>
      <c r="ANZ1683" s="38"/>
      <c r="AOA1683" s="38"/>
      <c r="AOB1683" s="38"/>
      <c r="AOC1683" s="38"/>
      <c r="AOD1683" s="38"/>
      <c r="AOE1683" s="38"/>
      <c r="AOF1683" s="38"/>
      <c r="AOG1683" s="38"/>
      <c r="AOH1683" s="38"/>
      <c r="AOI1683" s="38"/>
      <c r="AOJ1683" s="38"/>
      <c r="AOK1683" s="38"/>
      <c r="AOL1683" s="38"/>
      <c r="AOM1683" s="38"/>
      <c r="AON1683" s="38"/>
      <c r="AOO1683" s="38"/>
      <c r="AOP1683" s="38"/>
      <c r="AOQ1683" s="38"/>
      <c r="AOR1683" s="38"/>
      <c r="AOS1683" s="38"/>
      <c r="AOT1683" s="38"/>
      <c r="AOU1683" s="38"/>
      <c r="AOV1683" s="38"/>
      <c r="AOW1683" s="38"/>
      <c r="AOX1683" s="38"/>
      <c r="AOY1683" s="38"/>
      <c r="AOZ1683" s="38"/>
      <c r="APA1683" s="38"/>
      <c r="APB1683" s="38"/>
      <c r="APC1683" s="38"/>
    </row>
    <row r="1684" spans="1:1095" s="36" customFormat="1" ht="14.25" customHeight="1">
      <c r="A1684" s="3" t="s">
        <v>1722</v>
      </c>
      <c r="B1684" s="36" t="s">
        <v>3963</v>
      </c>
      <c r="C1684" s="251">
        <v>4099854029448</v>
      </c>
      <c r="D1684" s="224">
        <v>4058075543300</v>
      </c>
      <c r="E1684" s="245" t="s">
        <v>1605</v>
      </c>
      <c r="F1684" s="246"/>
      <c r="G1684" s="66" t="str">
        <f>HYPERLINK("https://ledvance.com/pt/product-datasheet/245161/229972","Ficha de Produto")</f>
        <v>Ficha de Produto</v>
      </c>
      <c r="H1684" s="217">
        <v>10</v>
      </c>
      <c r="I1684" s="34" t="s">
        <v>1042</v>
      </c>
      <c r="J1684" s="34" t="s">
        <v>809</v>
      </c>
      <c r="K1684" s="34" t="s">
        <v>788</v>
      </c>
      <c r="L1684" s="34" t="s">
        <v>765</v>
      </c>
      <c r="M1684" s="247">
        <v>38.9</v>
      </c>
      <c r="N1684" s="288" t="s">
        <v>722</v>
      </c>
    </row>
    <row r="1685" spans="1:1095" s="36" customFormat="1" ht="14.25" customHeight="1">
      <c r="A1685" s="3" t="s">
        <v>1722</v>
      </c>
      <c r="B1685" s="36" t="s">
        <v>3964</v>
      </c>
      <c r="C1685" s="251">
        <v>4099854029462</v>
      </c>
      <c r="D1685" s="224">
        <v>4058075543324</v>
      </c>
      <c r="E1685" s="245" t="s">
        <v>1606</v>
      </c>
      <c r="F1685" s="246"/>
      <c r="G1685" s="66" t="str">
        <f>HYPERLINK("https://ledvance.com/pt/product-datasheet/245161/229975","Ficha de Produto")</f>
        <v>Ficha de Produto</v>
      </c>
      <c r="H1685" s="217">
        <v>10</v>
      </c>
      <c r="I1685" s="34" t="s">
        <v>858</v>
      </c>
      <c r="J1685" s="34" t="s">
        <v>809</v>
      </c>
      <c r="K1685" s="34" t="s">
        <v>788</v>
      </c>
      <c r="L1685" s="34" t="s">
        <v>765</v>
      </c>
      <c r="M1685" s="247">
        <v>38.9</v>
      </c>
      <c r="N1685" s="288" t="s">
        <v>722</v>
      </c>
    </row>
    <row r="1686" spans="1:1095" s="36" customFormat="1" ht="14.25" customHeight="1">
      <c r="A1686" s="3" t="s">
        <v>1722</v>
      </c>
      <c r="B1686" s="36" t="s">
        <v>3965</v>
      </c>
      <c r="C1686" s="251">
        <v>4099854029486</v>
      </c>
      <c r="D1686" s="224">
        <v>4058075543348</v>
      </c>
      <c r="E1686" s="245" t="s">
        <v>1607</v>
      </c>
      <c r="F1686" s="246"/>
      <c r="G1686" s="66" t="str">
        <f>HYPERLINK("https://ledvance.com/pt/product-datasheet/245161/229978","Ficha de Produto")</f>
        <v>Ficha de Produto</v>
      </c>
      <c r="H1686" s="217">
        <v>10</v>
      </c>
      <c r="I1686" s="34" t="s">
        <v>858</v>
      </c>
      <c r="J1686" s="34" t="s">
        <v>809</v>
      </c>
      <c r="K1686" s="34" t="s">
        <v>788</v>
      </c>
      <c r="L1686" s="34" t="s">
        <v>765</v>
      </c>
      <c r="M1686" s="247">
        <v>38.9</v>
      </c>
      <c r="N1686" s="288" t="s">
        <v>722</v>
      </c>
    </row>
    <row r="1687" spans="1:1095" s="39" customFormat="1" ht="14.25" customHeight="1">
      <c r="A1687" s="8" t="s">
        <v>1722</v>
      </c>
      <c r="B1687" s="244" t="s">
        <v>2063</v>
      </c>
      <c r="C1687" s="244"/>
      <c r="D1687" s="7"/>
      <c r="E1687" s="230"/>
      <c r="F1687" s="7"/>
      <c r="G1687" s="68"/>
      <c r="H1687" s="230"/>
      <c r="I1687" s="230"/>
      <c r="J1687" s="230"/>
      <c r="K1687" s="230"/>
      <c r="L1687" s="230"/>
      <c r="M1687" s="248"/>
      <c r="N1687" s="293"/>
      <c r="O1687" s="38"/>
      <c r="P1687" s="38"/>
      <c r="Q1687" s="38"/>
      <c r="R1687" s="38"/>
      <c r="S1687" s="38"/>
      <c r="T1687" s="38"/>
      <c r="U1687" s="38"/>
      <c r="V1687" s="38"/>
      <c r="W1687" s="38"/>
      <c r="X1687" s="38"/>
      <c r="Y1687" s="38"/>
      <c r="Z1687" s="38"/>
      <c r="AA1687" s="38"/>
      <c r="AB1687" s="38"/>
      <c r="AC1687" s="38"/>
      <c r="AD1687" s="38"/>
      <c r="AE1687" s="38"/>
      <c r="AF1687" s="38"/>
      <c r="AG1687" s="38"/>
      <c r="AH1687" s="38"/>
      <c r="AI1687" s="38"/>
      <c r="AJ1687" s="38"/>
      <c r="AK1687" s="38"/>
      <c r="AL1687" s="38"/>
      <c r="AM1687" s="38"/>
      <c r="AN1687" s="38"/>
      <c r="AO1687" s="38"/>
      <c r="AP1687" s="38"/>
      <c r="AQ1687" s="38"/>
      <c r="AR1687" s="38"/>
      <c r="AS1687" s="38"/>
      <c r="AT1687" s="38"/>
      <c r="AU1687" s="38"/>
      <c r="AV1687" s="38"/>
      <c r="AW1687" s="38"/>
      <c r="AX1687" s="38"/>
      <c r="AY1687" s="38"/>
      <c r="AZ1687" s="38"/>
      <c r="BA1687" s="38"/>
      <c r="BB1687" s="38"/>
      <c r="BC1687" s="38"/>
      <c r="BD1687" s="38"/>
      <c r="BE1687" s="38"/>
      <c r="BF1687" s="38"/>
      <c r="BG1687" s="38"/>
      <c r="BH1687" s="38"/>
      <c r="BI1687" s="38"/>
      <c r="BJ1687" s="38"/>
      <c r="BK1687" s="38"/>
      <c r="BL1687" s="38"/>
      <c r="BM1687" s="38"/>
      <c r="BN1687" s="38"/>
      <c r="BO1687" s="38"/>
      <c r="BP1687" s="38"/>
      <c r="BQ1687" s="38"/>
      <c r="BR1687" s="38"/>
      <c r="BS1687" s="38"/>
      <c r="BT1687" s="38"/>
      <c r="BU1687" s="38"/>
      <c r="BV1687" s="38"/>
      <c r="BW1687" s="38"/>
      <c r="BX1687" s="38"/>
      <c r="BY1687" s="38"/>
      <c r="BZ1687" s="38"/>
      <c r="CA1687" s="38"/>
      <c r="CB1687" s="38"/>
      <c r="CC1687" s="38"/>
      <c r="CD1687" s="38"/>
      <c r="CE1687" s="38"/>
      <c r="CF1687" s="38"/>
      <c r="CG1687" s="38"/>
      <c r="CH1687" s="38"/>
      <c r="CI1687" s="38"/>
      <c r="CJ1687" s="38"/>
      <c r="CK1687" s="38"/>
      <c r="CL1687" s="38"/>
      <c r="CM1687" s="38"/>
      <c r="CN1687" s="38"/>
      <c r="CO1687" s="38"/>
      <c r="CP1687" s="38"/>
      <c r="CQ1687" s="38"/>
      <c r="CR1687" s="38"/>
      <c r="CS1687" s="38"/>
      <c r="CT1687" s="38"/>
      <c r="CU1687" s="38"/>
      <c r="CV1687" s="38"/>
      <c r="CW1687" s="38"/>
      <c r="CX1687" s="38"/>
      <c r="CY1687" s="38"/>
      <c r="CZ1687" s="38"/>
      <c r="DA1687" s="38"/>
      <c r="DB1687" s="38"/>
      <c r="DC1687" s="38"/>
      <c r="DD1687" s="38"/>
      <c r="DE1687" s="38"/>
      <c r="DF1687" s="38"/>
      <c r="DG1687" s="38"/>
      <c r="DH1687" s="38"/>
      <c r="DI1687" s="38"/>
      <c r="DJ1687" s="38"/>
      <c r="DK1687" s="38"/>
      <c r="DL1687" s="38"/>
      <c r="DM1687" s="38"/>
      <c r="DN1687" s="38"/>
      <c r="DO1687" s="38"/>
      <c r="DP1687" s="38"/>
      <c r="DQ1687" s="38"/>
      <c r="DR1687" s="38"/>
      <c r="DS1687" s="38"/>
      <c r="DT1687" s="38"/>
      <c r="DU1687" s="38"/>
      <c r="DV1687" s="38"/>
      <c r="DW1687" s="38"/>
      <c r="DX1687" s="38"/>
      <c r="DY1687" s="38"/>
      <c r="DZ1687" s="38"/>
      <c r="EA1687" s="38"/>
      <c r="EB1687" s="38"/>
      <c r="EC1687" s="38"/>
      <c r="ED1687" s="38"/>
      <c r="EE1687" s="38"/>
      <c r="EF1687" s="38"/>
      <c r="EG1687" s="38"/>
      <c r="EH1687" s="38"/>
      <c r="EI1687" s="38"/>
      <c r="EJ1687" s="38"/>
      <c r="EK1687" s="38"/>
      <c r="EL1687" s="38"/>
      <c r="EM1687" s="38"/>
      <c r="EN1687" s="38"/>
      <c r="EO1687" s="38"/>
      <c r="EP1687" s="38"/>
      <c r="EQ1687" s="38"/>
      <c r="ER1687" s="38"/>
      <c r="ES1687" s="38"/>
      <c r="ET1687" s="38"/>
      <c r="EU1687" s="38"/>
      <c r="EV1687" s="38"/>
      <c r="EW1687" s="38"/>
      <c r="EX1687" s="38"/>
      <c r="EY1687" s="38"/>
      <c r="EZ1687" s="38"/>
      <c r="FA1687" s="38"/>
      <c r="FB1687" s="38"/>
      <c r="FC1687" s="38"/>
      <c r="FD1687" s="38"/>
      <c r="FE1687" s="38"/>
      <c r="FF1687" s="38"/>
      <c r="FG1687" s="38"/>
      <c r="FH1687" s="38"/>
      <c r="FI1687" s="38"/>
      <c r="FJ1687" s="38"/>
      <c r="FK1687" s="38"/>
      <c r="FL1687" s="38"/>
      <c r="FM1687" s="38"/>
      <c r="FN1687" s="38"/>
      <c r="FO1687" s="38"/>
      <c r="FP1687" s="38"/>
      <c r="FQ1687" s="38"/>
      <c r="FR1687" s="38"/>
      <c r="FS1687" s="38"/>
      <c r="FT1687" s="38"/>
      <c r="FU1687" s="38"/>
      <c r="FV1687" s="38"/>
      <c r="FW1687" s="38"/>
      <c r="FX1687" s="38"/>
      <c r="FY1687" s="38"/>
      <c r="FZ1687" s="38"/>
      <c r="GA1687" s="38"/>
      <c r="GB1687" s="38"/>
      <c r="GC1687" s="38"/>
      <c r="GD1687" s="38"/>
      <c r="GE1687" s="38"/>
      <c r="GF1687" s="38"/>
      <c r="GG1687" s="38"/>
      <c r="GH1687" s="38"/>
      <c r="GI1687" s="38"/>
      <c r="GJ1687" s="38"/>
      <c r="GK1687" s="38"/>
      <c r="GL1687" s="38"/>
      <c r="GM1687" s="38"/>
      <c r="GN1687" s="38"/>
      <c r="GO1687" s="38"/>
      <c r="GP1687" s="38"/>
      <c r="GQ1687" s="38"/>
      <c r="GR1687" s="38"/>
      <c r="GS1687" s="38"/>
      <c r="GT1687" s="38"/>
      <c r="GU1687" s="38"/>
      <c r="GV1687" s="38"/>
      <c r="GW1687" s="38"/>
      <c r="GX1687" s="38"/>
      <c r="GY1687" s="38"/>
      <c r="GZ1687" s="38"/>
      <c r="HA1687" s="38"/>
      <c r="HB1687" s="38"/>
      <c r="HC1687" s="38"/>
      <c r="HD1687" s="38"/>
      <c r="HE1687" s="38"/>
      <c r="HF1687" s="38"/>
      <c r="HG1687" s="38"/>
      <c r="HH1687" s="38"/>
      <c r="HI1687" s="38"/>
      <c r="HJ1687" s="38"/>
      <c r="HK1687" s="38"/>
      <c r="HL1687" s="38"/>
      <c r="HM1687" s="38"/>
      <c r="HN1687" s="38"/>
      <c r="HO1687" s="38"/>
      <c r="HP1687" s="38"/>
      <c r="HQ1687" s="38"/>
      <c r="HR1687" s="38"/>
      <c r="HS1687" s="38"/>
      <c r="HT1687" s="38"/>
      <c r="HU1687" s="38"/>
      <c r="HV1687" s="38"/>
      <c r="HW1687" s="38"/>
      <c r="HX1687" s="38"/>
      <c r="HY1687" s="38"/>
      <c r="HZ1687" s="38"/>
      <c r="IA1687" s="38"/>
      <c r="IB1687" s="38"/>
      <c r="IC1687" s="38"/>
      <c r="ID1687" s="38"/>
      <c r="IE1687" s="38"/>
      <c r="IF1687" s="38"/>
      <c r="IG1687" s="38"/>
      <c r="IH1687" s="38"/>
      <c r="II1687" s="38"/>
      <c r="IJ1687" s="38"/>
      <c r="IK1687" s="38"/>
      <c r="IL1687" s="38"/>
      <c r="IM1687" s="38"/>
      <c r="IN1687" s="38"/>
      <c r="IO1687" s="38"/>
      <c r="IP1687" s="38"/>
      <c r="IQ1687" s="38"/>
      <c r="IR1687" s="38"/>
      <c r="IS1687" s="38"/>
      <c r="IT1687" s="38"/>
      <c r="IU1687" s="38"/>
      <c r="IV1687" s="38"/>
      <c r="IW1687" s="38"/>
      <c r="IX1687" s="38"/>
      <c r="IY1687" s="38"/>
      <c r="IZ1687" s="38"/>
      <c r="JA1687" s="38"/>
      <c r="JB1687" s="38"/>
      <c r="JC1687" s="38"/>
      <c r="JD1687" s="38"/>
      <c r="JE1687" s="38"/>
      <c r="JF1687" s="38"/>
      <c r="JG1687" s="38"/>
      <c r="JH1687" s="38"/>
      <c r="JI1687" s="38"/>
      <c r="JJ1687" s="38"/>
      <c r="JK1687" s="38"/>
      <c r="JL1687" s="38"/>
      <c r="JM1687" s="38"/>
      <c r="JN1687" s="38"/>
      <c r="JO1687" s="38"/>
      <c r="JP1687" s="38"/>
      <c r="JQ1687" s="38"/>
      <c r="JR1687" s="38"/>
      <c r="JS1687" s="38"/>
      <c r="JT1687" s="38"/>
      <c r="JU1687" s="38"/>
      <c r="JV1687" s="38"/>
      <c r="JW1687" s="38"/>
      <c r="JX1687" s="38"/>
      <c r="JY1687" s="38"/>
      <c r="JZ1687" s="38"/>
      <c r="KA1687" s="38"/>
      <c r="KB1687" s="38"/>
      <c r="KC1687" s="38"/>
      <c r="KD1687" s="38"/>
      <c r="KE1687" s="38"/>
      <c r="KF1687" s="38"/>
      <c r="KG1687" s="38"/>
      <c r="KH1687" s="38"/>
      <c r="KI1687" s="38"/>
      <c r="KJ1687" s="38"/>
      <c r="KK1687" s="38"/>
      <c r="KL1687" s="38"/>
      <c r="KM1687" s="38"/>
      <c r="KN1687" s="38"/>
      <c r="KO1687" s="38"/>
      <c r="KP1687" s="38"/>
      <c r="KQ1687" s="38"/>
      <c r="KR1687" s="38"/>
      <c r="KS1687" s="38"/>
      <c r="KT1687" s="38"/>
      <c r="KU1687" s="38"/>
      <c r="KV1687" s="38"/>
      <c r="KW1687" s="38"/>
      <c r="KX1687" s="38"/>
      <c r="KY1687" s="38"/>
      <c r="KZ1687" s="38"/>
      <c r="LA1687" s="38"/>
      <c r="LB1687" s="38"/>
      <c r="LC1687" s="38"/>
      <c r="LD1687" s="38"/>
      <c r="LE1687" s="38"/>
      <c r="LF1687" s="38"/>
      <c r="LG1687" s="38"/>
      <c r="LH1687" s="38"/>
      <c r="LI1687" s="38"/>
      <c r="LJ1687" s="38"/>
      <c r="LK1687" s="38"/>
      <c r="LL1687" s="38"/>
      <c r="LM1687" s="38"/>
      <c r="LN1687" s="38"/>
      <c r="LO1687" s="38"/>
      <c r="LP1687" s="38"/>
      <c r="LQ1687" s="38"/>
      <c r="LR1687" s="38"/>
      <c r="LS1687" s="38"/>
      <c r="LT1687" s="38"/>
      <c r="LU1687" s="38"/>
      <c r="LV1687" s="38"/>
      <c r="LW1687" s="38"/>
      <c r="LX1687" s="38"/>
      <c r="LY1687" s="38"/>
      <c r="LZ1687" s="38"/>
      <c r="MA1687" s="38"/>
      <c r="MB1687" s="38"/>
      <c r="MC1687" s="38"/>
      <c r="MD1687" s="38"/>
      <c r="ME1687" s="38"/>
      <c r="MF1687" s="38"/>
      <c r="MG1687" s="38"/>
      <c r="MH1687" s="38"/>
      <c r="MI1687" s="38"/>
      <c r="MJ1687" s="38"/>
      <c r="MK1687" s="38"/>
      <c r="ML1687" s="38"/>
      <c r="MM1687" s="38"/>
      <c r="MN1687" s="38"/>
      <c r="MO1687" s="38"/>
      <c r="MP1687" s="38"/>
      <c r="MQ1687" s="38"/>
      <c r="MR1687" s="38"/>
      <c r="MS1687" s="38"/>
      <c r="MT1687" s="38"/>
      <c r="MU1687" s="38"/>
      <c r="MV1687" s="38"/>
      <c r="MW1687" s="38"/>
      <c r="MX1687" s="38"/>
      <c r="MY1687" s="38"/>
      <c r="MZ1687" s="38"/>
      <c r="NA1687" s="38"/>
      <c r="NB1687" s="38"/>
      <c r="NC1687" s="38"/>
      <c r="ND1687" s="38"/>
      <c r="NE1687" s="38"/>
      <c r="NF1687" s="38"/>
      <c r="NG1687" s="38"/>
      <c r="NH1687" s="38"/>
      <c r="NI1687" s="38"/>
      <c r="NJ1687" s="38"/>
      <c r="NK1687" s="38"/>
      <c r="NL1687" s="38"/>
      <c r="NM1687" s="38"/>
      <c r="NN1687" s="38"/>
      <c r="NO1687" s="38"/>
      <c r="NP1687" s="38"/>
      <c r="NQ1687" s="38"/>
      <c r="NR1687" s="38"/>
      <c r="NS1687" s="38"/>
      <c r="NT1687" s="38"/>
      <c r="NU1687" s="38"/>
      <c r="NV1687" s="38"/>
      <c r="NW1687" s="38"/>
      <c r="NX1687" s="38"/>
      <c r="NY1687" s="38"/>
      <c r="NZ1687" s="38"/>
      <c r="OA1687" s="38"/>
      <c r="OB1687" s="38"/>
      <c r="OC1687" s="38"/>
      <c r="OD1687" s="38"/>
      <c r="OE1687" s="38"/>
      <c r="OF1687" s="38"/>
      <c r="OG1687" s="38"/>
      <c r="OH1687" s="38"/>
      <c r="OI1687" s="38"/>
      <c r="OJ1687" s="38"/>
      <c r="OK1687" s="38"/>
      <c r="OL1687" s="38"/>
      <c r="OM1687" s="38"/>
      <c r="ON1687" s="38"/>
      <c r="OO1687" s="38"/>
      <c r="OP1687" s="38"/>
      <c r="OQ1687" s="38"/>
      <c r="OR1687" s="38"/>
      <c r="OS1687" s="38"/>
      <c r="OT1687" s="38"/>
      <c r="OU1687" s="38"/>
      <c r="OV1687" s="38"/>
      <c r="OW1687" s="38"/>
      <c r="OX1687" s="38"/>
      <c r="OY1687" s="38"/>
      <c r="OZ1687" s="38"/>
      <c r="PA1687" s="38"/>
      <c r="PB1687" s="38"/>
      <c r="PC1687" s="38"/>
      <c r="PD1687" s="38"/>
      <c r="PE1687" s="38"/>
      <c r="PF1687" s="38"/>
      <c r="PG1687" s="38"/>
      <c r="PH1687" s="38"/>
      <c r="PI1687" s="38"/>
      <c r="PJ1687" s="38"/>
      <c r="PK1687" s="38"/>
      <c r="PL1687" s="38"/>
      <c r="PM1687" s="38"/>
      <c r="PN1687" s="38"/>
      <c r="PO1687" s="38"/>
      <c r="PP1687" s="38"/>
      <c r="PQ1687" s="38"/>
      <c r="PR1687" s="38"/>
      <c r="PS1687" s="38"/>
      <c r="PT1687" s="38"/>
      <c r="PU1687" s="38"/>
      <c r="PV1687" s="38"/>
      <c r="PW1687" s="38"/>
      <c r="PX1687" s="38"/>
      <c r="PY1687" s="38"/>
      <c r="PZ1687" s="38"/>
      <c r="QA1687" s="38"/>
      <c r="QB1687" s="38"/>
      <c r="QC1687" s="38"/>
      <c r="QD1687" s="38"/>
      <c r="QE1687" s="38"/>
      <c r="QF1687" s="38"/>
      <c r="QG1687" s="38"/>
      <c r="QH1687" s="38"/>
      <c r="QI1687" s="38"/>
      <c r="QJ1687" s="38"/>
      <c r="QK1687" s="38"/>
      <c r="QL1687" s="38"/>
      <c r="QM1687" s="38"/>
      <c r="QN1687" s="38"/>
      <c r="QO1687" s="38"/>
      <c r="QP1687" s="38"/>
      <c r="QQ1687" s="38"/>
      <c r="QR1687" s="38"/>
      <c r="QS1687" s="38"/>
      <c r="QT1687" s="38"/>
      <c r="QU1687" s="38"/>
      <c r="QV1687" s="38"/>
      <c r="QW1687" s="38"/>
      <c r="QX1687" s="38"/>
      <c r="QY1687" s="38"/>
      <c r="QZ1687" s="38"/>
      <c r="RA1687" s="38"/>
      <c r="RB1687" s="38"/>
      <c r="RC1687" s="38"/>
      <c r="RD1687" s="38"/>
      <c r="RE1687" s="38"/>
      <c r="RF1687" s="38"/>
      <c r="RG1687" s="38"/>
      <c r="RH1687" s="38"/>
      <c r="RI1687" s="38"/>
      <c r="RJ1687" s="38"/>
      <c r="RK1687" s="38"/>
      <c r="RL1687" s="38"/>
      <c r="RM1687" s="38"/>
      <c r="RN1687" s="38"/>
      <c r="RO1687" s="38"/>
      <c r="RP1687" s="38"/>
      <c r="RQ1687" s="38"/>
      <c r="RR1687" s="38"/>
      <c r="RS1687" s="38"/>
      <c r="RT1687" s="38"/>
      <c r="RU1687" s="38"/>
      <c r="RV1687" s="38"/>
      <c r="RW1687" s="38"/>
      <c r="RX1687" s="38"/>
      <c r="RY1687" s="38"/>
      <c r="RZ1687" s="38"/>
      <c r="SA1687" s="38"/>
      <c r="SB1687" s="38"/>
      <c r="SC1687" s="38"/>
      <c r="SD1687" s="38"/>
      <c r="SE1687" s="38"/>
      <c r="SF1687" s="38"/>
      <c r="SG1687" s="38"/>
      <c r="SH1687" s="38"/>
      <c r="SI1687" s="38"/>
      <c r="SJ1687" s="38"/>
      <c r="SK1687" s="38"/>
      <c r="SL1687" s="38"/>
      <c r="SM1687" s="38"/>
      <c r="SN1687" s="38"/>
      <c r="SO1687" s="38"/>
      <c r="SP1687" s="38"/>
      <c r="SQ1687" s="38"/>
      <c r="SR1687" s="38"/>
      <c r="SS1687" s="38"/>
      <c r="ST1687" s="38"/>
      <c r="SU1687" s="38"/>
      <c r="SV1687" s="38"/>
      <c r="SW1687" s="38"/>
      <c r="SX1687" s="38"/>
      <c r="SY1687" s="38"/>
      <c r="SZ1687" s="38"/>
      <c r="TA1687" s="38"/>
      <c r="TB1687" s="38"/>
      <c r="TC1687" s="38"/>
      <c r="TD1687" s="38"/>
      <c r="TE1687" s="38"/>
      <c r="TF1687" s="38"/>
      <c r="TG1687" s="38"/>
      <c r="TH1687" s="38"/>
      <c r="TI1687" s="38"/>
      <c r="TJ1687" s="38"/>
      <c r="TK1687" s="38"/>
      <c r="TL1687" s="38"/>
      <c r="TM1687" s="38"/>
      <c r="TN1687" s="38"/>
      <c r="TO1687" s="38"/>
      <c r="TP1687" s="38"/>
      <c r="TQ1687" s="38"/>
      <c r="TR1687" s="38"/>
      <c r="TS1687" s="38"/>
      <c r="TT1687" s="38"/>
      <c r="TU1687" s="38"/>
      <c r="TV1687" s="38"/>
      <c r="TW1687" s="38"/>
      <c r="TX1687" s="38"/>
      <c r="TY1687" s="38"/>
      <c r="TZ1687" s="38"/>
      <c r="UA1687" s="38"/>
      <c r="UB1687" s="38"/>
      <c r="UC1687" s="38"/>
      <c r="UD1687" s="38"/>
      <c r="UE1687" s="38"/>
      <c r="UF1687" s="38"/>
      <c r="UG1687" s="38"/>
      <c r="UH1687" s="38"/>
      <c r="UI1687" s="38"/>
      <c r="UJ1687" s="38"/>
      <c r="UK1687" s="38"/>
      <c r="UL1687" s="38"/>
      <c r="UM1687" s="38"/>
      <c r="UN1687" s="38"/>
      <c r="UO1687" s="38"/>
      <c r="UP1687" s="38"/>
      <c r="UQ1687" s="38"/>
      <c r="UR1687" s="38"/>
      <c r="US1687" s="38"/>
      <c r="UT1687" s="38"/>
      <c r="UU1687" s="38"/>
      <c r="UV1687" s="38"/>
      <c r="UW1687" s="38"/>
      <c r="UX1687" s="38"/>
      <c r="UY1687" s="38"/>
      <c r="UZ1687" s="38"/>
      <c r="VA1687" s="38"/>
      <c r="VB1687" s="38"/>
      <c r="VC1687" s="38"/>
      <c r="VD1687" s="38"/>
      <c r="VE1687" s="38"/>
      <c r="VF1687" s="38"/>
      <c r="VG1687" s="38"/>
      <c r="VH1687" s="38"/>
      <c r="VI1687" s="38"/>
      <c r="VJ1687" s="38"/>
      <c r="VK1687" s="38"/>
      <c r="VL1687" s="38"/>
      <c r="VM1687" s="38"/>
      <c r="VN1687" s="38"/>
      <c r="VO1687" s="38"/>
      <c r="VP1687" s="38"/>
      <c r="VQ1687" s="38"/>
      <c r="VR1687" s="38"/>
      <c r="VS1687" s="38"/>
      <c r="VT1687" s="38"/>
      <c r="VU1687" s="38"/>
      <c r="VV1687" s="38"/>
      <c r="VW1687" s="38"/>
      <c r="VX1687" s="38"/>
      <c r="VY1687" s="38"/>
      <c r="VZ1687" s="38"/>
      <c r="WA1687" s="38"/>
      <c r="WB1687" s="38"/>
      <c r="WC1687" s="38"/>
      <c r="WD1687" s="38"/>
      <c r="WE1687" s="38"/>
      <c r="WF1687" s="38"/>
      <c r="WG1687" s="38"/>
      <c r="WH1687" s="38"/>
      <c r="WI1687" s="38"/>
      <c r="WJ1687" s="38"/>
      <c r="WK1687" s="38"/>
      <c r="WL1687" s="38"/>
      <c r="WM1687" s="38"/>
      <c r="WN1687" s="38"/>
      <c r="WO1687" s="38"/>
      <c r="WP1687" s="38"/>
      <c r="WQ1687" s="38"/>
      <c r="WR1687" s="38"/>
      <c r="WS1687" s="38"/>
      <c r="WT1687" s="38"/>
      <c r="WU1687" s="38"/>
      <c r="WV1687" s="38"/>
      <c r="WW1687" s="38"/>
      <c r="WX1687" s="38"/>
      <c r="WY1687" s="38"/>
      <c r="WZ1687" s="38"/>
      <c r="XA1687" s="38"/>
      <c r="XB1687" s="38"/>
      <c r="XC1687" s="38"/>
      <c r="XD1687" s="38"/>
      <c r="XE1687" s="38"/>
      <c r="XF1687" s="38"/>
      <c r="XG1687" s="38"/>
      <c r="XH1687" s="38"/>
      <c r="XI1687" s="38"/>
      <c r="XJ1687" s="38"/>
      <c r="XK1687" s="38"/>
      <c r="XL1687" s="38"/>
      <c r="XM1687" s="38"/>
      <c r="XN1687" s="38"/>
      <c r="XO1687" s="38"/>
      <c r="XP1687" s="38"/>
      <c r="XQ1687" s="38"/>
      <c r="XR1687" s="38"/>
      <c r="XS1687" s="38"/>
      <c r="XT1687" s="38"/>
      <c r="XU1687" s="38"/>
      <c r="XV1687" s="38"/>
      <c r="XW1687" s="38"/>
      <c r="XX1687" s="38"/>
      <c r="XY1687" s="38"/>
      <c r="XZ1687" s="38"/>
      <c r="YA1687" s="38"/>
      <c r="YB1687" s="38"/>
      <c r="YC1687" s="38"/>
      <c r="YD1687" s="38"/>
      <c r="YE1687" s="38"/>
      <c r="YF1687" s="38"/>
      <c r="YG1687" s="38"/>
      <c r="YH1687" s="38"/>
      <c r="YI1687" s="38"/>
      <c r="YJ1687" s="38"/>
      <c r="YK1687" s="38"/>
      <c r="YL1687" s="38"/>
      <c r="YM1687" s="38"/>
      <c r="YN1687" s="38"/>
      <c r="YO1687" s="38"/>
      <c r="YP1687" s="38"/>
      <c r="YQ1687" s="38"/>
      <c r="YR1687" s="38"/>
      <c r="YS1687" s="38"/>
      <c r="YT1687" s="38"/>
      <c r="YU1687" s="38"/>
      <c r="YV1687" s="38"/>
      <c r="YW1687" s="38"/>
      <c r="YX1687" s="38"/>
      <c r="YY1687" s="38"/>
      <c r="YZ1687" s="38"/>
      <c r="ZA1687" s="38"/>
      <c r="ZB1687" s="38"/>
      <c r="ZC1687" s="38"/>
      <c r="ZD1687" s="38"/>
      <c r="ZE1687" s="38"/>
      <c r="ZF1687" s="38"/>
      <c r="ZG1687" s="38"/>
      <c r="ZH1687" s="38"/>
      <c r="ZI1687" s="38"/>
      <c r="ZJ1687" s="38"/>
      <c r="ZK1687" s="38"/>
      <c r="ZL1687" s="38"/>
      <c r="ZM1687" s="38"/>
      <c r="ZN1687" s="38"/>
      <c r="ZO1687" s="38"/>
      <c r="ZP1687" s="38"/>
      <c r="ZQ1687" s="38"/>
      <c r="ZR1687" s="38"/>
      <c r="ZS1687" s="38"/>
      <c r="ZT1687" s="38"/>
      <c r="ZU1687" s="38"/>
      <c r="ZV1687" s="38"/>
      <c r="ZW1687" s="38"/>
      <c r="ZX1687" s="38"/>
      <c r="ZY1687" s="38"/>
      <c r="ZZ1687" s="38"/>
      <c r="AAA1687" s="38"/>
      <c r="AAB1687" s="38"/>
      <c r="AAC1687" s="38"/>
      <c r="AAD1687" s="38"/>
      <c r="AAE1687" s="38"/>
      <c r="AAF1687" s="38"/>
      <c r="AAG1687" s="38"/>
      <c r="AAH1687" s="38"/>
      <c r="AAI1687" s="38"/>
      <c r="AAJ1687" s="38"/>
      <c r="AAK1687" s="38"/>
      <c r="AAL1687" s="38"/>
      <c r="AAM1687" s="38"/>
      <c r="AAN1687" s="38"/>
      <c r="AAO1687" s="38"/>
      <c r="AAP1687" s="38"/>
      <c r="AAQ1687" s="38"/>
      <c r="AAR1687" s="38"/>
      <c r="AAS1687" s="38"/>
      <c r="AAT1687" s="38"/>
      <c r="AAU1687" s="38"/>
      <c r="AAV1687" s="38"/>
      <c r="AAW1687" s="38"/>
      <c r="AAX1687" s="38"/>
      <c r="AAY1687" s="38"/>
      <c r="AAZ1687" s="38"/>
      <c r="ABA1687" s="38"/>
      <c r="ABB1687" s="38"/>
      <c r="ABC1687" s="38"/>
      <c r="ABD1687" s="38"/>
      <c r="ABE1687" s="38"/>
      <c r="ABF1687" s="38"/>
      <c r="ABG1687" s="38"/>
      <c r="ABH1687" s="38"/>
      <c r="ABI1687" s="38"/>
      <c r="ABJ1687" s="38"/>
      <c r="ABK1687" s="38"/>
      <c r="ABL1687" s="38"/>
      <c r="ABM1687" s="38"/>
      <c r="ABN1687" s="38"/>
      <c r="ABO1687" s="38"/>
      <c r="ABP1687" s="38"/>
      <c r="ABQ1687" s="38"/>
      <c r="ABR1687" s="38"/>
      <c r="ABS1687" s="38"/>
      <c r="ABT1687" s="38"/>
      <c r="ABU1687" s="38"/>
      <c r="ABV1687" s="38"/>
      <c r="ABW1687" s="38"/>
      <c r="ABX1687" s="38"/>
      <c r="ABY1687" s="38"/>
      <c r="ABZ1687" s="38"/>
      <c r="ACA1687" s="38"/>
      <c r="ACB1687" s="38"/>
      <c r="ACC1687" s="38"/>
      <c r="ACD1687" s="38"/>
      <c r="ACE1687" s="38"/>
      <c r="ACF1687" s="38"/>
      <c r="ACG1687" s="38"/>
      <c r="ACH1687" s="38"/>
      <c r="ACI1687" s="38"/>
      <c r="ACJ1687" s="38"/>
      <c r="ACK1687" s="38"/>
      <c r="ACL1687" s="38"/>
      <c r="ACM1687" s="38"/>
      <c r="ACN1687" s="38"/>
      <c r="ACO1687" s="38"/>
      <c r="ACP1687" s="38"/>
      <c r="ACQ1687" s="38"/>
      <c r="ACR1687" s="38"/>
      <c r="ACS1687" s="38"/>
      <c r="ACT1687" s="38"/>
      <c r="ACU1687" s="38"/>
      <c r="ACV1687" s="38"/>
      <c r="ACW1687" s="38"/>
      <c r="ACX1687" s="38"/>
      <c r="ACY1687" s="38"/>
      <c r="ACZ1687" s="38"/>
      <c r="ADA1687" s="38"/>
      <c r="ADB1687" s="38"/>
      <c r="ADC1687" s="38"/>
      <c r="ADD1687" s="38"/>
      <c r="ADE1687" s="38"/>
      <c r="ADF1687" s="38"/>
      <c r="ADG1687" s="38"/>
      <c r="ADH1687" s="38"/>
      <c r="ADI1687" s="38"/>
      <c r="ADJ1687" s="38"/>
      <c r="ADK1687" s="38"/>
      <c r="ADL1687" s="38"/>
      <c r="ADM1687" s="38"/>
      <c r="ADN1687" s="38"/>
      <c r="ADO1687" s="38"/>
      <c r="ADP1687" s="38"/>
      <c r="ADQ1687" s="38"/>
      <c r="ADR1687" s="38"/>
      <c r="ADS1687" s="38"/>
      <c r="ADT1687" s="38"/>
      <c r="ADU1687" s="38"/>
      <c r="ADV1687" s="38"/>
      <c r="ADW1687" s="38"/>
      <c r="ADX1687" s="38"/>
      <c r="ADY1687" s="38"/>
      <c r="ADZ1687" s="38"/>
      <c r="AEA1687" s="38"/>
      <c r="AEB1687" s="38"/>
      <c r="AEC1687" s="38"/>
      <c r="AED1687" s="38"/>
      <c r="AEE1687" s="38"/>
      <c r="AEF1687" s="38"/>
      <c r="AEG1687" s="38"/>
      <c r="AEH1687" s="38"/>
      <c r="AEI1687" s="38"/>
      <c r="AEJ1687" s="38"/>
      <c r="AEK1687" s="38"/>
      <c r="AEL1687" s="38"/>
      <c r="AEM1687" s="38"/>
      <c r="AEN1687" s="38"/>
      <c r="AEO1687" s="38"/>
      <c r="AEP1687" s="38"/>
      <c r="AEQ1687" s="38"/>
      <c r="AER1687" s="38"/>
      <c r="AES1687" s="38"/>
      <c r="AET1687" s="38"/>
      <c r="AEU1687" s="38"/>
      <c r="AEV1687" s="38"/>
      <c r="AEW1687" s="38"/>
      <c r="AEX1687" s="38"/>
      <c r="AEY1687" s="38"/>
      <c r="AEZ1687" s="38"/>
      <c r="AFA1687" s="38"/>
      <c r="AFB1687" s="38"/>
      <c r="AFC1687" s="38"/>
      <c r="AFD1687" s="38"/>
      <c r="AFE1687" s="38"/>
      <c r="AFF1687" s="38"/>
      <c r="AFG1687" s="38"/>
      <c r="AFH1687" s="38"/>
      <c r="AFI1687" s="38"/>
      <c r="AFJ1687" s="38"/>
      <c r="AFK1687" s="38"/>
      <c r="AFL1687" s="38"/>
      <c r="AFM1687" s="38"/>
      <c r="AFN1687" s="38"/>
      <c r="AFO1687" s="38"/>
      <c r="AFP1687" s="38"/>
      <c r="AFQ1687" s="38"/>
      <c r="AFR1687" s="38"/>
      <c r="AFS1687" s="38"/>
      <c r="AFT1687" s="38"/>
      <c r="AFU1687" s="38"/>
      <c r="AFV1687" s="38"/>
      <c r="AFW1687" s="38"/>
      <c r="AFX1687" s="38"/>
      <c r="AFY1687" s="38"/>
      <c r="AFZ1687" s="38"/>
      <c r="AGA1687" s="38"/>
      <c r="AGB1687" s="38"/>
      <c r="AGC1687" s="38"/>
      <c r="AGD1687" s="38"/>
      <c r="AGE1687" s="38"/>
      <c r="AGF1687" s="38"/>
      <c r="AGG1687" s="38"/>
      <c r="AGH1687" s="38"/>
      <c r="AGI1687" s="38"/>
      <c r="AGJ1687" s="38"/>
      <c r="AGK1687" s="38"/>
      <c r="AGL1687" s="38"/>
      <c r="AGM1687" s="38"/>
      <c r="AGN1687" s="38"/>
      <c r="AGO1687" s="38"/>
      <c r="AGP1687" s="38"/>
      <c r="AGQ1687" s="38"/>
      <c r="AGR1687" s="38"/>
      <c r="AGS1687" s="38"/>
      <c r="AGT1687" s="38"/>
      <c r="AGU1687" s="38"/>
      <c r="AGV1687" s="38"/>
      <c r="AGW1687" s="38"/>
      <c r="AGX1687" s="38"/>
      <c r="AGY1687" s="38"/>
      <c r="AGZ1687" s="38"/>
      <c r="AHA1687" s="38"/>
      <c r="AHB1687" s="38"/>
      <c r="AHC1687" s="38"/>
      <c r="AHD1687" s="38"/>
      <c r="AHE1687" s="38"/>
      <c r="AHF1687" s="38"/>
      <c r="AHG1687" s="38"/>
      <c r="AHH1687" s="38"/>
      <c r="AHI1687" s="38"/>
      <c r="AHJ1687" s="38"/>
      <c r="AHK1687" s="38"/>
      <c r="AHL1687" s="38"/>
      <c r="AHM1687" s="38"/>
      <c r="AHN1687" s="38"/>
      <c r="AHO1687" s="38"/>
      <c r="AHP1687" s="38"/>
      <c r="AHQ1687" s="38"/>
      <c r="AHR1687" s="38"/>
      <c r="AHS1687" s="38"/>
      <c r="AHT1687" s="38"/>
      <c r="AHU1687" s="38"/>
      <c r="AHV1687" s="38"/>
      <c r="AHW1687" s="38"/>
      <c r="AHX1687" s="38"/>
      <c r="AHY1687" s="38"/>
      <c r="AHZ1687" s="38"/>
      <c r="AIA1687" s="38"/>
      <c r="AIB1687" s="38"/>
      <c r="AIC1687" s="38"/>
      <c r="AID1687" s="38"/>
      <c r="AIE1687" s="38"/>
      <c r="AIF1687" s="38"/>
      <c r="AIG1687" s="38"/>
      <c r="AIH1687" s="38"/>
      <c r="AII1687" s="38"/>
      <c r="AIJ1687" s="38"/>
      <c r="AIK1687" s="38"/>
      <c r="AIL1687" s="38"/>
      <c r="AIM1687" s="38"/>
      <c r="AIN1687" s="38"/>
      <c r="AIO1687" s="38"/>
      <c r="AIP1687" s="38"/>
      <c r="AIQ1687" s="38"/>
      <c r="AIR1687" s="38"/>
      <c r="AIS1687" s="38"/>
      <c r="AIT1687" s="38"/>
      <c r="AIU1687" s="38"/>
      <c r="AIV1687" s="38"/>
      <c r="AIW1687" s="38"/>
      <c r="AIX1687" s="38"/>
      <c r="AIY1687" s="38"/>
      <c r="AIZ1687" s="38"/>
      <c r="AJA1687" s="38"/>
      <c r="AJB1687" s="38"/>
      <c r="AJC1687" s="38"/>
      <c r="AJD1687" s="38"/>
      <c r="AJE1687" s="38"/>
      <c r="AJF1687" s="38"/>
      <c r="AJG1687" s="38"/>
      <c r="AJH1687" s="38"/>
      <c r="AJI1687" s="38"/>
      <c r="AJJ1687" s="38"/>
      <c r="AJK1687" s="38"/>
      <c r="AJL1687" s="38"/>
      <c r="AJM1687" s="38"/>
      <c r="AJN1687" s="38"/>
      <c r="AJO1687" s="38"/>
      <c r="AJP1687" s="38"/>
      <c r="AJQ1687" s="38"/>
      <c r="AJR1687" s="38"/>
      <c r="AJS1687" s="38"/>
      <c r="AJT1687" s="38"/>
      <c r="AJU1687" s="38"/>
      <c r="AJV1687" s="38"/>
      <c r="AJW1687" s="38"/>
      <c r="AJX1687" s="38"/>
      <c r="AJY1687" s="38"/>
      <c r="AJZ1687" s="38"/>
      <c r="AKA1687" s="38"/>
      <c r="AKB1687" s="38"/>
      <c r="AKC1687" s="38"/>
      <c r="AKD1687" s="38"/>
      <c r="AKE1687" s="38"/>
      <c r="AKF1687" s="38"/>
      <c r="AKG1687" s="38"/>
      <c r="AKH1687" s="38"/>
      <c r="AKI1687" s="38"/>
      <c r="AKJ1687" s="38"/>
      <c r="AKK1687" s="38"/>
      <c r="AKL1687" s="38"/>
      <c r="AKM1687" s="38"/>
      <c r="AKN1687" s="38"/>
      <c r="AKO1687" s="38"/>
      <c r="AKP1687" s="38"/>
      <c r="AKQ1687" s="38"/>
      <c r="AKR1687" s="38"/>
      <c r="AKS1687" s="38"/>
      <c r="AKT1687" s="38"/>
      <c r="AKU1687" s="38"/>
      <c r="AKV1687" s="38"/>
      <c r="AKW1687" s="38"/>
      <c r="AKX1687" s="38"/>
      <c r="AKY1687" s="38"/>
      <c r="AKZ1687" s="38"/>
      <c r="ALA1687" s="38"/>
      <c r="ALB1687" s="38"/>
      <c r="ALC1687" s="38"/>
      <c r="ALD1687" s="38"/>
      <c r="ALE1687" s="38"/>
      <c r="ALF1687" s="38"/>
      <c r="ALG1687" s="38"/>
      <c r="ALH1687" s="38"/>
      <c r="ALI1687" s="38"/>
      <c r="ALJ1687" s="38"/>
      <c r="ALK1687" s="38"/>
      <c r="ALL1687" s="38"/>
      <c r="ALM1687" s="38"/>
      <c r="ALN1687" s="38"/>
      <c r="ALO1687" s="38"/>
      <c r="ALP1687" s="38"/>
      <c r="ALQ1687" s="38"/>
      <c r="ALR1687" s="38"/>
      <c r="ALS1687" s="38"/>
      <c r="ALT1687" s="38"/>
      <c r="ALU1687" s="38"/>
      <c r="ALV1687" s="38"/>
      <c r="ALW1687" s="38"/>
      <c r="ALX1687" s="38"/>
      <c r="ALY1687" s="38"/>
      <c r="ALZ1687" s="38"/>
      <c r="AMA1687" s="38"/>
      <c r="AMB1687" s="38"/>
      <c r="AMC1687" s="38"/>
      <c r="AMD1687" s="38"/>
      <c r="AME1687" s="38"/>
      <c r="AMF1687" s="38"/>
      <c r="AMG1687" s="38"/>
      <c r="AMH1687" s="38"/>
      <c r="AMI1687" s="38"/>
      <c r="AMJ1687" s="38"/>
      <c r="AMK1687" s="38"/>
      <c r="AML1687" s="38"/>
      <c r="AMM1687" s="38"/>
      <c r="AMN1687" s="38"/>
      <c r="AMO1687" s="38"/>
      <c r="AMP1687" s="38"/>
      <c r="AMQ1687" s="38"/>
      <c r="AMR1687" s="38"/>
      <c r="AMS1687" s="38"/>
      <c r="AMT1687" s="38"/>
      <c r="AMU1687" s="38"/>
      <c r="AMV1687" s="38"/>
      <c r="AMW1687" s="38"/>
      <c r="AMX1687" s="38"/>
      <c r="AMY1687" s="38"/>
      <c r="AMZ1687" s="38"/>
      <c r="ANA1687" s="38"/>
      <c r="ANB1687" s="38"/>
      <c r="ANC1687" s="38"/>
      <c r="AND1687" s="38"/>
      <c r="ANE1687" s="38"/>
      <c r="ANF1687" s="38"/>
      <c r="ANG1687" s="38"/>
      <c r="ANH1687" s="38"/>
      <c r="ANI1687" s="38"/>
      <c r="ANJ1687" s="38"/>
      <c r="ANK1687" s="38"/>
      <c r="ANL1687" s="38"/>
      <c r="ANM1687" s="38"/>
      <c r="ANN1687" s="38"/>
      <c r="ANO1687" s="38"/>
      <c r="ANP1687" s="38"/>
      <c r="ANQ1687" s="38"/>
      <c r="ANR1687" s="38"/>
      <c r="ANS1687" s="38"/>
      <c r="ANT1687" s="38"/>
      <c r="ANU1687" s="38"/>
      <c r="ANV1687" s="38"/>
      <c r="ANW1687" s="38"/>
      <c r="ANX1687" s="38"/>
      <c r="ANY1687" s="38"/>
      <c r="ANZ1687" s="38"/>
      <c r="AOA1687" s="38"/>
      <c r="AOB1687" s="38"/>
      <c r="AOC1687" s="38"/>
      <c r="AOD1687" s="38"/>
      <c r="AOE1687" s="38"/>
      <c r="AOF1687" s="38"/>
      <c r="AOG1687" s="38"/>
      <c r="AOH1687" s="38"/>
      <c r="AOI1687" s="38"/>
      <c r="AOJ1687" s="38"/>
      <c r="AOK1687" s="38"/>
      <c r="AOL1687" s="38"/>
      <c r="AOM1687" s="38"/>
      <c r="AON1687" s="38"/>
      <c r="AOO1687" s="38"/>
      <c r="AOP1687" s="38"/>
      <c r="AOQ1687" s="38"/>
      <c r="AOR1687" s="38"/>
      <c r="AOS1687" s="38"/>
      <c r="AOT1687" s="38"/>
      <c r="AOU1687" s="38"/>
      <c r="AOV1687" s="38"/>
      <c r="AOW1687" s="38"/>
      <c r="AOX1687" s="38"/>
      <c r="AOY1687" s="38"/>
      <c r="AOZ1687" s="38"/>
      <c r="APA1687" s="38"/>
      <c r="APB1687" s="38"/>
      <c r="APC1687" s="38"/>
    </row>
    <row r="1688" spans="1:1095" s="36" customFormat="1" ht="14.25" customHeight="1">
      <c r="A1688" s="3" t="s">
        <v>1722</v>
      </c>
      <c r="B1688" s="36" t="s">
        <v>3966</v>
      </c>
      <c r="C1688" s="218">
        <v>4058075824058</v>
      </c>
      <c r="D1688" s="224">
        <v>4058075630505</v>
      </c>
      <c r="E1688" s="245" t="s">
        <v>1608</v>
      </c>
      <c r="F1688" s="246"/>
      <c r="G1688" s="66" t="str">
        <f>HYPERLINK("https://ledvance.com/pt/product-datasheet/247502/243771","Ficha de Produto")</f>
        <v>Ficha de Produto</v>
      </c>
      <c r="H1688" s="217">
        <v>10</v>
      </c>
      <c r="I1688" s="34" t="s">
        <v>837</v>
      </c>
      <c r="J1688" s="34" t="s">
        <v>831</v>
      </c>
      <c r="K1688" s="34" t="s">
        <v>788</v>
      </c>
      <c r="L1688" s="34" t="s">
        <v>765</v>
      </c>
      <c r="M1688" s="247">
        <v>51.800000000000004</v>
      </c>
      <c r="N1688" s="288" t="s">
        <v>722</v>
      </c>
    </row>
    <row r="1689" spans="1:1095" s="36" customFormat="1" ht="14.25" customHeight="1">
      <c r="A1689" s="3" t="s">
        <v>1722</v>
      </c>
      <c r="B1689" s="36" t="s">
        <v>3967</v>
      </c>
      <c r="C1689" s="218">
        <v>4058075824072</v>
      </c>
      <c r="D1689" s="224">
        <v>4058075543362</v>
      </c>
      <c r="E1689" s="245" t="s">
        <v>1609</v>
      </c>
      <c r="F1689" s="246"/>
      <c r="G1689" s="66" t="str">
        <f>HYPERLINK("https://ledvance.com/pt/product-datasheet/247502/243774","Ficha de Produto")</f>
        <v>Ficha de Produto</v>
      </c>
      <c r="H1689" s="217">
        <v>10</v>
      </c>
      <c r="I1689" s="34" t="s">
        <v>863</v>
      </c>
      <c r="J1689" s="34" t="s">
        <v>831</v>
      </c>
      <c r="K1689" s="34" t="s">
        <v>788</v>
      </c>
      <c r="L1689" s="34" t="s">
        <v>765</v>
      </c>
      <c r="M1689" s="247">
        <v>51.800000000000004</v>
      </c>
      <c r="N1689" s="288" t="s">
        <v>722</v>
      </c>
    </row>
    <row r="1690" spans="1:1095" s="36" customFormat="1" ht="14.25" customHeight="1">
      <c r="A1690" s="3" t="s">
        <v>1722</v>
      </c>
      <c r="B1690" s="36" t="s">
        <v>3968</v>
      </c>
      <c r="C1690" s="218">
        <v>4058075824096</v>
      </c>
      <c r="D1690" s="224">
        <v>4058075543386</v>
      </c>
      <c r="E1690" s="245" t="s">
        <v>1610</v>
      </c>
      <c r="F1690" s="246"/>
      <c r="G1690" s="66" t="str">
        <f>HYPERLINK("https://ledvance.com/pt/product-datasheet/247502/243777","Ficha de Produto")</f>
        <v>Ficha de Produto</v>
      </c>
      <c r="H1690" s="217">
        <v>10</v>
      </c>
      <c r="I1690" s="34" t="s">
        <v>863</v>
      </c>
      <c r="J1690" s="34" t="s">
        <v>831</v>
      </c>
      <c r="K1690" s="34" t="s">
        <v>788</v>
      </c>
      <c r="L1690" s="34" t="s">
        <v>765</v>
      </c>
      <c r="M1690" s="247">
        <v>51.800000000000004</v>
      </c>
      <c r="N1690" s="288" t="s">
        <v>722</v>
      </c>
    </row>
    <row r="1691" spans="1:1095" s="39" customFormat="1" ht="14.25" customHeight="1">
      <c r="A1691" s="8" t="s">
        <v>1722</v>
      </c>
      <c r="B1691" s="244" t="s">
        <v>2064</v>
      </c>
      <c r="C1691" s="244"/>
      <c r="D1691" s="7"/>
      <c r="E1691" s="230"/>
      <c r="F1691" s="7"/>
      <c r="G1691" s="68"/>
      <c r="H1691" s="230"/>
      <c r="I1691" s="230"/>
      <c r="J1691" s="230"/>
      <c r="K1691" s="230"/>
      <c r="L1691" s="230"/>
      <c r="M1691" s="248"/>
      <c r="N1691" s="284"/>
      <c r="O1691" s="38"/>
      <c r="P1691" s="38"/>
      <c r="Q1691" s="38"/>
      <c r="R1691" s="38"/>
      <c r="S1691" s="38"/>
      <c r="T1691" s="38"/>
      <c r="U1691" s="38"/>
      <c r="V1691" s="38"/>
      <c r="W1691" s="38"/>
      <c r="X1691" s="38"/>
      <c r="Y1691" s="38"/>
      <c r="Z1691" s="38"/>
      <c r="AA1691" s="38"/>
      <c r="AB1691" s="38"/>
      <c r="AC1691" s="38"/>
      <c r="AD1691" s="38"/>
      <c r="AE1691" s="38"/>
      <c r="AF1691" s="38"/>
      <c r="AG1691" s="38"/>
      <c r="AH1691" s="38"/>
      <c r="AI1691" s="38"/>
      <c r="AJ1691" s="38"/>
      <c r="AK1691" s="38"/>
      <c r="AL1691" s="38"/>
      <c r="AM1691" s="38"/>
      <c r="AN1691" s="38"/>
      <c r="AO1691" s="38"/>
      <c r="AP1691" s="38"/>
      <c r="AQ1691" s="38"/>
      <c r="AR1691" s="38"/>
      <c r="AS1691" s="38"/>
      <c r="AT1691" s="38"/>
      <c r="AU1691" s="38"/>
      <c r="AV1691" s="38"/>
      <c r="AW1691" s="38"/>
      <c r="AX1691" s="38"/>
      <c r="AY1691" s="38"/>
      <c r="AZ1691" s="38"/>
      <c r="BA1691" s="38"/>
      <c r="BB1691" s="38"/>
      <c r="BC1691" s="38"/>
      <c r="BD1691" s="38"/>
      <c r="BE1691" s="38"/>
      <c r="BF1691" s="38"/>
      <c r="BG1691" s="38"/>
      <c r="BH1691" s="38"/>
      <c r="BI1691" s="38"/>
      <c r="BJ1691" s="38"/>
      <c r="BK1691" s="38"/>
      <c r="BL1691" s="38"/>
      <c r="BM1691" s="38"/>
      <c r="BN1691" s="38"/>
      <c r="BO1691" s="38"/>
      <c r="BP1691" s="38"/>
      <c r="BQ1691" s="38"/>
      <c r="BR1691" s="38"/>
      <c r="BS1691" s="38"/>
      <c r="BT1691" s="38"/>
      <c r="BU1691" s="38"/>
      <c r="BV1691" s="38"/>
      <c r="BW1691" s="38"/>
      <c r="BX1691" s="38"/>
      <c r="BY1691" s="38"/>
      <c r="BZ1691" s="38"/>
      <c r="CA1691" s="38"/>
      <c r="CB1691" s="38"/>
      <c r="CC1691" s="38"/>
      <c r="CD1691" s="38"/>
      <c r="CE1691" s="38"/>
      <c r="CF1691" s="38"/>
      <c r="CG1691" s="38"/>
      <c r="CH1691" s="38"/>
      <c r="CI1691" s="38"/>
      <c r="CJ1691" s="38"/>
      <c r="CK1691" s="38"/>
      <c r="CL1691" s="38"/>
      <c r="CM1691" s="38"/>
      <c r="CN1691" s="38"/>
      <c r="CO1691" s="38"/>
      <c r="CP1691" s="38"/>
      <c r="CQ1691" s="38"/>
      <c r="CR1691" s="38"/>
      <c r="CS1691" s="38"/>
      <c r="CT1691" s="38"/>
      <c r="CU1691" s="38"/>
      <c r="CV1691" s="38"/>
      <c r="CW1691" s="38"/>
      <c r="CX1691" s="38"/>
      <c r="CY1691" s="38"/>
      <c r="CZ1691" s="38"/>
      <c r="DA1691" s="38"/>
      <c r="DB1691" s="38"/>
      <c r="DC1691" s="38"/>
      <c r="DD1691" s="38"/>
      <c r="DE1691" s="38"/>
      <c r="DF1691" s="38"/>
      <c r="DG1691" s="38"/>
      <c r="DH1691" s="38"/>
      <c r="DI1691" s="38"/>
      <c r="DJ1691" s="38"/>
      <c r="DK1691" s="38"/>
      <c r="DL1691" s="38"/>
      <c r="DM1691" s="38"/>
      <c r="DN1691" s="38"/>
      <c r="DO1691" s="38"/>
      <c r="DP1691" s="38"/>
      <c r="DQ1691" s="38"/>
      <c r="DR1691" s="38"/>
      <c r="DS1691" s="38"/>
      <c r="DT1691" s="38"/>
      <c r="DU1691" s="38"/>
      <c r="DV1691" s="38"/>
      <c r="DW1691" s="38"/>
      <c r="DX1691" s="38"/>
      <c r="DY1691" s="38"/>
      <c r="DZ1691" s="38"/>
      <c r="EA1691" s="38"/>
      <c r="EB1691" s="38"/>
      <c r="EC1691" s="38"/>
      <c r="ED1691" s="38"/>
      <c r="EE1691" s="38"/>
      <c r="EF1691" s="38"/>
      <c r="EG1691" s="38"/>
      <c r="EH1691" s="38"/>
      <c r="EI1691" s="38"/>
      <c r="EJ1691" s="38"/>
      <c r="EK1691" s="38"/>
      <c r="EL1691" s="38"/>
      <c r="EM1691" s="38"/>
      <c r="EN1691" s="38"/>
      <c r="EO1691" s="38"/>
      <c r="EP1691" s="38"/>
      <c r="EQ1691" s="38"/>
      <c r="ER1691" s="38"/>
      <c r="ES1691" s="38"/>
      <c r="ET1691" s="38"/>
      <c r="EU1691" s="38"/>
      <c r="EV1691" s="38"/>
      <c r="EW1691" s="38"/>
      <c r="EX1691" s="38"/>
      <c r="EY1691" s="38"/>
      <c r="EZ1691" s="38"/>
      <c r="FA1691" s="38"/>
      <c r="FB1691" s="38"/>
      <c r="FC1691" s="38"/>
      <c r="FD1691" s="38"/>
      <c r="FE1691" s="38"/>
      <c r="FF1691" s="38"/>
      <c r="FG1691" s="38"/>
      <c r="FH1691" s="38"/>
      <c r="FI1691" s="38"/>
      <c r="FJ1691" s="38"/>
      <c r="FK1691" s="38"/>
      <c r="FL1691" s="38"/>
      <c r="FM1691" s="38"/>
      <c r="FN1691" s="38"/>
      <c r="FO1691" s="38"/>
      <c r="FP1691" s="38"/>
      <c r="FQ1691" s="38"/>
      <c r="FR1691" s="38"/>
      <c r="FS1691" s="38"/>
      <c r="FT1691" s="38"/>
      <c r="FU1691" s="38"/>
      <c r="FV1691" s="38"/>
      <c r="FW1691" s="38"/>
      <c r="FX1691" s="38"/>
      <c r="FY1691" s="38"/>
      <c r="FZ1691" s="38"/>
      <c r="GA1691" s="38"/>
      <c r="GB1691" s="38"/>
      <c r="GC1691" s="38"/>
      <c r="GD1691" s="38"/>
      <c r="GE1691" s="38"/>
      <c r="GF1691" s="38"/>
      <c r="GG1691" s="38"/>
      <c r="GH1691" s="38"/>
      <c r="GI1691" s="38"/>
      <c r="GJ1691" s="38"/>
      <c r="GK1691" s="38"/>
      <c r="GL1691" s="38"/>
      <c r="GM1691" s="38"/>
      <c r="GN1691" s="38"/>
      <c r="GO1691" s="38"/>
      <c r="GP1691" s="38"/>
      <c r="GQ1691" s="38"/>
      <c r="GR1691" s="38"/>
      <c r="GS1691" s="38"/>
      <c r="GT1691" s="38"/>
      <c r="GU1691" s="38"/>
      <c r="GV1691" s="38"/>
      <c r="GW1691" s="38"/>
      <c r="GX1691" s="38"/>
      <c r="GY1691" s="38"/>
      <c r="GZ1691" s="38"/>
      <c r="HA1691" s="38"/>
      <c r="HB1691" s="38"/>
      <c r="HC1691" s="38"/>
      <c r="HD1691" s="38"/>
      <c r="HE1691" s="38"/>
      <c r="HF1691" s="38"/>
      <c r="HG1691" s="38"/>
      <c r="HH1691" s="38"/>
      <c r="HI1691" s="38"/>
      <c r="HJ1691" s="38"/>
      <c r="HK1691" s="38"/>
      <c r="HL1691" s="38"/>
      <c r="HM1691" s="38"/>
      <c r="HN1691" s="38"/>
      <c r="HO1691" s="38"/>
      <c r="HP1691" s="38"/>
      <c r="HQ1691" s="38"/>
      <c r="HR1691" s="38"/>
      <c r="HS1691" s="38"/>
      <c r="HT1691" s="38"/>
      <c r="HU1691" s="38"/>
      <c r="HV1691" s="38"/>
      <c r="HW1691" s="38"/>
      <c r="HX1691" s="38"/>
      <c r="HY1691" s="38"/>
      <c r="HZ1691" s="38"/>
      <c r="IA1691" s="38"/>
      <c r="IB1691" s="38"/>
      <c r="IC1691" s="38"/>
      <c r="ID1691" s="38"/>
      <c r="IE1691" s="38"/>
      <c r="IF1691" s="38"/>
      <c r="IG1691" s="38"/>
      <c r="IH1691" s="38"/>
      <c r="II1691" s="38"/>
      <c r="IJ1691" s="38"/>
      <c r="IK1691" s="38"/>
      <c r="IL1691" s="38"/>
      <c r="IM1691" s="38"/>
      <c r="IN1691" s="38"/>
      <c r="IO1691" s="38"/>
      <c r="IP1691" s="38"/>
      <c r="IQ1691" s="38"/>
      <c r="IR1691" s="38"/>
      <c r="IS1691" s="38"/>
      <c r="IT1691" s="38"/>
      <c r="IU1691" s="38"/>
      <c r="IV1691" s="38"/>
      <c r="IW1691" s="38"/>
      <c r="IX1691" s="38"/>
      <c r="IY1691" s="38"/>
      <c r="IZ1691" s="38"/>
      <c r="JA1691" s="38"/>
      <c r="JB1691" s="38"/>
      <c r="JC1691" s="38"/>
      <c r="JD1691" s="38"/>
      <c r="JE1691" s="38"/>
      <c r="JF1691" s="38"/>
      <c r="JG1691" s="38"/>
      <c r="JH1691" s="38"/>
      <c r="JI1691" s="38"/>
      <c r="JJ1691" s="38"/>
      <c r="JK1691" s="38"/>
      <c r="JL1691" s="38"/>
      <c r="JM1691" s="38"/>
      <c r="JN1691" s="38"/>
      <c r="JO1691" s="38"/>
      <c r="JP1691" s="38"/>
      <c r="JQ1691" s="38"/>
      <c r="JR1691" s="38"/>
      <c r="JS1691" s="38"/>
      <c r="JT1691" s="38"/>
      <c r="JU1691" s="38"/>
      <c r="JV1691" s="38"/>
      <c r="JW1691" s="38"/>
      <c r="JX1691" s="38"/>
      <c r="JY1691" s="38"/>
      <c r="JZ1691" s="38"/>
      <c r="KA1691" s="38"/>
      <c r="KB1691" s="38"/>
      <c r="KC1691" s="38"/>
      <c r="KD1691" s="38"/>
      <c r="KE1691" s="38"/>
      <c r="KF1691" s="38"/>
      <c r="KG1691" s="38"/>
      <c r="KH1691" s="38"/>
      <c r="KI1691" s="38"/>
      <c r="KJ1691" s="38"/>
      <c r="KK1691" s="38"/>
      <c r="KL1691" s="38"/>
      <c r="KM1691" s="38"/>
      <c r="KN1691" s="38"/>
      <c r="KO1691" s="38"/>
      <c r="KP1691" s="38"/>
      <c r="KQ1691" s="38"/>
      <c r="KR1691" s="38"/>
      <c r="KS1691" s="38"/>
      <c r="KT1691" s="38"/>
      <c r="KU1691" s="38"/>
      <c r="KV1691" s="38"/>
      <c r="KW1691" s="38"/>
      <c r="KX1691" s="38"/>
      <c r="KY1691" s="38"/>
      <c r="KZ1691" s="38"/>
      <c r="LA1691" s="38"/>
      <c r="LB1691" s="38"/>
      <c r="LC1691" s="38"/>
      <c r="LD1691" s="38"/>
      <c r="LE1691" s="38"/>
      <c r="LF1691" s="38"/>
      <c r="LG1691" s="38"/>
      <c r="LH1691" s="38"/>
      <c r="LI1691" s="38"/>
      <c r="LJ1691" s="38"/>
      <c r="LK1691" s="38"/>
      <c r="LL1691" s="38"/>
      <c r="LM1691" s="38"/>
      <c r="LN1691" s="38"/>
      <c r="LO1691" s="38"/>
      <c r="LP1691" s="38"/>
      <c r="LQ1691" s="38"/>
      <c r="LR1691" s="38"/>
      <c r="LS1691" s="38"/>
      <c r="LT1691" s="38"/>
      <c r="LU1691" s="38"/>
      <c r="LV1691" s="38"/>
      <c r="LW1691" s="38"/>
      <c r="LX1691" s="38"/>
      <c r="LY1691" s="38"/>
      <c r="LZ1691" s="38"/>
      <c r="MA1691" s="38"/>
      <c r="MB1691" s="38"/>
      <c r="MC1691" s="38"/>
      <c r="MD1691" s="38"/>
      <c r="ME1691" s="38"/>
      <c r="MF1691" s="38"/>
      <c r="MG1691" s="38"/>
      <c r="MH1691" s="38"/>
      <c r="MI1691" s="38"/>
      <c r="MJ1691" s="38"/>
      <c r="MK1691" s="38"/>
      <c r="ML1691" s="38"/>
      <c r="MM1691" s="38"/>
      <c r="MN1691" s="38"/>
      <c r="MO1691" s="38"/>
      <c r="MP1691" s="38"/>
      <c r="MQ1691" s="38"/>
      <c r="MR1691" s="38"/>
      <c r="MS1691" s="38"/>
      <c r="MT1691" s="38"/>
      <c r="MU1691" s="38"/>
      <c r="MV1691" s="38"/>
      <c r="MW1691" s="38"/>
      <c r="MX1691" s="38"/>
      <c r="MY1691" s="38"/>
      <c r="MZ1691" s="38"/>
      <c r="NA1691" s="38"/>
      <c r="NB1691" s="38"/>
      <c r="NC1691" s="38"/>
      <c r="ND1691" s="38"/>
      <c r="NE1691" s="38"/>
      <c r="NF1691" s="38"/>
      <c r="NG1691" s="38"/>
      <c r="NH1691" s="38"/>
      <c r="NI1691" s="38"/>
      <c r="NJ1691" s="38"/>
      <c r="NK1691" s="38"/>
      <c r="NL1691" s="38"/>
      <c r="NM1691" s="38"/>
      <c r="NN1691" s="38"/>
      <c r="NO1691" s="38"/>
      <c r="NP1691" s="38"/>
      <c r="NQ1691" s="38"/>
      <c r="NR1691" s="38"/>
      <c r="NS1691" s="38"/>
      <c r="NT1691" s="38"/>
      <c r="NU1691" s="38"/>
      <c r="NV1691" s="38"/>
      <c r="NW1691" s="38"/>
      <c r="NX1691" s="38"/>
      <c r="NY1691" s="38"/>
      <c r="NZ1691" s="38"/>
      <c r="OA1691" s="38"/>
      <c r="OB1691" s="38"/>
      <c r="OC1691" s="38"/>
      <c r="OD1691" s="38"/>
      <c r="OE1691" s="38"/>
      <c r="OF1691" s="38"/>
      <c r="OG1691" s="38"/>
      <c r="OH1691" s="38"/>
      <c r="OI1691" s="38"/>
      <c r="OJ1691" s="38"/>
      <c r="OK1691" s="38"/>
      <c r="OL1691" s="38"/>
      <c r="OM1691" s="38"/>
      <c r="ON1691" s="38"/>
      <c r="OO1691" s="38"/>
      <c r="OP1691" s="38"/>
      <c r="OQ1691" s="38"/>
      <c r="OR1691" s="38"/>
      <c r="OS1691" s="38"/>
      <c r="OT1691" s="38"/>
      <c r="OU1691" s="38"/>
      <c r="OV1691" s="38"/>
      <c r="OW1691" s="38"/>
      <c r="OX1691" s="38"/>
      <c r="OY1691" s="38"/>
      <c r="OZ1691" s="38"/>
      <c r="PA1691" s="38"/>
      <c r="PB1691" s="38"/>
      <c r="PC1691" s="38"/>
      <c r="PD1691" s="38"/>
      <c r="PE1691" s="38"/>
      <c r="PF1691" s="38"/>
      <c r="PG1691" s="38"/>
      <c r="PH1691" s="38"/>
      <c r="PI1691" s="38"/>
      <c r="PJ1691" s="38"/>
      <c r="PK1691" s="38"/>
      <c r="PL1691" s="38"/>
      <c r="PM1691" s="38"/>
      <c r="PN1691" s="38"/>
      <c r="PO1691" s="38"/>
      <c r="PP1691" s="38"/>
      <c r="PQ1691" s="38"/>
      <c r="PR1691" s="38"/>
      <c r="PS1691" s="38"/>
      <c r="PT1691" s="38"/>
      <c r="PU1691" s="38"/>
      <c r="PV1691" s="38"/>
      <c r="PW1691" s="38"/>
      <c r="PX1691" s="38"/>
      <c r="PY1691" s="38"/>
      <c r="PZ1691" s="38"/>
      <c r="QA1691" s="38"/>
      <c r="QB1691" s="38"/>
      <c r="QC1691" s="38"/>
      <c r="QD1691" s="38"/>
      <c r="QE1691" s="38"/>
      <c r="QF1691" s="38"/>
      <c r="QG1691" s="38"/>
      <c r="QH1691" s="38"/>
      <c r="QI1691" s="38"/>
      <c r="QJ1691" s="38"/>
      <c r="QK1691" s="38"/>
      <c r="QL1691" s="38"/>
      <c r="QM1691" s="38"/>
      <c r="QN1691" s="38"/>
      <c r="QO1691" s="38"/>
      <c r="QP1691" s="38"/>
      <c r="QQ1691" s="38"/>
      <c r="QR1691" s="38"/>
      <c r="QS1691" s="38"/>
      <c r="QT1691" s="38"/>
      <c r="QU1691" s="38"/>
      <c r="QV1691" s="38"/>
      <c r="QW1691" s="38"/>
      <c r="QX1691" s="38"/>
      <c r="QY1691" s="38"/>
      <c r="QZ1691" s="38"/>
      <c r="RA1691" s="38"/>
      <c r="RB1691" s="38"/>
      <c r="RC1691" s="38"/>
      <c r="RD1691" s="38"/>
      <c r="RE1691" s="38"/>
      <c r="RF1691" s="38"/>
      <c r="RG1691" s="38"/>
      <c r="RH1691" s="38"/>
      <c r="RI1691" s="38"/>
      <c r="RJ1691" s="38"/>
      <c r="RK1691" s="38"/>
      <c r="RL1691" s="38"/>
      <c r="RM1691" s="38"/>
      <c r="RN1691" s="38"/>
      <c r="RO1691" s="38"/>
      <c r="RP1691" s="38"/>
      <c r="RQ1691" s="38"/>
      <c r="RR1691" s="38"/>
      <c r="RS1691" s="38"/>
      <c r="RT1691" s="38"/>
      <c r="RU1691" s="38"/>
      <c r="RV1691" s="38"/>
      <c r="RW1691" s="38"/>
      <c r="RX1691" s="38"/>
      <c r="RY1691" s="38"/>
      <c r="RZ1691" s="38"/>
      <c r="SA1691" s="38"/>
      <c r="SB1691" s="38"/>
      <c r="SC1691" s="38"/>
      <c r="SD1691" s="38"/>
      <c r="SE1691" s="38"/>
      <c r="SF1691" s="38"/>
      <c r="SG1691" s="38"/>
      <c r="SH1691" s="38"/>
      <c r="SI1691" s="38"/>
      <c r="SJ1691" s="38"/>
      <c r="SK1691" s="38"/>
      <c r="SL1691" s="38"/>
      <c r="SM1691" s="38"/>
      <c r="SN1691" s="38"/>
      <c r="SO1691" s="38"/>
      <c r="SP1691" s="38"/>
      <c r="SQ1691" s="38"/>
      <c r="SR1691" s="38"/>
      <c r="SS1691" s="38"/>
      <c r="ST1691" s="38"/>
      <c r="SU1691" s="38"/>
      <c r="SV1691" s="38"/>
      <c r="SW1691" s="38"/>
      <c r="SX1691" s="38"/>
      <c r="SY1691" s="38"/>
      <c r="SZ1691" s="38"/>
      <c r="TA1691" s="38"/>
      <c r="TB1691" s="38"/>
      <c r="TC1691" s="38"/>
      <c r="TD1691" s="38"/>
      <c r="TE1691" s="38"/>
      <c r="TF1691" s="38"/>
      <c r="TG1691" s="38"/>
      <c r="TH1691" s="38"/>
      <c r="TI1691" s="38"/>
      <c r="TJ1691" s="38"/>
      <c r="TK1691" s="38"/>
      <c r="TL1691" s="38"/>
      <c r="TM1691" s="38"/>
      <c r="TN1691" s="38"/>
      <c r="TO1691" s="38"/>
      <c r="TP1691" s="38"/>
      <c r="TQ1691" s="38"/>
      <c r="TR1691" s="38"/>
      <c r="TS1691" s="38"/>
      <c r="TT1691" s="38"/>
      <c r="TU1691" s="38"/>
      <c r="TV1691" s="38"/>
      <c r="TW1691" s="38"/>
      <c r="TX1691" s="38"/>
      <c r="TY1691" s="38"/>
      <c r="TZ1691" s="38"/>
      <c r="UA1691" s="38"/>
      <c r="UB1691" s="38"/>
      <c r="UC1691" s="38"/>
      <c r="UD1691" s="38"/>
      <c r="UE1691" s="38"/>
      <c r="UF1691" s="38"/>
      <c r="UG1691" s="38"/>
      <c r="UH1691" s="38"/>
      <c r="UI1691" s="38"/>
      <c r="UJ1691" s="38"/>
      <c r="UK1691" s="38"/>
      <c r="UL1691" s="38"/>
      <c r="UM1691" s="38"/>
      <c r="UN1691" s="38"/>
      <c r="UO1691" s="38"/>
      <c r="UP1691" s="38"/>
      <c r="UQ1691" s="38"/>
      <c r="UR1691" s="38"/>
      <c r="US1691" s="38"/>
      <c r="UT1691" s="38"/>
      <c r="UU1691" s="38"/>
      <c r="UV1691" s="38"/>
      <c r="UW1691" s="38"/>
      <c r="UX1691" s="38"/>
      <c r="UY1691" s="38"/>
      <c r="UZ1691" s="38"/>
      <c r="VA1691" s="38"/>
      <c r="VB1691" s="38"/>
      <c r="VC1691" s="38"/>
      <c r="VD1691" s="38"/>
      <c r="VE1691" s="38"/>
      <c r="VF1691" s="38"/>
      <c r="VG1691" s="38"/>
      <c r="VH1691" s="38"/>
      <c r="VI1691" s="38"/>
      <c r="VJ1691" s="38"/>
      <c r="VK1691" s="38"/>
      <c r="VL1691" s="38"/>
      <c r="VM1691" s="38"/>
      <c r="VN1691" s="38"/>
      <c r="VO1691" s="38"/>
      <c r="VP1691" s="38"/>
      <c r="VQ1691" s="38"/>
      <c r="VR1691" s="38"/>
      <c r="VS1691" s="38"/>
      <c r="VT1691" s="38"/>
      <c r="VU1691" s="38"/>
      <c r="VV1691" s="38"/>
      <c r="VW1691" s="38"/>
      <c r="VX1691" s="38"/>
      <c r="VY1691" s="38"/>
      <c r="VZ1691" s="38"/>
      <c r="WA1691" s="38"/>
      <c r="WB1691" s="38"/>
      <c r="WC1691" s="38"/>
      <c r="WD1691" s="38"/>
      <c r="WE1691" s="38"/>
      <c r="WF1691" s="38"/>
      <c r="WG1691" s="38"/>
      <c r="WH1691" s="38"/>
      <c r="WI1691" s="38"/>
      <c r="WJ1691" s="38"/>
      <c r="WK1691" s="38"/>
      <c r="WL1691" s="38"/>
      <c r="WM1691" s="38"/>
      <c r="WN1691" s="38"/>
      <c r="WO1691" s="38"/>
      <c r="WP1691" s="38"/>
      <c r="WQ1691" s="38"/>
      <c r="WR1691" s="38"/>
      <c r="WS1691" s="38"/>
      <c r="WT1691" s="38"/>
      <c r="WU1691" s="38"/>
      <c r="WV1691" s="38"/>
      <c r="WW1691" s="38"/>
      <c r="WX1691" s="38"/>
      <c r="WY1691" s="38"/>
      <c r="WZ1691" s="38"/>
      <c r="XA1691" s="38"/>
      <c r="XB1691" s="38"/>
      <c r="XC1691" s="38"/>
      <c r="XD1691" s="38"/>
      <c r="XE1691" s="38"/>
      <c r="XF1691" s="38"/>
      <c r="XG1691" s="38"/>
      <c r="XH1691" s="38"/>
      <c r="XI1691" s="38"/>
      <c r="XJ1691" s="38"/>
      <c r="XK1691" s="38"/>
      <c r="XL1691" s="38"/>
      <c r="XM1691" s="38"/>
      <c r="XN1691" s="38"/>
      <c r="XO1691" s="38"/>
      <c r="XP1691" s="38"/>
      <c r="XQ1691" s="38"/>
      <c r="XR1691" s="38"/>
      <c r="XS1691" s="38"/>
      <c r="XT1691" s="38"/>
      <c r="XU1691" s="38"/>
      <c r="XV1691" s="38"/>
      <c r="XW1691" s="38"/>
      <c r="XX1691" s="38"/>
      <c r="XY1691" s="38"/>
      <c r="XZ1691" s="38"/>
      <c r="YA1691" s="38"/>
      <c r="YB1691" s="38"/>
      <c r="YC1691" s="38"/>
      <c r="YD1691" s="38"/>
      <c r="YE1691" s="38"/>
      <c r="YF1691" s="38"/>
      <c r="YG1691" s="38"/>
      <c r="YH1691" s="38"/>
      <c r="YI1691" s="38"/>
      <c r="YJ1691" s="38"/>
      <c r="YK1691" s="38"/>
      <c r="YL1691" s="38"/>
      <c r="YM1691" s="38"/>
      <c r="YN1691" s="38"/>
      <c r="YO1691" s="38"/>
      <c r="YP1691" s="38"/>
      <c r="YQ1691" s="38"/>
      <c r="YR1691" s="38"/>
      <c r="YS1691" s="38"/>
      <c r="YT1691" s="38"/>
      <c r="YU1691" s="38"/>
      <c r="YV1691" s="38"/>
      <c r="YW1691" s="38"/>
      <c r="YX1691" s="38"/>
      <c r="YY1691" s="38"/>
      <c r="YZ1691" s="38"/>
      <c r="ZA1691" s="38"/>
      <c r="ZB1691" s="38"/>
      <c r="ZC1691" s="38"/>
      <c r="ZD1691" s="38"/>
      <c r="ZE1691" s="38"/>
      <c r="ZF1691" s="38"/>
      <c r="ZG1691" s="38"/>
      <c r="ZH1691" s="38"/>
      <c r="ZI1691" s="38"/>
      <c r="ZJ1691" s="38"/>
      <c r="ZK1691" s="38"/>
      <c r="ZL1691" s="38"/>
      <c r="ZM1691" s="38"/>
      <c r="ZN1691" s="38"/>
      <c r="ZO1691" s="38"/>
      <c r="ZP1691" s="38"/>
      <c r="ZQ1691" s="38"/>
      <c r="ZR1691" s="38"/>
      <c r="ZS1691" s="38"/>
      <c r="ZT1691" s="38"/>
      <c r="ZU1691" s="38"/>
      <c r="ZV1691" s="38"/>
      <c r="ZW1691" s="38"/>
      <c r="ZX1691" s="38"/>
      <c r="ZY1691" s="38"/>
      <c r="ZZ1691" s="38"/>
      <c r="AAA1691" s="38"/>
      <c r="AAB1691" s="38"/>
      <c r="AAC1691" s="38"/>
      <c r="AAD1691" s="38"/>
      <c r="AAE1691" s="38"/>
      <c r="AAF1691" s="38"/>
      <c r="AAG1691" s="38"/>
      <c r="AAH1691" s="38"/>
      <c r="AAI1691" s="38"/>
      <c r="AAJ1691" s="38"/>
      <c r="AAK1691" s="38"/>
      <c r="AAL1691" s="38"/>
      <c r="AAM1691" s="38"/>
      <c r="AAN1691" s="38"/>
      <c r="AAO1691" s="38"/>
      <c r="AAP1691" s="38"/>
      <c r="AAQ1691" s="38"/>
      <c r="AAR1691" s="38"/>
      <c r="AAS1691" s="38"/>
      <c r="AAT1691" s="38"/>
      <c r="AAU1691" s="38"/>
      <c r="AAV1691" s="38"/>
      <c r="AAW1691" s="38"/>
      <c r="AAX1691" s="38"/>
      <c r="AAY1691" s="38"/>
      <c r="AAZ1691" s="38"/>
      <c r="ABA1691" s="38"/>
      <c r="ABB1691" s="38"/>
      <c r="ABC1691" s="38"/>
      <c r="ABD1691" s="38"/>
      <c r="ABE1691" s="38"/>
      <c r="ABF1691" s="38"/>
      <c r="ABG1691" s="38"/>
      <c r="ABH1691" s="38"/>
      <c r="ABI1691" s="38"/>
      <c r="ABJ1691" s="38"/>
      <c r="ABK1691" s="38"/>
      <c r="ABL1691" s="38"/>
      <c r="ABM1691" s="38"/>
      <c r="ABN1691" s="38"/>
      <c r="ABO1691" s="38"/>
      <c r="ABP1691" s="38"/>
      <c r="ABQ1691" s="38"/>
      <c r="ABR1691" s="38"/>
      <c r="ABS1691" s="38"/>
      <c r="ABT1691" s="38"/>
      <c r="ABU1691" s="38"/>
      <c r="ABV1691" s="38"/>
      <c r="ABW1691" s="38"/>
      <c r="ABX1691" s="38"/>
      <c r="ABY1691" s="38"/>
      <c r="ABZ1691" s="38"/>
      <c r="ACA1691" s="38"/>
      <c r="ACB1691" s="38"/>
      <c r="ACC1691" s="38"/>
      <c r="ACD1691" s="38"/>
      <c r="ACE1691" s="38"/>
      <c r="ACF1691" s="38"/>
      <c r="ACG1691" s="38"/>
      <c r="ACH1691" s="38"/>
      <c r="ACI1691" s="38"/>
      <c r="ACJ1691" s="38"/>
      <c r="ACK1691" s="38"/>
      <c r="ACL1691" s="38"/>
      <c r="ACM1691" s="38"/>
      <c r="ACN1691" s="38"/>
      <c r="ACO1691" s="38"/>
      <c r="ACP1691" s="38"/>
      <c r="ACQ1691" s="38"/>
      <c r="ACR1691" s="38"/>
      <c r="ACS1691" s="38"/>
      <c r="ACT1691" s="38"/>
      <c r="ACU1691" s="38"/>
      <c r="ACV1691" s="38"/>
      <c r="ACW1691" s="38"/>
      <c r="ACX1691" s="38"/>
      <c r="ACY1691" s="38"/>
      <c r="ACZ1691" s="38"/>
      <c r="ADA1691" s="38"/>
      <c r="ADB1691" s="38"/>
      <c r="ADC1691" s="38"/>
      <c r="ADD1691" s="38"/>
      <c r="ADE1691" s="38"/>
      <c r="ADF1691" s="38"/>
      <c r="ADG1691" s="38"/>
      <c r="ADH1691" s="38"/>
      <c r="ADI1691" s="38"/>
      <c r="ADJ1691" s="38"/>
      <c r="ADK1691" s="38"/>
      <c r="ADL1691" s="38"/>
      <c r="ADM1691" s="38"/>
      <c r="ADN1691" s="38"/>
      <c r="ADO1691" s="38"/>
      <c r="ADP1691" s="38"/>
      <c r="ADQ1691" s="38"/>
      <c r="ADR1691" s="38"/>
      <c r="ADS1691" s="38"/>
      <c r="ADT1691" s="38"/>
      <c r="ADU1691" s="38"/>
      <c r="ADV1691" s="38"/>
      <c r="ADW1691" s="38"/>
      <c r="ADX1691" s="38"/>
      <c r="ADY1691" s="38"/>
      <c r="ADZ1691" s="38"/>
      <c r="AEA1691" s="38"/>
      <c r="AEB1691" s="38"/>
      <c r="AEC1691" s="38"/>
      <c r="AED1691" s="38"/>
      <c r="AEE1691" s="38"/>
      <c r="AEF1691" s="38"/>
      <c r="AEG1691" s="38"/>
      <c r="AEH1691" s="38"/>
      <c r="AEI1691" s="38"/>
      <c r="AEJ1691" s="38"/>
      <c r="AEK1691" s="38"/>
      <c r="AEL1691" s="38"/>
      <c r="AEM1691" s="38"/>
      <c r="AEN1691" s="38"/>
      <c r="AEO1691" s="38"/>
      <c r="AEP1691" s="38"/>
      <c r="AEQ1691" s="38"/>
      <c r="AER1691" s="38"/>
      <c r="AES1691" s="38"/>
      <c r="AET1691" s="38"/>
      <c r="AEU1691" s="38"/>
      <c r="AEV1691" s="38"/>
      <c r="AEW1691" s="38"/>
      <c r="AEX1691" s="38"/>
      <c r="AEY1691" s="38"/>
      <c r="AEZ1691" s="38"/>
      <c r="AFA1691" s="38"/>
      <c r="AFB1691" s="38"/>
      <c r="AFC1691" s="38"/>
      <c r="AFD1691" s="38"/>
      <c r="AFE1691" s="38"/>
      <c r="AFF1691" s="38"/>
      <c r="AFG1691" s="38"/>
      <c r="AFH1691" s="38"/>
      <c r="AFI1691" s="38"/>
      <c r="AFJ1691" s="38"/>
      <c r="AFK1691" s="38"/>
      <c r="AFL1691" s="38"/>
      <c r="AFM1691" s="38"/>
      <c r="AFN1691" s="38"/>
      <c r="AFO1691" s="38"/>
      <c r="AFP1691" s="38"/>
      <c r="AFQ1691" s="38"/>
      <c r="AFR1691" s="38"/>
      <c r="AFS1691" s="38"/>
      <c r="AFT1691" s="38"/>
      <c r="AFU1691" s="38"/>
      <c r="AFV1691" s="38"/>
      <c r="AFW1691" s="38"/>
      <c r="AFX1691" s="38"/>
      <c r="AFY1691" s="38"/>
      <c r="AFZ1691" s="38"/>
      <c r="AGA1691" s="38"/>
      <c r="AGB1691" s="38"/>
      <c r="AGC1691" s="38"/>
      <c r="AGD1691" s="38"/>
      <c r="AGE1691" s="38"/>
      <c r="AGF1691" s="38"/>
      <c r="AGG1691" s="38"/>
      <c r="AGH1691" s="38"/>
      <c r="AGI1691" s="38"/>
      <c r="AGJ1691" s="38"/>
      <c r="AGK1691" s="38"/>
      <c r="AGL1691" s="38"/>
      <c r="AGM1691" s="38"/>
      <c r="AGN1691" s="38"/>
      <c r="AGO1691" s="38"/>
      <c r="AGP1691" s="38"/>
      <c r="AGQ1691" s="38"/>
      <c r="AGR1691" s="38"/>
      <c r="AGS1691" s="38"/>
      <c r="AGT1691" s="38"/>
      <c r="AGU1691" s="38"/>
      <c r="AGV1691" s="38"/>
      <c r="AGW1691" s="38"/>
      <c r="AGX1691" s="38"/>
      <c r="AGY1691" s="38"/>
      <c r="AGZ1691" s="38"/>
      <c r="AHA1691" s="38"/>
      <c r="AHB1691" s="38"/>
      <c r="AHC1691" s="38"/>
      <c r="AHD1691" s="38"/>
      <c r="AHE1691" s="38"/>
      <c r="AHF1691" s="38"/>
      <c r="AHG1691" s="38"/>
      <c r="AHH1691" s="38"/>
      <c r="AHI1691" s="38"/>
      <c r="AHJ1691" s="38"/>
      <c r="AHK1691" s="38"/>
      <c r="AHL1691" s="38"/>
      <c r="AHM1691" s="38"/>
      <c r="AHN1691" s="38"/>
      <c r="AHO1691" s="38"/>
      <c r="AHP1691" s="38"/>
      <c r="AHQ1691" s="38"/>
      <c r="AHR1691" s="38"/>
      <c r="AHS1691" s="38"/>
      <c r="AHT1691" s="38"/>
      <c r="AHU1691" s="38"/>
      <c r="AHV1691" s="38"/>
      <c r="AHW1691" s="38"/>
      <c r="AHX1691" s="38"/>
      <c r="AHY1691" s="38"/>
      <c r="AHZ1691" s="38"/>
      <c r="AIA1691" s="38"/>
      <c r="AIB1691" s="38"/>
      <c r="AIC1691" s="38"/>
      <c r="AID1691" s="38"/>
      <c r="AIE1691" s="38"/>
      <c r="AIF1691" s="38"/>
      <c r="AIG1691" s="38"/>
      <c r="AIH1691" s="38"/>
      <c r="AII1691" s="38"/>
      <c r="AIJ1691" s="38"/>
      <c r="AIK1691" s="38"/>
      <c r="AIL1691" s="38"/>
      <c r="AIM1691" s="38"/>
      <c r="AIN1691" s="38"/>
      <c r="AIO1691" s="38"/>
      <c r="AIP1691" s="38"/>
      <c r="AIQ1691" s="38"/>
      <c r="AIR1691" s="38"/>
      <c r="AIS1691" s="38"/>
      <c r="AIT1691" s="38"/>
      <c r="AIU1691" s="38"/>
      <c r="AIV1691" s="38"/>
      <c r="AIW1691" s="38"/>
      <c r="AIX1691" s="38"/>
      <c r="AIY1691" s="38"/>
      <c r="AIZ1691" s="38"/>
      <c r="AJA1691" s="38"/>
      <c r="AJB1691" s="38"/>
      <c r="AJC1691" s="38"/>
      <c r="AJD1691" s="38"/>
      <c r="AJE1691" s="38"/>
      <c r="AJF1691" s="38"/>
      <c r="AJG1691" s="38"/>
      <c r="AJH1691" s="38"/>
      <c r="AJI1691" s="38"/>
      <c r="AJJ1691" s="38"/>
      <c r="AJK1691" s="38"/>
      <c r="AJL1691" s="38"/>
      <c r="AJM1691" s="38"/>
      <c r="AJN1691" s="38"/>
      <c r="AJO1691" s="38"/>
      <c r="AJP1691" s="38"/>
      <c r="AJQ1691" s="38"/>
      <c r="AJR1691" s="38"/>
      <c r="AJS1691" s="38"/>
      <c r="AJT1691" s="38"/>
      <c r="AJU1691" s="38"/>
      <c r="AJV1691" s="38"/>
      <c r="AJW1691" s="38"/>
      <c r="AJX1691" s="38"/>
      <c r="AJY1691" s="38"/>
      <c r="AJZ1691" s="38"/>
      <c r="AKA1691" s="38"/>
      <c r="AKB1691" s="38"/>
      <c r="AKC1691" s="38"/>
      <c r="AKD1691" s="38"/>
      <c r="AKE1691" s="38"/>
      <c r="AKF1691" s="38"/>
      <c r="AKG1691" s="38"/>
      <c r="AKH1691" s="38"/>
      <c r="AKI1691" s="38"/>
      <c r="AKJ1691" s="38"/>
      <c r="AKK1691" s="38"/>
      <c r="AKL1691" s="38"/>
      <c r="AKM1691" s="38"/>
      <c r="AKN1691" s="38"/>
      <c r="AKO1691" s="38"/>
      <c r="AKP1691" s="38"/>
      <c r="AKQ1691" s="38"/>
      <c r="AKR1691" s="38"/>
      <c r="AKS1691" s="38"/>
      <c r="AKT1691" s="38"/>
      <c r="AKU1691" s="38"/>
      <c r="AKV1691" s="38"/>
      <c r="AKW1691" s="38"/>
      <c r="AKX1691" s="38"/>
      <c r="AKY1691" s="38"/>
      <c r="AKZ1691" s="38"/>
      <c r="ALA1691" s="38"/>
      <c r="ALB1691" s="38"/>
      <c r="ALC1691" s="38"/>
      <c r="ALD1691" s="38"/>
      <c r="ALE1691" s="38"/>
      <c r="ALF1691" s="38"/>
      <c r="ALG1691" s="38"/>
      <c r="ALH1691" s="38"/>
      <c r="ALI1691" s="38"/>
      <c r="ALJ1691" s="38"/>
      <c r="ALK1691" s="38"/>
      <c r="ALL1691" s="38"/>
      <c r="ALM1691" s="38"/>
      <c r="ALN1691" s="38"/>
      <c r="ALO1691" s="38"/>
      <c r="ALP1691" s="38"/>
      <c r="ALQ1691" s="38"/>
      <c r="ALR1691" s="38"/>
      <c r="ALS1691" s="38"/>
      <c r="ALT1691" s="38"/>
      <c r="ALU1691" s="38"/>
      <c r="ALV1691" s="38"/>
      <c r="ALW1691" s="38"/>
      <c r="ALX1691" s="38"/>
      <c r="ALY1691" s="38"/>
      <c r="ALZ1691" s="38"/>
      <c r="AMA1691" s="38"/>
      <c r="AMB1691" s="38"/>
      <c r="AMC1691" s="38"/>
      <c r="AMD1691" s="38"/>
      <c r="AME1691" s="38"/>
      <c r="AMF1691" s="38"/>
      <c r="AMG1691" s="38"/>
      <c r="AMH1691" s="38"/>
      <c r="AMI1691" s="38"/>
      <c r="AMJ1691" s="38"/>
      <c r="AMK1691" s="38"/>
      <c r="AML1691" s="38"/>
      <c r="AMM1691" s="38"/>
      <c r="AMN1691" s="38"/>
      <c r="AMO1691" s="38"/>
      <c r="AMP1691" s="38"/>
      <c r="AMQ1691" s="38"/>
      <c r="AMR1691" s="38"/>
      <c r="AMS1691" s="38"/>
      <c r="AMT1691" s="38"/>
      <c r="AMU1691" s="38"/>
      <c r="AMV1691" s="38"/>
      <c r="AMW1691" s="38"/>
      <c r="AMX1691" s="38"/>
      <c r="AMY1691" s="38"/>
      <c r="AMZ1691" s="38"/>
      <c r="ANA1691" s="38"/>
      <c r="ANB1691" s="38"/>
      <c r="ANC1691" s="38"/>
      <c r="AND1691" s="38"/>
      <c r="ANE1691" s="38"/>
      <c r="ANF1691" s="38"/>
      <c r="ANG1691" s="38"/>
      <c r="ANH1691" s="38"/>
      <c r="ANI1691" s="38"/>
      <c r="ANJ1691" s="38"/>
      <c r="ANK1691" s="38"/>
      <c r="ANL1691" s="38"/>
      <c r="ANM1691" s="38"/>
      <c r="ANN1691" s="38"/>
      <c r="ANO1691" s="38"/>
      <c r="ANP1691" s="38"/>
      <c r="ANQ1691" s="38"/>
      <c r="ANR1691" s="38"/>
      <c r="ANS1691" s="38"/>
      <c r="ANT1691" s="38"/>
      <c r="ANU1691" s="38"/>
      <c r="ANV1691" s="38"/>
      <c r="ANW1691" s="38"/>
      <c r="ANX1691" s="38"/>
      <c r="ANY1691" s="38"/>
      <c r="ANZ1691" s="38"/>
      <c r="AOA1691" s="38"/>
      <c r="AOB1691" s="38"/>
      <c r="AOC1691" s="38"/>
      <c r="AOD1691" s="38"/>
      <c r="AOE1691" s="38"/>
      <c r="AOF1691" s="38"/>
      <c r="AOG1691" s="38"/>
      <c r="AOH1691" s="38"/>
      <c r="AOI1691" s="38"/>
      <c r="AOJ1691" s="38"/>
      <c r="AOK1691" s="38"/>
      <c r="AOL1691" s="38"/>
      <c r="AOM1691" s="38"/>
      <c r="AON1691" s="38"/>
      <c r="AOO1691" s="38"/>
      <c r="AOP1691" s="38"/>
      <c r="AOQ1691" s="38"/>
      <c r="AOR1691" s="38"/>
      <c r="AOS1691" s="38"/>
      <c r="AOT1691" s="38"/>
      <c r="AOU1691" s="38"/>
      <c r="AOV1691" s="38"/>
      <c r="AOW1691" s="38"/>
      <c r="AOX1691" s="38"/>
      <c r="AOY1691" s="38"/>
      <c r="AOZ1691" s="38"/>
      <c r="APA1691" s="38"/>
      <c r="APB1691" s="38"/>
      <c r="APC1691" s="38"/>
    </row>
    <row r="1692" spans="1:1095" s="36" customFormat="1" ht="14.25" customHeight="1">
      <c r="A1692" s="3" t="s">
        <v>1722</v>
      </c>
      <c r="B1692" s="36" t="s">
        <v>3969</v>
      </c>
      <c r="C1692" s="218">
        <v>4058075824119</v>
      </c>
      <c r="D1692" s="224">
        <v>4058075630529</v>
      </c>
      <c r="E1692" s="245" t="s">
        <v>1611</v>
      </c>
      <c r="F1692" s="246"/>
      <c r="G1692" s="66" t="str">
        <f>HYPERLINK("https://ledvance.com/pt/product-datasheet/247502/243780","Ficha de Produto")</f>
        <v>Ficha de Produto</v>
      </c>
      <c r="H1692" s="217">
        <v>10</v>
      </c>
      <c r="I1692" s="34" t="s">
        <v>834</v>
      </c>
      <c r="J1692" s="34" t="s">
        <v>881</v>
      </c>
      <c r="K1692" s="34" t="s">
        <v>788</v>
      </c>
      <c r="L1692" s="34" t="s">
        <v>765</v>
      </c>
      <c r="M1692" s="247">
        <v>44.8</v>
      </c>
      <c r="N1692" s="288" t="s">
        <v>722</v>
      </c>
    </row>
    <row r="1693" spans="1:1095" s="36" customFormat="1" ht="14.25" customHeight="1">
      <c r="A1693" s="3" t="s">
        <v>1722</v>
      </c>
      <c r="B1693" s="36" t="s">
        <v>3971</v>
      </c>
      <c r="C1693" s="218">
        <v>4058075824133</v>
      </c>
      <c r="D1693" s="224">
        <v>4058075543409</v>
      </c>
      <c r="E1693" s="245" t="s">
        <v>1612</v>
      </c>
      <c r="F1693" s="246"/>
      <c r="G1693" s="66" t="str">
        <f>HYPERLINK("https://ledvance.com/pt/product-datasheet/247502/243783","Ficha de Produto")</f>
        <v>Ficha de Produto</v>
      </c>
      <c r="H1693" s="217">
        <v>10</v>
      </c>
      <c r="I1693" s="34" t="s">
        <v>815</v>
      </c>
      <c r="J1693" s="34" t="s">
        <v>881</v>
      </c>
      <c r="K1693" s="34" t="s">
        <v>788</v>
      </c>
      <c r="L1693" s="34" t="s">
        <v>765</v>
      </c>
      <c r="M1693" s="247">
        <v>44.8</v>
      </c>
      <c r="N1693" s="288" t="s">
        <v>722</v>
      </c>
    </row>
    <row r="1694" spans="1:1095" s="36" customFormat="1" ht="14.25" customHeight="1">
      <c r="A1694" s="3" t="s">
        <v>1722</v>
      </c>
      <c r="B1694" s="36" t="s">
        <v>3970</v>
      </c>
      <c r="C1694" s="218">
        <v>4058075824157</v>
      </c>
      <c r="D1694" s="224">
        <v>4058075543423</v>
      </c>
      <c r="E1694" s="245" t="s">
        <v>1613</v>
      </c>
      <c r="F1694" s="246"/>
      <c r="G1694" s="66" t="str">
        <f>HYPERLINK("https://ledvance.com/pt/product-datasheet/247502/243786","Ficha de Produto")</f>
        <v>Ficha de Produto</v>
      </c>
      <c r="H1694" s="217">
        <v>10</v>
      </c>
      <c r="I1694" s="34" t="s">
        <v>815</v>
      </c>
      <c r="J1694" s="34" t="s">
        <v>881</v>
      </c>
      <c r="K1694" s="34" t="s">
        <v>788</v>
      </c>
      <c r="L1694" s="34" t="s">
        <v>765</v>
      </c>
      <c r="M1694" s="247">
        <v>44.8</v>
      </c>
      <c r="N1694" s="288" t="s">
        <v>722</v>
      </c>
    </row>
    <row r="1695" spans="1:1095" s="39" customFormat="1" ht="14.25" customHeight="1">
      <c r="A1695" s="8" t="s">
        <v>1722</v>
      </c>
      <c r="B1695" s="244" t="s">
        <v>2065</v>
      </c>
      <c r="C1695" s="8"/>
      <c r="D1695" s="7"/>
      <c r="E1695" s="230"/>
      <c r="F1695" s="7"/>
      <c r="G1695" s="68"/>
      <c r="H1695" s="230"/>
      <c r="I1695" s="230"/>
      <c r="J1695" s="230"/>
      <c r="K1695" s="230"/>
      <c r="L1695" s="230"/>
      <c r="M1695" s="248"/>
      <c r="N1695" s="284"/>
      <c r="O1695" s="38"/>
      <c r="P1695" s="38"/>
      <c r="Q1695" s="38"/>
      <c r="R1695" s="38"/>
      <c r="S1695" s="38"/>
      <c r="T1695" s="38"/>
      <c r="U1695" s="38"/>
      <c r="V1695" s="38"/>
      <c r="W1695" s="38"/>
      <c r="X1695" s="38"/>
      <c r="Y1695" s="38"/>
      <c r="Z1695" s="38"/>
      <c r="AA1695" s="38"/>
      <c r="AB1695" s="38"/>
      <c r="AC1695" s="38"/>
      <c r="AD1695" s="38"/>
      <c r="AE1695" s="38"/>
      <c r="AF1695" s="38"/>
      <c r="AG1695" s="38"/>
      <c r="AH1695" s="38"/>
      <c r="AI1695" s="38"/>
      <c r="AJ1695" s="38"/>
      <c r="AK1695" s="38"/>
      <c r="AL1695" s="38"/>
      <c r="AM1695" s="38"/>
      <c r="AN1695" s="38"/>
      <c r="AO1695" s="38"/>
      <c r="AP1695" s="38"/>
      <c r="AQ1695" s="38"/>
      <c r="AR1695" s="38"/>
      <c r="AS1695" s="38"/>
      <c r="AT1695" s="38"/>
      <c r="AU1695" s="38"/>
      <c r="AV1695" s="38"/>
      <c r="AW1695" s="38"/>
      <c r="AX1695" s="38"/>
      <c r="AY1695" s="38"/>
      <c r="AZ1695" s="38"/>
      <c r="BA1695" s="38"/>
      <c r="BB1695" s="38"/>
      <c r="BC1695" s="38"/>
      <c r="BD1695" s="38"/>
      <c r="BE1695" s="38"/>
      <c r="BF1695" s="38"/>
      <c r="BG1695" s="38"/>
      <c r="BH1695" s="38"/>
      <c r="BI1695" s="38"/>
      <c r="BJ1695" s="38"/>
      <c r="BK1695" s="38"/>
      <c r="BL1695" s="38"/>
      <c r="BM1695" s="38"/>
      <c r="BN1695" s="38"/>
      <c r="BO1695" s="38"/>
      <c r="BP1695" s="38"/>
      <c r="BQ1695" s="38"/>
      <c r="BR1695" s="38"/>
      <c r="BS1695" s="38"/>
      <c r="BT1695" s="38"/>
      <c r="BU1695" s="38"/>
      <c r="BV1695" s="38"/>
      <c r="BW1695" s="38"/>
      <c r="BX1695" s="38"/>
      <c r="BY1695" s="38"/>
      <c r="BZ1695" s="38"/>
      <c r="CA1695" s="38"/>
      <c r="CB1695" s="38"/>
      <c r="CC1695" s="38"/>
      <c r="CD1695" s="38"/>
      <c r="CE1695" s="38"/>
      <c r="CF1695" s="38"/>
      <c r="CG1695" s="38"/>
      <c r="CH1695" s="38"/>
      <c r="CI1695" s="38"/>
      <c r="CJ1695" s="38"/>
      <c r="CK1695" s="38"/>
      <c r="CL1695" s="38"/>
      <c r="CM1695" s="38"/>
      <c r="CN1695" s="38"/>
      <c r="CO1695" s="38"/>
      <c r="CP1695" s="38"/>
      <c r="CQ1695" s="38"/>
      <c r="CR1695" s="38"/>
      <c r="CS1695" s="38"/>
      <c r="CT1695" s="38"/>
      <c r="CU1695" s="38"/>
      <c r="CV1695" s="38"/>
      <c r="CW1695" s="38"/>
      <c r="CX1695" s="38"/>
      <c r="CY1695" s="38"/>
      <c r="CZ1695" s="38"/>
      <c r="DA1695" s="38"/>
      <c r="DB1695" s="38"/>
      <c r="DC1695" s="38"/>
      <c r="DD1695" s="38"/>
      <c r="DE1695" s="38"/>
      <c r="DF1695" s="38"/>
      <c r="DG1695" s="38"/>
      <c r="DH1695" s="38"/>
      <c r="DI1695" s="38"/>
      <c r="DJ1695" s="38"/>
      <c r="DK1695" s="38"/>
      <c r="DL1695" s="38"/>
      <c r="DM1695" s="38"/>
      <c r="DN1695" s="38"/>
      <c r="DO1695" s="38"/>
      <c r="DP1695" s="38"/>
      <c r="DQ1695" s="38"/>
      <c r="DR1695" s="38"/>
      <c r="DS1695" s="38"/>
      <c r="DT1695" s="38"/>
      <c r="DU1695" s="38"/>
      <c r="DV1695" s="38"/>
      <c r="DW1695" s="38"/>
      <c r="DX1695" s="38"/>
      <c r="DY1695" s="38"/>
      <c r="DZ1695" s="38"/>
      <c r="EA1695" s="38"/>
      <c r="EB1695" s="38"/>
      <c r="EC1695" s="38"/>
      <c r="ED1695" s="38"/>
      <c r="EE1695" s="38"/>
      <c r="EF1695" s="38"/>
      <c r="EG1695" s="38"/>
      <c r="EH1695" s="38"/>
      <c r="EI1695" s="38"/>
      <c r="EJ1695" s="38"/>
      <c r="EK1695" s="38"/>
      <c r="EL1695" s="38"/>
      <c r="EM1695" s="38"/>
      <c r="EN1695" s="38"/>
      <c r="EO1695" s="38"/>
      <c r="EP1695" s="38"/>
      <c r="EQ1695" s="38"/>
      <c r="ER1695" s="38"/>
      <c r="ES1695" s="38"/>
      <c r="ET1695" s="38"/>
      <c r="EU1695" s="38"/>
      <c r="EV1695" s="38"/>
      <c r="EW1695" s="38"/>
      <c r="EX1695" s="38"/>
      <c r="EY1695" s="38"/>
      <c r="EZ1695" s="38"/>
      <c r="FA1695" s="38"/>
      <c r="FB1695" s="38"/>
      <c r="FC1695" s="38"/>
      <c r="FD1695" s="38"/>
      <c r="FE1695" s="38"/>
      <c r="FF1695" s="38"/>
      <c r="FG1695" s="38"/>
      <c r="FH1695" s="38"/>
      <c r="FI1695" s="38"/>
      <c r="FJ1695" s="38"/>
      <c r="FK1695" s="38"/>
      <c r="FL1695" s="38"/>
      <c r="FM1695" s="38"/>
      <c r="FN1695" s="38"/>
      <c r="FO1695" s="38"/>
      <c r="FP1695" s="38"/>
      <c r="FQ1695" s="38"/>
      <c r="FR1695" s="38"/>
      <c r="FS1695" s="38"/>
      <c r="FT1695" s="38"/>
      <c r="FU1695" s="38"/>
      <c r="FV1695" s="38"/>
      <c r="FW1695" s="38"/>
      <c r="FX1695" s="38"/>
      <c r="FY1695" s="38"/>
      <c r="FZ1695" s="38"/>
      <c r="GA1695" s="38"/>
      <c r="GB1695" s="38"/>
      <c r="GC1695" s="38"/>
      <c r="GD1695" s="38"/>
      <c r="GE1695" s="38"/>
      <c r="GF1695" s="38"/>
      <c r="GG1695" s="38"/>
      <c r="GH1695" s="38"/>
      <c r="GI1695" s="38"/>
      <c r="GJ1695" s="38"/>
      <c r="GK1695" s="38"/>
      <c r="GL1695" s="38"/>
      <c r="GM1695" s="38"/>
      <c r="GN1695" s="38"/>
      <c r="GO1695" s="38"/>
      <c r="GP1695" s="38"/>
      <c r="GQ1695" s="38"/>
      <c r="GR1695" s="38"/>
      <c r="GS1695" s="38"/>
      <c r="GT1695" s="38"/>
      <c r="GU1695" s="38"/>
      <c r="GV1695" s="38"/>
      <c r="GW1695" s="38"/>
      <c r="GX1695" s="38"/>
      <c r="GY1695" s="38"/>
      <c r="GZ1695" s="38"/>
      <c r="HA1695" s="38"/>
      <c r="HB1695" s="38"/>
      <c r="HC1695" s="38"/>
      <c r="HD1695" s="38"/>
      <c r="HE1695" s="38"/>
      <c r="HF1695" s="38"/>
      <c r="HG1695" s="38"/>
      <c r="HH1695" s="38"/>
      <c r="HI1695" s="38"/>
      <c r="HJ1695" s="38"/>
      <c r="HK1695" s="38"/>
      <c r="HL1695" s="38"/>
      <c r="HM1695" s="38"/>
      <c r="HN1695" s="38"/>
      <c r="HO1695" s="38"/>
      <c r="HP1695" s="38"/>
      <c r="HQ1695" s="38"/>
      <c r="HR1695" s="38"/>
      <c r="HS1695" s="38"/>
      <c r="HT1695" s="38"/>
      <c r="HU1695" s="38"/>
      <c r="HV1695" s="38"/>
      <c r="HW1695" s="38"/>
      <c r="HX1695" s="38"/>
      <c r="HY1695" s="38"/>
      <c r="HZ1695" s="38"/>
      <c r="IA1695" s="38"/>
      <c r="IB1695" s="38"/>
      <c r="IC1695" s="38"/>
      <c r="ID1695" s="38"/>
      <c r="IE1695" s="38"/>
      <c r="IF1695" s="38"/>
      <c r="IG1695" s="38"/>
      <c r="IH1695" s="38"/>
      <c r="II1695" s="38"/>
      <c r="IJ1695" s="38"/>
      <c r="IK1695" s="38"/>
      <c r="IL1695" s="38"/>
      <c r="IM1695" s="38"/>
      <c r="IN1695" s="38"/>
      <c r="IO1695" s="38"/>
      <c r="IP1695" s="38"/>
      <c r="IQ1695" s="38"/>
      <c r="IR1695" s="38"/>
      <c r="IS1695" s="38"/>
      <c r="IT1695" s="38"/>
      <c r="IU1695" s="38"/>
      <c r="IV1695" s="38"/>
      <c r="IW1695" s="38"/>
      <c r="IX1695" s="38"/>
      <c r="IY1695" s="38"/>
      <c r="IZ1695" s="38"/>
      <c r="JA1695" s="38"/>
      <c r="JB1695" s="38"/>
      <c r="JC1695" s="38"/>
      <c r="JD1695" s="38"/>
      <c r="JE1695" s="38"/>
      <c r="JF1695" s="38"/>
      <c r="JG1695" s="38"/>
      <c r="JH1695" s="38"/>
      <c r="JI1695" s="38"/>
      <c r="JJ1695" s="38"/>
      <c r="JK1695" s="38"/>
      <c r="JL1695" s="38"/>
      <c r="JM1695" s="38"/>
      <c r="JN1695" s="38"/>
      <c r="JO1695" s="38"/>
      <c r="JP1695" s="38"/>
      <c r="JQ1695" s="38"/>
      <c r="JR1695" s="38"/>
      <c r="JS1695" s="38"/>
      <c r="JT1695" s="38"/>
      <c r="JU1695" s="38"/>
      <c r="JV1695" s="38"/>
      <c r="JW1695" s="38"/>
      <c r="JX1695" s="38"/>
      <c r="JY1695" s="38"/>
      <c r="JZ1695" s="38"/>
      <c r="KA1695" s="38"/>
      <c r="KB1695" s="38"/>
      <c r="KC1695" s="38"/>
      <c r="KD1695" s="38"/>
      <c r="KE1695" s="38"/>
      <c r="KF1695" s="38"/>
      <c r="KG1695" s="38"/>
      <c r="KH1695" s="38"/>
      <c r="KI1695" s="38"/>
      <c r="KJ1695" s="38"/>
      <c r="KK1695" s="38"/>
      <c r="KL1695" s="38"/>
      <c r="KM1695" s="38"/>
      <c r="KN1695" s="38"/>
      <c r="KO1695" s="38"/>
      <c r="KP1695" s="38"/>
      <c r="KQ1695" s="38"/>
      <c r="KR1695" s="38"/>
      <c r="KS1695" s="38"/>
      <c r="KT1695" s="38"/>
      <c r="KU1695" s="38"/>
      <c r="KV1695" s="38"/>
      <c r="KW1695" s="38"/>
      <c r="KX1695" s="38"/>
      <c r="KY1695" s="38"/>
      <c r="KZ1695" s="38"/>
      <c r="LA1695" s="38"/>
      <c r="LB1695" s="38"/>
      <c r="LC1695" s="38"/>
      <c r="LD1695" s="38"/>
      <c r="LE1695" s="38"/>
      <c r="LF1695" s="38"/>
      <c r="LG1695" s="38"/>
      <c r="LH1695" s="38"/>
      <c r="LI1695" s="38"/>
      <c r="LJ1695" s="38"/>
      <c r="LK1695" s="38"/>
      <c r="LL1695" s="38"/>
      <c r="LM1695" s="38"/>
      <c r="LN1695" s="38"/>
      <c r="LO1695" s="38"/>
      <c r="LP1695" s="38"/>
      <c r="LQ1695" s="38"/>
      <c r="LR1695" s="38"/>
      <c r="LS1695" s="38"/>
      <c r="LT1695" s="38"/>
      <c r="LU1695" s="38"/>
      <c r="LV1695" s="38"/>
      <c r="LW1695" s="38"/>
      <c r="LX1695" s="38"/>
      <c r="LY1695" s="38"/>
      <c r="LZ1695" s="38"/>
      <c r="MA1695" s="38"/>
      <c r="MB1695" s="38"/>
      <c r="MC1695" s="38"/>
      <c r="MD1695" s="38"/>
      <c r="ME1695" s="38"/>
      <c r="MF1695" s="38"/>
      <c r="MG1695" s="38"/>
      <c r="MH1695" s="38"/>
      <c r="MI1695" s="38"/>
      <c r="MJ1695" s="38"/>
      <c r="MK1695" s="38"/>
      <c r="ML1695" s="38"/>
      <c r="MM1695" s="38"/>
      <c r="MN1695" s="38"/>
      <c r="MO1695" s="38"/>
      <c r="MP1695" s="38"/>
      <c r="MQ1695" s="38"/>
      <c r="MR1695" s="38"/>
      <c r="MS1695" s="38"/>
      <c r="MT1695" s="38"/>
      <c r="MU1695" s="38"/>
      <c r="MV1695" s="38"/>
      <c r="MW1695" s="38"/>
      <c r="MX1695" s="38"/>
      <c r="MY1695" s="38"/>
      <c r="MZ1695" s="38"/>
      <c r="NA1695" s="38"/>
      <c r="NB1695" s="38"/>
      <c r="NC1695" s="38"/>
      <c r="ND1695" s="38"/>
      <c r="NE1695" s="38"/>
      <c r="NF1695" s="38"/>
      <c r="NG1695" s="38"/>
      <c r="NH1695" s="38"/>
      <c r="NI1695" s="38"/>
      <c r="NJ1695" s="38"/>
      <c r="NK1695" s="38"/>
      <c r="NL1695" s="38"/>
      <c r="NM1695" s="38"/>
      <c r="NN1695" s="38"/>
      <c r="NO1695" s="38"/>
      <c r="NP1695" s="38"/>
      <c r="NQ1695" s="38"/>
      <c r="NR1695" s="38"/>
      <c r="NS1695" s="38"/>
      <c r="NT1695" s="38"/>
      <c r="NU1695" s="38"/>
      <c r="NV1695" s="38"/>
      <c r="NW1695" s="38"/>
      <c r="NX1695" s="38"/>
      <c r="NY1695" s="38"/>
      <c r="NZ1695" s="38"/>
      <c r="OA1695" s="38"/>
      <c r="OB1695" s="38"/>
      <c r="OC1695" s="38"/>
      <c r="OD1695" s="38"/>
      <c r="OE1695" s="38"/>
      <c r="OF1695" s="38"/>
      <c r="OG1695" s="38"/>
      <c r="OH1695" s="38"/>
      <c r="OI1695" s="38"/>
      <c r="OJ1695" s="38"/>
      <c r="OK1695" s="38"/>
      <c r="OL1695" s="38"/>
      <c r="OM1695" s="38"/>
      <c r="ON1695" s="38"/>
      <c r="OO1695" s="38"/>
      <c r="OP1695" s="38"/>
      <c r="OQ1695" s="38"/>
      <c r="OR1695" s="38"/>
      <c r="OS1695" s="38"/>
      <c r="OT1695" s="38"/>
      <c r="OU1695" s="38"/>
      <c r="OV1695" s="38"/>
      <c r="OW1695" s="38"/>
      <c r="OX1695" s="38"/>
      <c r="OY1695" s="38"/>
      <c r="OZ1695" s="38"/>
      <c r="PA1695" s="38"/>
      <c r="PB1695" s="38"/>
      <c r="PC1695" s="38"/>
      <c r="PD1695" s="38"/>
      <c r="PE1695" s="38"/>
      <c r="PF1695" s="38"/>
      <c r="PG1695" s="38"/>
      <c r="PH1695" s="38"/>
      <c r="PI1695" s="38"/>
      <c r="PJ1695" s="38"/>
      <c r="PK1695" s="38"/>
      <c r="PL1695" s="38"/>
      <c r="PM1695" s="38"/>
      <c r="PN1695" s="38"/>
      <c r="PO1695" s="38"/>
      <c r="PP1695" s="38"/>
      <c r="PQ1695" s="38"/>
      <c r="PR1695" s="38"/>
      <c r="PS1695" s="38"/>
      <c r="PT1695" s="38"/>
      <c r="PU1695" s="38"/>
      <c r="PV1695" s="38"/>
      <c r="PW1695" s="38"/>
      <c r="PX1695" s="38"/>
      <c r="PY1695" s="38"/>
      <c r="PZ1695" s="38"/>
      <c r="QA1695" s="38"/>
      <c r="QB1695" s="38"/>
      <c r="QC1695" s="38"/>
      <c r="QD1695" s="38"/>
      <c r="QE1695" s="38"/>
      <c r="QF1695" s="38"/>
      <c r="QG1695" s="38"/>
      <c r="QH1695" s="38"/>
      <c r="QI1695" s="38"/>
      <c r="QJ1695" s="38"/>
      <c r="QK1695" s="38"/>
      <c r="QL1695" s="38"/>
      <c r="QM1695" s="38"/>
      <c r="QN1695" s="38"/>
      <c r="QO1695" s="38"/>
      <c r="QP1695" s="38"/>
      <c r="QQ1695" s="38"/>
      <c r="QR1695" s="38"/>
      <c r="QS1695" s="38"/>
      <c r="QT1695" s="38"/>
      <c r="QU1695" s="38"/>
      <c r="QV1695" s="38"/>
      <c r="QW1695" s="38"/>
      <c r="QX1695" s="38"/>
      <c r="QY1695" s="38"/>
      <c r="QZ1695" s="38"/>
      <c r="RA1695" s="38"/>
      <c r="RB1695" s="38"/>
      <c r="RC1695" s="38"/>
      <c r="RD1695" s="38"/>
      <c r="RE1695" s="38"/>
      <c r="RF1695" s="38"/>
      <c r="RG1695" s="38"/>
      <c r="RH1695" s="38"/>
      <c r="RI1695" s="38"/>
      <c r="RJ1695" s="38"/>
      <c r="RK1695" s="38"/>
      <c r="RL1695" s="38"/>
      <c r="RM1695" s="38"/>
      <c r="RN1695" s="38"/>
      <c r="RO1695" s="38"/>
      <c r="RP1695" s="38"/>
      <c r="RQ1695" s="38"/>
      <c r="RR1695" s="38"/>
      <c r="RS1695" s="38"/>
      <c r="RT1695" s="38"/>
      <c r="RU1695" s="38"/>
      <c r="RV1695" s="38"/>
      <c r="RW1695" s="38"/>
      <c r="RX1695" s="38"/>
      <c r="RY1695" s="38"/>
      <c r="RZ1695" s="38"/>
      <c r="SA1695" s="38"/>
      <c r="SB1695" s="38"/>
      <c r="SC1695" s="38"/>
      <c r="SD1695" s="38"/>
      <c r="SE1695" s="38"/>
      <c r="SF1695" s="38"/>
      <c r="SG1695" s="38"/>
      <c r="SH1695" s="38"/>
      <c r="SI1695" s="38"/>
      <c r="SJ1695" s="38"/>
      <c r="SK1695" s="38"/>
      <c r="SL1695" s="38"/>
      <c r="SM1695" s="38"/>
      <c r="SN1695" s="38"/>
      <c r="SO1695" s="38"/>
      <c r="SP1695" s="38"/>
      <c r="SQ1695" s="38"/>
      <c r="SR1695" s="38"/>
      <c r="SS1695" s="38"/>
      <c r="ST1695" s="38"/>
      <c r="SU1695" s="38"/>
      <c r="SV1695" s="38"/>
      <c r="SW1695" s="38"/>
      <c r="SX1695" s="38"/>
      <c r="SY1695" s="38"/>
      <c r="SZ1695" s="38"/>
      <c r="TA1695" s="38"/>
      <c r="TB1695" s="38"/>
      <c r="TC1695" s="38"/>
      <c r="TD1695" s="38"/>
      <c r="TE1695" s="38"/>
      <c r="TF1695" s="38"/>
      <c r="TG1695" s="38"/>
      <c r="TH1695" s="38"/>
      <c r="TI1695" s="38"/>
      <c r="TJ1695" s="38"/>
      <c r="TK1695" s="38"/>
      <c r="TL1695" s="38"/>
      <c r="TM1695" s="38"/>
      <c r="TN1695" s="38"/>
      <c r="TO1695" s="38"/>
      <c r="TP1695" s="38"/>
      <c r="TQ1695" s="38"/>
      <c r="TR1695" s="38"/>
      <c r="TS1695" s="38"/>
      <c r="TT1695" s="38"/>
      <c r="TU1695" s="38"/>
      <c r="TV1695" s="38"/>
      <c r="TW1695" s="38"/>
      <c r="TX1695" s="38"/>
      <c r="TY1695" s="38"/>
      <c r="TZ1695" s="38"/>
      <c r="UA1695" s="38"/>
      <c r="UB1695" s="38"/>
      <c r="UC1695" s="38"/>
      <c r="UD1695" s="38"/>
      <c r="UE1695" s="38"/>
      <c r="UF1695" s="38"/>
      <c r="UG1695" s="38"/>
      <c r="UH1695" s="38"/>
      <c r="UI1695" s="38"/>
      <c r="UJ1695" s="38"/>
      <c r="UK1695" s="38"/>
      <c r="UL1695" s="38"/>
      <c r="UM1695" s="38"/>
      <c r="UN1695" s="38"/>
      <c r="UO1695" s="38"/>
      <c r="UP1695" s="38"/>
      <c r="UQ1695" s="38"/>
      <c r="UR1695" s="38"/>
      <c r="US1695" s="38"/>
      <c r="UT1695" s="38"/>
      <c r="UU1695" s="38"/>
      <c r="UV1695" s="38"/>
      <c r="UW1695" s="38"/>
      <c r="UX1695" s="38"/>
      <c r="UY1695" s="38"/>
      <c r="UZ1695" s="38"/>
      <c r="VA1695" s="38"/>
      <c r="VB1695" s="38"/>
      <c r="VC1695" s="38"/>
      <c r="VD1695" s="38"/>
      <c r="VE1695" s="38"/>
      <c r="VF1695" s="38"/>
      <c r="VG1695" s="38"/>
      <c r="VH1695" s="38"/>
      <c r="VI1695" s="38"/>
      <c r="VJ1695" s="38"/>
      <c r="VK1695" s="38"/>
      <c r="VL1695" s="38"/>
      <c r="VM1695" s="38"/>
      <c r="VN1695" s="38"/>
      <c r="VO1695" s="38"/>
      <c r="VP1695" s="38"/>
      <c r="VQ1695" s="38"/>
      <c r="VR1695" s="38"/>
      <c r="VS1695" s="38"/>
      <c r="VT1695" s="38"/>
      <c r="VU1695" s="38"/>
      <c r="VV1695" s="38"/>
      <c r="VW1695" s="38"/>
      <c r="VX1695" s="38"/>
      <c r="VY1695" s="38"/>
      <c r="VZ1695" s="38"/>
      <c r="WA1695" s="38"/>
      <c r="WB1695" s="38"/>
      <c r="WC1695" s="38"/>
      <c r="WD1695" s="38"/>
      <c r="WE1695" s="38"/>
      <c r="WF1695" s="38"/>
      <c r="WG1695" s="38"/>
      <c r="WH1695" s="38"/>
      <c r="WI1695" s="38"/>
      <c r="WJ1695" s="38"/>
      <c r="WK1695" s="38"/>
      <c r="WL1695" s="38"/>
      <c r="WM1695" s="38"/>
      <c r="WN1695" s="38"/>
      <c r="WO1695" s="38"/>
      <c r="WP1695" s="38"/>
      <c r="WQ1695" s="38"/>
      <c r="WR1695" s="38"/>
      <c r="WS1695" s="38"/>
      <c r="WT1695" s="38"/>
      <c r="WU1695" s="38"/>
      <c r="WV1695" s="38"/>
      <c r="WW1695" s="38"/>
      <c r="WX1695" s="38"/>
      <c r="WY1695" s="38"/>
      <c r="WZ1695" s="38"/>
      <c r="XA1695" s="38"/>
      <c r="XB1695" s="38"/>
      <c r="XC1695" s="38"/>
      <c r="XD1695" s="38"/>
      <c r="XE1695" s="38"/>
      <c r="XF1695" s="38"/>
      <c r="XG1695" s="38"/>
      <c r="XH1695" s="38"/>
      <c r="XI1695" s="38"/>
      <c r="XJ1695" s="38"/>
      <c r="XK1695" s="38"/>
      <c r="XL1695" s="38"/>
      <c r="XM1695" s="38"/>
      <c r="XN1695" s="38"/>
      <c r="XO1695" s="38"/>
      <c r="XP1695" s="38"/>
      <c r="XQ1695" s="38"/>
      <c r="XR1695" s="38"/>
      <c r="XS1695" s="38"/>
      <c r="XT1695" s="38"/>
      <c r="XU1695" s="38"/>
      <c r="XV1695" s="38"/>
      <c r="XW1695" s="38"/>
      <c r="XX1695" s="38"/>
      <c r="XY1695" s="38"/>
      <c r="XZ1695" s="38"/>
      <c r="YA1695" s="38"/>
      <c r="YB1695" s="38"/>
      <c r="YC1695" s="38"/>
      <c r="YD1695" s="38"/>
      <c r="YE1695" s="38"/>
      <c r="YF1695" s="38"/>
      <c r="YG1695" s="38"/>
      <c r="YH1695" s="38"/>
      <c r="YI1695" s="38"/>
      <c r="YJ1695" s="38"/>
      <c r="YK1695" s="38"/>
      <c r="YL1695" s="38"/>
      <c r="YM1695" s="38"/>
      <c r="YN1695" s="38"/>
      <c r="YO1695" s="38"/>
      <c r="YP1695" s="38"/>
      <c r="YQ1695" s="38"/>
      <c r="YR1695" s="38"/>
      <c r="YS1695" s="38"/>
      <c r="YT1695" s="38"/>
      <c r="YU1695" s="38"/>
      <c r="YV1695" s="38"/>
      <c r="YW1695" s="38"/>
      <c r="YX1695" s="38"/>
      <c r="YY1695" s="38"/>
      <c r="YZ1695" s="38"/>
      <c r="ZA1695" s="38"/>
      <c r="ZB1695" s="38"/>
      <c r="ZC1695" s="38"/>
      <c r="ZD1695" s="38"/>
      <c r="ZE1695" s="38"/>
      <c r="ZF1695" s="38"/>
      <c r="ZG1695" s="38"/>
      <c r="ZH1695" s="38"/>
      <c r="ZI1695" s="38"/>
      <c r="ZJ1695" s="38"/>
      <c r="ZK1695" s="38"/>
      <c r="ZL1695" s="38"/>
      <c r="ZM1695" s="38"/>
      <c r="ZN1695" s="38"/>
      <c r="ZO1695" s="38"/>
      <c r="ZP1695" s="38"/>
      <c r="ZQ1695" s="38"/>
      <c r="ZR1695" s="38"/>
      <c r="ZS1695" s="38"/>
      <c r="ZT1695" s="38"/>
      <c r="ZU1695" s="38"/>
      <c r="ZV1695" s="38"/>
      <c r="ZW1695" s="38"/>
      <c r="ZX1695" s="38"/>
      <c r="ZY1695" s="38"/>
      <c r="ZZ1695" s="38"/>
      <c r="AAA1695" s="38"/>
      <c r="AAB1695" s="38"/>
      <c r="AAC1695" s="38"/>
      <c r="AAD1695" s="38"/>
      <c r="AAE1695" s="38"/>
      <c r="AAF1695" s="38"/>
      <c r="AAG1695" s="38"/>
      <c r="AAH1695" s="38"/>
      <c r="AAI1695" s="38"/>
      <c r="AAJ1695" s="38"/>
      <c r="AAK1695" s="38"/>
      <c r="AAL1695" s="38"/>
      <c r="AAM1695" s="38"/>
      <c r="AAN1695" s="38"/>
      <c r="AAO1695" s="38"/>
      <c r="AAP1695" s="38"/>
      <c r="AAQ1695" s="38"/>
      <c r="AAR1695" s="38"/>
      <c r="AAS1695" s="38"/>
      <c r="AAT1695" s="38"/>
      <c r="AAU1695" s="38"/>
      <c r="AAV1695" s="38"/>
      <c r="AAW1695" s="38"/>
      <c r="AAX1695" s="38"/>
      <c r="AAY1695" s="38"/>
      <c r="AAZ1695" s="38"/>
      <c r="ABA1695" s="38"/>
      <c r="ABB1695" s="38"/>
      <c r="ABC1695" s="38"/>
      <c r="ABD1695" s="38"/>
      <c r="ABE1695" s="38"/>
      <c r="ABF1695" s="38"/>
      <c r="ABG1695" s="38"/>
      <c r="ABH1695" s="38"/>
      <c r="ABI1695" s="38"/>
      <c r="ABJ1695" s="38"/>
      <c r="ABK1695" s="38"/>
      <c r="ABL1695" s="38"/>
      <c r="ABM1695" s="38"/>
      <c r="ABN1695" s="38"/>
      <c r="ABO1695" s="38"/>
      <c r="ABP1695" s="38"/>
      <c r="ABQ1695" s="38"/>
      <c r="ABR1695" s="38"/>
      <c r="ABS1695" s="38"/>
      <c r="ABT1695" s="38"/>
      <c r="ABU1695" s="38"/>
      <c r="ABV1695" s="38"/>
      <c r="ABW1695" s="38"/>
      <c r="ABX1695" s="38"/>
      <c r="ABY1695" s="38"/>
      <c r="ABZ1695" s="38"/>
      <c r="ACA1695" s="38"/>
      <c r="ACB1695" s="38"/>
      <c r="ACC1695" s="38"/>
      <c r="ACD1695" s="38"/>
      <c r="ACE1695" s="38"/>
      <c r="ACF1695" s="38"/>
      <c r="ACG1695" s="38"/>
      <c r="ACH1695" s="38"/>
      <c r="ACI1695" s="38"/>
      <c r="ACJ1695" s="38"/>
      <c r="ACK1695" s="38"/>
      <c r="ACL1695" s="38"/>
      <c r="ACM1695" s="38"/>
      <c r="ACN1695" s="38"/>
      <c r="ACO1695" s="38"/>
      <c r="ACP1695" s="38"/>
      <c r="ACQ1695" s="38"/>
      <c r="ACR1695" s="38"/>
      <c r="ACS1695" s="38"/>
      <c r="ACT1695" s="38"/>
      <c r="ACU1695" s="38"/>
      <c r="ACV1695" s="38"/>
      <c r="ACW1695" s="38"/>
      <c r="ACX1695" s="38"/>
      <c r="ACY1695" s="38"/>
      <c r="ACZ1695" s="38"/>
      <c r="ADA1695" s="38"/>
      <c r="ADB1695" s="38"/>
      <c r="ADC1695" s="38"/>
      <c r="ADD1695" s="38"/>
      <c r="ADE1695" s="38"/>
      <c r="ADF1695" s="38"/>
      <c r="ADG1695" s="38"/>
      <c r="ADH1695" s="38"/>
      <c r="ADI1695" s="38"/>
      <c r="ADJ1695" s="38"/>
      <c r="ADK1695" s="38"/>
      <c r="ADL1695" s="38"/>
      <c r="ADM1695" s="38"/>
      <c r="ADN1695" s="38"/>
      <c r="ADO1695" s="38"/>
      <c r="ADP1695" s="38"/>
      <c r="ADQ1695" s="38"/>
      <c r="ADR1695" s="38"/>
      <c r="ADS1695" s="38"/>
      <c r="ADT1695" s="38"/>
      <c r="ADU1695" s="38"/>
      <c r="ADV1695" s="38"/>
      <c r="ADW1695" s="38"/>
      <c r="ADX1695" s="38"/>
      <c r="ADY1695" s="38"/>
      <c r="ADZ1695" s="38"/>
      <c r="AEA1695" s="38"/>
      <c r="AEB1695" s="38"/>
      <c r="AEC1695" s="38"/>
      <c r="AED1695" s="38"/>
      <c r="AEE1695" s="38"/>
      <c r="AEF1695" s="38"/>
      <c r="AEG1695" s="38"/>
      <c r="AEH1695" s="38"/>
      <c r="AEI1695" s="38"/>
      <c r="AEJ1695" s="38"/>
      <c r="AEK1695" s="38"/>
      <c r="AEL1695" s="38"/>
      <c r="AEM1695" s="38"/>
      <c r="AEN1695" s="38"/>
      <c r="AEO1695" s="38"/>
      <c r="AEP1695" s="38"/>
      <c r="AEQ1695" s="38"/>
      <c r="AER1695" s="38"/>
      <c r="AES1695" s="38"/>
      <c r="AET1695" s="38"/>
      <c r="AEU1695" s="38"/>
      <c r="AEV1695" s="38"/>
      <c r="AEW1695" s="38"/>
      <c r="AEX1695" s="38"/>
      <c r="AEY1695" s="38"/>
      <c r="AEZ1695" s="38"/>
      <c r="AFA1695" s="38"/>
      <c r="AFB1695" s="38"/>
      <c r="AFC1695" s="38"/>
      <c r="AFD1695" s="38"/>
      <c r="AFE1695" s="38"/>
      <c r="AFF1695" s="38"/>
      <c r="AFG1695" s="38"/>
      <c r="AFH1695" s="38"/>
      <c r="AFI1695" s="38"/>
      <c r="AFJ1695" s="38"/>
      <c r="AFK1695" s="38"/>
      <c r="AFL1695" s="38"/>
      <c r="AFM1695" s="38"/>
      <c r="AFN1695" s="38"/>
      <c r="AFO1695" s="38"/>
      <c r="AFP1695" s="38"/>
      <c r="AFQ1695" s="38"/>
      <c r="AFR1695" s="38"/>
      <c r="AFS1695" s="38"/>
      <c r="AFT1695" s="38"/>
      <c r="AFU1695" s="38"/>
      <c r="AFV1695" s="38"/>
      <c r="AFW1695" s="38"/>
      <c r="AFX1695" s="38"/>
      <c r="AFY1695" s="38"/>
      <c r="AFZ1695" s="38"/>
      <c r="AGA1695" s="38"/>
      <c r="AGB1695" s="38"/>
      <c r="AGC1695" s="38"/>
      <c r="AGD1695" s="38"/>
      <c r="AGE1695" s="38"/>
      <c r="AGF1695" s="38"/>
      <c r="AGG1695" s="38"/>
      <c r="AGH1695" s="38"/>
      <c r="AGI1695" s="38"/>
      <c r="AGJ1695" s="38"/>
      <c r="AGK1695" s="38"/>
      <c r="AGL1695" s="38"/>
      <c r="AGM1695" s="38"/>
      <c r="AGN1695" s="38"/>
      <c r="AGO1695" s="38"/>
      <c r="AGP1695" s="38"/>
      <c r="AGQ1695" s="38"/>
      <c r="AGR1695" s="38"/>
      <c r="AGS1695" s="38"/>
      <c r="AGT1695" s="38"/>
      <c r="AGU1695" s="38"/>
      <c r="AGV1695" s="38"/>
      <c r="AGW1695" s="38"/>
      <c r="AGX1695" s="38"/>
      <c r="AGY1695" s="38"/>
      <c r="AGZ1695" s="38"/>
      <c r="AHA1695" s="38"/>
      <c r="AHB1695" s="38"/>
      <c r="AHC1695" s="38"/>
      <c r="AHD1695" s="38"/>
      <c r="AHE1695" s="38"/>
      <c r="AHF1695" s="38"/>
      <c r="AHG1695" s="38"/>
      <c r="AHH1695" s="38"/>
      <c r="AHI1695" s="38"/>
      <c r="AHJ1695" s="38"/>
      <c r="AHK1695" s="38"/>
      <c r="AHL1695" s="38"/>
      <c r="AHM1695" s="38"/>
      <c r="AHN1695" s="38"/>
      <c r="AHO1695" s="38"/>
      <c r="AHP1695" s="38"/>
      <c r="AHQ1695" s="38"/>
      <c r="AHR1695" s="38"/>
      <c r="AHS1695" s="38"/>
      <c r="AHT1695" s="38"/>
      <c r="AHU1695" s="38"/>
      <c r="AHV1695" s="38"/>
      <c r="AHW1695" s="38"/>
      <c r="AHX1695" s="38"/>
      <c r="AHY1695" s="38"/>
      <c r="AHZ1695" s="38"/>
      <c r="AIA1695" s="38"/>
      <c r="AIB1695" s="38"/>
      <c r="AIC1695" s="38"/>
      <c r="AID1695" s="38"/>
      <c r="AIE1695" s="38"/>
      <c r="AIF1695" s="38"/>
      <c r="AIG1695" s="38"/>
      <c r="AIH1695" s="38"/>
      <c r="AII1695" s="38"/>
      <c r="AIJ1695" s="38"/>
      <c r="AIK1695" s="38"/>
      <c r="AIL1695" s="38"/>
      <c r="AIM1695" s="38"/>
      <c r="AIN1695" s="38"/>
      <c r="AIO1695" s="38"/>
      <c r="AIP1695" s="38"/>
      <c r="AIQ1695" s="38"/>
      <c r="AIR1695" s="38"/>
      <c r="AIS1695" s="38"/>
      <c r="AIT1695" s="38"/>
      <c r="AIU1695" s="38"/>
      <c r="AIV1695" s="38"/>
      <c r="AIW1695" s="38"/>
      <c r="AIX1695" s="38"/>
      <c r="AIY1695" s="38"/>
      <c r="AIZ1695" s="38"/>
      <c r="AJA1695" s="38"/>
      <c r="AJB1695" s="38"/>
      <c r="AJC1695" s="38"/>
      <c r="AJD1695" s="38"/>
      <c r="AJE1695" s="38"/>
      <c r="AJF1695" s="38"/>
      <c r="AJG1695" s="38"/>
      <c r="AJH1695" s="38"/>
      <c r="AJI1695" s="38"/>
      <c r="AJJ1695" s="38"/>
      <c r="AJK1695" s="38"/>
      <c r="AJL1695" s="38"/>
      <c r="AJM1695" s="38"/>
      <c r="AJN1695" s="38"/>
      <c r="AJO1695" s="38"/>
      <c r="AJP1695" s="38"/>
      <c r="AJQ1695" s="38"/>
      <c r="AJR1695" s="38"/>
      <c r="AJS1695" s="38"/>
      <c r="AJT1695" s="38"/>
      <c r="AJU1695" s="38"/>
      <c r="AJV1695" s="38"/>
      <c r="AJW1695" s="38"/>
      <c r="AJX1695" s="38"/>
      <c r="AJY1695" s="38"/>
      <c r="AJZ1695" s="38"/>
      <c r="AKA1695" s="38"/>
      <c r="AKB1695" s="38"/>
      <c r="AKC1695" s="38"/>
      <c r="AKD1695" s="38"/>
      <c r="AKE1695" s="38"/>
      <c r="AKF1695" s="38"/>
      <c r="AKG1695" s="38"/>
      <c r="AKH1695" s="38"/>
      <c r="AKI1695" s="38"/>
      <c r="AKJ1695" s="38"/>
      <c r="AKK1695" s="38"/>
      <c r="AKL1695" s="38"/>
      <c r="AKM1695" s="38"/>
      <c r="AKN1695" s="38"/>
      <c r="AKO1695" s="38"/>
      <c r="AKP1695" s="38"/>
      <c r="AKQ1695" s="38"/>
      <c r="AKR1695" s="38"/>
      <c r="AKS1695" s="38"/>
      <c r="AKT1695" s="38"/>
      <c r="AKU1695" s="38"/>
      <c r="AKV1695" s="38"/>
      <c r="AKW1695" s="38"/>
      <c r="AKX1695" s="38"/>
      <c r="AKY1695" s="38"/>
      <c r="AKZ1695" s="38"/>
      <c r="ALA1695" s="38"/>
      <c r="ALB1695" s="38"/>
      <c r="ALC1695" s="38"/>
      <c r="ALD1695" s="38"/>
      <c r="ALE1695" s="38"/>
      <c r="ALF1695" s="38"/>
      <c r="ALG1695" s="38"/>
      <c r="ALH1695" s="38"/>
      <c r="ALI1695" s="38"/>
      <c r="ALJ1695" s="38"/>
      <c r="ALK1695" s="38"/>
      <c r="ALL1695" s="38"/>
      <c r="ALM1695" s="38"/>
      <c r="ALN1695" s="38"/>
      <c r="ALO1695" s="38"/>
      <c r="ALP1695" s="38"/>
      <c r="ALQ1695" s="38"/>
      <c r="ALR1695" s="38"/>
      <c r="ALS1695" s="38"/>
      <c r="ALT1695" s="38"/>
      <c r="ALU1695" s="38"/>
      <c r="ALV1695" s="38"/>
      <c r="ALW1695" s="38"/>
      <c r="ALX1695" s="38"/>
      <c r="ALY1695" s="38"/>
      <c r="ALZ1695" s="38"/>
      <c r="AMA1695" s="38"/>
      <c r="AMB1695" s="38"/>
      <c r="AMC1695" s="38"/>
      <c r="AMD1695" s="38"/>
      <c r="AME1695" s="38"/>
      <c r="AMF1695" s="38"/>
      <c r="AMG1695" s="38"/>
      <c r="AMH1695" s="38"/>
      <c r="AMI1695" s="38"/>
      <c r="AMJ1695" s="38"/>
      <c r="AMK1695" s="38"/>
      <c r="AML1695" s="38"/>
      <c r="AMM1695" s="38"/>
      <c r="AMN1695" s="38"/>
      <c r="AMO1695" s="38"/>
      <c r="AMP1695" s="38"/>
      <c r="AMQ1695" s="38"/>
      <c r="AMR1695" s="38"/>
      <c r="AMS1695" s="38"/>
      <c r="AMT1695" s="38"/>
      <c r="AMU1695" s="38"/>
      <c r="AMV1695" s="38"/>
      <c r="AMW1695" s="38"/>
      <c r="AMX1695" s="38"/>
      <c r="AMY1695" s="38"/>
      <c r="AMZ1695" s="38"/>
      <c r="ANA1695" s="38"/>
      <c r="ANB1695" s="38"/>
      <c r="ANC1695" s="38"/>
      <c r="AND1695" s="38"/>
      <c r="ANE1695" s="38"/>
      <c r="ANF1695" s="38"/>
      <c r="ANG1695" s="38"/>
      <c r="ANH1695" s="38"/>
      <c r="ANI1695" s="38"/>
      <c r="ANJ1695" s="38"/>
      <c r="ANK1695" s="38"/>
      <c r="ANL1695" s="38"/>
      <c r="ANM1695" s="38"/>
      <c r="ANN1695" s="38"/>
      <c r="ANO1695" s="38"/>
      <c r="ANP1695" s="38"/>
      <c r="ANQ1695" s="38"/>
      <c r="ANR1695" s="38"/>
      <c r="ANS1695" s="38"/>
      <c r="ANT1695" s="38"/>
      <c r="ANU1695" s="38"/>
      <c r="ANV1695" s="38"/>
      <c r="ANW1695" s="38"/>
      <c r="ANX1695" s="38"/>
      <c r="ANY1695" s="38"/>
      <c r="ANZ1695" s="38"/>
      <c r="AOA1695" s="38"/>
      <c r="AOB1695" s="38"/>
      <c r="AOC1695" s="38"/>
      <c r="AOD1695" s="38"/>
      <c r="AOE1695" s="38"/>
      <c r="AOF1695" s="38"/>
      <c r="AOG1695" s="38"/>
      <c r="AOH1695" s="38"/>
      <c r="AOI1695" s="38"/>
      <c r="AOJ1695" s="38"/>
      <c r="AOK1695" s="38"/>
      <c r="AOL1695" s="38"/>
      <c r="AOM1695" s="38"/>
      <c r="AON1695" s="38"/>
      <c r="AOO1695" s="38"/>
      <c r="AOP1695" s="38"/>
      <c r="AOQ1695" s="38"/>
      <c r="AOR1695" s="38"/>
      <c r="AOS1695" s="38"/>
      <c r="AOT1695" s="38"/>
      <c r="AOU1695" s="38"/>
      <c r="AOV1695" s="38"/>
      <c r="AOW1695" s="38"/>
      <c r="AOX1695" s="38"/>
      <c r="AOY1695" s="38"/>
      <c r="AOZ1695" s="38"/>
      <c r="APA1695" s="38"/>
      <c r="APB1695" s="38"/>
      <c r="APC1695" s="38"/>
    </row>
    <row r="1696" spans="1:1095" s="36" customFormat="1" ht="14.25" customHeight="1">
      <c r="A1696" s="3" t="s">
        <v>1722</v>
      </c>
      <c r="B1696" s="36" t="s">
        <v>3972</v>
      </c>
      <c r="C1696" s="218">
        <v>4058075824171</v>
      </c>
      <c r="D1696" s="224">
        <v>4058075630543</v>
      </c>
      <c r="E1696" s="245" t="s">
        <v>1614</v>
      </c>
      <c r="F1696" s="246"/>
      <c r="G1696" s="66" t="str">
        <f>HYPERLINK("https://ledvance.com/pt/product-datasheet/247502/243789","Ficha de Produto")</f>
        <v>Ficha de Produto</v>
      </c>
      <c r="H1696" s="217">
        <v>10</v>
      </c>
      <c r="I1696" s="34" t="s">
        <v>834</v>
      </c>
      <c r="J1696" s="34" t="s">
        <v>881</v>
      </c>
      <c r="K1696" s="34" t="s">
        <v>788</v>
      </c>
      <c r="L1696" s="34" t="s">
        <v>765</v>
      </c>
      <c r="M1696" s="247">
        <v>41.800000000000004</v>
      </c>
      <c r="N1696" s="288" t="s">
        <v>722</v>
      </c>
    </row>
    <row r="1697" spans="1:1095" s="36" customFormat="1" ht="14.25" customHeight="1">
      <c r="A1697" s="3" t="s">
        <v>1722</v>
      </c>
      <c r="B1697" s="36" t="s">
        <v>3973</v>
      </c>
      <c r="C1697" s="218">
        <v>4058075824195</v>
      </c>
      <c r="D1697" s="224">
        <v>4058075543447</v>
      </c>
      <c r="E1697" s="245" t="s">
        <v>1615</v>
      </c>
      <c r="F1697" s="246"/>
      <c r="G1697" s="66" t="str">
        <f>HYPERLINK("https://ledvance.com/pt/product-datasheet/247502/243792","Ficha de Produto")</f>
        <v>Ficha de Produto</v>
      </c>
      <c r="H1697" s="217">
        <v>10</v>
      </c>
      <c r="I1697" s="34" t="s">
        <v>815</v>
      </c>
      <c r="J1697" s="34" t="s">
        <v>881</v>
      </c>
      <c r="K1697" s="34" t="s">
        <v>788</v>
      </c>
      <c r="L1697" s="34" t="s">
        <v>765</v>
      </c>
      <c r="M1697" s="247">
        <v>41.800000000000004</v>
      </c>
      <c r="N1697" s="288" t="s">
        <v>722</v>
      </c>
    </row>
    <row r="1698" spans="1:1095" s="36" customFormat="1" ht="14.25" customHeight="1">
      <c r="A1698" s="3" t="s">
        <v>1722</v>
      </c>
      <c r="B1698" s="36" t="s">
        <v>3974</v>
      </c>
      <c r="C1698" s="218">
        <v>4058075824218</v>
      </c>
      <c r="D1698" s="224">
        <v>4058075543461</v>
      </c>
      <c r="E1698" s="245" t="s">
        <v>1616</v>
      </c>
      <c r="F1698" s="246"/>
      <c r="G1698" s="66" t="str">
        <f>HYPERLINK("https://ledvance.com/pt/product-datasheet/247502/243795","Ficha de Produto")</f>
        <v>Ficha de Produto</v>
      </c>
      <c r="H1698" s="217">
        <v>10</v>
      </c>
      <c r="I1698" s="34" t="s">
        <v>815</v>
      </c>
      <c r="J1698" s="34" t="s">
        <v>881</v>
      </c>
      <c r="K1698" s="34" t="s">
        <v>788</v>
      </c>
      <c r="L1698" s="34" t="s">
        <v>765</v>
      </c>
      <c r="M1698" s="247">
        <v>41.800000000000004</v>
      </c>
      <c r="N1698" s="288" t="s">
        <v>722</v>
      </c>
    </row>
    <row r="1699" spans="1:1095" s="39" customFormat="1" ht="14.25" customHeight="1">
      <c r="A1699" s="8" t="s">
        <v>1722</v>
      </c>
      <c r="B1699" s="244" t="s">
        <v>2066</v>
      </c>
      <c r="C1699" s="8"/>
      <c r="D1699" s="7"/>
      <c r="E1699" s="230"/>
      <c r="F1699" s="7"/>
      <c r="G1699" s="68"/>
      <c r="H1699" s="230"/>
      <c r="I1699" s="230"/>
      <c r="J1699" s="230"/>
      <c r="K1699" s="230"/>
      <c r="L1699" s="230"/>
      <c r="M1699" s="248"/>
      <c r="N1699" s="284"/>
      <c r="O1699" s="38"/>
      <c r="P1699" s="38"/>
      <c r="Q1699" s="38"/>
      <c r="R1699" s="38"/>
      <c r="S1699" s="38"/>
      <c r="T1699" s="38"/>
      <c r="U1699" s="38"/>
      <c r="V1699" s="38"/>
      <c r="W1699" s="38"/>
      <c r="X1699" s="38"/>
      <c r="Y1699" s="38"/>
      <c r="Z1699" s="38"/>
      <c r="AA1699" s="38"/>
      <c r="AB1699" s="38"/>
      <c r="AC1699" s="38"/>
      <c r="AD1699" s="38"/>
      <c r="AE1699" s="38"/>
      <c r="AF1699" s="38"/>
      <c r="AG1699" s="38"/>
      <c r="AH1699" s="38"/>
      <c r="AI1699" s="38"/>
      <c r="AJ1699" s="38"/>
      <c r="AK1699" s="38"/>
      <c r="AL1699" s="38"/>
      <c r="AM1699" s="38"/>
      <c r="AN1699" s="38"/>
      <c r="AO1699" s="38"/>
      <c r="AP1699" s="38"/>
      <c r="AQ1699" s="38"/>
      <c r="AR1699" s="38"/>
      <c r="AS1699" s="38"/>
      <c r="AT1699" s="38"/>
      <c r="AU1699" s="38"/>
      <c r="AV1699" s="38"/>
      <c r="AW1699" s="38"/>
      <c r="AX1699" s="38"/>
      <c r="AY1699" s="38"/>
      <c r="AZ1699" s="38"/>
      <c r="BA1699" s="38"/>
      <c r="BB1699" s="38"/>
      <c r="BC1699" s="38"/>
      <c r="BD1699" s="38"/>
      <c r="BE1699" s="38"/>
      <c r="BF1699" s="38"/>
      <c r="BG1699" s="38"/>
      <c r="BH1699" s="38"/>
      <c r="BI1699" s="38"/>
      <c r="BJ1699" s="38"/>
      <c r="BK1699" s="38"/>
      <c r="BL1699" s="38"/>
      <c r="BM1699" s="38"/>
      <c r="BN1699" s="38"/>
      <c r="BO1699" s="38"/>
      <c r="BP1699" s="38"/>
      <c r="BQ1699" s="38"/>
      <c r="BR1699" s="38"/>
      <c r="BS1699" s="38"/>
      <c r="BT1699" s="38"/>
      <c r="BU1699" s="38"/>
      <c r="BV1699" s="38"/>
      <c r="BW1699" s="38"/>
      <c r="BX1699" s="38"/>
      <c r="BY1699" s="38"/>
      <c r="BZ1699" s="38"/>
      <c r="CA1699" s="38"/>
      <c r="CB1699" s="38"/>
      <c r="CC1699" s="38"/>
      <c r="CD1699" s="38"/>
      <c r="CE1699" s="38"/>
      <c r="CF1699" s="38"/>
      <c r="CG1699" s="38"/>
      <c r="CH1699" s="38"/>
      <c r="CI1699" s="38"/>
      <c r="CJ1699" s="38"/>
      <c r="CK1699" s="38"/>
      <c r="CL1699" s="38"/>
      <c r="CM1699" s="38"/>
      <c r="CN1699" s="38"/>
      <c r="CO1699" s="38"/>
      <c r="CP1699" s="38"/>
      <c r="CQ1699" s="38"/>
      <c r="CR1699" s="38"/>
      <c r="CS1699" s="38"/>
      <c r="CT1699" s="38"/>
      <c r="CU1699" s="38"/>
      <c r="CV1699" s="38"/>
      <c r="CW1699" s="38"/>
      <c r="CX1699" s="38"/>
      <c r="CY1699" s="38"/>
      <c r="CZ1699" s="38"/>
      <c r="DA1699" s="38"/>
      <c r="DB1699" s="38"/>
      <c r="DC1699" s="38"/>
      <c r="DD1699" s="38"/>
      <c r="DE1699" s="38"/>
      <c r="DF1699" s="38"/>
      <c r="DG1699" s="38"/>
      <c r="DH1699" s="38"/>
      <c r="DI1699" s="38"/>
      <c r="DJ1699" s="38"/>
      <c r="DK1699" s="38"/>
      <c r="DL1699" s="38"/>
      <c r="DM1699" s="38"/>
      <c r="DN1699" s="38"/>
      <c r="DO1699" s="38"/>
      <c r="DP1699" s="38"/>
      <c r="DQ1699" s="38"/>
      <c r="DR1699" s="38"/>
      <c r="DS1699" s="38"/>
      <c r="DT1699" s="38"/>
      <c r="DU1699" s="38"/>
      <c r="DV1699" s="38"/>
      <c r="DW1699" s="38"/>
      <c r="DX1699" s="38"/>
      <c r="DY1699" s="38"/>
      <c r="DZ1699" s="38"/>
      <c r="EA1699" s="38"/>
      <c r="EB1699" s="38"/>
      <c r="EC1699" s="38"/>
      <c r="ED1699" s="38"/>
      <c r="EE1699" s="38"/>
      <c r="EF1699" s="38"/>
      <c r="EG1699" s="38"/>
      <c r="EH1699" s="38"/>
      <c r="EI1699" s="38"/>
      <c r="EJ1699" s="38"/>
      <c r="EK1699" s="38"/>
      <c r="EL1699" s="38"/>
      <c r="EM1699" s="38"/>
      <c r="EN1699" s="38"/>
      <c r="EO1699" s="38"/>
      <c r="EP1699" s="38"/>
      <c r="EQ1699" s="38"/>
      <c r="ER1699" s="38"/>
      <c r="ES1699" s="38"/>
      <c r="ET1699" s="38"/>
      <c r="EU1699" s="38"/>
      <c r="EV1699" s="38"/>
      <c r="EW1699" s="38"/>
      <c r="EX1699" s="38"/>
      <c r="EY1699" s="38"/>
      <c r="EZ1699" s="38"/>
      <c r="FA1699" s="38"/>
      <c r="FB1699" s="38"/>
      <c r="FC1699" s="38"/>
      <c r="FD1699" s="38"/>
      <c r="FE1699" s="38"/>
      <c r="FF1699" s="38"/>
      <c r="FG1699" s="38"/>
      <c r="FH1699" s="38"/>
      <c r="FI1699" s="38"/>
      <c r="FJ1699" s="38"/>
      <c r="FK1699" s="38"/>
      <c r="FL1699" s="38"/>
      <c r="FM1699" s="38"/>
      <c r="FN1699" s="38"/>
      <c r="FO1699" s="38"/>
      <c r="FP1699" s="38"/>
      <c r="FQ1699" s="38"/>
      <c r="FR1699" s="38"/>
      <c r="FS1699" s="38"/>
      <c r="FT1699" s="38"/>
      <c r="FU1699" s="38"/>
      <c r="FV1699" s="38"/>
      <c r="FW1699" s="38"/>
      <c r="FX1699" s="38"/>
      <c r="FY1699" s="38"/>
      <c r="FZ1699" s="38"/>
      <c r="GA1699" s="38"/>
      <c r="GB1699" s="38"/>
      <c r="GC1699" s="38"/>
      <c r="GD1699" s="38"/>
      <c r="GE1699" s="38"/>
      <c r="GF1699" s="38"/>
      <c r="GG1699" s="38"/>
      <c r="GH1699" s="38"/>
      <c r="GI1699" s="38"/>
      <c r="GJ1699" s="38"/>
      <c r="GK1699" s="38"/>
      <c r="GL1699" s="38"/>
      <c r="GM1699" s="38"/>
      <c r="GN1699" s="38"/>
      <c r="GO1699" s="38"/>
      <c r="GP1699" s="38"/>
      <c r="GQ1699" s="38"/>
      <c r="GR1699" s="38"/>
      <c r="GS1699" s="38"/>
      <c r="GT1699" s="38"/>
      <c r="GU1699" s="38"/>
      <c r="GV1699" s="38"/>
      <c r="GW1699" s="38"/>
      <c r="GX1699" s="38"/>
      <c r="GY1699" s="38"/>
      <c r="GZ1699" s="38"/>
      <c r="HA1699" s="38"/>
      <c r="HB1699" s="38"/>
      <c r="HC1699" s="38"/>
      <c r="HD1699" s="38"/>
      <c r="HE1699" s="38"/>
      <c r="HF1699" s="38"/>
      <c r="HG1699" s="38"/>
      <c r="HH1699" s="38"/>
      <c r="HI1699" s="38"/>
      <c r="HJ1699" s="38"/>
      <c r="HK1699" s="38"/>
      <c r="HL1699" s="38"/>
      <c r="HM1699" s="38"/>
      <c r="HN1699" s="38"/>
      <c r="HO1699" s="38"/>
      <c r="HP1699" s="38"/>
      <c r="HQ1699" s="38"/>
      <c r="HR1699" s="38"/>
      <c r="HS1699" s="38"/>
      <c r="HT1699" s="38"/>
      <c r="HU1699" s="38"/>
      <c r="HV1699" s="38"/>
      <c r="HW1699" s="38"/>
      <c r="HX1699" s="38"/>
      <c r="HY1699" s="38"/>
      <c r="HZ1699" s="38"/>
      <c r="IA1699" s="38"/>
      <c r="IB1699" s="38"/>
      <c r="IC1699" s="38"/>
      <c r="ID1699" s="38"/>
      <c r="IE1699" s="38"/>
      <c r="IF1699" s="38"/>
      <c r="IG1699" s="38"/>
      <c r="IH1699" s="38"/>
      <c r="II1699" s="38"/>
      <c r="IJ1699" s="38"/>
      <c r="IK1699" s="38"/>
      <c r="IL1699" s="38"/>
      <c r="IM1699" s="38"/>
      <c r="IN1699" s="38"/>
      <c r="IO1699" s="38"/>
      <c r="IP1699" s="38"/>
      <c r="IQ1699" s="38"/>
      <c r="IR1699" s="38"/>
      <c r="IS1699" s="38"/>
      <c r="IT1699" s="38"/>
      <c r="IU1699" s="38"/>
      <c r="IV1699" s="38"/>
      <c r="IW1699" s="38"/>
      <c r="IX1699" s="38"/>
      <c r="IY1699" s="38"/>
      <c r="IZ1699" s="38"/>
      <c r="JA1699" s="38"/>
      <c r="JB1699" s="38"/>
      <c r="JC1699" s="38"/>
      <c r="JD1699" s="38"/>
      <c r="JE1699" s="38"/>
      <c r="JF1699" s="38"/>
      <c r="JG1699" s="38"/>
      <c r="JH1699" s="38"/>
      <c r="JI1699" s="38"/>
      <c r="JJ1699" s="38"/>
      <c r="JK1699" s="38"/>
      <c r="JL1699" s="38"/>
      <c r="JM1699" s="38"/>
      <c r="JN1699" s="38"/>
      <c r="JO1699" s="38"/>
      <c r="JP1699" s="38"/>
      <c r="JQ1699" s="38"/>
      <c r="JR1699" s="38"/>
      <c r="JS1699" s="38"/>
      <c r="JT1699" s="38"/>
      <c r="JU1699" s="38"/>
      <c r="JV1699" s="38"/>
      <c r="JW1699" s="38"/>
      <c r="JX1699" s="38"/>
      <c r="JY1699" s="38"/>
      <c r="JZ1699" s="38"/>
      <c r="KA1699" s="38"/>
      <c r="KB1699" s="38"/>
      <c r="KC1699" s="38"/>
      <c r="KD1699" s="38"/>
      <c r="KE1699" s="38"/>
      <c r="KF1699" s="38"/>
      <c r="KG1699" s="38"/>
      <c r="KH1699" s="38"/>
      <c r="KI1699" s="38"/>
      <c r="KJ1699" s="38"/>
      <c r="KK1699" s="38"/>
      <c r="KL1699" s="38"/>
      <c r="KM1699" s="38"/>
      <c r="KN1699" s="38"/>
      <c r="KO1699" s="38"/>
      <c r="KP1699" s="38"/>
      <c r="KQ1699" s="38"/>
      <c r="KR1699" s="38"/>
      <c r="KS1699" s="38"/>
      <c r="KT1699" s="38"/>
      <c r="KU1699" s="38"/>
      <c r="KV1699" s="38"/>
      <c r="KW1699" s="38"/>
      <c r="KX1699" s="38"/>
      <c r="KY1699" s="38"/>
      <c r="KZ1699" s="38"/>
      <c r="LA1699" s="38"/>
      <c r="LB1699" s="38"/>
      <c r="LC1699" s="38"/>
      <c r="LD1699" s="38"/>
      <c r="LE1699" s="38"/>
      <c r="LF1699" s="38"/>
      <c r="LG1699" s="38"/>
      <c r="LH1699" s="38"/>
      <c r="LI1699" s="38"/>
      <c r="LJ1699" s="38"/>
      <c r="LK1699" s="38"/>
      <c r="LL1699" s="38"/>
      <c r="LM1699" s="38"/>
      <c r="LN1699" s="38"/>
      <c r="LO1699" s="38"/>
      <c r="LP1699" s="38"/>
      <c r="LQ1699" s="38"/>
      <c r="LR1699" s="38"/>
      <c r="LS1699" s="38"/>
      <c r="LT1699" s="38"/>
      <c r="LU1699" s="38"/>
      <c r="LV1699" s="38"/>
      <c r="LW1699" s="38"/>
      <c r="LX1699" s="38"/>
      <c r="LY1699" s="38"/>
      <c r="LZ1699" s="38"/>
      <c r="MA1699" s="38"/>
      <c r="MB1699" s="38"/>
      <c r="MC1699" s="38"/>
      <c r="MD1699" s="38"/>
      <c r="ME1699" s="38"/>
      <c r="MF1699" s="38"/>
      <c r="MG1699" s="38"/>
      <c r="MH1699" s="38"/>
      <c r="MI1699" s="38"/>
      <c r="MJ1699" s="38"/>
      <c r="MK1699" s="38"/>
      <c r="ML1699" s="38"/>
      <c r="MM1699" s="38"/>
      <c r="MN1699" s="38"/>
      <c r="MO1699" s="38"/>
      <c r="MP1699" s="38"/>
      <c r="MQ1699" s="38"/>
      <c r="MR1699" s="38"/>
      <c r="MS1699" s="38"/>
      <c r="MT1699" s="38"/>
      <c r="MU1699" s="38"/>
      <c r="MV1699" s="38"/>
      <c r="MW1699" s="38"/>
      <c r="MX1699" s="38"/>
      <c r="MY1699" s="38"/>
      <c r="MZ1699" s="38"/>
      <c r="NA1699" s="38"/>
      <c r="NB1699" s="38"/>
      <c r="NC1699" s="38"/>
      <c r="ND1699" s="38"/>
      <c r="NE1699" s="38"/>
      <c r="NF1699" s="38"/>
      <c r="NG1699" s="38"/>
      <c r="NH1699" s="38"/>
      <c r="NI1699" s="38"/>
      <c r="NJ1699" s="38"/>
      <c r="NK1699" s="38"/>
      <c r="NL1699" s="38"/>
      <c r="NM1699" s="38"/>
      <c r="NN1699" s="38"/>
      <c r="NO1699" s="38"/>
      <c r="NP1699" s="38"/>
      <c r="NQ1699" s="38"/>
      <c r="NR1699" s="38"/>
      <c r="NS1699" s="38"/>
      <c r="NT1699" s="38"/>
      <c r="NU1699" s="38"/>
      <c r="NV1699" s="38"/>
      <c r="NW1699" s="38"/>
      <c r="NX1699" s="38"/>
      <c r="NY1699" s="38"/>
      <c r="NZ1699" s="38"/>
      <c r="OA1699" s="38"/>
      <c r="OB1699" s="38"/>
      <c r="OC1699" s="38"/>
      <c r="OD1699" s="38"/>
      <c r="OE1699" s="38"/>
      <c r="OF1699" s="38"/>
      <c r="OG1699" s="38"/>
      <c r="OH1699" s="38"/>
      <c r="OI1699" s="38"/>
      <c r="OJ1699" s="38"/>
      <c r="OK1699" s="38"/>
      <c r="OL1699" s="38"/>
      <c r="OM1699" s="38"/>
      <c r="ON1699" s="38"/>
      <c r="OO1699" s="38"/>
      <c r="OP1699" s="38"/>
      <c r="OQ1699" s="38"/>
      <c r="OR1699" s="38"/>
      <c r="OS1699" s="38"/>
      <c r="OT1699" s="38"/>
      <c r="OU1699" s="38"/>
      <c r="OV1699" s="38"/>
      <c r="OW1699" s="38"/>
      <c r="OX1699" s="38"/>
      <c r="OY1699" s="38"/>
      <c r="OZ1699" s="38"/>
      <c r="PA1699" s="38"/>
      <c r="PB1699" s="38"/>
      <c r="PC1699" s="38"/>
      <c r="PD1699" s="38"/>
      <c r="PE1699" s="38"/>
      <c r="PF1699" s="38"/>
      <c r="PG1699" s="38"/>
      <c r="PH1699" s="38"/>
      <c r="PI1699" s="38"/>
      <c r="PJ1699" s="38"/>
      <c r="PK1699" s="38"/>
      <c r="PL1699" s="38"/>
      <c r="PM1699" s="38"/>
      <c r="PN1699" s="38"/>
      <c r="PO1699" s="38"/>
      <c r="PP1699" s="38"/>
      <c r="PQ1699" s="38"/>
      <c r="PR1699" s="38"/>
      <c r="PS1699" s="38"/>
      <c r="PT1699" s="38"/>
      <c r="PU1699" s="38"/>
      <c r="PV1699" s="38"/>
      <c r="PW1699" s="38"/>
      <c r="PX1699" s="38"/>
      <c r="PY1699" s="38"/>
      <c r="PZ1699" s="38"/>
      <c r="QA1699" s="38"/>
      <c r="QB1699" s="38"/>
      <c r="QC1699" s="38"/>
      <c r="QD1699" s="38"/>
      <c r="QE1699" s="38"/>
      <c r="QF1699" s="38"/>
      <c r="QG1699" s="38"/>
      <c r="QH1699" s="38"/>
      <c r="QI1699" s="38"/>
      <c r="QJ1699" s="38"/>
      <c r="QK1699" s="38"/>
      <c r="QL1699" s="38"/>
      <c r="QM1699" s="38"/>
      <c r="QN1699" s="38"/>
      <c r="QO1699" s="38"/>
      <c r="QP1699" s="38"/>
      <c r="QQ1699" s="38"/>
      <c r="QR1699" s="38"/>
      <c r="QS1699" s="38"/>
      <c r="QT1699" s="38"/>
      <c r="QU1699" s="38"/>
      <c r="QV1699" s="38"/>
      <c r="QW1699" s="38"/>
      <c r="QX1699" s="38"/>
      <c r="QY1699" s="38"/>
      <c r="QZ1699" s="38"/>
      <c r="RA1699" s="38"/>
      <c r="RB1699" s="38"/>
      <c r="RC1699" s="38"/>
      <c r="RD1699" s="38"/>
      <c r="RE1699" s="38"/>
      <c r="RF1699" s="38"/>
      <c r="RG1699" s="38"/>
      <c r="RH1699" s="38"/>
      <c r="RI1699" s="38"/>
      <c r="RJ1699" s="38"/>
      <c r="RK1699" s="38"/>
      <c r="RL1699" s="38"/>
      <c r="RM1699" s="38"/>
      <c r="RN1699" s="38"/>
      <c r="RO1699" s="38"/>
      <c r="RP1699" s="38"/>
      <c r="RQ1699" s="38"/>
      <c r="RR1699" s="38"/>
      <c r="RS1699" s="38"/>
      <c r="RT1699" s="38"/>
      <c r="RU1699" s="38"/>
      <c r="RV1699" s="38"/>
      <c r="RW1699" s="38"/>
      <c r="RX1699" s="38"/>
      <c r="RY1699" s="38"/>
      <c r="RZ1699" s="38"/>
      <c r="SA1699" s="38"/>
      <c r="SB1699" s="38"/>
      <c r="SC1699" s="38"/>
      <c r="SD1699" s="38"/>
      <c r="SE1699" s="38"/>
      <c r="SF1699" s="38"/>
      <c r="SG1699" s="38"/>
      <c r="SH1699" s="38"/>
      <c r="SI1699" s="38"/>
      <c r="SJ1699" s="38"/>
      <c r="SK1699" s="38"/>
      <c r="SL1699" s="38"/>
      <c r="SM1699" s="38"/>
      <c r="SN1699" s="38"/>
      <c r="SO1699" s="38"/>
      <c r="SP1699" s="38"/>
      <c r="SQ1699" s="38"/>
      <c r="SR1699" s="38"/>
      <c r="SS1699" s="38"/>
      <c r="ST1699" s="38"/>
      <c r="SU1699" s="38"/>
      <c r="SV1699" s="38"/>
      <c r="SW1699" s="38"/>
      <c r="SX1699" s="38"/>
      <c r="SY1699" s="38"/>
      <c r="SZ1699" s="38"/>
      <c r="TA1699" s="38"/>
      <c r="TB1699" s="38"/>
      <c r="TC1699" s="38"/>
      <c r="TD1699" s="38"/>
      <c r="TE1699" s="38"/>
      <c r="TF1699" s="38"/>
      <c r="TG1699" s="38"/>
      <c r="TH1699" s="38"/>
      <c r="TI1699" s="38"/>
      <c r="TJ1699" s="38"/>
      <c r="TK1699" s="38"/>
      <c r="TL1699" s="38"/>
      <c r="TM1699" s="38"/>
      <c r="TN1699" s="38"/>
      <c r="TO1699" s="38"/>
      <c r="TP1699" s="38"/>
      <c r="TQ1699" s="38"/>
      <c r="TR1699" s="38"/>
      <c r="TS1699" s="38"/>
      <c r="TT1699" s="38"/>
      <c r="TU1699" s="38"/>
      <c r="TV1699" s="38"/>
      <c r="TW1699" s="38"/>
      <c r="TX1699" s="38"/>
      <c r="TY1699" s="38"/>
      <c r="TZ1699" s="38"/>
      <c r="UA1699" s="38"/>
      <c r="UB1699" s="38"/>
      <c r="UC1699" s="38"/>
      <c r="UD1699" s="38"/>
      <c r="UE1699" s="38"/>
      <c r="UF1699" s="38"/>
      <c r="UG1699" s="38"/>
      <c r="UH1699" s="38"/>
      <c r="UI1699" s="38"/>
      <c r="UJ1699" s="38"/>
      <c r="UK1699" s="38"/>
      <c r="UL1699" s="38"/>
      <c r="UM1699" s="38"/>
      <c r="UN1699" s="38"/>
      <c r="UO1699" s="38"/>
      <c r="UP1699" s="38"/>
      <c r="UQ1699" s="38"/>
      <c r="UR1699" s="38"/>
      <c r="US1699" s="38"/>
      <c r="UT1699" s="38"/>
      <c r="UU1699" s="38"/>
      <c r="UV1699" s="38"/>
      <c r="UW1699" s="38"/>
      <c r="UX1699" s="38"/>
      <c r="UY1699" s="38"/>
      <c r="UZ1699" s="38"/>
      <c r="VA1699" s="38"/>
      <c r="VB1699" s="38"/>
      <c r="VC1699" s="38"/>
      <c r="VD1699" s="38"/>
      <c r="VE1699" s="38"/>
      <c r="VF1699" s="38"/>
      <c r="VG1699" s="38"/>
      <c r="VH1699" s="38"/>
      <c r="VI1699" s="38"/>
      <c r="VJ1699" s="38"/>
      <c r="VK1699" s="38"/>
      <c r="VL1699" s="38"/>
      <c r="VM1699" s="38"/>
      <c r="VN1699" s="38"/>
      <c r="VO1699" s="38"/>
      <c r="VP1699" s="38"/>
      <c r="VQ1699" s="38"/>
      <c r="VR1699" s="38"/>
      <c r="VS1699" s="38"/>
      <c r="VT1699" s="38"/>
      <c r="VU1699" s="38"/>
      <c r="VV1699" s="38"/>
      <c r="VW1699" s="38"/>
      <c r="VX1699" s="38"/>
      <c r="VY1699" s="38"/>
      <c r="VZ1699" s="38"/>
      <c r="WA1699" s="38"/>
      <c r="WB1699" s="38"/>
      <c r="WC1699" s="38"/>
      <c r="WD1699" s="38"/>
      <c r="WE1699" s="38"/>
      <c r="WF1699" s="38"/>
      <c r="WG1699" s="38"/>
      <c r="WH1699" s="38"/>
      <c r="WI1699" s="38"/>
      <c r="WJ1699" s="38"/>
      <c r="WK1699" s="38"/>
      <c r="WL1699" s="38"/>
      <c r="WM1699" s="38"/>
      <c r="WN1699" s="38"/>
      <c r="WO1699" s="38"/>
      <c r="WP1699" s="38"/>
      <c r="WQ1699" s="38"/>
      <c r="WR1699" s="38"/>
      <c r="WS1699" s="38"/>
      <c r="WT1699" s="38"/>
      <c r="WU1699" s="38"/>
      <c r="WV1699" s="38"/>
      <c r="WW1699" s="38"/>
      <c r="WX1699" s="38"/>
      <c r="WY1699" s="38"/>
      <c r="WZ1699" s="38"/>
      <c r="XA1699" s="38"/>
      <c r="XB1699" s="38"/>
      <c r="XC1699" s="38"/>
      <c r="XD1699" s="38"/>
      <c r="XE1699" s="38"/>
      <c r="XF1699" s="38"/>
      <c r="XG1699" s="38"/>
      <c r="XH1699" s="38"/>
      <c r="XI1699" s="38"/>
      <c r="XJ1699" s="38"/>
      <c r="XK1699" s="38"/>
      <c r="XL1699" s="38"/>
      <c r="XM1699" s="38"/>
      <c r="XN1699" s="38"/>
      <c r="XO1699" s="38"/>
      <c r="XP1699" s="38"/>
      <c r="XQ1699" s="38"/>
      <c r="XR1699" s="38"/>
      <c r="XS1699" s="38"/>
      <c r="XT1699" s="38"/>
      <c r="XU1699" s="38"/>
      <c r="XV1699" s="38"/>
      <c r="XW1699" s="38"/>
      <c r="XX1699" s="38"/>
      <c r="XY1699" s="38"/>
      <c r="XZ1699" s="38"/>
      <c r="YA1699" s="38"/>
      <c r="YB1699" s="38"/>
      <c r="YC1699" s="38"/>
      <c r="YD1699" s="38"/>
      <c r="YE1699" s="38"/>
      <c r="YF1699" s="38"/>
      <c r="YG1699" s="38"/>
      <c r="YH1699" s="38"/>
      <c r="YI1699" s="38"/>
      <c r="YJ1699" s="38"/>
      <c r="YK1699" s="38"/>
      <c r="YL1699" s="38"/>
      <c r="YM1699" s="38"/>
      <c r="YN1699" s="38"/>
      <c r="YO1699" s="38"/>
      <c r="YP1699" s="38"/>
      <c r="YQ1699" s="38"/>
      <c r="YR1699" s="38"/>
      <c r="YS1699" s="38"/>
      <c r="YT1699" s="38"/>
      <c r="YU1699" s="38"/>
      <c r="YV1699" s="38"/>
      <c r="YW1699" s="38"/>
      <c r="YX1699" s="38"/>
      <c r="YY1699" s="38"/>
      <c r="YZ1699" s="38"/>
      <c r="ZA1699" s="38"/>
      <c r="ZB1699" s="38"/>
      <c r="ZC1699" s="38"/>
      <c r="ZD1699" s="38"/>
      <c r="ZE1699" s="38"/>
      <c r="ZF1699" s="38"/>
      <c r="ZG1699" s="38"/>
      <c r="ZH1699" s="38"/>
      <c r="ZI1699" s="38"/>
      <c r="ZJ1699" s="38"/>
      <c r="ZK1699" s="38"/>
      <c r="ZL1699" s="38"/>
      <c r="ZM1699" s="38"/>
      <c r="ZN1699" s="38"/>
      <c r="ZO1699" s="38"/>
      <c r="ZP1699" s="38"/>
      <c r="ZQ1699" s="38"/>
      <c r="ZR1699" s="38"/>
      <c r="ZS1699" s="38"/>
      <c r="ZT1699" s="38"/>
      <c r="ZU1699" s="38"/>
      <c r="ZV1699" s="38"/>
      <c r="ZW1699" s="38"/>
      <c r="ZX1699" s="38"/>
      <c r="ZY1699" s="38"/>
      <c r="ZZ1699" s="38"/>
      <c r="AAA1699" s="38"/>
      <c r="AAB1699" s="38"/>
      <c r="AAC1699" s="38"/>
      <c r="AAD1699" s="38"/>
      <c r="AAE1699" s="38"/>
      <c r="AAF1699" s="38"/>
      <c r="AAG1699" s="38"/>
      <c r="AAH1699" s="38"/>
      <c r="AAI1699" s="38"/>
      <c r="AAJ1699" s="38"/>
      <c r="AAK1699" s="38"/>
      <c r="AAL1699" s="38"/>
      <c r="AAM1699" s="38"/>
      <c r="AAN1699" s="38"/>
      <c r="AAO1699" s="38"/>
      <c r="AAP1699" s="38"/>
      <c r="AAQ1699" s="38"/>
      <c r="AAR1699" s="38"/>
      <c r="AAS1699" s="38"/>
      <c r="AAT1699" s="38"/>
      <c r="AAU1699" s="38"/>
      <c r="AAV1699" s="38"/>
      <c r="AAW1699" s="38"/>
      <c r="AAX1699" s="38"/>
      <c r="AAY1699" s="38"/>
      <c r="AAZ1699" s="38"/>
      <c r="ABA1699" s="38"/>
      <c r="ABB1699" s="38"/>
      <c r="ABC1699" s="38"/>
      <c r="ABD1699" s="38"/>
      <c r="ABE1699" s="38"/>
      <c r="ABF1699" s="38"/>
      <c r="ABG1699" s="38"/>
      <c r="ABH1699" s="38"/>
      <c r="ABI1699" s="38"/>
      <c r="ABJ1699" s="38"/>
      <c r="ABK1699" s="38"/>
      <c r="ABL1699" s="38"/>
      <c r="ABM1699" s="38"/>
      <c r="ABN1699" s="38"/>
      <c r="ABO1699" s="38"/>
      <c r="ABP1699" s="38"/>
      <c r="ABQ1699" s="38"/>
      <c r="ABR1699" s="38"/>
      <c r="ABS1699" s="38"/>
      <c r="ABT1699" s="38"/>
      <c r="ABU1699" s="38"/>
      <c r="ABV1699" s="38"/>
      <c r="ABW1699" s="38"/>
      <c r="ABX1699" s="38"/>
      <c r="ABY1699" s="38"/>
      <c r="ABZ1699" s="38"/>
      <c r="ACA1699" s="38"/>
      <c r="ACB1699" s="38"/>
      <c r="ACC1699" s="38"/>
      <c r="ACD1699" s="38"/>
      <c r="ACE1699" s="38"/>
      <c r="ACF1699" s="38"/>
      <c r="ACG1699" s="38"/>
      <c r="ACH1699" s="38"/>
      <c r="ACI1699" s="38"/>
      <c r="ACJ1699" s="38"/>
      <c r="ACK1699" s="38"/>
      <c r="ACL1699" s="38"/>
      <c r="ACM1699" s="38"/>
      <c r="ACN1699" s="38"/>
      <c r="ACO1699" s="38"/>
      <c r="ACP1699" s="38"/>
      <c r="ACQ1699" s="38"/>
      <c r="ACR1699" s="38"/>
      <c r="ACS1699" s="38"/>
      <c r="ACT1699" s="38"/>
      <c r="ACU1699" s="38"/>
      <c r="ACV1699" s="38"/>
      <c r="ACW1699" s="38"/>
      <c r="ACX1699" s="38"/>
      <c r="ACY1699" s="38"/>
      <c r="ACZ1699" s="38"/>
      <c r="ADA1699" s="38"/>
      <c r="ADB1699" s="38"/>
      <c r="ADC1699" s="38"/>
      <c r="ADD1699" s="38"/>
      <c r="ADE1699" s="38"/>
      <c r="ADF1699" s="38"/>
      <c r="ADG1699" s="38"/>
      <c r="ADH1699" s="38"/>
      <c r="ADI1699" s="38"/>
      <c r="ADJ1699" s="38"/>
      <c r="ADK1699" s="38"/>
      <c r="ADL1699" s="38"/>
      <c r="ADM1699" s="38"/>
      <c r="ADN1699" s="38"/>
      <c r="ADO1699" s="38"/>
      <c r="ADP1699" s="38"/>
      <c r="ADQ1699" s="38"/>
      <c r="ADR1699" s="38"/>
      <c r="ADS1699" s="38"/>
      <c r="ADT1699" s="38"/>
      <c r="ADU1699" s="38"/>
      <c r="ADV1699" s="38"/>
      <c r="ADW1699" s="38"/>
      <c r="ADX1699" s="38"/>
      <c r="ADY1699" s="38"/>
      <c r="ADZ1699" s="38"/>
      <c r="AEA1699" s="38"/>
      <c r="AEB1699" s="38"/>
      <c r="AEC1699" s="38"/>
      <c r="AED1699" s="38"/>
      <c r="AEE1699" s="38"/>
      <c r="AEF1699" s="38"/>
      <c r="AEG1699" s="38"/>
      <c r="AEH1699" s="38"/>
      <c r="AEI1699" s="38"/>
      <c r="AEJ1699" s="38"/>
      <c r="AEK1699" s="38"/>
      <c r="AEL1699" s="38"/>
      <c r="AEM1699" s="38"/>
      <c r="AEN1699" s="38"/>
      <c r="AEO1699" s="38"/>
      <c r="AEP1699" s="38"/>
      <c r="AEQ1699" s="38"/>
      <c r="AER1699" s="38"/>
      <c r="AES1699" s="38"/>
      <c r="AET1699" s="38"/>
      <c r="AEU1699" s="38"/>
      <c r="AEV1699" s="38"/>
      <c r="AEW1699" s="38"/>
      <c r="AEX1699" s="38"/>
      <c r="AEY1699" s="38"/>
      <c r="AEZ1699" s="38"/>
      <c r="AFA1699" s="38"/>
      <c r="AFB1699" s="38"/>
      <c r="AFC1699" s="38"/>
      <c r="AFD1699" s="38"/>
      <c r="AFE1699" s="38"/>
      <c r="AFF1699" s="38"/>
      <c r="AFG1699" s="38"/>
      <c r="AFH1699" s="38"/>
      <c r="AFI1699" s="38"/>
      <c r="AFJ1699" s="38"/>
      <c r="AFK1699" s="38"/>
      <c r="AFL1699" s="38"/>
      <c r="AFM1699" s="38"/>
      <c r="AFN1699" s="38"/>
      <c r="AFO1699" s="38"/>
      <c r="AFP1699" s="38"/>
      <c r="AFQ1699" s="38"/>
      <c r="AFR1699" s="38"/>
      <c r="AFS1699" s="38"/>
      <c r="AFT1699" s="38"/>
      <c r="AFU1699" s="38"/>
      <c r="AFV1699" s="38"/>
      <c r="AFW1699" s="38"/>
      <c r="AFX1699" s="38"/>
      <c r="AFY1699" s="38"/>
      <c r="AFZ1699" s="38"/>
      <c r="AGA1699" s="38"/>
      <c r="AGB1699" s="38"/>
      <c r="AGC1699" s="38"/>
      <c r="AGD1699" s="38"/>
      <c r="AGE1699" s="38"/>
      <c r="AGF1699" s="38"/>
      <c r="AGG1699" s="38"/>
      <c r="AGH1699" s="38"/>
      <c r="AGI1699" s="38"/>
      <c r="AGJ1699" s="38"/>
      <c r="AGK1699" s="38"/>
      <c r="AGL1699" s="38"/>
      <c r="AGM1699" s="38"/>
      <c r="AGN1699" s="38"/>
      <c r="AGO1699" s="38"/>
      <c r="AGP1699" s="38"/>
      <c r="AGQ1699" s="38"/>
      <c r="AGR1699" s="38"/>
      <c r="AGS1699" s="38"/>
      <c r="AGT1699" s="38"/>
      <c r="AGU1699" s="38"/>
      <c r="AGV1699" s="38"/>
      <c r="AGW1699" s="38"/>
      <c r="AGX1699" s="38"/>
      <c r="AGY1699" s="38"/>
      <c r="AGZ1699" s="38"/>
      <c r="AHA1699" s="38"/>
      <c r="AHB1699" s="38"/>
      <c r="AHC1699" s="38"/>
      <c r="AHD1699" s="38"/>
      <c r="AHE1699" s="38"/>
      <c r="AHF1699" s="38"/>
      <c r="AHG1699" s="38"/>
      <c r="AHH1699" s="38"/>
      <c r="AHI1699" s="38"/>
      <c r="AHJ1699" s="38"/>
      <c r="AHK1699" s="38"/>
      <c r="AHL1699" s="38"/>
      <c r="AHM1699" s="38"/>
      <c r="AHN1699" s="38"/>
      <c r="AHO1699" s="38"/>
      <c r="AHP1699" s="38"/>
      <c r="AHQ1699" s="38"/>
      <c r="AHR1699" s="38"/>
      <c r="AHS1699" s="38"/>
      <c r="AHT1699" s="38"/>
      <c r="AHU1699" s="38"/>
      <c r="AHV1699" s="38"/>
      <c r="AHW1699" s="38"/>
      <c r="AHX1699" s="38"/>
      <c r="AHY1699" s="38"/>
      <c r="AHZ1699" s="38"/>
      <c r="AIA1699" s="38"/>
      <c r="AIB1699" s="38"/>
      <c r="AIC1699" s="38"/>
      <c r="AID1699" s="38"/>
      <c r="AIE1699" s="38"/>
      <c r="AIF1699" s="38"/>
      <c r="AIG1699" s="38"/>
      <c r="AIH1699" s="38"/>
      <c r="AII1699" s="38"/>
      <c r="AIJ1699" s="38"/>
      <c r="AIK1699" s="38"/>
      <c r="AIL1699" s="38"/>
      <c r="AIM1699" s="38"/>
      <c r="AIN1699" s="38"/>
      <c r="AIO1699" s="38"/>
      <c r="AIP1699" s="38"/>
      <c r="AIQ1699" s="38"/>
      <c r="AIR1699" s="38"/>
      <c r="AIS1699" s="38"/>
      <c r="AIT1699" s="38"/>
      <c r="AIU1699" s="38"/>
      <c r="AIV1699" s="38"/>
      <c r="AIW1699" s="38"/>
      <c r="AIX1699" s="38"/>
      <c r="AIY1699" s="38"/>
      <c r="AIZ1699" s="38"/>
      <c r="AJA1699" s="38"/>
      <c r="AJB1699" s="38"/>
      <c r="AJC1699" s="38"/>
      <c r="AJD1699" s="38"/>
      <c r="AJE1699" s="38"/>
      <c r="AJF1699" s="38"/>
      <c r="AJG1699" s="38"/>
      <c r="AJH1699" s="38"/>
      <c r="AJI1699" s="38"/>
      <c r="AJJ1699" s="38"/>
      <c r="AJK1699" s="38"/>
      <c r="AJL1699" s="38"/>
      <c r="AJM1699" s="38"/>
      <c r="AJN1699" s="38"/>
      <c r="AJO1699" s="38"/>
      <c r="AJP1699" s="38"/>
      <c r="AJQ1699" s="38"/>
      <c r="AJR1699" s="38"/>
      <c r="AJS1699" s="38"/>
      <c r="AJT1699" s="38"/>
      <c r="AJU1699" s="38"/>
      <c r="AJV1699" s="38"/>
      <c r="AJW1699" s="38"/>
      <c r="AJX1699" s="38"/>
      <c r="AJY1699" s="38"/>
      <c r="AJZ1699" s="38"/>
      <c r="AKA1699" s="38"/>
      <c r="AKB1699" s="38"/>
      <c r="AKC1699" s="38"/>
      <c r="AKD1699" s="38"/>
      <c r="AKE1699" s="38"/>
      <c r="AKF1699" s="38"/>
      <c r="AKG1699" s="38"/>
      <c r="AKH1699" s="38"/>
      <c r="AKI1699" s="38"/>
      <c r="AKJ1699" s="38"/>
      <c r="AKK1699" s="38"/>
      <c r="AKL1699" s="38"/>
      <c r="AKM1699" s="38"/>
      <c r="AKN1699" s="38"/>
      <c r="AKO1699" s="38"/>
      <c r="AKP1699" s="38"/>
      <c r="AKQ1699" s="38"/>
      <c r="AKR1699" s="38"/>
      <c r="AKS1699" s="38"/>
      <c r="AKT1699" s="38"/>
      <c r="AKU1699" s="38"/>
      <c r="AKV1699" s="38"/>
      <c r="AKW1699" s="38"/>
      <c r="AKX1699" s="38"/>
      <c r="AKY1699" s="38"/>
      <c r="AKZ1699" s="38"/>
      <c r="ALA1699" s="38"/>
      <c r="ALB1699" s="38"/>
      <c r="ALC1699" s="38"/>
      <c r="ALD1699" s="38"/>
      <c r="ALE1699" s="38"/>
      <c r="ALF1699" s="38"/>
      <c r="ALG1699" s="38"/>
      <c r="ALH1699" s="38"/>
      <c r="ALI1699" s="38"/>
      <c r="ALJ1699" s="38"/>
      <c r="ALK1699" s="38"/>
      <c r="ALL1699" s="38"/>
      <c r="ALM1699" s="38"/>
      <c r="ALN1699" s="38"/>
      <c r="ALO1699" s="38"/>
      <c r="ALP1699" s="38"/>
      <c r="ALQ1699" s="38"/>
      <c r="ALR1699" s="38"/>
      <c r="ALS1699" s="38"/>
      <c r="ALT1699" s="38"/>
      <c r="ALU1699" s="38"/>
      <c r="ALV1699" s="38"/>
      <c r="ALW1699" s="38"/>
      <c r="ALX1699" s="38"/>
      <c r="ALY1699" s="38"/>
      <c r="ALZ1699" s="38"/>
      <c r="AMA1699" s="38"/>
      <c r="AMB1699" s="38"/>
      <c r="AMC1699" s="38"/>
      <c r="AMD1699" s="38"/>
      <c r="AME1699" s="38"/>
      <c r="AMF1699" s="38"/>
      <c r="AMG1699" s="38"/>
      <c r="AMH1699" s="38"/>
      <c r="AMI1699" s="38"/>
      <c r="AMJ1699" s="38"/>
      <c r="AMK1699" s="38"/>
      <c r="AML1699" s="38"/>
      <c r="AMM1699" s="38"/>
      <c r="AMN1699" s="38"/>
      <c r="AMO1699" s="38"/>
      <c r="AMP1699" s="38"/>
      <c r="AMQ1699" s="38"/>
      <c r="AMR1699" s="38"/>
      <c r="AMS1699" s="38"/>
      <c r="AMT1699" s="38"/>
      <c r="AMU1699" s="38"/>
      <c r="AMV1699" s="38"/>
      <c r="AMW1699" s="38"/>
      <c r="AMX1699" s="38"/>
      <c r="AMY1699" s="38"/>
      <c r="AMZ1699" s="38"/>
      <c r="ANA1699" s="38"/>
      <c r="ANB1699" s="38"/>
      <c r="ANC1699" s="38"/>
      <c r="AND1699" s="38"/>
      <c r="ANE1699" s="38"/>
      <c r="ANF1699" s="38"/>
      <c r="ANG1699" s="38"/>
      <c r="ANH1699" s="38"/>
      <c r="ANI1699" s="38"/>
      <c r="ANJ1699" s="38"/>
      <c r="ANK1699" s="38"/>
      <c r="ANL1699" s="38"/>
      <c r="ANM1699" s="38"/>
      <c r="ANN1699" s="38"/>
      <c r="ANO1699" s="38"/>
      <c r="ANP1699" s="38"/>
      <c r="ANQ1699" s="38"/>
      <c r="ANR1699" s="38"/>
      <c r="ANS1699" s="38"/>
      <c r="ANT1699" s="38"/>
      <c r="ANU1699" s="38"/>
      <c r="ANV1699" s="38"/>
      <c r="ANW1699" s="38"/>
      <c r="ANX1699" s="38"/>
      <c r="ANY1699" s="38"/>
      <c r="ANZ1699" s="38"/>
      <c r="AOA1699" s="38"/>
      <c r="AOB1699" s="38"/>
      <c r="AOC1699" s="38"/>
      <c r="AOD1699" s="38"/>
      <c r="AOE1699" s="38"/>
      <c r="AOF1699" s="38"/>
      <c r="AOG1699" s="38"/>
      <c r="AOH1699" s="38"/>
      <c r="AOI1699" s="38"/>
      <c r="AOJ1699" s="38"/>
      <c r="AOK1699" s="38"/>
      <c r="AOL1699" s="38"/>
      <c r="AOM1699" s="38"/>
      <c r="AON1699" s="38"/>
      <c r="AOO1699" s="38"/>
      <c r="AOP1699" s="38"/>
      <c r="AOQ1699" s="38"/>
      <c r="AOR1699" s="38"/>
      <c r="AOS1699" s="38"/>
      <c r="AOT1699" s="38"/>
      <c r="AOU1699" s="38"/>
      <c r="AOV1699" s="38"/>
      <c r="AOW1699" s="38"/>
      <c r="AOX1699" s="38"/>
      <c r="AOY1699" s="38"/>
      <c r="AOZ1699" s="38"/>
      <c r="APA1699" s="38"/>
      <c r="APB1699" s="38"/>
      <c r="APC1699" s="38"/>
    </row>
    <row r="1700" spans="1:1095" s="36" customFormat="1" ht="14.25" customHeight="1">
      <c r="A1700" s="3" t="s">
        <v>1722</v>
      </c>
      <c r="B1700" s="36" t="s">
        <v>3975</v>
      </c>
      <c r="C1700" s="251">
        <v>4099854081149</v>
      </c>
      <c r="D1700" s="224">
        <v>4058075771628</v>
      </c>
      <c r="E1700" s="252" t="s">
        <v>1617</v>
      </c>
      <c r="F1700" s="253"/>
      <c r="G1700" s="66" t="str">
        <f>HYPERLINK("https://ledvance.com/pt/product-datasheet/247502/243533","Ficha de Produto")</f>
        <v>Ficha de Produto</v>
      </c>
      <c r="H1700" s="217">
        <v>10</v>
      </c>
      <c r="I1700" s="34" t="s">
        <v>887</v>
      </c>
      <c r="J1700" s="34" t="s">
        <v>1044</v>
      </c>
      <c r="K1700" s="34" t="s">
        <v>788</v>
      </c>
      <c r="L1700" s="34" t="s">
        <v>765</v>
      </c>
      <c r="M1700" s="247">
        <v>40.6</v>
      </c>
      <c r="N1700" s="288" t="s">
        <v>722</v>
      </c>
    </row>
    <row r="1701" spans="1:1095" s="36" customFormat="1" ht="14.25" customHeight="1">
      <c r="A1701" s="3" t="s">
        <v>1722</v>
      </c>
      <c r="B1701" s="36" t="s">
        <v>3976</v>
      </c>
      <c r="C1701" s="251">
        <v>4099854081163</v>
      </c>
      <c r="D1701" s="224">
        <v>4058075771642</v>
      </c>
      <c r="E1701" s="252" t="s">
        <v>1618</v>
      </c>
      <c r="F1701" s="253"/>
      <c r="G1701" s="66" t="str">
        <f>HYPERLINK("https://ledvance.com/pt/product-datasheet/247502/243536","Ficha de Produto")</f>
        <v>Ficha de Produto</v>
      </c>
      <c r="H1701" s="217">
        <v>10</v>
      </c>
      <c r="I1701" s="34" t="s">
        <v>767</v>
      </c>
      <c r="J1701" s="34" t="s">
        <v>1044</v>
      </c>
      <c r="K1701" s="34" t="s">
        <v>788</v>
      </c>
      <c r="L1701" s="34" t="s">
        <v>765</v>
      </c>
      <c r="M1701" s="247">
        <v>40.6</v>
      </c>
      <c r="N1701" s="288" t="s">
        <v>722</v>
      </c>
    </row>
    <row r="1702" spans="1:1095" s="36" customFormat="1" ht="14.25" customHeight="1">
      <c r="A1702" s="3" t="s">
        <v>1722</v>
      </c>
      <c r="B1702" s="36" t="s">
        <v>3977</v>
      </c>
      <c r="C1702" s="251">
        <v>4099854081187</v>
      </c>
      <c r="D1702" s="224">
        <v>4058075771666</v>
      </c>
      <c r="E1702" s="252" t="s">
        <v>1619</v>
      </c>
      <c r="F1702" s="253"/>
      <c r="G1702" s="66" t="str">
        <f>HYPERLINK("https://ledvance.com/pt/product-datasheet/247502/243539","Ficha de Produto")</f>
        <v>Ficha de Produto</v>
      </c>
      <c r="H1702" s="217">
        <v>10</v>
      </c>
      <c r="I1702" s="34" t="s">
        <v>767</v>
      </c>
      <c r="J1702" s="34" t="s">
        <v>1044</v>
      </c>
      <c r="K1702" s="34" t="s">
        <v>788</v>
      </c>
      <c r="L1702" s="34" t="s">
        <v>765</v>
      </c>
      <c r="M1702" s="247">
        <v>40.6</v>
      </c>
      <c r="N1702" s="288" t="s">
        <v>722</v>
      </c>
    </row>
    <row r="1703" spans="1:1095" s="39" customFormat="1" ht="14.25" customHeight="1">
      <c r="A1703" s="8" t="s">
        <v>1722</v>
      </c>
      <c r="B1703" s="244" t="s">
        <v>2067</v>
      </c>
      <c r="C1703" s="8"/>
      <c r="D1703" s="7"/>
      <c r="E1703" s="244"/>
      <c r="F1703" s="8"/>
      <c r="G1703" s="68"/>
      <c r="H1703" s="230"/>
      <c r="I1703" s="244"/>
      <c r="J1703" s="244"/>
      <c r="K1703" s="244"/>
      <c r="L1703" s="244"/>
      <c r="M1703" s="248"/>
      <c r="N1703" s="284"/>
      <c r="O1703" s="38"/>
      <c r="P1703" s="38"/>
      <c r="Q1703" s="38"/>
      <c r="R1703" s="38"/>
      <c r="S1703" s="38"/>
      <c r="T1703" s="38"/>
      <c r="U1703" s="38"/>
      <c r="V1703" s="38"/>
      <c r="W1703" s="38"/>
      <c r="X1703" s="38"/>
      <c r="Y1703" s="38"/>
      <c r="Z1703" s="38"/>
      <c r="AA1703" s="38"/>
      <c r="AB1703" s="38"/>
      <c r="AC1703" s="38"/>
      <c r="AD1703" s="38"/>
      <c r="AE1703" s="38"/>
      <c r="AF1703" s="38"/>
      <c r="AG1703" s="38"/>
      <c r="AH1703" s="38"/>
      <c r="AI1703" s="38"/>
      <c r="AJ1703" s="38"/>
      <c r="AK1703" s="38"/>
      <c r="AL1703" s="38"/>
      <c r="AM1703" s="38"/>
      <c r="AN1703" s="38"/>
      <c r="AO1703" s="38"/>
      <c r="AP1703" s="38"/>
      <c r="AQ1703" s="38"/>
      <c r="AR1703" s="38"/>
      <c r="AS1703" s="38"/>
      <c r="AT1703" s="38"/>
      <c r="AU1703" s="38"/>
      <c r="AV1703" s="38"/>
      <c r="AW1703" s="38"/>
      <c r="AX1703" s="38"/>
      <c r="AY1703" s="38"/>
      <c r="AZ1703" s="38"/>
      <c r="BA1703" s="38"/>
      <c r="BB1703" s="38"/>
      <c r="BC1703" s="38"/>
      <c r="BD1703" s="38"/>
      <c r="BE1703" s="38"/>
      <c r="BF1703" s="38"/>
      <c r="BG1703" s="38"/>
      <c r="BH1703" s="38"/>
      <c r="BI1703" s="38"/>
      <c r="BJ1703" s="38"/>
      <c r="BK1703" s="38"/>
      <c r="BL1703" s="38"/>
      <c r="BM1703" s="38"/>
      <c r="BN1703" s="38"/>
      <c r="BO1703" s="38"/>
      <c r="BP1703" s="38"/>
      <c r="BQ1703" s="38"/>
      <c r="BR1703" s="38"/>
      <c r="BS1703" s="38"/>
      <c r="BT1703" s="38"/>
      <c r="BU1703" s="38"/>
      <c r="BV1703" s="38"/>
      <c r="BW1703" s="38"/>
      <c r="BX1703" s="38"/>
      <c r="BY1703" s="38"/>
      <c r="BZ1703" s="38"/>
      <c r="CA1703" s="38"/>
      <c r="CB1703" s="38"/>
      <c r="CC1703" s="38"/>
      <c r="CD1703" s="38"/>
      <c r="CE1703" s="38"/>
      <c r="CF1703" s="38"/>
      <c r="CG1703" s="38"/>
      <c r="CH1703" s="38"/>
      <c r="CI1703" s="38"/>
      <c r="CJ1703" s="38"/>
      <c r="CK1703" s="38"/>
      <c r="CL1703" s="38"/>
      <c r="CM1703" s="38"/>
      <c r="CN1703" s="38"/>
      <c r="CO1703" s="38"/>
      <c r="CP1703" s="38"/>
      <c r="CQ1703" s="38"/>
      <c r="CR1703" s="38"/>
      <c r="CS1703" s="38"/>
      <c r="CT1703" s="38"/>
      <c r="CU1703" s="38"/>
      <c r="CV1703" s="38"/>
      <c r="CW1703" s="38"/>
      <c r="CX1703" s="38"/>
      <c r="CY1703" s="38"/>
      <c r="CZ1703" s="38"/>
      <c r="DA1703" s="38"/>
      <c r="DB1703" s="38"/>
      <c r="DC1703" s="38"/>
      <c r="DD1703" s="38"/>
      <c r="DE1703" s="38"/>
      <c r="DF1703" s="38"/>
      <c r="DG1703" s="38"/>
      <c r="DH1703" s="38"/>
      <c r="DI1703" s="38"/>
      <c r="DJ1703" s="38"/>
      <c r="DK1703" s="38"/>
      <c r="DL1703" s="38"/>
      <c r="DM1703" s="38"/>
      <c r="DN1703" s="38"/>
      <c r="DO1703" s="38"/>
      <c r="DP1703" s="38"/>
      <c r="DQ1703" s="38"/>
      <c r="DR1703" s="38"/>
      <c r="DS1703" s="38"/>
      <c r="DT1703" s="38"/>
      <c r="DU1703" s="38"/>
      <c r="DV1703" s="38"/>
      <c r="DW1703" s="38"/>
      <c r="DX1703" s="38"/>
      <c r="DY1703" s="38"/>
      <c r="DZ1703" s="38"/>
      <c r="EA1703" s="38"/>
      <c r="EB1703" s="38"/>
      <c r="EC1703" s="38"/>
      <c r="ED1703" s="38"/>
      <c r="EE1703" s="38"/>
      <c r="EF1703" s="38"/>
      <c r="EG1703" s="38"/>
      <c r="EH1703" s="38"/>
      <c r="EI1703" s="38"/>
      <c r="EJ1703" s="38"/>
      <c r="EK1703" s="38"/>
      <c r="EL1703" s="38"/>
      <c r="EM1703" s="38"/>
      <c r="EN1703" s="38"/>
      <c r="EO1703" s="38"/>
      <c r="EP1703" s="38"/>
      <c r="EQ1703" s="38"/>
      <c r="ER1703" s="38"/>
      <c r="ES1703" s="38"/>
      <c r="ET1703" s="38"/>
      <c r="EU1703" s="38"/>
      <c r="EV1703" s="38"/>
      <c r="EW1703" s="38"/>
      <c r="EX1703" s="38"/>
      <c r="EY1703" s="38"/>
      <c r="EZ1703" s="38"/>
      <c r="FA1703" s="38"/>
      <c r="FB1703" s="38"/>
      <c r="FC1703" s="38"/>
      <c r="FD1703" s="38"/>
      <c r="FE1703" s="38"/>
      <c r="FF1703" s="38"/>
      <c r="FG1703" s="38"/>
      <c r="FH1703" s="38"/>
      <c r="FI1703" s="38"/>
      <c r="FJ1703" s="38"/>
      <c r="FK1703" s="38"/>
      <c r="FL1703" s="38"/>
      <c r="FM1703" s="38"/>
      <c r="FN1703" s="38"/>
      <c r="FO1703" s="38"/>
      <c r="FP1703" s="38"/>
      <c r="FQ1703" s="38"/>
      <c r="FR1703" s="38"/>
      <c r="FS1703" s="38"/>
      <c r="FT1703" s="38"/>
      <c r="FU1703" s="38"/>
      <c r="FV1703" s="38"/>
      <c r="FW1703" s="38"/>
      <c r="FX1703" s="38"/>
      <c r="FY1703" s="38"/>
      <c r="FZ1703" s="38"/>
      <c r="GA1703" s="38"/>
      <c r="GB1703" s="38"/>
      <c r="GC1703" s="38"/>
      <c r="GD1703" s="38"/>
      <c r="GE1703" s="38"/>
      <c r="GF1703" s="38"/>
      <c r="GG1703" s="38"/>
      <c r="GH1703" s="38"/>
      <c r="GI1703" s="38"/>
      <c r="GJ1703" s="38"/>
      <c r="GK1703" s="38"/>
      <c r="GL1703" s="38"/>
      <c r="GM1703" s="38"/>
      <c r="GN1703" s="38"/>
      <c r="GO1703" s="38"/>
      <c r="GP1703" s="38"/>
      <c r="GQ1703" s="38"/>
      <c r="GR1703" s="38"/>
      <c r="GS1703" s="38"/>
      <c r="GT1703" s="38"/>
      <c r="GU1703" s="38"/>
      <c r="GV1703" s="38"/>
      <c r="GW1703" s="38"/>
      <c r="GX1703" s="38"/>
      <c r="GY1703" s="38"/>
      <c r="GZ1703" s="38"/>
      <c r="HA1703" s="38"/>
      <c r="HB1703" s="38"/>
      <c r="HC1703" s="38"/>
      <c r="HD1703" s="38"/>
      <c r="HE1703" s="38"/>
      <c r="HF1703" s="38"/>
      <c r="HG1703" s="38"/>
      <c r="HH1703" s="38"/>
      <c r="HI1703" s="38"/>
      <c r="HJ1703" s="38"/>
      <c r="HK1703" s="38"/>
      <c r="HL1703" s="38"/>
      <c r="HM1703" s="38"/>
      <c r="HN1703" s="38"/>
      <c r="HO1703" s="38"/>
      <c r="HP1703" s="38"/>
      <c r="HQ1703" s="38"/>
      <c r="HR1703" s="38"/>
      <c r="HS1703" s="38"/>
      <c r="HT1703" s="38"/>
      <c r="HU1703" s="38"/>
      <c r="HV1703" s="38"/>
      <c r="HW1703" s="38"/>
      <c r="HX1703" s="38"/>
      <c r="HY1703" s="38"/>
      <c r="HZ1703" s="38"/>
      <c r="IA1703" s="38"/>
      <c r="IB1703" s="38"/>
      <c r="IC1703" s="38"/>
      <c r="ID1703" s="38"/>
      <c r="IE1703" s="38"/>
      <c r="IF1703" s="38"/>
      <c r="IG1703" s="38"/>
      <c r="IH1703" s="38"/>
      <c r="II1703" s="38"/>
      <c r="IJ1703" s="38"/>
      <c r="IK1703" s="38"/>
      <c r="IL1703" s="38"/>
      <c r="IM1703" s="38"/>
      <c r="IN1703" s="38"/>
      <c r="IO1703" s="38"/>
      <c r="IP1703" s="38"/>
      <c r="IQ1703" s="38"/>
      <c r="IR1703" s="38"/>
      <c r="IS1703" s="38"/>
      <c r="IT1703" s="38"/>
      <c r="IU1703" s="38"/>
      <c r="IV1703" s="38"/>
      <c r="IW1703" s="38"/>
      <c r="IX1703" s="38"/>
      <c r="IY1703" s="38"/>
      <c r="IZ1703" s="38"/>
      <c r="JA1703" s="38"/>
      <c r="JB1703" s="38"/>
      <c r="JC1703" s="38"/>
      <c r="JD1703" s="38"/>
      <c r="JE1703" s="38"/>
      <c r="JF1703" s="38"/>
      <c r="JG1703" s="38"/>
      <c r="JH1703" s="38"/>
      <c r="JI1703" s="38"/>
      <c r="JJ1703" s="38"/>
      <c r="JK1703" s="38"/>
      <c r="JL1703" s="38"/>
      <c r="JM1703" s="38"/>
      <c r="JN1703" s="38"/>
      <c r="JO1703" s="38"/>
      <c r="JP1703" s="38"/>
      <c r="JQ1703" s="38"/>
      <c r="JR1703" s="38"/>
      <c r="JS1703" s="38"/>
      <c r="JT1703" s="38"/>
      <c r="JU1703" s="38"/>
      <c r="JV1703" s="38"/>
      <c r="JW1703" s="38"/>
      <c r="JX1703" s="38"/>
      <c r="JY1703" s="38"/>
      <c r="JZ1703" s="38"/>
      <c r="KA1703" s="38"/>
      <c r="KB1703" s="38"/>
      <c r="KC1703" s="38"/>
      <c r="KD1703" s="38"/>
      <c r="KE1703" s="38"/>
      <c r="KF1703" s="38"/>
      <c r="KG1703" s="38"/>
      <c r="KH1703" s="38"/>
      <c r="KI1703" s="38"/>
      <c r="KJ1703" s="38"/>
      <c r="KK1703" s="38"/>
      <c r="KL1703" s="38"/>
      <c r="KM1703" s="38"/>
      <c r="KN1703" s="38"/>
      <c r="KO1703" s="38"/>
      <c r="KP1703" s="38"/>
      <c r="KQ1703" s="38"/>
      <c r="KR1703" s="38"/>
      <c r="KS1703" s="38"/>
      <c r="KT1703" s="38"/>
      <c r="KU1703" s="38"/>
      <c r="KV1703" s="38"/>
      <c r="KW1703" s="38"/>
      <c r="KX1703" s="38"/>
      <c r="KY1703" s="38"/>
      <c r="KZ1703" s="38"/>
      <c r="LA1703" s="38"/>
      <c r="LB1703" s="38"/>
      <c r="LC1703" s="38"/>
      <c r="LD1703" s="38"/>
      <c r="LE1703" s="38"/>
      <c r="LF1703" s="38"/>
      <c r="LG1703" s="38"/>
      <c r="LH1703" s="38"/>
      <c r="LI1703" s="38"/>
      <c r="LJ1703" s="38"/>
      <c r="LK1703" s="38"/>
      <c r="LL1703" s="38"/>
      <c r="LM1703" s="38"/>
      <c r="LN1703" s="38"/>
      <c r="LO1703" s="38"/>
      <c r="LP1703" s="38"/>
      <c r="LQ1703" s="38"/>
      <c r="LR1703" s="38"/>
      <c r="LS1703" s="38"/>
      <c r="LT1703" s="38"/>
      <c r="LU1703" s="38"/>
      <c r="LV1703" s="38"/>
      <c r="LW1703" s="38"/>
      <c r="LX1703" s="38"/>
      <c r="LY1703" s="38"/>
      <c r="LZ1703" s="38"/>
      <c r="MA1703" s="38"/>
      <c r="MB1703" s="38"/>
      <c r="MC1703" s="38"/>
      <c r="MD1703" s="38"/>
      <c r="ME1703" s="38"/>
      <c r="MF1703" s="38"/>
      <c r="MG1703" s="38"/>
      <c r="MH1703" s="38"/>
      <c r="MI1703" s="38"/>
      <c r="MJ1703" s="38"/>
      <c r="MK1703" s="38"/>
      <c r="ML1703" s="38"/>
      <c r="MM1703" s="38"/>
      <c r="MN1703" s="38"/>
      <c r="MO1703" s="38"/>
      <c r="MP1703" s="38"/>
      <c r="MQ1703" s="38"/>
      <c r="MR1703" s="38"/>
      <c r="MS1703" s="38"/>
      <c r="MT1703" s="38"/>
      <c r="MU1703" s="38"/>
      <c r="MV1703" s="38"/>
      <c r="MW1703" s="38"/>
      <c r="MX1703" s="38"/>
      <c r="MY1703" s="38"/>
      <c r="MZ1703" s="38"/>
      <c r="NA1703" s="38"/>
      <c r="NB1703" s="38"/>
      <c r="NC1703" s="38"/>
      <c r="ND1703" s="38"/>
      <c r="NE1703" s="38"/>
      <c r="NF1703" s="38"/>
      <c r="NG1703" s="38"/>
      <c r="NH1703" s="38"/>
      <c r="NI1703" s="38"/>
      <c r="NJ1703" s="38"/>
      <c r="NK1703" s="38"/>
      <c r="NL1703" s="38"/>
      <c r="NM1703" s="38"/>
      <c r="NN1703" s="38"/>
      <c r="NO1703" s="38"/>
      <c r="NP1703" s="38"/>
      <c r="NQ1703" s="38"/>
      <c r="NR1703" s="38"/>
      <c r="NS1703" s="38"/>
      <c r="NT1703" s="38"/>
      <c r="NU1703" s="38"/>
      <c r="NV1703" s="38"/>
      <c r="NW1703" s="38"/>
      <c r="NX1703" s="38"/>
      <c r="NY1703" s="38"/>
      <c r="NZ1703" s="38"/>
      <c r="OA1703" s="38"/>
      <c r="OB1703" s="38"/>
      <c r="OC1703" s="38"/>
      <c r="OD1703" s="38"/>
      <c r="OE1703" s="38"/>
      <c r="OF1703" s="38"/>
      <c r="OG1703" s="38"/>
      <c r="OH1703" s="38"/>
      <c r="OI1703" s="38"/>
      <c r="OJ1703" s="38"/>
      <c r="OK1703" s="38"/>
      <c r="OL1703" s="38"/>
      <c r="OM1703" s="38"/>
      <c r="ON1703" s="38"/>
      <c r="OO1703" s="38"/>
      <c r="OP1703" s="38"/>
      <c r="OQ1703" s="38"/>
      <c r="OR1703" s="38"/>
      <c r="OS1703" s="38"/>
      <c r="OT1703" s="38"/>
      <c r="OU1703" s="38"/>
      <c r="OV1703" s="38"/>
      <c r="OW1703" s="38"/>
      <c r="OX1703" s="38"/>
      <c r="OY1703" s="38"/>
      <c r="OZ1703" s="38"/>
      <c r="PA1703" s="38"/>
      <c r="PB1703" s="38"/>
      <c r="PC1703" s="38"/>
      <c r="PD1703" s="38"/>
      <c r="PE1703" s="38"/>
      <c r="PF1703" s="38"/>
      <c r="PG1703" s="38"/>
      <c r="PH1703" s="38"/>
      <c r="PI1703" s="38"/>
      <c r="PJ1703" s="38"/>
      <c r="PK1703" s="38"/>
      <c r="PL1703" s="38"/>
      <c r="PM1703" s="38"/>
      <c r="PN1703" s="38"/>
      <c r="PO1703" s="38"/>
      <c r="PP1703" s="38"/>
      <c r="PQ1703" s="38"/>
      <c r="PR1703" s="38"/>
      <c r="PS1703" s="38"/>
      <c r="PT1703" s="38"/>
      <c r="PU1703" s="38"/>
      <c r="PV1703" s="38"/>
      <c r="PW1703" s="38"/>
      <c r="PX1703" s="38"/>
      <c r="PY1703" s="38"/>
      <c r="PZ1703" s="38"/>
      <c r="QA1703" s="38"/>
      <c r="QB1703" s="38"/>
      <c r="QC1703" s="38"/>
      <c r="QD1703" s="38"/>
      <c r="QE1703" s="38"/>
      <c r="QF1703" s="38"/>
      <c r="QG1703" s="38"/>
      <c r="QH1703" s="38"/>
      <c r="QI1703" s="38"/>
      <c r="QJ1703" s="38"/>
      <c r="QK1703" s="38"/>
      <c r="QL1703" s="38"/>
      <c r="QM1703" s="38"/>
      <c r="QN1703" s="38"/>
      <c r="QO1703" s="38"/>
      <c r="QP1703" s="38"/>
      <c r="QQ1703" s="38"/>
      <c r="QR1703" s="38"/>
      <c r="QS1703" s="38"/>
      <c r="QT1703" s="38"/>
      <c r="QU1703" s="38"/>
      <c r="QV1703" s="38"/>
      <c r="QW1703" s="38"/>
      <c r="QX1703" s="38"/>
      <c r="QY1703" s="38"/>
      <c r="QZ1703" s="38"/>
      <c r="RA1703" s="38"/>
      <c r="RB1703" s="38"/>
      <c r="RC1703" s="38"/>
      <c r="RD1703" s="38"/>
      <c r="RE1703" s="38"/>
      <c r="RF1703" s="38"/>
      <c r="RG1703" s="38"/>
      <c r="RH1703" s="38"/>
      <c r="RI1703" s="38"/>
      <c r="RJ1703" s="38"/>
      <c r="RK1703" s="38"/>
      <c r="RL1703" s="38"/>
      <c r="RM1703" s="38"/>
      <c r="RN1703" s="38"/>
      <c r="RO1703" s="38"/>
      <c r="RP1703" s="38"/>
      <c r="RQ1703" s="38"/>
      <c r="RR1703" s="38"/>
      <c r="RS1703" s="38"/>
      <c r="RT1703" s="38"/>
      <c r="RU1703" s="38"/>
      <c r="RV1703" s="38"/>
      <c r="RW1703" s="38"/>
      <c r="RX1703" s="38"/>
      <c r="RY1703" s="38"/>
      <c r="RZ1703" s="38"/>
      <c r="SA1703" s="38"/>
      <c r="SB1703" s="38"/>
      <c r="SC1703" s="38"/>
      <c r="SD1703" s="38"/>
      <c r="SE1703" s="38"/>
      <c r="SF1703" s="38"/>
      <c r="SG1703" s="38"/>
      <c r="SH1703" s="38"/>
      <c r="SI1703" s="38"/>
      <c r="SJ1703" s="38"/>
      <c r="SK1703" s="38"/>
      <c r="SL1703" s="38"/>
      <c r="SM1703" s="38"/>
      <c r="SN1703" s="38"/>
      <c r="SO1703" s="38"/>
      <c r="SP1703" s="38"/>
      <c r="SQ1703" s="38"/>
      <c r="SR1703" s="38"/>
      <c r="SS1703" s="38"/>
      <c r="ST1703" s="38"/>
      <c r="SU1703" s="38"/>
      <c r="SV1703" s="38"/>
      <c r="SW1703" s="38"/>
      <c r="SX1703" s="38"/>
      <c r="SY1703" s="38"/>
      <c r="SZ1703" s="38"/>
      <c r="TA1703" s="38"/>
      <c r="TB1703" s="38"/>
      <c r="TC1703" s="38"/>
      <c r="TD1703" s="38"/>
      <c r="TE1703" s="38"/>
      <c r="TF1703" s="38"/>
      <c r="TG1703" s="38"/>
      <c r="TH1703" s="38"/>
      <c r="TI1703" s="38"/>
      <c r="TJ1703" s="38"/>
      <c r="TK1703" s="38"/>
      <c r="TL1703" s="38"/>
      <c r="TM1703" s="38"/>
      <c r="TN1703" s="38"/>
      <c r="TO1703" s="38"/>
      <c r="TP1703" s="38"/>
      <c r="TQ1703" s="38"/>
      <c r="TR1703" s="38"/>
      <c r="TS1703" s="38"/>
      <c r="TT1703" s="38"/>
      <c r="TU1703" s="38"/>
      <c r="TV1703" s="38"/>
      <c r="TW1703" s="38"/>
      <c r="TX1703" s="38"/>
      <c r="TY1703" s="38"/>
      <c r="TZ1703" s="38"/>
      <c r="UA1703" s="38"/>
      <c r="UB1703" s="38"/>
      <c r="UC1703" s="38"/>
      <c r="UD1703" s="38"/>
      <c r="UE1703" s="38"/>
      <c r="UF1703" s="38"/>
      <c r="UG1703" s="38"/>
      <c r="UH1703" s="38"/>
      <c r="UI1703" s="38"/>
      <c r="UJ1703" s="38"/>
      <c r="UK1703" s="38"/>
      <c r="UL1703" s="38"/>
      <c r="UM1703" s="38"/>
      <c r="UN1703" s="38"/>
      <c r="UO1703" s="38"/>
      <c r="UP1703" s="38"/>
      <c r="UQ1703" s="38"/>
      <c r="UR1703" s="38"/>
      <c r="US1703" s="38"/>
      <c r="UT1703" s="38"/>
      <c r="UU1703" s="38"/>
      <c r="UV1703" s="38"/>
      <c r="UW1703" s="38"/>
      <c r="UX1703" s="38"/>
      <c r="UY1703" s="38"/>
      <c r="UZ1703" s="38"/>
      <c r="VA1703" s="38"/>
      <c r="VB1703" s="38"/>
      <c r="VC1703" s="38"/>
      <c r="VD1703" s="38"/>
      <c r="VE1703" s="38"/>
      <c r="VF1703" s="38"/>
      <c r="VG1703" s="38"/>
      <c r="VH1703" s="38"/>
      <c r="VI1703" s="38"/>
      <c r="VJ1703" s="38"/>
      <c r="VK1703" s="38"/>
      <c r="VL1703" s="38"/>
      <c r="VM1703" s="38"/>
      <c r="VN1703" s="38"/>
      <c r="VO1703" s="38"/>
      <c r="VP1703" s="38"/>
      <c r="VQ1703" s="38"/>
      <c r="VR1703" s="38"/>
      <c r="VS1703" s="38"/>
      <c r="VT1703" s="38"/>
      <c r="VU1703" s="38"/>
      <c r="VV1703" s="38"/>
      <c r="VW1703" s="38"/>
      <c r="VX1703" s="38"/>
      <c r="VY1703" s="38"/>
      <c r="VZ1703" s="38"/>
      <c r="WA1703" s="38"/>
      <c r="WB1703" s="38"/>
      <c r="WC1703" s="38"/>
      <c r="WD1703" s="38"/>
      <c r="WE1703" s="38"/>
      <c r="WF1703" s="38"/>
      <c r="WG1703" s="38"/>
      <c r="WH1703" s="38"/>
      <c r="WI1703" s="38"/>
      <c r="WJ1703" s="38"/>
      <c r="WK1703" s="38"/>
      <c r="WL1703" s="38"/>
      <c r="WM1703" s="38"/>
      <c r="WN1703" s="38"/>
      <c r="WO1703" s="38"/>
      <c r="WP1703" s="38"/>
      <c r="WQ1703" s="38"/>
      <c r="WR1703" s="38"/>
      <c r="WS1703" s="38"/>
      <c r="WT1703" s="38"/>
      <c r="WU1703" s="38"/>
      <c r="WV1703" s="38"/>
      <c r="WW1703" s="38"/>
      <c r="WX1703" s="38"/>
      <c r="WY1703" s="38"/>
      <c r="WZ1703" s="38"/>
      <c r="XA1703" s="38"/>
      <c r="XB1703" s="38"/>
      <c r="XC1703" s="38"/>
      <c r="XD1703" s="38"/>
      <c r="XE1703" s="38"/>
      <c r="XF1703" s="38"/>
      <c r="XG1703" s="38"/>
      <c r="XH1703" s="38"/>
      <c r="XI1703" s="38"/>
      <c r="XJ1703" s="38"/>
      <c r="XK1703" s="38"/>
      <c r="XL1703" s="38"/>
      <c r="XM1703" s="38"/>
      <c r="XN1703" s="38"/>
      <c r="XO1703" s="38"/>
      <c r="XP1703" s="38"/>
      <c r="XQ1703" s="38"/>
      <c r="XR1703" s="38"/>
      <c r="XS1703" s="38"/>
      <c r="XT1703" s="38"/>
      <c r="XU1703" s="38"/>
      <c r="XV1703" s="38"/>
      <c r="XW1703" s="38"/>
      <c r="XX1703" s="38"/>
      <c r="XY1703" s="38"/>
      <c r="XZ1703" s="38"/>
      <c r="YA1703" s="38"/>
      <c r="YB1703" s="38"/>
      <c r="YC1703" s="38"/>
      <c r="YD1703" s="38"/>
      <c r="YE1703" s="38"/>
      <c r="YF1703" s="38"/>
      <c r="YG1703" s="38"/>
      <c r="YH1703" s="38"/>
      <c r="YI1703" s="38"/>
      <c r="YJ1703" s="38"/>
      <c r="YK1703" s="38"/>
      <c r="YL1703" s="38"/>
      <c r="YM1703" s="38"/>
      <c r="YN1703" s="38"/>
      <c r="YO1703" s="38"/>
      <c r="YP1703" s="38"/>
      <c r="YQ1703" s="38"/>
      <c r="YR1703" s="38"/>
      <c r="YS1703" s="38"/>
      <c r="YT1703" s="38"/>
      <c r="YU1703" s="38"/>
      <c r="YV1703" s="38"/>
      <c r="YW1703" s="38"/>
      <c r="YX1703" s="38"/>
      <c r="YY1703" s="38"/>
      <c r="YZ1703" s="38"/>
      <c r="ZA1703" s="38"/>
      <c r="ZB1703" s="38"/>
      <c r="ZC1703" s="38"/>
      <c r="ZD1703" s="38"/>
      <c r="ZE1703" s="38"/>
      <c r="ZF1703" s="38"/>
      <c r="ZG1703" s="38"/>
      <c r="ZH1703" s="38"/>
      <c r="ZI1703" s="38"/>
      <c r="ZJ1703" s="38"/>
      <c r="ZK1703" s="38"/>
      <c r="ZL1703" s="38"/>
      <c r="ZM1703" s="38"/>
      <c r="ZN1703" s="38"/>
      <c r="ZO1703" s="38"/>
      <c r="ZP1703" s="38"/>
      <c r="ZQ1703" s="38"/>
      <c r="ZR1703" s="38"/>
      <c r="ZS1703" s="38"/>
      <c r="ZT1703" s="38"/>
      <c r="ZU1703" s="38"/>
      <c r="ZV1703" s="38"/>
      <c r="ZW1703" s="38"/>
      <c r="ZX1703" s="38"/>
      <c r="ZY1703" s="38"/>
      <c r="ZZ1703" s="38"/>
      <c r="AAA1703" s="38"/>
      <c r="AAB1703" s="38"/>
      <c r="AAC1703" s="38"/>
      <c r="AAD1703" s="38"/>
      <c r="AAE1703" s="38"/>
      <c r="AAF1703" s="38"/>
      <c r="AAG1703" s="38"/>
      <c r="AAH1703" s="38"/>
      <c r="AAI1703" s="38"/>
      <c r="AAJ1703" s="38"/>
      <c r="AAK1703" s="38"/>
      <c r="AAL1703" s="38"/>
      <c r="AAM1703" s="38"/>
      <c r="AAN1703" s="38"/>
      <c r="AAO1703" s="38"/>
      <c r="AAP1703" s="38"/>
      <c r="AAQ1703" s="38"/>
      <c r="AAR1703" s="38"/>
      <c r="AAS1703" s="38"/>
      <c r="AAT1703" s="38"/>
      <c r="AAU1703" s="38"/>
      <c r="AAV1703" s="38"/>
      <c r="AAW1703" s="38"/>
      <c r="AAX1703" s="38"/>
      <c r="AAY1703" s="38"/>
      <c r="AAZ1703" s="38"/>
      <c r="ABA1703" s="38"/>
      <c r="ABB1703" s="38"/>
      <c r="ABC1703" s="38"/>
      <c r="ABD1703" s="38"/>
      <c r="ABE1703" s="38"/>
      <c r="ABF1703" s="38"/>
      <c r="ABG1703" s="38"/>
      <c r="ABH1703" s="38"/>
      <c r="ABI1703" s="38"/>
      <c r="ABJ1703" s="38"/>
      <c r="ABK1703" s="38"/>
      <c r="ABL1703" s="38"/>
      <c r="ABM1703" s="38"/>
      <c r="ABN1703" s="38"/>
      <c r="ABO1703" s="38"/>
      <c r="ABP1703" s="38"/>
      <c r="ABQ1703" s="38"/>
      <c r="ABR1703" s="38"/>
      <c r="ABS1703" s="38"/>
      <c r="ABT1703" s="38"/>
      <c r="ABU1703" s="38"/>
      <c r="ABV1703" s="38"/>
      <c r="ABW1703" s="38"/>
      <c r="ABX1703" s="38"/>
      <c r="ABY1703" s="38"/>
      <c r="ABZ1703" s="38"/>
      <c r="ACA1703" s="38"/>
      <c r="ACB1703" s="38"/>
      <c r="ACC1703" s="38"/>
      <c r="ACD1703" s="38"/>
      <c r="ACE1703" s="38"/>
      <c r="ACF1703" s="38"/>
      <c r="ACG1703" s="38"/>
      <c r="ACH1703" s="38"/>
      <c r="ACI1703" s="38"/>
      <c r="ACJ1703" s="38"/>
      <c r="ACK1703" s="38"/>
      <c r="ACL1703" s="38"/>
      <c r="ACM1703" s="38"/>
      <c r="ACN1703" s="38"/>
      <c r="ACO1703" s="38"/>
      <c r="ACP1703" s="38"/>
      <c r="ACQ1703" s="38"/>
      <c r="ACR1703" s="38"/>
      <c r="ACS1703" s="38"/>
      <c r="ACT1703" s="38"/>
      <c r="ACU1703" s="38"/>
      <c r="ACV1703" s="38"/>
      <c r="ACW1703" s="38"/>
      <c r="ACX1703" s="38"/>
      <c r="ACY1703" s="38"/>
      <c r="ACZ1703" s="38"/>
      <c r="ADA1703" s="38"/>
      <c r="ADB1703" s="38"/>
      <c r="ADC1703" s="38"/>
      <c r="ADD1703" s="38"/>
      <c r="ADE1703" s="38"/>
      <c r="ADF1703" s="38"/>
      <c r="ADG1703" s="38"/>
      <c r="ADH1703" s="38"/>
      <c r="ADI1703" s="38"/>
      <c r="ADJ1703" s="38"/>
      <c r="ADK1703" s="38"/>
      <c r="ADL1703" s="38"/>
      <c r="ADM1703" s="38"/>
      <c r="ADN1703" s="38"/>
      <c r="ADO1703" s="38"/>
      <c r="ADP1703" s="38"/>
      <c r="ADQ1703" s="38"/>
      <c r="ADR1703" s="38"/>
      <c r="ADS1703" s="38"/>
      <c r="ADT1703" s="38"/>
      <c r="ADU1703" s="38"/>
      <c r="ADV1703" s="38"/>
      <c r="ADW1703" s="38"/>
      <c r="ADX1703" s="38"/>
      <c r="ADY1703" s="38"/>
      <c r="ADZ1703" s="38"/>
      <c r="AEA1703" s="38"/>
      <c r="AEB1703" s="38"/>
      <c r="AEC1703" s="38"/>
      <c r="AED1703" s="38"/>
      <c r="AEE1703" s="38"/>
      <c r="AEF1703" s="38"/>
      <c r="AEG1703" s="38"/>
      <c r="AEH1703" s="38"/>
      <c r="AEI1703" s="38"/>
      <c r="AEJ1703" s="38"/>
      <c r="AEK1703" s="38"/>
      <c r="AEL1703" s="38"/>
      <c r="AEM1703" s="38"/>
      <c r="AEN1703" s="38"/>
      <c r="AEO1703" s="38"/>
      <c r="AEP1703" s="38"/>
      <c r="AEQ1703" s="38"/>
      <c r="AER1703" s="38"/>
      <c r="AES1703" s="38"/>
      <c r="AET1703" s="38"/>
      <c r="AEU1703" s="38"/>
      <c r="AEV1703" s="38"/>
      <c r="AEW1703" s="38"/>
      <c r="AEX1703" s="38"/>
      <c r="AEY1703" s="38"/>
      <c r="AEZ1703" s="38"/>
      <c r="AFA1703" s="38"/>
      <c r="AFB1703" s="38"/>
      <c r="AFC1703" s="38"/>
      <c r="AFD1703" s="38"/>
      <c r="AFE1703" s="38"/>
      <c r="AFF1703" s="38"/>
      <c r="AFG1703" s="38"/>
      <c r="AFH1703" s="38"/>
      <c r="AFI1703" s="38"/>
      <c r="AFJ1703" s="38"/>
      <c r="AFK1703" s="38"/>
      <c r="AFL1703" s="38"/>
      <c r="AFM1703" s="38"/>
      <c r="AFN1703" s="38"/>
      <c r="AFO1703" s="38"/>
      <c r="AFP1703" s="38"/>
      <c r="AFQ1703" s="38"/>
      <c r="AFR1703" s="38"/>
      <c r="AFS1703" s="38"/>
      <c r="AFT1703" s="38"/>
      <c r="AFU1703" s="38"/>
      <c r="AFV1703" s="38"/>
      <c r="AFW1703" s="38"/>
      <c r="AFX1703" s="38"/>
      <c r="AFY1703" s="38"/>
      <c r="AFZ1703" s="38"/>
      <c r="AGA1703" s="38"/>
      <c r="AGB1703" s="38"/>
      <c r="AGC1703" s="38"/>
      <c r="AGD1703" s="38"/>
      <c r="AGE1703" s="38"/>
      <c r="AGF1703" s="38"/>
      <c r="AGG1703" s="38"/>
      <c r="AGH1703" s="38"/>
      <c r="AGI1703" s="38"/>
      <c r="AGJ1703" s="38"/>
      <c r="AGK1703" s="38"/>
      <c r="AGL1703" s="38"/>
      <c r="AGM1703" s="38"/>
      <c r="AGN1703" s="38"/>
      <c r="AGO1703" s="38"/>
      <c r="AGP1703" s="38"/>
      <c r="AGQ1703" s="38"/>
      <c r="AGR1703" s="38"/>
      <c r="AGS1703" s="38"/>
      <c r="AGT1703" s="38"/>
      <c r="AGU1703" s="38"/>
      <c r="AGV1703" s="38"/>
      <c r="AGW1703" s="38"/>
      <c r="AGX1703" s="38"/>
      <c r="AGY1703" s="38"/>
      <c r="AGZ1703" s="38"/>
      <c r="AHA1703" s="38"/>
      <c r="AHB1703" s="38"/>
      <c r="AHC1703" s="38"/>
      <c r="AHD1703" s="38"/>
      <c r="AHE1703" s="38"/>
      <c r="AHF1703" s="38"/>
      <c r="AHG1703" s="38"/>
      <c r="AHH1703" s="38"/>
      <c r="AHI1703" s="38"/>
      <c r="AHJ1703" s="38"/>
      <c r="AHK1703" s="38"/>
      <c r="AHL1703" s="38"/>
      <c r="AHM1703" s="38"/>
      <c r="AHN1703" s="38"/>
      <c r="AHO1703" s="38"/>
      <c r="AHP1703" s="38"/>
      <c r="AHQ1703" s="38"/>
      <c r="AHR1703" s="38"/>
      <c r="AHS1703" s="38"/>
      <c r="AHT1703" s="38"/>
      <c r="AHU1703" s="38"/>
      <c r="AHV1703" s="38"/>
      <c r="AHW1703" s="38"/>
      <c r="AHX1703" s="38"/>
      <c r="AHY1703" s="38"/>
      <c r="AHZ1703" s="38"/>
      <c r="AIA1703" s="38"/>
      <c r="AIB1703" s="38"/>
      <c r="AIC1703" s="38"/>
      <c r="AID1703" s="38"/>
      <c r="AIE1703" s="38"/>
      <c r="AIF1703" s="38"/>
      <c r="AIG1703" s="38"/>
      <c r="AIH1703" s="38"/>
      <c r="AII1703" s="38"/>
      <c r="AIJ1703" s="38"/>
      <c r="AIK1703" s="38"/>
      <c r="AIL1703" s="38"/>
      <c r="AIM1703" s="38"/>
      <c r="AIN1703" s="38"/>
      <c r="AIO1703" s="38"/>
      <c r="AIP1703" s="38"/>
      <c r="AIQ1703" s="38"/>
      <c r="AIR1703" s="38"/>
      <c r="AIS1703" s="38"/>
      <c r="AIT1703" s="38"/>
      <c r="AIU1703" s="38"/>
      <c r="AIV1703" s="38"/>
      <c r="AIW1703" s="38"/>
      <c r="AIX1703" s="38"/>
      <c r="AIY1703" s="38"/>
      <c r="AIZ1703" s="38"/>
      <c r="AJA1703" s="38"/>
      <c r="AJB1703" s="38"/>
      <c r="AJC1703" s="38"/>
      <c r="AJD1703" s="38"/>
      <c r="AJE1703" s="38"/>
      <c r="AJF1703" s="38"/>
      <c r="AJG1703" s="38"/>
      <c r="AJH1703" s="38"/>
      <c r="AJI1703" s="38"/>
      <c r="AJJ1703" s="38"/>
      <c r="AJK1703" s="38"/>
      <c r="AJL1703" s="38"/>
      <c r="AJM1703" s="38"/>
      <c r="AJN1703" s="38"/>
      <c r="AJO1703" s="38"/>
      <c r="AJP1703" s="38"/>
      <c r="AJQ1703" s="38"/>
      <c r="AJR1703" s="38"/>
      <c r="AJS1703" s="38"/>
      <c r="AJT1703" s="38"/>
      <c r="AJU1703" s="38"/>
      <c r="AJV1703" s="38"/>
      <c r="AJW1703" s="38"/>
      <c r="AJX1703" s="38"/>
      <c r="AJY1703" s="38"/>
      <c r="AJZ1703" s="38"/>
      <c r="AKA1703" s="38"/>
      <c r="AKB1703" s="38"/>
      <c r="AKC1703" s="38"/>
      <c r="AKD1703" s="38"/>
      <c r="AKE1703" s="38"/>
      <c r="AKF1703" s="38"/>
      <c r="AKG1703" s="38"/>
      <c r="AKH1703" s="38"/>
      <c r="AKI1703" s="38"/>
      <c r="AKJ1703" s="38"/>
      <c r="AKK1703" s="38"/>
      <c r="AKL1703" s="38"/>
      <c r="AKM1703" s="38"/>
      <c r="AKN1703" s="38"/>
      <c r="AKO1703" s="38"/>
      <c r="AKP1703" s="38"/>
      <c r="AKQ1703" s="38"/>
      <c r="AKR1703" s="38"/>
      <c r="AKS1703" s="38"/>
      <c r="AKT1703" s="38"/>
      <c r="AKU1703" s="38"/>
      <c r="AKV1703" s="38"/>
      <c r="AKW1703" s="38"/>
      <c r="AKX1703" s="38"/>
      <c r="AKY1703" s="38"/>
      <c r="AKZ1703" s="38"/>
      <c r="ALA1703" s="38"/>
      <c r="ALB1703" s="38"/>
      <c r="ALC1703" s="38"/>
      <c r="ALD1703" s="38"/>
      <c r="ALE1703" s="38"/>
      <c r="ALF1703" s="38"/>
      <c r="ALG1703" s="38"/>
      <c r="ALH1703" s="38"/>
      <c r="ALI1703" s="38"/>
      <c r="ALJ1703" s="38"/>
      <c r="ALK1703" s="38"/>
      <c r="ALL1703" s="38"/>
      <c r="ALM1703" s="38"/>
      <c r="ALN1703" s="38"/>
      <c r="ALO1703" s="38"/>
      <c r="ALP1703" s="38"/>
      <c r="ALQ1703" s="38"/>
      <c r="ALR1703" s="38"/>
      <c r="ALS1703" s="38"/>
      <c r="ALT1703" s="38"/>
      <c r="ALU1703" s="38"/>
      <c r="ALV1703" s="38"/>
      <c r="ALW1703" s="38"/>
      <c r="ALX1703" s="38"/>
      <c r="ALY1703" s="38"/>
      <c r="ALZ1703" s="38"/>
      <c r="AMA1703" s="38"/>
      <c r="AMB1703" s="38"/>
      <c r="AMC1703" s="38"/>
      <c r="AMD1703" s="38"/>
      <c r="AME1703" s="38"/>
      <c r="AMF1703" s="38"/>
      <c r="AMG1703" s="38"/>
      <c r="AMH1703" s="38"/>
      <c r="AMI1703" s="38"/>
      <c r="AMJ1703" s="38"/>
      <c r="AMK1703" s="38"/>
      <c r="AML1703" s="38"/>
      <c r="AMM1703" s="38"/>
      <c r="AMN1703" s="38"/>
      <c r="AMO1703" s="38"/>
      <c r="AMP1703" s="38"/>
      <c r="AMQ1703" s="38"/>
      <c r="AMR1703" s="38"/>
      <c r="AMS1703" s="38"/>
      <c r="AMT1703" s="38"/>
      <c r="AMU1703" s="38"/>
      <c r="AMV1703" s="38"/>
      <c r="AMW1703" s="38"/>
      <c r="AMX1703" s="38"/>
      <c r="AMY1703" s="38"/>
      <c r="AMZ1703" s="38"/>
      <c r="ANA1703" s="38"/>
      <c r="ANB1703" s="38"/>
      <c r="ANC1703" s="38"/>
      <c r="AND1703" s="38"/>
      <c r="ANE1703" s="38"/>
      <c r="ANF1703" s="38"/>
      <c r="ANG1703" s="38"/>
      <c r="ANH1703" s="38"/>
      <c r="ANI1703" s="38"/>
      <c r="ANJ1703" s="38"/>
      <c r="ANK1703" s="38"/>
      <c r="ANL1703" s="38"/>
      <c r="ANM1703" s="38"/>
      <c r="ANN1703" s="38"/>
      <c r="ANO1703" s="38"/>
      <c r="ANP1703" s="38"/>
      <c r="ANQ1703" s="38"/>
      <c r="ANR1703" s="38"/>
      <c r="ANS1703" s="38"/>
      <c r="ANT1703" s="38"/>
      <c r="ANU1703" s="38"/>
      <c r="ANV1703" s="38"/>
      <c r="ANW1703" s="38"/>
      <c r="ANX1703" s="38"/>
      <c r="ANY1703" s="38"/>
      <c r="ANZ1703" s="38"/>
      <c r="AOA1703" s="38"/>
      <c r="AOB1703" s="38"/>
      <c r="AOC1703" s="38"/>
      <c r="AOD1703" s="38"/>
      <c r="AOE1703" s="38"/>
      <c r="AOF1703" s="38"/>
      <c r="AOG1703" s="38"/>
      <c r="AOH1703" s="38"/>
      <c r="AOI1703" s="38"/>
      <c r="AOJ1703" s="38"/>
      <c r="AOK1703" s="38"/>
      <c r="AOL1703" s="38"/>
      <c r="AOM1703" s="38"/>
      <c r="AON1703" s="38"/>
      <c r="AOO1703" s="38"/>
      <c r="AOP1703" s="38"/>
      <c r="AOQ1703" s="38"/>
      <c r="AOR1703" s="38"/>
      <c r="AOS1703" s="38"/>
      <c r="AOT1703" s="38"/>
      <c r="AOU1703" s="38"/>
      <c r="AOV1703" s="38"/>
      <c r="AOW1703" s="38"/>
      <c r="AOX1703" s="38"/>
      <c r="AOY1703" s="38"/>
      <c r="AOZ1703" s="38"/>
      <c r="APA1703" s="38"/>
      <c r="APB1703" s="38"/>
      <c r="APC1703" s="38"/>
    </row>
    <row r="1704" spans="1:1095" s="36" customFormat="1" ht="14.25" customHeight="1">
      <c r="A1704" s="3" t="s">
        <v>1722</v>
      </c>
      <c r="B1704" s="36" t="s">
        <v>3978</v>
      </c>
      <c r="C1704" s="251">
        <v>4099854081200</v>
      </c>
      <c r="D1704" s="224">
        <v>4058075771680</v>
      </c>
      <c r="E1704" s="252" t="s">
        <v>1620</v>
      </c>
      <c r="F1704" s="253"/>
      <c r="G1704" s="66" t="str">
        <f>HYPERLINK("https://ledvance.com/pt/product-datasheet/247502/243542","Ficha de Produto")</f>
        <v>Ficha de Produto</v>
      </c>
      <c r="H1704" s="217">
        <v>10</v>
      </c>
      <c r="I1704" s="34" t="s">
        <v>786</v>
      </c>
      <c r="J1704" s="34" t="s">
        <v>859</v>
      </c>
      <c r="K1704" s="34" t="s">
        <v>788</v>
      </c>
      <c r="L1704" s="34" t="s">
        <v>765</v>
      </c>
      <c r="M1704" s="247">
        <v>34.9</v>
      </c>
      <c r="N1704" s="288" t="s">
        <v>722</v>
      </c>
    </row>
    <row r="1705" spans="1:1095" s="36" customFormat="1" ht="14.25" customHeight="1">
      <c r="A1705" s="3" t="s">
        <v>1722</v>
      </c>
      <c r="B1705" s="36" t="s">
        <v>3979</v>
      </c>
      <c r="C1705" s="251">
        <v>4099854081224</v>
      </c>
      <c r="D1705" s="224">
        <v>4058075771703</v>
      </c>
      <c r="E1705" s="252" t="s">
        <v>1621</v>
      </c>
      <c r="F1705" s="253"/>
      <c r="G1705" s="66" t="str">
        <f>HYPERLINK("https://ledvance.com/pt/product-datasheet/247502/243545","Ficha de Produto")</f>
        <v>Ficha de Produto</v>
      </c>
      <c r="H1705" s="217">
        <v>10</v>
      </c>
      <c r="I1705" s="34" t="s">
        <v>762</v>
      </c>
      <c r="J1705" s="34" t="s">
        <v>859</v>
      </c>
      <c r="K1705" s="34" t="s">
        <v>788</v>
      </c>
      <c r="L1705" s="34" t="s">
        <v>765</v>
      </c>
      <c r="M1705" s="247">
        <v>34.9</v>
      </c>
      <c r="N1705" s="288" t="s">
        <v>722</v>
      </c>
    </row>
    <row r="1706" spans="1:1095" s="36" customFormat="1" ht="14.25" customHeight="1">
      <c r="A1706" s="3" t="s">
        <v>1722</v>
      </c>
      <c r="B1706" s="36" t="s">
        <v>3980</v>
      </c>
      <c r="C1706" s="251">
        <v>4099854081248</v>
      </c>
      <c r="D1706" s="224">
        <v>4058075771727</v>
      </c>
      <c r="E1706" s="252" t="s">
        <v>1622</v>
      </c>
      <c r="F1706" s="253"/>
      <c r="G1706" s="66" t="str">
        <f>HYPERLINK("https://ledvance.com/pt/product-datasheet/247502/243548","Ficha de Produto")</f>
        <v>Ficha de Produto</v>
      </c>
      <c r="H1706" s="217">
        <v>10</v>
      </c>
      <c r="I1706" s="34" t="s">
        <v>762</v>
      </c>
      <c r="J1706" s="34" t="s">
        <v>859</v>
      </c>
      <c r="K1706" s="34" t="s">
        <v>788</v>
      </c>
      <c r="L1706" s="34" t="s">
        <v>765</v>
      </c>
      <c r="M1706" s="247">
        <v>34.9</v>
      </c>
      <c r="N1706" s="288" t="s">
        <v>722</v>
      </c>
    </row>
    <row r="1707" spans="1:1095" s="39" customFormat="1" ht="14.25" customHeight="1">
      <c r="A1707" s="8" t="s">
        <v>1722</v>
      </c>
      <c r="B1707" s="244" t="s">
        <v>2068</v>
      </c>
      <c r="C1707" s="8"/>
      <c r="D1707" s="7"/>
      <c r="E1707" s="230"/>
      <c r="F1707" s="7"/>
      <c r="G1707" s="68" t="s">
        <v>6505</v>
      </c>
      <c r="H1707" s="230"/>
      <c r="I1707" s="230"/>
      <c r="J1707" s="230"/>
      <c r="K1707" s="230"/>
      <c r="L1707" s="230"/>
      <c r="M1707" s="248"/>
      <c r="N1707" s="284"/>
      <c r="O1707" s="38"/>
      <c r="P1707" s="38"/>
      <c r="Q1707" s="38"/>
      <c r="R1707" s="38"/>
      <c r="S1707" s="38"/>
      <c r="T1707" s="38"/>
      <c r="U1707" s="38"/>
      <c r="V1707" s="38"/>
      <c r="W1707" s="38"/>
      <c r="X1707" s="38"/>
      <c r="Y1707" s="38"/>
      <c r="Z1707" s="38"/>
      <c r="AA1707" s="38"/>
      <c r="AB1707" s="38"/>
      <c r="AC1707" s="38"/>
      <c r="AD1707" s="38"/>
      <c r="AE1707" s="38"/>
      <c r="AF1707" s="38"/>
      <c r="AG1707" s="38"/>
      <c r="AH1707" s="38"/>
      <c r="AI1707" s="38"/>
      <c r="AJ1707" s="38"/>
      <c r="AK1707" s="38"/>
      <c r="AL1707" s="38"/>
      <c r="AM1707" s="38"/>
      <c r="AN1707" s="38"/>
      <c r="AO1707" s="38"/>
      <c r="AP1707" s="38"/>
      <c r="AQ1707" s="38"/>
      <c r="AR1707" s="38"/>
      <c r="AS1707" s="38"/>
      <c r="AT1707" s="38"/>
      <c r="AU1707" s="38"/>
      <c r="AV1707" s="38"/>
      <c r="AW1707" s="38"/>
      <c r="AX1707" s="38"/>
      <c r="AY1707" s="38"/>
      <c r="AZ1707" s="38"/>
      <c r="BA1707" s="38"/>
      <c r="BB1707" s="38"/>
      <c r="BC1707" s="38"/>
      <c r="BD1707" s="38"/>
      <c r="BE1707" s="38"/>
      <c r="BF1707" s="38"/>
      <c r="BG1707" s="38"/>
      <c r="BH1707" s="38"/>
      <c r="BI1707" s="38"/>
      <c r="BJ1707" s="38"/>
      <c r="BK1707" s="38"/>
      <c r="BL1707" s="38"/>
      <c r="BM1707" s="38"/>
      <c r="BN1707" s="38"/>
      <c r="BO1707" s="38"/>
      <c r="BP1707" s="38"/>
      <c r="BQ1707" s="38"/>
      <c r="BR1707" s="38"/>
      <c r="BS1707" s="38"/>
      <c r="BT1707" s="38"/>
      <c r="BU1707" s="38"/>
      <c r="BV1707" s="38"/>
      <c r="BW1707" s="38"/>
      <c r="BX1707" s="38"/>
      <c r="BY1707" s="38"/>
      <c r="BZ1707" s="38"/>
      <c r="CA1707" s="38"/>
      <c r="CB1707" s="38"/>
      <c r="CC1707" s="38"/>
      <c r="CD1707" s="38"/>
      <c r="CE1707" s="38"/>
      <c r="CF1707" s="38"/>
      <c r="CG1707" s="38"/>
      <c r="CH1707" s="38"/>
      <c r="CI1707" s="38"/>
      <c r="CJ1707" s="38"/>
      <c r="CK1707" s="38"/>
      <c r="CL1707" s="38"/>
      <c r="CM1707" s="38"/>
      <c r="CN1707" s="38"/>
      <c r="CO1707" s="38"/>
      <c r="CP1707" s="38"/>
      <c r="CQ1707" s="38"/>
      <c r="CR1707" s="38"/>
      <c r="CS1707" s="38"/>
      <c r="CT1707" s="38"/>
      <c r="CU1707" s="38"/>
      <c r="CV1707" s="38"/>
      <c r="CW1707" s="38"/>
      <c r="CX1707" s="38"/>
      <c r="CY1707" s="38"/>
      <c r="CZ1707" s="38"/>
      <c r="DA1707" s="38"/>
      <c r="DB1707" s="38"/>
      <c r="DC1707" s="38"/>
      <c r="DD1707" s="38"/>
      <c r="DE1707" s="38"/>
      <c r="DF1707" s="38"/>
      <c r="DG1707" s="38"/>
      <c r="DH1707" s="38"/>
      <c r="DI1707" s="38"/>
      <c r="DJ1707" s="38"/>
      <c r="DK1707" s="38"/>
      <c r="DL1707" s="38"/>
      <c r="DM1707" s="38"/>
      <c r="DN1707" s="38"/>
      <c r="DO1707" s="38"/>
      <c r="DP1707" s="38"/>
      <c r="DQ1707" s="38"/>
      <c r="DR1707" s="38"/>
      <c r="DS1707" s="38"/>
      <c r="DT1707" s="38"/>
      <c r="DU1707" s="38"/>
      <c r="DV1707" s="38"/>
      <c r="DW1707" s="38"/>
      <c r="DX1707" s="38"/>
      <c r="DY1707" s="38"/>
      <c r="DZ1707" s="38"/>
      <c r="EA1707" s="38"/>
      <c r="EB1707" s="38"/>
      <c r="EC1707" s="38"/>
      <c r="ED1707" s="38"/>
      <c r="EE1707" s="38"/>
      <c r="EF1707" s="38"/>
      <c r="EG1707" s="38"/>
      <c r="EH1707" s="38"/>
      <c r="EI1707" s="38"/>
      <c r="EJ1707" s="38"/>
      <c r="EK1707" s="38"/>
      <c r="EL1707" s="38"/>
      <c r="EM1707" s="38"/>
      <c r="EN1707" s="38"/>
      <c r="EO1707" s="38"/>
      <c r="EP1707" s="38"/>
      <c r="EQ1707" s="38"/>
      <c r="ER1707" s="38"/>
      <c r="ES1707" s="38"/>
      <c r="ET1707" s="38"/>
      <c r="EU1707" s="38"/>
      <c r="EV1707" s="38"/>
      <c r="EW1707" s="38"/>
      <c r="EX1707" s="38"/>
      <c r="EY1707" s="38"/>
      <c r="EZ1707" s="38"/>
      <c r="FA1707" s="38"/>
      <c r="FB1707" s="38"/>
      <c r="FC1707" s="38"/>
      <c r="FD1707" s="38"/>
      <c r="FE1707" s="38"/>
      <c r="FF1707" s="38"/>
      <c r="FG1707" s="38"/>
      <c r="FH1707" s="38"/>
      <c r="FI1707" s="38"/>
      <c r="FJ1707" s="38"/>
      <c r="FK1707" s="38"/>
      <c r="FL1707" s="38"/>
      <c r="FM1707" s="38"/>
      <c r="FN1707" s="38"/>
      <c r="FO1707" s="38"/>
      <c r="FP1707" s="38"/>
      <c r="FQ1707" s="38"/>
      <c r="FR1707" s="38"/>
      <c r="FS1707" s="38"/>
      <c r="FT1707" s="38"/>
      <c r="FU1707" s="38"/>
      <c r="FV1707" s="38"/>
      <c r="FW1707" s="38"/>
      <c r="FX1707" s="38"/>
      <c r="FY1707" s="38"/>
      <c r="FZ1707" s="38"/>
      <c r="GA1707" s="38"/>
      <c r="GB1707" s="38"/>
      <c r="GC1707" s="38"/>
      <c r="GD1707" s="38"/>
      <c r="GE1707" s="38"/>
      <c r="GF1707" s="38"/>
      <c r="GG1707" s="38"/>
      <c r="GH1707" s="38"/>
      <c r="GI1707" s="38"/>
      <c r="GJ1707" s="38"/>
      <c r="GK1707" s="38"/>
      <c r="GL1707" s="38"/>
      <c r="GM1707" s="38"/>
      <c r="GN1707" s="38"/>
      <c r="GO1707" s="38"/>
      <c r="GP1707" s="38"/>
      <c r="GQ1707" s="38"/>
      <c r="GR1707" s="38"/>
      <c r="GS1707" s="38"/>
      <c r="GT1707" s="38"/>
      <c r="GU1707" s="38"/>
      <c r="GV1707" s="38"/>
      <c r="GW1707" s="38"/>
      <c r="GX1707" s="38"/>
      <c r="GY1707" s="38"/>
      <c r="GZ1707" s="38"/>
      <c r="HA1707" s="38"/>
      <c r="HB1707" s="38"/>
      <c r="HC1707" s="38"/>
      <c r="HD1707" s="38"/>
      <c r="HE1707" s="38"/>
      <c r="HF1707" s="38"/>
      <c r="HG1707" s="38"/>
      <c r="HH1707" s="38"/>
      <c r="HI1707" s="38"/>
      <c r="HJ1707" s="38"/>
      <c r="HK1707" s="38"/>
      <c r="HL1707" s="38"/>
      <c r="HM1707" s="38"/>
      <c r="HN1707" s="38"/>
      <c r="HO1707" s="38"/>
      <c r="HP1707" s="38"/>
      <c r="HQ1707" s="38"/>
      <c r="HR1707" s="38"/>
      <c r="HS1707" s="38"/>
      <c r="HT1707" s="38"/>
      <c r="HU1707" s="38"/>
      <c r="HV1707" s="38"/>
      <c r="HW1707" s="38"/>
      <c r="HX1707" s="38"/>
      <c r="HY1707" s="38"/>
      <c r="HZ1707" s="38"/>
      <c r="IA1707" s="38"/>
      <c r="IB1707" s="38"/>
      <c r="IC1707" s="38"/>
      <c r="ID1707" s="38"/>
      <c r="IE1707" s="38"/>
      <c r="IF1707" s="38"/>
      <c r="IG1707" s="38"/>
      <c r="IH1707" s="38"/>
      <c r="II1707" s="38"/>
      <c r="IJ1707" s="38"/>
      <c r="IK1707" s="38"/>
      <c r="IL1707" s="38"/>
      <c r="IM1707" s="38"/>
      <c r="IN1707" s="38"/>
      <c r="IO1707" s="38"/>
      <c r="IP1707" s="38"/>
      <c r="IQ1707" s="38"/>
      <c r="IR1707" s="38"/>
      <c r="IS1707" s="38"/>
      <c r="IT1707" s="38"/>
      <c r="IU1707" s="38"/>
      <c r="IV1707" s="38"/>
      <c r="IW1707" s="38"/>
      <c r="IX1707" s="38"/>
      <c r="IY1707" s="38"/>
      <c r="IZ1707" s="38"/>
      <c r="JA1707" s="38"/>
      <c r="JB1707" s="38"/>
      <c r="JC1707" s="38"/>
      <c r="JD1707" s="38"/>
      <c r="JE1707" s="38"/>
      <c r="JF1707" s="38"/>
      <c r="JG1707" s="38"/>
      <c r="JH1707" s="38"/>
      <c r="JI1707" s="38"/>
      <c r="JJ1707" s="38"/>
      <c r="JK1707" s="38"/>
      <c r="JL1707" s="38"/>
      <c r="JM1707" s="38"/>
      <c r="JN1707" s="38"/>
      <c r="JO1707" s="38"/>
      <c r="JP1707" s="38"/>
      <c r="JQ1707" s="38"/>
      <c r="JR1707" s="38"/>
      <c r="JS1707" s="38"/>
      <c r="JT1707" s="38"/>
      <c r="JU1707" s="38"/>
      <c r="JV1707" s="38"/>
      <c r="JW1707" s="38"/>
      <c r="JX1707" s="38"/>
      <c r="JY1707" s="38"/>
      <c r="JZ1707" s="38"/>
      <c r="KA1707" s="38"/>
      <c r="KB1707" s="38"/>
      <c r="KC1707" s="38"/>
      <c r="KD1707" s="38"/>
      <c r="KE1707" s="38"/>
      <c r="KF1707" s="38"/>
      <c r="KG1707" s="38"/>
      <c r="KH1707" s="38"/>
      <c r="KI1707" s="38"/>
      <c r="KJ1707" s="38"/>
      <c r="KK1707" s="38"/>
      <c r="KL1707" s="38"/>
      <c r="KM1707" s="38"/>
      <c r="KN1707" s="38"/>
      <c r="KO1707" s="38"/>
      <c r="KP1707" s="38"/>
      <c r="KQ1707" s="38"/>
      <c r="KR1707" s="38"/>
      <c r="KS1707" s="38"/>
      <c r="KT1707" s="38"/>
      <c r="KU1707" s="38"/>
      <c r="KV1707" s="38"/>
      <c r="KW1707" s="38"/>
      <c r="KX1707" s="38"/>
      <c r="KY1707" s="38"/>
      <c r="KZ1707" s="38"/>
      <c r="LA1707" s="38"/>
      <c r="LB1707" s="38"/>
      <c r="LC1707" s="38"/>
      <c r="LD1707" s="38"/>
      <c r="LE1707" s="38"/>
      <c r="LF1707" s="38"/>
      <c r="LG1707" s="38"/>
      <c r="LH1707" s="38"/>
      <c r="LI1707" s="38"/>
      <c r="LJ1707" s="38"/>
      <c r="LK1707" s="38"/>
      <c r="LL1707" s="38"/>
      <c r="LM1707" s="38"/>
      <c r="LN1707" s="38"/>
      <c r="LO1707" s="38"/>
      <c r="LP1707" s="38"/>
      <c r="LQ1707" s="38"/>
      <c r="LR1707" s="38"/>
      <c r="LS1707" s="38"/>
      <c r="LT1707" s="38"/>
      <c r="LU1707" s="38"/>
      <c r="LV1707" s="38"/>
      <c r="LW1707" s="38"/>
      <c r="LX1707" s="38"/>
      <c r="LY1707" s="38"/>
      <c r="LZ1707" s="38"/>
      <c r="MA1707" s="38"/>
      <c r="MB1707" s="38"/>
      <c r="MC1707" s="38"/>
      <c r="MD1707" s="38"/>
      <c r="ME1707" s="38"/>
      <c r="MF1707" s="38"/>
      <c r="MG1707" s="38"/>
      <c r="MH1707" s="38"/>
      <c r="MI1707" s="38"/>
      <c r="MJ1707" s="38"/>
      <c r="MK1707" s="38"/>
      <c r="ML1707" s="38"/>
      <c r="MM1707" s="38"/>
      <c r="MN1707" s="38"/>
      <c r="MO1707" s="38"/>
      <c r="MP1707" s="38"/>
      <c r="MQ1707" s="38"/>
      <c r="MR1707" s="38"/>
      <c r="MS1707" s="38"/>
      <c r="MT1707" s="38"/>
      <c r="MU1707" s="38"/>
      <c r="MV1707" s="38"/>
      <c r="MW1707" s="38"/>
      <c r="MX1707" s="38"/>
      <c r="MY1707" s="38"/>
      <c r="MZ1707" s="38"/>
      <c r="NA1707" s="38"/>
      <c r="NB1707" s="38"/>
      <c r="NC1707" s="38"/>
      <c r="ND1707" s="38"/>
      <c r="NE1707" s="38"/>
      <c r="NF1707" s="38"/>
      <c r="NG1707" s="38"/>
      <c r="NH1707" s="38"/>
      <c r="NI1707" s="38"/>
      <c r="NJ1707" s="38"/>
      <c r="NK1707" s="38"/>
      <c r="NL1707" s="38"/>
      <c r="NM1707" s="38"/>
      <c r="NN1707" s="38"/>
      <c r="NO1707" s="38"/>
      <c r="NP1707" s="38"/>
      <c r="NQ1707" s="38"/>
      <c r="NR1707" s="38"/>
      <c r="NS1707" s="38"/>
      <c r="NT1707" s="38"/>
      <c r="NU1707" s="38"/>
      <c r="NV1707" s="38"/>
      <c r="NW1707" s="38"/>
      <c r="NX1707" s="38"/>
      <c r="NY1707" s="38"/>
      <c r="NZ1707" s="38"/>
      <c r="OA1707" s="38"/>
      <c r="OB1707" s="38"/>
      <c r="OC1707" s="38"/>
      <c r="OD1707" s="38"/>
      <c r="OE1707" s="38"/>
      <c r="OF1707" s="38"/>
      <c r="OG1707" s="38"/>
      <c r="OH1707" s="38"/>
      <c r="OI1707" s="38"/>
      <c r="OJ1707" s="38"/>
      <c r="OK1707" s="38"/>
      <c r="OL1707" s="38"/>
      <c r="OM1707" s="38"/>
      <c r="ON1707" s="38"/>
      <c r="OO1707" s="38"/>
      <c r="OP1707" s="38"/>
      <c r="OQ1707" s="38"/>
      <c r="OR1707" s="38"/>
      <c r="OS1707" s="38"/>
      <c r="OT1707" s="38"/>
      <c r="OU1707" s="38"/>
      <c r="OV1707" s="38"/>
      <c r="OW1707" s="38"/>
      <c r="OX1707" s="38"/>
      <c r="OY1707" s="38"/>
      <c r="OZ1707" s="38"/>
      <c r="PA1707" s="38"/>
      <c r="PB1707" s="38"/>
      <c r="PC1707" s="38"/>
      <c r="PD1707" s="38"/>
      <c r="PE1707" s="38"/>
      <c r="PF1707" s="38"/>
      <c r="PG1707" s="38"/>
      <c r="PH1707" s="38"/>
      <c r="PI1707" s="38"/>
      <c r="PJ1707" s="38"/>
      <c r="PK1707" s="38"/>
      <c r="PL1707" s="38"/>
      <c r="PM1707" s="38"/>
      <c r="PN1707" s="38"/>
      <c r="PO1707" s="38"/>
      <c r="PP1707" s="38"/>
      <c r="PQ1707" s="38"/>
      <c r="PR1707" s="38"/>
      <c r="PS1707" s="38"/>
      <c r="PT1707" s="38"/>
      <c r="PU1707" s="38"/>
      <c r="PV1707" s="38"/>
      <c r="PW1707" s="38"/>
      <c r="PX1707" s="38"/>
      <c r="PY1707" s="38"/>
      <c r="PZ1707" s="38"/>
      <c r="QA1707" s="38"/>
      <c r="QB1707" s="38"/>
      <c r="QC1707" s="38"/>
      <c r="QD1707" s="38"/>
      <c r="QE1707" s="38"/>
      <c r="QF1707" s="38"/>
      <c r="QG1707" s="38"/>
      <c r="QH1707" s="38"/>
      <c r="QI1707" s="38"/>
      <c r="QJ1707" s="38"/>
      <c r="QK1707" s="38"/>
      <c r="QL1707" s="38"/>
      <c r="QM1707" s="38"/>
      <c r="QN1707" s="38"/>
      <c r="QO1707" s="38"/>
      <c r="QP1707" s="38"/>
      <c r="QQ1707" s="38"/>
      <c r="QR1707" s="38"/>
      <c r="QS1707" s="38"/>
      <c r="QT1707" s="38"/>
      <c r="QU1707" s="38"/>
      <c r="QV1707" s="38"/>
      <c r="QW1707" s="38"/>
      <c r="QX1707" s="38"/>
      <c r="QY1707" s="38"/>
      <c r="QZ1707" s="38"/>
      <c r="RA1707" s="38"/>
      <c r="RB1707" s="38"/>
      <c r="RC1707" s="38"/>
      <c r="RD1707" s="38"/>
      <c r="RE1707" s="38"/>
      <c r="RF1707" s="38"/>
      <c r="RG1707" s="38"/>
      <c r="RH1707" s="38"/>
      <c r="RI1707" s="38"/>
      <c r="RJ1707" s="38"/>
      <c r="RK1707" s="38"/>
      <c r="RL1707" s="38"/>
      <c r="RM1707" s="38"/>
      <c r="RN1707" s="38"/>
      <c r="RO1707" s="38"/>
      <c r="RP1707" s="38"/>
      <c r="RQ1707" s="38"/>
      <c r="RR1707" s="38"/>
      <c r="RS1707" s="38"/>
      <c r="RT1707" s="38"/>
      <c r="RU1707" s="38"/>
      <c r="RV1707" s="38"/>
      <c r="RW1707" s="38"/>
      <c r="RX1707" s="38"/>
      <c r="RY1707" s="38"/>
      <c r="RZ1707" s="38"/>
      <c r="SA1707" s="38"/>
      <c r="SB1707" s="38"/>
      <c r="SC1707" s="38"/>
      <c r="SD1707" s="38"/>
      <c r="SE1707" s="38"/>
      <c r="SF1707" s="38"/>
      <c r="SG1707" s="38"/>
      <c r="SH1707" s="38"/>
      <c r="SI1707" s="38"/>
      <c r="SJ1707" s="38"/>
      <c r="SK1707" s="38"/>
      <c r="SL1707" s="38"/>
      <c r="SM1707" s="38"/>
      <c r="SN1707" s="38"/>
      <c r="SO1707" s="38"/>
      <c r="SP1707" s="38"/>
      <c r="SQ1707" s="38"/>
      <c r="SR1707" s="38"/>
      <c r="SS1707" s="38"/>
      <c r="ST1707" s="38"/>
      <c r="SU1707" s="38"/>
      <c r="SV1707" s="38"/>
      <c r="SW1707" s="38"/>
      <c r="SX1707" s="38"/>
      <c r="SY1707" s="38"/>
      <c r="SZ1707" s="38"/>
      <c r="TA1707" s="38"/>
      <c r="TB1707" s="38"/>
      <c r="TC1707" s="38"/>
      <c r="TD1707" s="38"/>
      <c r="TE1707" s="38"/>
      <c r="TF1707" s="38"/>
      <c r="TG1707" s="38"/>
      <c r="TH1707" s="38"/>
      <c r="TI1707" s="38"/>
      <c r="TJ1707" s="38"/>
      <c r="TK1707" s="38"/>
      <c r="TL1707" s="38"/>
      <c r="TM1707" s="38"/>
      <c r="TN1707" s="38"/>
      <c r="TO1707" s="38"/>
      <c r="TP1707" s="38"/>
      <c r="TQ1707" s="38"/>
      <c r="TR1707" s="38"/>
      <c r="TS1707" s="38"/>
      <c r="TT1707" s="38"/>
      <c r="TU1707" s="38"/>
      <c r="TV1707" s="38"/>
      <c r="TW1707" s="38"/>
      <c r="TX1707" s="38"/>
      <c r="TY1707" s="38"/>
      <c r="TZ1707" s="38"/>
      <c r="UA1707" s="38"/>
      <c r="UB1707" s="38"/>
      <c r="UC1707" s="38"/>
      <c r="UD1707" s="38"/>
      <c r="UE1707" s="38"/>
      <c r="UF1707" s="38"/>
      <c r="UG1707" s="38"/>
      <c r="UH1707" s="38"/>
      <c r="UI1707" s="38"/>
      <c r="UJ1707" s="38"/>
      <c r="UK1707" s="38"/>
      <c r="UL1707" s="38"/>
      <c r="UM1707" s="38"/>
      <c r="UN1707" s="38"/>
      <c r="UO1707" s="38"/>
      <c r="UP1707" s="38"/>
      <c r="UQ1707" s="38"/>
      <c r="UR1707" s="38"/>
      <c r="US1707" s="38"/>
      <c r="UT1707" s="38"/>
      <c r="UU1707" s="38"/>
      <c r="UV1707" s="38"/>
      <c r="UW1707" s="38"/>
      <c r="UX1707" s="38"/>
      <c r="UY1707" s="38"/>
      <c r="UZ1707" s="38"/>
      <c r="VA1707" s="38"/>
      <c r="VB1707" s="38"/>
      <c r="VC1707" s="38"/>
      <c r="VD1707" s="38"/>
      <c r="VE1707" s="38"/>
      <c r="VF1707" s="38"/>
      <c r="VG1707" s="38"/>
      <c r="VH1707" s="38"/>
      <c r="VI1707" s="38"/>
      <c r="VJ1707" s="38"/>
      <c r="VK1707" s="38"/>
      <c r="VL1707" s="38"/>
      <c r="VM1707" s="38"/>
      <c r="VN1707" s="38"/>
      <c r="VO1707" s="38"/>
      <c r="VP1707" s="38"/>
      <c r="VQ1707" s="38"/>
      <c r="VR1707" s="38"/>
      <c r="VS1707" s="38"/>
      <c r="VT1707" s="38"/>
      <c r="VU1707" s="38"/>
      <c r="VV1707" s="38"/>
      <c r="VW1707" s="38"/>
      <c r="VX1707" s="38"/>
      <c r="VY1707" s="38"/>
      <c r="VZ1707" s="38"/>
      <c r="WA1707" s="38"/>
      <c r="WB1707" s="38"/>
      <c r="WC1707" s="38"/>
      <c r="WD1707" s="38"/>
      <c r="WE1707" s="38"/>
      <c r="WF1707" s="38"/>
      <c r="WG1707" s="38"/>
      <c r="WH1707" s="38"/>
      <c r="WI1707" s="38"/>
      <c r="WJ1707" s="38"/>
      <c r="WK1707" s="38"/>
      <c r="WL1707" s="38"/>
      <c r="WM1707" s="38"/>
      <c r="WN1707" s="38"/>
      <c r="WO1707" s="38"/>
      <c r="WP1707" s="38"/>
      <c r="WQ1707" s="38"/>
      <c r="WR1707" s="38"/>
      <c r="WS1707" s="38"/>
      <c r="WT1707" s="38"/>
      <c r="WU1707" s="38"/>
      <c r="WV1707" s="38"/>
      <c r="WW1707" s="38"/>
      <c r="WX1707" s="38"/>
      <c r="WY1707" s="38"/>
      <c r="WZ1707" s="38"/>
      <c r="XA1707" s="38"/>
      <c r="XB1707" s="38"/>
      <c r="XC1707" s="38"/>
      <c r="XD1707" s="38"/>
      <c r="XE1707" s="38"/>
      <c r="XF1707" s="38"/>
      <c r="XG1707" s="38"/>
      <c r="XH1707" s="38"/>
      <c r="XI1707" s="38"/>
      <c r="XJ1707" s="38"/>
      <c r="XK1707" s="38"/>
      <c r="XL1707" s="38"/>
      <c r="XM1707" s="38"/>
      <c r="XN1707" s="38"/>
      <c r="XO1707" s="38"/>
      <c r="XP1707" s="38"/>
      <c r="XQ1707" s="38"/>
      <c r="XR1707" s="38"/>
      <c r="XS1707" s="38"/>
      <c r="XT1707" s="38"/>
      <c r="XU1707" s="38"/>
      <c r="XV1707" s="38"/>
      <c r="XW1707" s="38"/>
      <c r="XX1707" s="38"/>
      <c r="XY1707" s="38"/>
      <c r="XZ1707" s="38"/>
      <c r="YA1707" s="38"/>
      <c r="YB1707" s="38"/>
      <c r="YC1707" s="38"/>
      <c r="YD1707" s="38"/>
      <c r="YE1707" s="38"/>
      <c r="YF1707" s="38"/>
      <c r="YG1707" s="38"/>
      <c r="YH1707" s="38"/>
      <c r="YI1707" s="38"/>
      <c r="YJ1707" s="38"/>
      <c r="YK1707" s="38"/>
      <c r="YL1707" s="38"/>
      <c r="YM1707" s="38"/>
      <c r="YN1707" s="38"/>
      <c r="YO1707" s="38"/>
      <c r="YP1707" s="38"/>
      <c r="YQ1707" s="38"/>
      <c r="YR1707" s="38"/>
      <c r="YS1707" s="38"/>
      <c r="YT1707" s="38"/>
      <c r="YU1707" s="38"/>
      <c r="YV1707" s="38"/>
      <c r="YW1707" s="38"/>
      <c r="YX1707" s="38"/>
      <c r="YY1707" s="38"/>
      <c r="YZ1707" s="38"/>
      <c r="ZA1707" s="38"/>
      <c r="ZB1707" s="38"/>
      <c r="ZC1707" s="38"/>
      <c r="ZD1707" s="38"/>
      <c r="ZE1707" s="38"/>
      <c r="ZF1707" s="38"/>
      <c r="ZG1707" s="38"/>
      <c r="ZH1707" s="38"/>
      <c r="ZI1707" s="38"/>
      <c r="ZJ1707" s="38"/>
      <c r="ZK1707" s="38"/>
      <c r="ZL1707" s="38"/>
      <c r="ZM1707" s="38"/>
      <c r="ZN1707" s="38"/>
      <c r="ZO1707" s="38"/>
      <c r="ZP1707" s="38"/>
      <c r="ZQ1707" s="38"/>
      <c r="ZR1707" s="38"/>
      <c r="ZS1707" s="38"/>
      <c r="ZT1707" s="38"/>
      <c r="ZU1707" s="38"/>
      <c r="ZV1707" s="38"/>
      <c r="ZW1707" s="38"/>
      <c r="ZX1707" s="38"/>
      <c r="ZY1707" s="38"/>
      <c r="ZZ1707" s="38"/>
      <c r="AAA1707" s="38"/>
      <c r="AAB1707" s="38"/>
      <c r="AAC1707" s="38"/>
      <c r="AAD1707" s="38"/>
      <c r="AAE1707" s="38"/>
      <c r="AAF1707" s="38"/>
      <c r="AAG1707" s="38"/>
      <c r="AAH1707" s="38"/>
      <c r="AAI1707" s="38"/>
      <c r="AAJ1707" s="38"/>
      <c r="AAK1707" s="38"/>
      <c r="AAL1707" s="38"/>
      <c r="AAM1707" s="38"/>
      <c r="AAN1707" s="38"/>
      <c r="AAO1707" s="38"/>
      <c r="AAP1707" s="38"/>
      <c r="AAQ1707" s="38"/>
      <c r="AAR1707" s="38"/>
      <c r="AAS1707" s="38"/>
      <c r="AAT1707" s="38"/>
      <c r="AAU1707" s="38"/>
      <c r="AAV1707" s="38"/>
      <c r="AAW1707" s="38"/>
      <c r="AAX1707" s="38"/>
      <c r="AAY1707" s="38"/>
      <c r="AAZ1707" s="38"/>
      <c r="ABA1707" s="38"/>
      <c r="ABB1707" s="38"/>
      <c r="ABC1707" s="38"/>
      <c r="ABD1707" s="38"/>
      <c r="ABE1707" s="38"/>
      <c r="ABF1707" s="38"/>
      <c r="ABG1707" s="38"/>
      <c r="ABH1707" s="38"/>
      <c r="ABI1707" s="38"/>
      <c r="ABJ1707" s="38"/>
      <c r="ABK1707" s="38"/>
      <c r="ABL1707" s="38"/>
      <c r="ABM1707" s="38"/>
      <c r="ABN1707" s="38"/>
      <c r="ABO1707" s="38"/>
      <c r="ABP1707" s="38"/>
      <c r="ABQ1707" s="38"/>
      <c r="ABR1707" s="38"/>
      <c r="ABS1707" s="38"/>
      <c r="ABT1707" s="38"/>
      <c r="ABU1707" s="38"/>
      <c r="ABV1707" s="38"/>
      <c r="ABW1707" s="38"/>
      <c r="ABX1707" s="38"/>
      <c r="ABY1707" s="38"/>
      <c r="ABZ1707" s="38"/>
      <c r="ACA1707" s="38"/>
      <c r="ACB1707" s="38"/>
      <c r="ACC1707" s="38"/>
      <c r="ACD1707" s="38"/>
      <c r="ACE1707" s="38"/>
      <c r="ACF1707" s="38"/>
      <c r="ACG1707" s="38"/>
      <c r="ACH1707" s="38"/>
      <c r="ACI1707" s="38"/>
      <c r="ACJ1707" s="38"/>
      <c r="ACK1707" s="38"/>
      <c r="ACL1707" s="38"/>
      <c r="ACM1707" s="38"/>
      <c r="ACN1707" s="38"/>
      <c r="ACO1707" s="38"/>
      <c r="ACP1707" s="38"/>
      <c r="ACQ1707" s="38"/>
      <c r="ACR1707" s="38"/>
      <c r="ACS1707" s="38"/>
      <c r="ACT1707" s="38"/>
      <c r="ACU1707" s="38"/>
      <c r="ACV1707" s="38"/>
      <c r="ACW1707" s="38"/>
      <c r="ACX1707" s="38"/>
      <c r="ACY1707" s="38"/>
      <c r="ACZ1707" s="38"/>
      <c r="ADA1707" s="38"/>
      <c r="ADB1707" s="38"/>
      <c r="ADC1707" s="38"/>
      <c r="ADD1707" s="38"/>
      <c r="ADE1707" s="38"/>
      <c r="ADF1707" s="38"/>
      <c r="ADG1707" s="38"/>
      <c r="ADH1707" s="38"/>
      <c r="ADI1707" s="38"/>
      <c r="ADJ1707" s="38"/>
      <c r="ADK1707" s="38"/>
      <c r="ADL1707" s="38"/>
      <c r="ADM1707" s="38"/>
      <c r="ADN1707" s="38"/>
      <c r="ADO1707" s="38"/>
      <c r="ADP1707" s="38"/>
      <c r="ADQ1707" s="38"/>
      <c r="ADR1707" s="38"/>
      <c r="ADS1707" s="38"/>
      <c r="ADT1707" s="38"/>
      <c r="ADU1707" s="38"/>
      <c r="ADV1707" s="38"/>
      <c r="ADW1707" s="38"/>
      <c r="ADX1707" s="38"/>
      <c r="ADY1707" s="38"/>
      <c r="ADZ1707" s="38"/>
      <c r="AEA1707" s="38"/>
      <c r="AEB1707" s="38"/>
      <c r="AEC1707" s="38"/>
      <c r="AED1707" s="38"/>
      <c r="AEE1707" s="38"/>
      <c r="AEF1707" s="38"/>
      <c r="AEG1707" s="38"/>
      <c r="AEH1707" s="38"/>
      <c r="AEI1707" s="38"/>
      <c r="AEJ1707" s="38"/>
      <c r="AEK1707" s="38"/>
      <c r="AEL1707" s="38"/>
      <c r="AEM1707" s="38"/>
      <c r="AEN1707" s="38"/>
      <c r="AEO1707" s="38"/>
      <c r="AEP1707" s="38"/>
      <c r="AEQ1707" s="38"/>
      <c r="AER1707" s="38"/>
      <c r="AES1707" s="38"/>
      <c r="AET1707" s="38"/>
      <c r="AEU1707" s="38"/>
      <c r="AEV1707" s="38"/>
      <c r="AEW1707" s="38"/>
      <c r="AEX1707" s="38"/>
      <c r="AEY1707" s="38"/>
      <c r="AEZ1707" s="38"/>
      <c r="AFA1707" s="38"/>
      <c r="AFB1707" s="38"/>
      <c r="AFC1707" s="38"/>
      <c r="AFD1707" s="38"/>
      <c r="AFE1707" s="38"/>
      <c r="AFF1707" s="38"/>
      <c r="AFG1707" s="38"/>
      <c r="AFH1707" s="38"/>
      <c r="AFI1707" s="38"/>
      <c r="AFJ1707" s="38"/>
      <c r="AFK1707" s="38"/>
      <c r="AFL1707" s="38"/>
      <c r="AFM1707" s="38"/>
      <c r="AFN1707" s="38"/>
      <c r="AFO1707" s="38"/>
      <c r="AFP1707" s="38"/>
      <c r="AFQ1707" s="38"/>
      <c r="AFR1707" s="38"/>
      <c r="AFS1707" s="38"/>
      <c r="AFT1707" s="38"/>
      <c r="AFU1707" s="38"/>
      <c r="AFV1707" s="38"/>
      <c r="AFW1707" s="38"/>
      <c r="AFX1707" s="38"/>
      <c r="AFY1707" s="38"/>
      <c r="AFZ1707" s="38"/>
      <c r="AGA1707" s="38"/>
      <c r="AGB1707" s="38"/>
      <c r="AGC1707" s="38"/>
      <c r="AGD1707" s="38"/>
      <c r="AGE1707" s="38"/>
      <c r="AGF1707" s="38"/>
      <c r="AGG1707" s="38"/>
      <c r="AGH1707" s="38"/>
      <c r="AGI1707" s="38"/>
      <c r="AGJ1707" s="38"/>
      <c r="AGK1707" s="38"/>
      <c r="AGL1707" s="38"/>
      <c r="AGM1707" s="38"/>
      <c r="AGN1707" s="38"/>
      <c r="AGO1707" s="38"/>
      <c r="AGP1707" s="38"/>
      <c r="AGQ1707" s="38"/>
      <c r="AGR1707" s="38"/>
      <c r="AGS1707" s="38"/>
      <c r="AGT1707" s="38"/>
      <c r="AGU1707" s="38"/>
      <c r="AGV1707" s="38"/>
      <c r="AGW1707" s="38"/>
      <c r="AGX1707" s="38"/>
      <c r="AGY1707" s="38"/>
      <c r="AGZ1707" s="38"/>
      <c r="AHA1707" s="38"/>
      <c r="AHB1707" s="38"/>
      <c r="AHC1707" s="38"/>
      <c r="AHD1707" s="38"/>
      <c r="AHE1707" s="38"/>
      <c r="AHF1707" s="38"/>
      <c r="AHG1707" s="38"/>
      <c r="AHH1707" s="38"/>
      <c r="AHI1707" s="38"/>
      <c r="AHJ1707" s="38"/>
      <c r="AHK1707" s="38"/>
      <c r="AHL1707" s="38"/>
      <c r="AHM1707" s="38"/>
      <c r="AHN1707" s="38"/>
      <c r="AHO1707" s="38"/>
      <c r="AHP1707" s="38"/>
      <c r="AHQ1707" s="38"/>
      <c r="AHR1707" s="38"/>
      <c r="AHS1707" s="38"/>
      <c r="AHT1707" s="38"/>
      <c r="AHU1707" s="38"/>
      <c r="AHV1707" s="38"/>
      <c r="AHW1707" s="38"/>
      <c r="AHX1707" s="38"/>
      <c r="AHY1707" s="38"/>
      <c r="AHZ1707" s="38"/>
      <c r="AIA1707" s="38"/>
      <c r="AIB1707" s="38"/>
      <c r="AIC1707" s="38"/>
      <c r="AID1707" s="38"/>
      <c r="AIE1707" s="38"/>
      <c r="AIF1707" s="38"/>
      <c r="AIG1707" s="38"/>
      <c r="AIH1707" s="38"/>
      <c r="AII1707" s="38"/>
      <c r="AIJ1707" s="38"/>
      <c r="AIK1707" s="38"/>
      <c r="AIL1707" s="38"/>
      <c r="AIM1707" s="38"/>
      <c r="AIN1707" s="38"/>
      <c r="AIO1707" s="38"/>
      <c r="AIP1707" s="38"/>
      <c r="AIQ1707" s="38"/>
      <c r="AIR1707" s="38"/>
      <c r="AIS1707" s="38"/>
      <c r="AIT1707" s="38"/>
      <c r="AIU1707" s="38"/>
      <c r="AIV1707" s="38"/>
      <c r="AIW1707" s="38"/>
      <c r="AIX1707" s="38"/>
      <c r="AIY1707" s="38"/>
      <c r="AIZ1707" s="38"/>
      <c r="AJA1707" s="38"/>
      <c r="AJB1707" s="38"/>
      <c r="AJC1707" s="38"/>
      <c r="AJD1707" s="38"/>
      <c r="AJE1707" s="38"/>
      <c r="AJF1707" s="38"/>
      <c r="AJG1707" s="38"/>
      <c r="AJH1707" s="38"/>
      <c r="AJI1707" s="38"/>
      <c r="AJJ1707" s="38"/>
      <c r="AJK1707" s="38"/>
      <c r="AJL1707" s="38"/>
      <c r="AJM1707" s="38"/>
      <c r="AJN1707" s="38"/>
      <c r="AJO1707" s="38"/>
      <c r="AJP1707" s="38"/>
      <c r="AJQ1707" s="38"/>
      <c r="AJR1707" s="38"/>
      <c r="AJS1707" s="38"/>
      <c r="AJT1707" s="38"/>
      <c r="AJU1707" s="38"/>
      <c r="AJV1707" s="38"/>
      <c r="AJW1707" s="38"/>
      <c r="AJX1707" s="38"/>
      <c r="AJY1707" s="38"/>
      <c r="AJZ1707" s="38"/>
      <c r="AKA1707" s="38"/>
      <c r="AKB1707" s="38"/>
      <c r="AKC1707" s="38"/>
      <c r="AKD1707" s="38"/>
      <c r="AKE1707" s="38"/>
      <c r="AKF1707" s="38"/>
      <c r="AKG1707" s="38"/>
      <c r="AKH1707" s="38"/>
      <c r="AKI1707" s="38"/>
      <c r="AKJ1707" s="38"/>
      <c r="AKK1707" s="38"/>
      <c r="AKL1707" s="38"/>
      <c r="AKM1707" s="38"/>
      <c r="AKN1707" s="38"/>
      <c r="AKO1707" s="38"/>
      <c r="AKP1707" s="38"/>
      <c r="AKQ1707" s="38"/>
      <c r="AKR1707" s="38"/>
      <c r="AKS1707" s="38"/>
      <c r="AKT1707" s="38"/>
      <c r="AKU1707" s="38"/>
      <c r="AKV1707" s="38"/>
      <c r="AKW1707" s="38"/>
      <c r="AKX1707" s="38"/>
      <c r="AKY1707" s="38"/>
      <c r="AKZ1707" s="38"/>
      <c r="ALA1707" s="38"/>
      <c r="ALB1707" s="38"/>
      <c r="ALC1707" s="38"/>
      <c r="ALD1707" s="38"/>
      <c r="ALE1707" s="38"/>
      <c r="ALF1707" s="38"/>
      <c r="ALG1707" s="38"/>
      <c r="ALH1707" s="38"/>
      <c r="ALI1707" s="38"/>
      <c r="ALJ1707" s="38"/>
      <c r="ALK1707" s="38"/>
      <c r="ALL1707" s="38"/>
      <c r="ALM1707" s="38"/>
      <c r="ALN1707" s="38"/>
      <c r="ALO1707" s="38"/>
      <c r="ALP1707" s="38"/>
      <c r="ALQ1707" s="38"/>
      <c r="ALR1707" s="38"/>
      <c r="ALS1707" s="38"/>
      <c r="ALT1707" s="38"/>
      <c r="ALU1707" s="38"/>
      <c r="ALV1707" s="38"/>
      <c r="ALW1707" s="38"/>
      <c r="ALX1707" s="38"/>
      <c r="ALY1707" s="38"/>
      <c r="ALZ1707" s="38"/>
      <c r="AMA1707" s="38"/>
      <c r="AMB1707" s="38"/>
      <c r="AMC1707" s="38"/>
      <c r="AMD1707" s="38"/>
      <c r="AME1707" s="38"/>
      <c r="AMF1707" s="38"/>
      <c r="AMG1707" s="38"/>
      <c r="AMH1707" s="38"/>
      <c r="AMI1707" s="38"/>
      <c r="AMJ1707" s="38"/>
      <c r="AMK1707" s="38"/>
      <c r="AML1707" s="38"/>
      <c r="AMM1707" s="38"/>
      <c r="AMN1707" s="38"/>
      <c r="AMO1707" s="38"/>
      <c r="AMP1707" s="38"/>
      <c r="AMQ1707" s="38"/>
      <c r="AMR1707" s="38"/>
      <c r="AMS1707" s="38"/>
      <c r="AMT1707" s="38"/>
      <c r="AMU1707" s="38"/>
      <c r="AMV1707" s="38"/>
      <c r="AMW1707" s="38"/>
      <c r="AMX1707" s="38"/>
      <c r="AMY1707" s="38"/>
      <c r="AMZ1707" s="38"/>
      <c r="ANA1707" s="38"/>
      <c r="ANB1707" s="38"/>
      <c r="ANC1707" s="38"/>
      <c r="AND1707" s="38"/>
      <c r="ANE1707" s="38"/>
      <c r="ANF1707" s="38"/>
      <c r="ANG1707" s="38"/>
      <c r="ANH1707" s="38"/>
      <c r="ANI1707" s="38"/>
      <c r="ANJ1707" s="38"/>
      <c r="ANK1707" s="38"/>
      <c r="ANL1707" s="38"/>
      <c r="ANM1707" s="38"/>
      <c r="ANN1707" s="38"/>
      <c r="ANO1707" s="38"/>
      <c r="ANP1707" s="38"/>
      <c r="ANQ1707" s="38"/>
      <c r="ANR1707" s="38"/>
      <c r="ANS1707" s="38"/>
      <c r="ANT1707" s="38"/>
      <c r="ANU1707" s="38"/>
      <c r="ANV1707" s="38"/>
      <c r="ANW1707" s="38"/>
      <c r="ANX1707" s="38"/>
      <c r="ANY1707" s="38"/>
      <c r="ANZ1707" s="38"/>
      <c r="AOA1707" s="38"/>
      <c r="AOB1707" s="38"/>
      <c r="AOC1707" s="38"/>
      <c r="AOD1707" s="38"/>
      <c r="AOE1707" s="38"/>
      <c r="AOF1707" s="38"/>
      <c r="AOG1707" s="38"/>
      <c r="AOH1707" s="38"/>
      <c r="AOI1707" s="38"/>
      <c r="AOJ1707" s="38"/>
      <c r="AOK1707" s="38"/>
      <c r="AOL1707" s="38"/>
      <c r="AOM1707" s="38"/>
      <c r="AON1707" s="38"/>
      <c r="AOO1707" s="38"/>
      <c r="AOP1707" s="38"/>
      <c r="AOQ1707" s="38"/>
      <c r="AOR1707" s="38"/>
      <c r="AOS1707" s="38"/>
      <c r="AOT1707" s="38"/>
      <c r="AOU1707" s="38"/>
      <c r="AOV1707" s="38"/>
      <c r="AOW1707" s="38"/>
      <c r="AOX1707" s="38"/>
      <c r="AOY1707" s="38"/>
      <c r="AOZ1707" s="38"/>
      <c r="APA1707" s="38"/>
      <c r="APB1707" s="38"/>
      <c r="APC1707" s="38"/>
    </row>
    <row r="1708" spans="1:1095" s="36" customFormat="1" ht="14.25" customHeight="1">
      <c r="A1708" s="3" t="s">
        <v>1722</v>
      </c>
      <c r="B1708" s="36" t="s">
        <v>3981</v>
      </c>
      <c r="C1708" s="218">
        <v>4058075824232</v>
      </c>
      <c r="D1708" s="224">
        <v>4058075630567</v>
      </c>
      <c r="E1708" s="245" t="s">
        <v>1623</v>
      </c>
      <c r="F1708" s="246"/>
      <c r="G1708" s="66" t="str">
        <f>HYPERLINK("https://ledvance.com/pt/product-datasheet/247502/243798","Ficha de Produto")</f>
        <v>Ficha de Produto</v>
      </c>
      <c r="H1708" s="217">
        <v>10</v>
      </c>
      <c r="I1708" s="34" t="s">
        <v>6326</v>
      </c>
      <c r="J1708" s="34" t="s">
        <v>773</v>
      </c>
      <c r="K1708" s="34" t="s">
        <v>788</v>
      </c>
      <c r="L1708" s="34" t="s">
        <v>765</v>
      </c>
      <c r="M1708" s="247">
        <v>38.200000000000003</v>
      </c>
      <c r="N1708" s="288" t="s">
        <v>722</v>
      </c>
    </row>
    <row r="1709" spans="1:1095" s="36" customFormat="1" ht="14.25" customHeight="1">
      <c r="A1709" s="3" t="s">
        <v>1722</v>
      </c>
      <c r="B1709" s="36" t="s">
        <v>3982</v>
      </c>
      <c r="C1709" s="218">
        <v>4058075824256</v>
      </c>
      <c r="D1709" s="224">
        <v>4058075543485</v>
      </c>
      <c r="E1709" s="245" t="s">
        <v>1624</v>
      </c>
      <c r="F1709" s="246"/>
      <c r="G1709" s="66" t="str">
        <f>HYPERLINK("https://ledvance.com/pt/product-datasheet/247502/243801","Ficha de Produto")</f>
        <v>Ficha de Produto</v>
      </c>
      <c r="H1709" s="217">
        <v>10</v>
      </c>
      <c r="I1709" s="34" t="s">
        <v>814</v>
      </c>
      <c r="J1709" s="34" t="s">
        <v>773</v>
      </c>
      <c r="K1709" s="34" t="s">
        <v>788</v>
      </c>
      <c r="L1709" s="34" t="s">
        <v>765</v>
      </c>
      <c r="M1709" s="247">
        <v>38.200000000000003</v>
      </c>
      <c r="N1709" s="288" t="s">
        <v>722</v>
      </c>
    </row>
    <row r="1710" spans="1:1095" s="36" customFormat="1" ht="14.25" customHeight="1">
      <c r="A1710" s="3" t="s">
        <v>1722</v>
      </c>
      <c r="B1710" s="36" t="s">
        <v>3983</v>
      </c>
      <c r="C1710" s="218">
        <v>4058075824270</v>
      </c>
      <c r="D1710" s="224">
        <v>4058075543508</v>
      </c>
      <c r="E1710" s="245" t="s">
        <v>1625</v>
      </c>
      <c r="F1710" s="246"/>
      <c r="G1710" s="66" t="str">
        <f>HYPERLINK("https://ledvance.com/pt/product-datasheet/247502/243804","Ficha de Produto")</f>
        <v>Ficha de Produto</v>
      </c>
      <c r="H1710" s="217">
        <v>10</v>
      </c>
      <c r="I1710" s="34" t="s">
        <v>814</v>
      </c>
      <c r="J1710" s="34" t="s">
        <v>773</v>
      </c>
      <c r="K1710" s="34" t="s">
        <v>788</v>
      </c>
      <c r="L1710" s="34" t="s">
        <v>765</v>
      </c>
      <c r="M1710" s="247">
        <v>38.200000000000003</v>
      </c>
      <c r="N1710" s="288" t="s">
        <v>722</v>
      </c>
    </row>
    <row r="1711" spans="1:1095" s="39" customFormat="1" ht="14.25" customHeight="1">
      <c r="A1711" s="8" t="s">
        <v>1722</v>
      </c>
      <c r="B1711" s="244" t="s">
        <v>2069</v>
      </c>
      <c r="C1711" s="8"/>
      <c r="D1711" s="7"/>
      <c r="E1711" s="230"/>
      <c r="F1711" s="7"/>
      <c r="G1711" s="68" t="s">
        <v>6505</v>
      </c>
      <c r="H1711" s="230"/>
      <c r="I1711" s="230"/>
      <c r="J1711" s="230"/>
      <c r="K1711" s="230"/>
      <c r="L1711" s="230"/>
      <c r="M1711" s="248"/>
      <c r="N1711" s="284"/>
      <c r="O1711" s="38"/>
      <c r="P1711" s="38"/>
      <c r="Q1711" s="38"/>
      <c r="R1711" s="38"/>
      <c r="S1711" s="38"/>
      <c r="T1711" s="38"/>
      <c r="U1711" s="38"/>
      <c r="V1711" s="38"/>
      <c r="W1711" s="38"/>
      <c r="X1711" s="38"/>
      <c r="Y1711" s="38"/>
      <c r="Z1711" s="38"/>
      <c r="AA1711" s="38"/>
      <c r="AB1711" s="38"/>
      <c r="AC1711" s="38"/>
      <c r="AD1711" s="38"/>
      <c r="AE1711" s="38"/>
      <c r="AF1711" s="38"/>
      <c r="AG1711" s="38"/>
      <c r="AH1711" s="38"/>
      <c r="AI1711" s="38"/>
      <c r="AJ1711" s="38"/>
      <c r="AK1711" s="38"/>
      <c r="AL1711" s="38"/>
      <c r="AM1711" s="38"/>
      <c r="AN1711" s="38"/>
      <c r="AO1711" s="38"/>
      <c r="AP1711" s="38"/>
      <c r="AQ1711" s="38"/>
      <c r="AR1711" s="38"/>
      <c r="AS1711" s="38"/>
      <c r="AT1711" s="38"/>
      <c r="AU1711" s="38"/>
      <c r="AV1711" s="38"/>
      <c r="AW1711" s="38"/>
      <c r="AX1711" s="38"/>
      <c r="AY1711" s="38"/>
      <c r="AZ1711" s="38"/>
      <c r="BA1711" s="38"/>
      <c r="BB1711" s="38"/>
      <c r="BC1711" s="38"/>
      <c r="BD1711" s="38"/>
      <c r="BE1711" s="38"/>
      <c r="BF1711" s="38"/>
      <c r="BG1711" s="38"/>
      <c r="BH1711" s="38"/>
      <c r="BI1711" s="38"/>
      <c r="BJ1711" s="38"/>
      <c r="BK1711" s="38"/>
      <c r="BL1711" s="38"/>
      <c r="BM1711" s="38"/>
      <c r="BN1711" s="38"/>
      <c r="BO1711" s="38"/>
      <c r="BP1711" s="38"/>
      <c r="BQ1711" s="38"/>
      <c r="BR1711" s="38"/>
      <c r="BS1711" s="38"/>
      <c r="BT1711" s="38"/>
      <c r="BU1711" s="38"/>
      <c r="BV1711" s="38"/>
      <c r="BW1711" s="38"/>
      <c r="BX1711" s="38"/>
      <c r="BY1711" s="38"/>
      <c r="BZ1711" s="38"/>
      <c r="CA1711" s="38"/>
      <c r="CB1711" s="38"/>
      <c r="CC1711" s="38"/>
      <c r="CD1711" s="38"/>
      <c r="CE1711" s="38"/>
      <c r="CF1711" s="38"/>
      <c r="CG1711" s="38"/>
      <c r="CH1711" s="38"/>
      <c r="CI1711" s="38"/>
      <c r="CJ1711" s="38"/>
      <c r="CK1711" s="38"/>
      <c r="CL1711" s="38"/>
      <c r="CM1711" s="38"/>
      <c r="CN1711" s="38"/>
      <c r="CO1711" s="38"/>
      <c r="CP1711" s="38"/>
      <c r="CQ1711" s="38"/>
      <c r="CR1711" s="38"/>
      <c r="CS1711" s="38"/>
      <c r="CT1711" s="38"/>
      <c r="CU1711" s="38"/>
      <c r="CV1711" s="38"/>
      <c r="CW1711" s="38"/>
      <c r="CX1711" s="38"/>
      <c r="CY1711" s="38"/>
      <c r="CZ1711" s="38"/>
      <c r="DA1711" s="38"/>
      <c r="DB1711" s="38"/>
      <c r="DC1711" s="38"/>
      <c r="DD1711" s="38"/>
      <c r="DE1711" s="38"/>
      <c r="DF1711" s="38"/>
      <c r="DG1711" s="38"/>
      <c r="DH1711" s="38"/>
      <c r="DI1711" s="38"/>
      <c r="DJ1711" s="38"/>
      <c r="DK1711" s="38"/>
      <c r="DL1711" s="38"/>
      <c r="DM1711" s="38"/>
      <c r="DN1711" s="38"/>
      <c r="DO1711" s="38"/>
      <c r="DP1711" s="38"/>
      <c r="DQ1711" s="38"/>
      <c r="DR1711" s="38"/>
      <c r="DS1711" s="38"/>
      <c r="DT1711" s="38"/>
      <c r="DU1711" s="38"/>
      <c r="DV1711" s="38"/>
      <c r="DW1711" s="38"/>
      <c r="DX1711" s="38"/>
      <c r="DY1711" s="38"/>
      <c r="DZ1711" s="38"/>
      <c r="EA1711" s="38"/>
      <c r="EB1711" s="38"/>
      <c r="EC1711" s="38"/>
      <c r="ED1711" s="38"/>
      <c r="EE1711" s="38"/>
      <c r="EF1711" s="38"/>
      <c r="EG1711" s="38"/>
      <c r="EH1711" s="38"/>
      <c r="EI1711" s="38"/>
      <c r="EJ1711" s="38"/>
      <c r="EK1711" s="38"/>
      <c r="EL1711" s="38"/>
      <c r="EM1711" s="38"/>
      <c r="EN1711" s="38"/>
      <c r="EO1711" s="38"/>
      <c r="EP1711" s="38"/>
      <c r="EQ1711" s="38"/>
      <c r="ER1711" s="38"/>
      <c r="ES1711" s="38"/>
      <c r="ET1711" s="38"/>
      <c r="EU1711" s="38"/>
      <c r="EV1711" s="38"/>
      <c r="EW1711" s="38"/>
      <c r="EX1711" s="38"/>
      <c r="EY1711" s="38"/>
      <c r="EZ1711" s="38"/>
      <c r="FA1711" s="38"/>
      <c r="FB1711" s="38"/>
      <c r="FC1711" s="38"/>
      <c r="FD1711" s="38"/>
      <c r="FE1711" s="38"/>
      <c r="FF1711" s="38"/>
      <c r="FG1711" s="38"/>
      <c r="FH1711" s="38"/>
      <c r="FI1711" s="38"/>
      <c r="FJ1711" s="38"/>
      <c r="FK1711" s="38"/>
      <c r="FL1711" s="38"/>
      <c r="FM1711" s="38"/>
      <c r="FN1711" s="38"/>
      <c r="FO1711" s="38"/>
      <c r="FP1711" s="38"/>
      <c r="FQ1711" s="38"/>
      <c r="FR1711" s="38"/>
      <c r="FS1711" s="38"/>
      <c r="FT1711" s="38"/>
      <c r="FU1711" s="38"/>
      <c r="FV1711" s="38"/>
      <c r="FW1711" s="38"/>
      <c r="FX1711" s="38"/>
      <c r="FY1711" s="38"/>
      <c r="FZ1711" s="38"/>
      <c r="GA1711" s="38"/>
      <c r="GB1711" s="38"/>
      <c r="GC1711" s="38"/>
      <c r="GD1711" s="38"/>
      <c r="GE1711" s="38"/>
      <c r="GF1711" s="38"/>
      <c r="GG1711" s="38"/>
      <c r="GH1711" s="38"/>
      <c r="GI1711" s="38"/>
      <c r="GJ1711" s="38"/>
      <c r="GK1711" s="38"/>
      <c r="GL1711" s="38"/>
      <c r="GM1711" s="38"/>
      <c r="GN1711" s="38"/>
      <c r="GO1711" s="38"/>
      <c r="GP1711" s="38"/>
      <c r="GQ1711" s="38"/>
      <c r="GR1711" s="38"/>
      <c r="GS1711" s="38"/>
      <c r="GT1711" s="38"/>
      <c r="GU1711" s="38"/>
      <c r="GV1711" s="38"/>
      <c r="GW1711" s="38"/>
      <c r="GX1711" s="38"/>
      <c r="GY1711" s="38"/>
      <c r="GZ1711" s="38"/>
      <c r="HA1711" s="38"/>
      <c r="HB1711" s="38"/>
      <c r="HC1711" s="38"/>
      <c r="HD1711" s="38"/>
      <c r="HE1711" s="38"/>
      <c r="HF1711" s="38"/>
      <c r="HG1711" s="38"/>
      <c r="HH1711" s="38"/>
      <c r="HI1711" s="38"/>
      <c r="HJ1711" s="38"/>
      <c r="HK1711" s="38"/>
      <c r="HL1711" s="38"/>
      <c r="HM1711" s="38"/>
      <c r="HN1711" s="38"/>
      <c r="HO1711" s="38"/>
      <c r="HP1711" s="38"/>
      <c r="HQ1711" s="38"/>
      <c r="HR1711" s="38"/>
      <c r="HS1711" s="38"/>
      <c r="HT1711" s="38"/>
      <c r="HU1711" s="38"/>
      <c r="HV1711" s="38"/>
      <c r="HW1711" s="38"/>
      <c r="HX1711" s="38"/>
      <c r="HY1711" s="38"/>
      <c r="HZ1711" s="38"/>
      <c r="IA1711" s="38"/>
      <c r="IB1711" s="38"/>
      <c r="IC1711" s="38"/>
      <c r="ID1711" s="38"/>
      <c r="IE1711" s="38"/>
      <c r="IF1711" s="38"/>
      <c r="IG1711" s="38"/>
      <c r="IH1711" s="38"/>
      <c r="II1711" s="38"/>
      <c r="IJ1711" s="38"/>
      <c r="IK1711" s="38"/>
      <c r="IL1711" s="38"/>
      <c r="IM1711" s="38"/>
      <c r="IN1711" s="38"/>
      <c r="IO1711" s="38"/>
      <c r="IP1711" s="38"/>
      <c r="IQ1711" s="38"/>
      <c r="IR1711" s="38"/>
      <c r="IS1711" s="38"/>
      <c r="IT1711" s="38"/>
      <c r="IU1711" s="38"/>
      <c r="IV1711" s="38"/>
      <c r="IW1711" s="38"/>
      <c r="IX1711" s="38"/>
      <c r="IY1711" s="38"/>
      <c r="IZ1711" s="38"/>
      <c r="JA1711" s="38"/>
      <c r="JB1711" s="38"/>
      <c r="JC1711" s="38"/>
      <c r="JD1711" s="38"/>
      <c r="JE1711" s="38"/>
      <c r="JF1711" s="38"/>
      <c r="JG1711" s="38"/>
      <c r="JH1711" s="38"/>
      <c r="JI1711" s="38"/>
      <c r="JJ1711" s="38"/>
      <c r="JK1711" s="38"/>
      <c r="JL1711" s="38"/>
      <c r="JM1711" s="38"/>
      <c r="JN1711" s="38"/>
      <c r="JO1711" s="38"/>
      <c r="JP1711" s="38"/>
      <c r="JQ1711" s="38"/>
      <c r="JR1711" s="38"/>
      <c r="JS1711" s="38"/>
      <c r="JT1711" s="38"/>
      <c r="JU1711" s="38"/>
      <c r="JV1711" s="38"/>
      <c r="JW1711" s="38"/>
      <c r="JX1711" s="38"/>
      <c r="JY1711" s="38"/>
      <c r="JZ1711" s="38"/>
      <c r="KA1711" s="38"/>
      <c r="KB1711" s="38"/>
      <c r="KC1711" s="38"/>
      <c r="KD1711" s="38"/>
      <c r="KE1711" s="38"/>
      <c r="KF1711" s="38"/>
      <c r="KG1711" s="38"/>
      <c r="KH1711" s="38"/>
      <c r="KI1711" s="38"/>
      <c r="KJ1711" s="38"/>
      <c r="KK1711" s="38"/>
      <c r="KL1711" s="38"/>
      <c r="KM1711" s="38"/>
      <c r="KN1711" s="38"/>
      <c r="KO1711" s="38"/>
      <c r="KP1711" s="38"/>
      <c r="KQ1711" s="38"/>
      <c r="KR1711" s="38"/>
      <c r="KS1711" s="38"/>
      <c r="KT1711" s="38"/>
      <c r="KU1711" s="38"/>
      <c r="KV1711" s="38"/>
      <c r="KW1711" s="38"/>
      <c r="KX1711" s="38"/>
      <c r="KY1711" s="38"/>
      <c r="KZ1711" s="38"/>
      <c r="LA1711" s="38"/>
      <c r="LB1711" s="38"/>
      <c r="LC1711" s="38"/>
      <c r="LD1711" s="38"/>
      <c r="LE1711" s="38"/>
      <c r="LF1711" s="38"/>
      <c r="LG1711" s="38"/>
      <c r="LH1711" s="38"/>
      <c r="LI1711" s="38"/>
      <c r="LJ1711" s="38"/>
      <c r="LK1711" s="38"/>
      <c r="LL1711" s="38"/>
      <c r="LM1711" s="38"/>
      <c r="LN1711" s="38"/>
      <c r="LO1711" s="38"/>
      <c r="LP1711" s="38"/>
      <c r="LQ1711" s="38"/>
      <c r="LR1711" s="38"/>
      <c r="LS1711" s="38"/>
      <c r="LT1711" s="38"/>
      <c r="LU1711" s="38"/>
      <c r="LV1711" s="38"/>
      <c r="LW1711" s="38"/>
      <c r="LX1711" s="38"/>
      <c r="LY1711" s="38"/>
      <c r="LZ1711" s="38"/>
      <c r="MA1711" s="38"/>
      <c r="MB1711" s="38"/>
      <c r="MC1711" s="38"/>
      <c r="MD1711" s="38"/>
      <c r="ME1711" s="38"/>
      <c r="MF1711" s="38"/>
      <c r="MG1711" s="38"/>
      <c r="MH1711" s="38"/>
      <c r="MI1711" s="38"/>
      <c r="MJ1711" s="38"/>
      <c r="MK1711" s="38"/>
      <c r="ML1711" s="38"/>
      <c r="MM1711" s="38"/>
      <c r="MN1711" s="38"/>
      <c r="MO1711" s="38"/>
      <c r="MP1711" s="38"/>
      <c r="MQ1711" s="38"/>
      <c r="MR1711" s="38"/>
      <c r="MS1711" s="38"/>
      <c r="MT1711" s="38"/>
      <c r="MU1711" s="38"/>
      <c r="MV1711" s="38"/>
      <c r="MW1711" s="38"/>
      <c r="MX1711" s="38"/>
      <c r="MY1711" s="38"/>
      <c r="MZ1711" s="38"/>
      <c r="NA1711" s="38"/>
      <c r="NB1711" s="38"/>
      <c r="NC1711" s="38"/>
      <c r="ND1711" s="38"/>
      <c r="NE1711" s="38"/>
      <c r="NF1711" s="38"/>
      <c r="NG1711" s="38"/>
      <c r="NH1711" s="38"/>
      <c r="NI1711" s="38"/>
      <c r="NJ1711" s="38"/>
      <c r="NK1711" s="38"/>
      <c r="NL1711" s="38"/>
      <c r="NM1711" s="38"/>
      <c r="NN1711" s="38"/>
      <c r="NO1711" s="38"/>
      <c r="NP1711" s="38"/>
      <c r="NQ1711" s="38"/>
      <c r="NR1711" s="38"/>
      <c r="NS1711" s="38"/>
      <c r="NT1711" s="38"/>
      <c r="NU1711" s="38"/>
      <c r="NV1711" s="38"/>
      <c r="NW1711" s="38"/>
      <c r="NX1711" s="38"/>
      <c r="NY1711" s="38"/>
      <c r="NZ1711" s="38"/>
      <c r="OA1711" s="38"/>
      <c r="OB1711" s="38"/>
      <c r="OC1711" s="38"/>
      <c r="OD1711" s="38"/>
      <c r="OE1711" s="38"/>
      <c r="OF1711" s="38"/>
      <c r="OG1711" s="38"/>
      <c r="OH1711" s="38"/>
      <c r="OI1711" s="38"/>
      <c r="OJ1711" s="38"/>
      <c r="OK1711" s="38"/>
      <c r="OL1711" s="38"/>
      <c r="OM1711" s="38"/>
      <c r="ON1711" s="38"/>
      <c r="OO1711" s="38"/>
      <c r="OP1711" s="38"/>
      <c r="OQ1711" s="38"/>
      <c r="OR1711" s="38"/>
      <c r="OS1711" s="38"/>
      <c r="OT1711" s="38"/>
      <c r="OU1711" s="38"/>
      <c r="OV1711" s="38"/>
      <c r="OW1711" s="38"/>
      <c r="OX1711" s="38"/>
      <c r="OY1711" s="38"/>
      <c r="OZ1711" s="38"/>
      <c r="PA1711" s="38"/>
      <c r="PB1711" s="38"/>
      <c r="PC1711" s="38"/>
      <c r="PD1711" s="38"/>
      <c r="PE1711" s="38"/>
      <c r="PF1711" s="38"/>
      <c r="PG1711" s="38"/>
      <c r="PH1711" s="38"/>
      <c r="PI1711" s="38"/>
      <c r="PJ1711" s="38"/>
      <c r="PK1711" s="38"/>
      <c r="PL1711" s="38"/>
      <c r="PM1711" s="38"/>
      <c r="PN1711" s="38"/>
      <c r="PO1711" s="38"/>
      <c r="PP1711" s="38"/>
      <c r="PQ1711" s="38"/>
      <c r="PR1711" s="38"/>
      <c r="PS1711" s="38"/>
      <c r="PT1711" s="38"/>
      <c r="PU1711" s="38"/>
      <c r="PV1711" s="38"/>
      <c r="PW1711" s="38"/>
      <c r="PX1711" s="38"/>
      <c r="PY1711" s="38"/>
      <c r="PZ1711" s="38"/>
      <c r="QA1711" s="38"/>
      <c r="QB1711" s="38"/>
      <c r="QC1711" s="38"/>
      <c r="QD1711" s="38"/>
      <c r="QE1711" s="38"/>
      <c r="QF1711" s="38"/>
      <c r="QG1711" s="38"/>
      <c r="QH1711" s="38"/>
      <c r="QI1711" s="38"/>
      <c r="QJ1711" s="38"/>
      <c r="QK1711" s="38"/>
      <c r="QL1711" s="38"/>
      <c r="QM1711" s="38"/>
      <c r="QN1711" s="38"/>
      <c r="QO1711" s="38"/>
      <c r="QP1711" s="38"/>
      <c r="QQ1711" s="38"/>
      <c r="QR1711" s="38"/>
      <c r="QS1711" s="38"/>
      <c r="QT1711" s="38"/>
      <c r="QU1711" s="38"/>
      <c r="QV1711" s="38"/>
      <c r="QW1711" s="38"/>
      <c r="QX1711" s="38"/>
      <c r="QY1711" s="38"/>
      <c r="QZ1711" s="38"/>
      <c r="RA1711" s="38"/>
      <c r="RB1711" s="38"/>
      <c r="RC1711" s="38"/>
      <c r="RD1711" s="38"/>
      <c r="RE1711" s="38"/>
      <c r="RF1711" s="38"/>
      <c r="RG1711" s="38"/>
      <c r="RH1711" s="38"/>
      <c r="RI1711" s="38"/>
      <c r="RJ1711" s="38"/>
      <c r="RK1711" s="38"/>
      <c r="RL1711" s="38"/>
      <c r="RM1711" s="38"/>
      <c r="RN1711" s="38"/>
      <c r="RO1711" s="38"/>
      <c r="RP1711" s="38"/>
      <c r="RQ1711" s="38"/>
      <c r="RR1711" s="38"/>
      <c r="RS1711" s="38"/>
      <c r="RT1711" s="38"/>
      <c r="RU1711" s="38"/>
      <c r="RV1711" s="38"/>
      <c r="RW1711" s="38"/>
      <c r="RX1711" s="38"/>
      <c r="RY1711" s="38"/>
      <c r="RZ1711" s="38"/>
      <c r="SA1711" s="38"/>
      <c r="SB1711" s="38"/>
      <c r="SC1711" s="38"/>
      <c r="SD1711" s="38"/>
      <c r="SE1711" s="38"/>
      <c r="SF1711" s="38"/>
      <c r="SG1711" s="38"/>
      <c r="SH1711" s="38"/>
      <c r="SI1711" s="38"/>
      <c r="SJ1711" s="38"/>
      <c r="SK1711" s="38"/>
      <c r="SL1711" s="38"/>
      <c r="SM1711" s="38"/>
      <c r="SN1711" s="38"/>
      <c r="SO1711" s="38"/>
      <c r="SP1711" s="38"/>
      <c r="SQ1711" s="38"/>
      <c r="SR1711" s="38"/>
      <c r="SS1711" s="38"/>
      <c r="ST1711" s="38"/>
      <c r="SU1711" s="38"/>
      <c r="SV1711" s="38"/>
      <c r="SW1711" s="38"/>
      <c r="SX1711" s="38"/>
      <c r="SY1711" s="38"/>
      <c r="SZ1711" s="38"/>
      <c r="TA1711" s="38"/>
      <c r="TB1711" s="38"/>
      <c r="TC1711" s="38"/>
      <c r="TD1711" s="38"/>
      <c r="TE1711" s="38"/>
      <c r="TF1711" s="38"/>
      <c r="TG1711" s="38"/>
      <c r="TH1711" s="38"/>
      <c r="TI1711" s="38"/>
      <c r="TJ1711" s="38"/>
      <c r="TK1711" s="38"/>
      <c r="TL1711" s="38"/>
      <c r="TM1711" s="38"/>
      <c r="TN1711" s="38"/>
      <c r="TO1711" s="38"/>
      <c r="TP1711" s="38"/>
      <c r="TQ1711" s="38"/>
      <c r="TR1711" s="38"/>
      <c r="TS1711" s="38"/>
      <c r="TT1711" s="38"/>
      <c r="TU1711" s="38"/>
      <c r="TV1711" s="38"/>
      <c r="TW1711" s="38"/>
      <c r="TX1711" s="38"/>
      <c r="TY1711" s="38"/>
      <c r="TZ1711" s="38"/>
      <c r="UA1711" s="38"/>
      <c r="UB1711" s="38"/>
      <c r="UC1711" s="38"/>
      <c r="UD1711" s="38"/>
      <c r="UE1711" s="38"/>
      <c r="UF1711" s="38"/>
      <c r="UG1711" s="38"/>
      <c r="UH1711" s="38"/>
      <c r="UI1711" s="38"/>
      <c r="UJ1711" s="38"/>
      <c r="UK1711" s="38"/>
      <c r="UL1711" s="38"/>
      <c r="UM1711" s="38"/>
      <c r="UN1711" s="38"/>
      <c r="UO1711" s="38"/>
      <c r="UP1711" s="38"/>
      <c r="UQ1711" s="38"/>
      <c r="UR1711" s="38"/>
      <c r="US1711" s="38"/>
      <c r="UT1711" s="38"/>
      <c r="UU1711" s="38"/>
      <c r="UV1711" s="38"/>
      <c r="UW1711" s="38"/>
      <c r="UX1711" s="38"/>
      <c r="UY1711" s="38"/>
      <c r="UZ1711" s="38"/>
      <c r="VA1711" s="38"/>
      <c r="VB1711" s="38"/>
      <c r="VC1711" s="38"/>
      <c r="VD1711" s="38"/>
      <c r="VE1711" s="38"/>
      <c r="VF1711" s="38"/>
      <c r="VG1711" s="38"/>
      <c r="VH1711" s="38"/>
      <c r="VI1711" s="38"/>
      <c r="VJ1711" s="38"/>
      <c r="VK1711" s="38"/>
      <c r="VL1711" s="38"/>
      <c r="VM1711" s="38"/>
      <c r="VN1711" s="38"/>
      <c r="VO1711" s="38"/>
      <c r="VP1711" s="38"/>
      <c r="VQ1711" s="38"/>
      <c r="VR1711" s="38"/>
      <c r="VS1711" s="38"/>
      <c r="VT1711" s="38"/>
      <c r="VU1711" s="38"/>
      <c r="VV1711" s="38"/>
      <c r="VW1711" s="38"/>
      <c r="VX1711" s="38"/>
      <c r="VY1711" s="38"/>
      <c r="VZ1711" s="38"/>
      <c r="WA1711" s="38"/>
      <c r="WB1711" s="38"/>
      <c r="WC1711" s="38"/>
      <c r="WD1711" s="38"/>
      <c r="WE1711" s="38"/>
      <c r="WF1711" s="38"/>
      <c r="WG1711" s="38"/>
      <c r="WH1711" s="38"/>
      <c r="WI1711" s="38"/>
      <c r="WJ1711" s="38"/>
      <c r="WK1711" s="38"/>
      <c r="WL1711" s="38"/>
      <c r="WM1711" s="38"/>
      <c r="WN1711" s="38"/>
      <c r="WO1711" s="38"/>
      <c r="WP1711" s="38"/>
      <c r="WQ1711" s="38"/>
      <c r="WR1711" s="38"/>
      <c r="WS1711" s="38"/>
      <c r="WT1711" s="38"/>
      <c r="WU1711" s="38"/>
      <c r="WV1711" s="38"/>
      <c r="WW1711" s="38"/>
      <c r="WX1711" s="38"/>
      <c r="WY1711" s="38"/>
      <c r="WZ1711" s="38"/>
      <c r="XA1711" s="38"/>
      <c r="XB1711" s="38"/>
      <c r="XC1711" s="38"/>
      <c r="XD1711" s="38"/>
      <c r="XE1711" s="38"/>
      <c r="XF1711" s="38"/>
      <c r="XG1711" s="38"/>
      <c r="XH1711" s="38"/>
      <c r="XI1711" s="38"/>
      <c r="XJ1711" s="38"/>
      <c r="XK1711" s="38"/>
      <c r="XL1711" s="38"/>
      <c r="XM1711" s="38"/>
      <c r="XN1711" s="38"/>
      <c r="XO1711" s="38"/>
      <c r="XP1711" s="38"/>
      <c r="XQ1711" s="38"/>
      <c r="XR1711" s="38"/>
      <c r="XS1711" s="38"/>
      <c r="XT1711" s="38"/>
      <c r="XU1711" s="38"/>
      <c r="XV1711" s="38"/>
      <c r="XW1711" s="38"/>
      <c r="XX1711" s="38"/>
      <c r="XY1711" s="38"/>
      <c r="XZ1711" s="38"/>
      <c r="YA1711" s="38"/>
      <c r="YB1711" s="38"/>
      <c r="YC1711" s="38"/>
      <c r="YD1711" s="38"/>
      <c r="YE1711" s="38"/>
      <c r="YF1711" s="38"/>
      <c r="YG1711" s="38"/>
      <c r="YH1711" s="38"/>
      <c r="YI1711" s="38"/>
      <c r="YJ1711" s="38"/>
      <c r="YK1711" s="38"/>
      <c r="YL1711" s="38"/>
      <c r="YM1711" s="38"/>
      <c r="YN1711" s="38"/>
      <c r="YO1711" s="38"/>
      <c r="YP1711" s="38"/>
      <c r="YQ1711" s="38"/>
      <c r="YR1711" s="38"/>
      <c r="YS1711" s="38"/>
      <c r="YT1711" s="38"/>
      <c r="YU1711" s="38"/>
      <c r="YV1711" s="38"/>
      <c r="YW1711" s="38"/>
      <c r="YX1711" s="38"/>
      <c r="YY1711" s="38"/>
      <c r="YZ1711" s="38"/>
      <c r="ZA1711" s="38"/>
      <c r="ZB1711" s="38"/>
      <c r="ZC1711" s="38"/>
      <c r="ZD1711" s="38"/>
      <c r="ZE1711" s="38"/>
      <c r="ZF1711" s="38"/>
      <c r="ZG1711" s="38"/>
      <c r="ZH1711" s="38"/>
      <c r="ZI1711" s="38"/>
      <c r="ZJ1711" s="38"/>
      <c r="ZK1711" s="38"/>
      <c r="ZL1711" s="38"/>
      <c r="ZM1711" s="38"/>
      <c r="ZN1711" s="38"/>
      <c r="ZO1711" s="38"/>
      <c r="ZP1711" s="38"/>
      <c r="ZQ1711" s="38"/>
      <c r="ZR1711" s="38"/>
      <c r="ZS1711" s="38"/>
      <c r="ZT1711" s="38"/>
      <c r="ZU1711" s="38"/>
      <c r="ZV1711" s="38"/>
      <c r="ZW1711" s="38"/>
      <c r="ZX1711" s="38"/>
      <c r="ZY1711" s="38"/>
      <c r="ZZ1711" s="38"/>
      <c r="AAA1711" s="38"/>
      <c r="AAB1711" s="38"/>
      <c r="AAC1711" s="38"/>
      <c r="AAD1711" s="38"/>
      <c r="AAE1711" s="38"/>
      <c r="AAF1711" s="38"/>
      <c r="AAG1711" s="38"/>
      <c r="AAH1711" s="38"/>
      <c r="AAI1711" s="38"/>
      <c r="AAJ1711" s="38"/>
      <c r="AAK1711" s="38"/>
      <c r="AAL1711" s="38"/>
      <c r="AAM1711" s="38"/>
      <c r="AAN1711" s="38"/>
      <c r="AAO1711" s="38"/>
      <c r="AAP1711" s="38"/>
      <c r="AAQ1711" s="38"/>
      <c r="AAR1711" s="38"/>
      <c r="AAS1711" s="38"/>
      <c r="AAT1711" s="38"/>
      <c r="AAU1711" s="38"/>
      <c r="AAV1711" s="38"/>
      <c r="AAW1711" s="38"/>
      <c r="AAX1711" s="38"/>
      <c r="AAY1711" s="38"/>
      <c r="AAZ1711" s="38"/>
      <c r="ABA1711" s="38"/>
      <c r="ABB1711" s="38"/>
      <c r="ABC1711" s="38"/>
      <c r="ABD1711" s="38"/>
      <c r="ABE1711" s="38"/>
      <c r="ABF1711" s="38"/>
      <c r="ABG1711" s="38"/>
      <c r="ABH1711" s="38"/>
      <c r="ABI1711" s="38"/>
      <c r="ABJ1711" s="38"/>
      <c r="ABK1711" s="38"/>
      <c r="ABL1711" s="38"/>
      <c r="ABM1711" s="38"/>
      <c r="ABN1711" s="38"/>
      <c r="ABO1711" s="38"/>
      <c r="ABP1711" s="38"/>
      <c r="ABQ1711" s="38"/>
      <c r="ABR1711" s="38"/>
      <c r="ABS1711" s="38"/>
      <c r="ABT1711" s="38"/>
      <c r="ABU1711" s="38"/>
      <c r="ABV1711" s="38"/>
      <c r="ABW1711" s="38"/>
      <c r="ABX1711" s="38"/>
      <c r="ABY1711" s="38"/>
      <c r="ABZ1711" s="38"/>
      <c r="ACA1711" s="38"/>
      <c r="ACB1711" s="38"/>
      <c r="ACC1711" s="38"/>
      <c r="ACD1711" s="38"/>
      <c r="ACE1711" s="38"/>
      <c r="ACF1711" s="38"/>
      <c r="ACG1711" s="38"/>
      <c r="ACH1711" s="38"/>
      <c r="ACI1711" s="38"/>
      <c r="ACJ1711" s="38"/>
      <c r="ACK1711" s="38"/>
      <c r="ACL1711" s="38"/>
      <c r="ACM1711" s="38"/>
      <c r="ACN1711" s="38"/>
      <c r="ACO1711" s="38"/>
      <c r="ACP1711" s="38"/>
      <c r="ACQ1711" s="38"/>
      <c r="ACR1711" s="38"/>
      <c r="ACS1711" s="38"/>
      <c r="ACT1711" s="38"/>
      <c r="ACU1711" s="38"/>
      <c r="ACV1711" s="38"/>
      <c r="ACW1711" s="38"/>
      <c r="ACX1711" s="38"/>
      <c r="ACY1711" s="38"/>
      <c r="ACZ1711" s="38"/>
      <c r="ADA1711" s="38"/>
      <c r="ADB1711" s="38"/>
      <c r="ADC1711" s="38"/>
      <c r="ADD1711" s="38"/>
      <c r="ADE1711" s="38"/>
      <c r="ADF1711" s="38"/>
      <c r="ADG1711" s="38"/>
      <c r="ADH1711" s="38"/>
      <c r="ADI1711" s="38"/>
      <c r="ADJ1711" s="38"/>
      <c r="ADK1711" s="38"/>
      <c r="ADL1711" s="38"/>
      <c r="ADM1711" s="38"/>
      <c r="ADN1711" s="38"/>
      <c r="ADO1711" s="38"/>
      <c r="ADP1711" s="38"/>
      <c r="ADQ1711" s="38"/>
      <c r="ADR1711" s="38"/>
      <c r="ADS1711" s="38"/>
      <c r="ADT1711" s="38"/>
      <c r="ADU1711" s="38"/>
      <c r="ADV1711" s="38"/>
      <c r="ADW1711" s="38"/>
      <c r="ADX1711" s="38"/>
      <c r="ADY1711" s="38"/>
      <c r="ADZ1711" s="38"/>
      <c r="AEA1711" s="38"/>
      <c r="AEB1711" s="38"/>
      <c r="AEC1711" s="38"/>
      <c r="AED1711" s="38"/>
      <c r="AEE1711" s="38"/>
      <c r="AEF1711" s="38"/>
      <c r="AEG1711" s="38"/>
      <c r="AEH1711" s="38"/>
      <c r="AEI1711" s="38"/>
      <c r="AEJ1711" s="38"/>
      <c r="AEK1711" s="38"/>
      <c r="AEL1711" s="38"/>
      <c r="AEM1711" s="38"/>
      <c r="AEN1711" s="38"/>
      <c r="AEO1711" s="38"/>
      <c r="AEP1711" s="38"/>
      <c r="AEQ1711" s="38"/>
      <c r="AER1711" s="38"/>
      <c r="AES1711" s="38"/>
      <c r="AET1711" s="38"/>
      <c r="AEU1711" s="38"/>
      <c r="AEV1711" s="38"/>
      <c r="AEW1711" s="38"/>
      <c r="AEX1711" s="38"/>
      <c r="AEY1711" s="38"/>
      <c r="AEZ1711" s="38"/>
      <c r="AFA1711" s="38"/>
      <c r="AFB1711" s="38"/>
      <c r="AFC1711" s="38"/>
      <c r="AFD1711" s="38"/>
      <c r="AFE1711" s="38"/>
      <c r="AFF1711" s="38"/>
      <c r="AFG1711" s="38"/>
      <c r="AFH1711" s="38"/>
      <c r="AFI1711" s="38"/>
      <c r="AFJ1711" s="38"/>
      <c r="AFK1711" s="38"/>
      <c r="AFL1711" s="38"/>
      <c r="AFM1711" s="38"/>
      <c r="AFN1711" s="38"/>
      <c r="AFO1711" s="38"/>
      <c r="AFP1711" s="38"/>
      <c r="AFQ1711" s="38"/>
      <c r="AFR1711" s="38"/>
      <c r="AFS1711" s="38"/>
      <c r="AFT1711" s="38"/>
      <c r="AFU1711" s="38"/>
      <c r="AFV1711" s="38"/>
      <c r="AFW1711" s="38"/>
      <c r="AFX1711" s="38"/>
      <c r="AFY1711" s="38"/>
      <c r="AFZ1711" s="38"/>
      <c r="AGA1711" s="38"/>
      <c r="AGB1711" s="38"/>
      <c r="AGC1711" s="38"/>
      <c r="AGD1711" s="38"/>
      <c r="AGE1711" s="38"/>
      <c r="AGF1711" s="38"/>
      <c r="AGG1711" s="38"/>
      <c r="AGH1711" s="38"/>
      <c r="AGI1711" s="38"/>
      <c r="AGJ1711" s="38"/>
      <c r="AGK1711" s="38"/>
      <c r="AGL1711" s="38"/>
      <c r="AGM1711" s="38"/>
      <c r="AGN1711" s="38"/>
      <c r="AGO1711" s="38"/>
      <c r="AGP1711" s="38"/>
      <c r="AGQ1711" s="38"/>
      <c r="AGR1711" s="38"/>
      <c r="AGS1711" s="38"/>
      <c r="AGT1711" s="38"/>
      <c r="AGU1711" s="38"/>
      <c r="AGV1711" s="38"/>
      <c r="AGW1711" s="38"/>
      <c r="AGX1711" s="38"/>
      <c r="AGY1711" s="38"/>
      <c r="AGZ1711" s="38"/>
      <c r="AHA1711" s="38"/>
      <c r="AHB1711" s="38"/>
      <c r="AHC1711" s="38"/>
      <c r="AHD1711" s="38"/>
      <c r="AHE1711" s="38"/>
      <c r="AHF1711" s="38"/>
      <c r="AHG1711" s="38"/>
      <c r="AHH1711" s="38"/>
      <c r="AHI1711" s="38"/>
      <c r="AHJ1711" s="38"/>
      <c r="AHK1711" s="38"/>
      <c r="AHL1711" s="38"/>
      <c r="AHM1711" s="38"/>
      <c r="AHN1711" s="38"/>
      <c r="AHO1711" s="38"/>
      <c r="AHP1711" s="38"/>
      <c r="AHQ1711" s="38"/>
      <c r="AHR1711" s="38"/>
      <c r="AHS1711" s="38"/>
      <c r="AHT1711" s="38"/>
      <c r="AHU1711" s="38"/>
      <c r="AHV1711" s="38"/>
      <c r="AHW1711" s="38"/>
      <c r="AHX1711" s="38"/>
      <c r="AHY1711" s="38"/>
      <c r="AHZ1711" s="38"/>
      <c r="AIA1711" s="38"/>
      <c r="AIB1711" s="38"/>
      <c r="AIC1711" s="38"/>
      <c r="AID1711" s="38"/>
      <c r="AIE1711" s="38"/>
      <c r="AIF1711" s="38"/>
      <c r="AIG1711" s="38"/>
      <c r="AIH1711" s="38"/>
      <c r="AII1711" s="38"/>
      <c r="AIJ1711" s="38"/>
      <c r="AIK1711" s="38"/>
      <c r="AIL1711" s="38"/>
      <c r="AIM1711" s="38"/>
      <c r="AIN1711" s="38"/>
      <c r="AIO1711" s="38"/>
      <c r="AIP1711" s="38"/>
      <c r="AIQ1711" s="38"/>
      <c r="AIR1711" s="38"/>
      <c r="AIS1711" s="38"/>
      <c r="AIT1711" s="38"/>
      <c r="AIU1711" s="38"/>
      <c r="AIV1711" s="38"/>
      <c r="AIW1711" s="38"/>
      <c r="AIX1711" s="38"/>
      <c r="AIY1711" s="38"/>
      <c r="AIZ1711" s="38"/>
      <c r="AJA1711" s="38"/>
      <c r="AJB1711" s="38"/>
      <c r="AJC1711" s="38"/>
      <c r="AJD1711" s="38"/>
      <c r="AJE1711" s="38"/>
      <c r="AJF1711" s="38"/>
      <c r="AJG1711" s="38"/>
      <c r="AJH1711" s="38"/>
      <c r="AJI1711" s="38"/>
      <c r="AJJ1711" s="38"/>
      <c r="AJK1711" s="38"/>
      <c r="AJL1711" s="38"/>
      <c r="AJM1711" s="38"/>
      <c r="AJN1711" s="38"/>
      <c r="AJO1711" s="38"/>
      <c r="AJP1711" s="38"/>
      <c r="AJQ1711" s="38"/>
      <c r="AJR1711" s="38"/>
      <c r="AJS1711" s="38"/>
      <c r="AJT1711" s="38"/>
      <c r="AJU1711" s="38"/>
      <c r="AJV1711" s="38"/>
      <c r="AJW1711" s="38"/>
      <c r="AJX1711" s="38"/>
      <c r="AJY1711" s="38"/>
      <c r="AJZ1711" s="38"/>
      <c r="AKA1711" s="38"/>
      <c r="AKB1711" s="38"/>
      <c r="AKC1711" s="38"/>
      <c r="AKD1711" s="38"/>
      <c r="AKE1711" s="38"/>
      <c r="AKF1711" s="38"/>
      <c r="AKG1711" s="38"/>
      <c r="AKH1711" s="38"/>
      <c r="AKI1711" s="38"/>
      <c r="AKJ1711" s="38"/>
      <c r="AKK1711" s="38"/>
      <c r="AKL1711" s="38"/>
      <c r="AKM1711" s="38"/>
      <c r="AKN1711" s="38"/>
      <c r="AKO1711" s="38"/>
      <c r="AKP1711" s="38"/>
      <c r="AKQ1711" s="38"/>
      <c r="AKR1711" s="38"/>
      <c r="AKS1711" s="38"/>
      <c r="AKT1711" s="38"/>
      <c r="AKU1711" s="38"/>
      <c r="AKV1711" s="38"/>
      <c r="AKW1711" s="38"/>
      <c r="AKX1711" s="38"/>
      <c r="AKY1711" s="38"/>
      <c r="AKZ1711" s="38"/>
      <c r="ALA1711" s="38"/>
      <c r="ALB1711" s="38"/>
      <c r="ALC1711" s="38"/>
      <c r="ALD1711" s="38"/>
      <c r="ALE1711" s="38"/>
      <c r="ALF1711" s="38"/>
      <c r="ALG1711" s="38"/>
      <c r="ALH1711" s="38"/>
      <c r="ALI1711" s="38"/>
      <c r="ALJ1711" s="38"/>
      <c r="ALK1711" s="38"/>
      <c r="ALL1711" s="38"/>
      <c r="ALM1711" s="38"/>
      <c r="ALN1711" s="38"/>
      <c r="ALO1711" s="38"/>
      <c r="ALP1711" s="38"/>
      <c r="ALQ1711" s="38"/>
      <c r="ALR1711" s="38"/>
      <c r="ALS1711" s="38"/>
      <c r="ALT1711" s="38"/>
      <c r="ALU1711" s="38"/>
      <c r="ALV1711" s="38"/>
      <c r="ALW1711" s="38"/>
      <c r="ALX1711" s="38"/>
      <c r="ALY1711" s="38"/>
      <c r="ALZ1711" s="38"/>
      <c r="AMA1711" s="38"/>
      <c r="AMB1711" s="38"/>
      <c r="AMC1711" s="38"/>
      <c r="AMD1711" s="38"/>
      <c r="AME1711" s="38"/>
      <c r="AMF1711" s="38"/>
      <c r="AMG1711" s="38"/>
      <c r="AMH1711" s="38"/>
      <c r="AMI1711" s="38"/>
      <c r="AMJ1711" s="38"/>
      <c r="AMK1711" s="38"/>
      <c r="AML1711" s="38"/>
      <c r="AMM1711" s="38"/>
      <c r="AMN1711" s="38"/>
      <c r="AMO1711" s="38"/>
      <c r="AMP1711" s="38"/>
      <c r="AMQ1711" s="38"/>
      <c r="AMR1711" s="38"/>
      <c r="AMS1711" s="38"/>
      <c r="AMT1711" s="38"/>
      <c r="AMU1711" s="38"/>
      <c r="AMV1711" s="38"/>
      <c r="AMW1711" s="38"/>
      <c r="AMX1711" s="38"/>
      <c r="AMY1711" s="38"/>
      <c r="AMZ1711" s="38"/>
      <c r="ANA1711" s="38"/>
      <c r="ANB1711" s="38"/>
      <c r="ANC1711" s="38"/>
      <c r="AND1711" s="38"/>
      <c r="ANE1711" s="38"/>
      <c r="ANF1711" s="38"/>
      <c r="ANG1711" s="38"/>
      <c r="ANH1711" s="38"/>
      <c r="ANI1711" s="38"/>
      <c r="ANJ1711" s="38"/>
      <c r="ANK1711" s="38"/>
      <c r="ANL1711" s="38"/>
      <c r="ANM1711" s="38"/>
      <c r="ANN1711" s="38"/>
      <c r="ANO1711" s="38"/>
      <c r="ANP1711" s="38"/>
      <c r="ANQ1711" s="38"/>
      <c r="ANR1711" s="38"/>
      <c r="ANS1711" s="38"/>
      <c r="ANT1711" s="38"/>
      <c r="ANU1711" s="38"/>
      <c r="ANV1711" s="38"/>
      <c r="ANW1711" s="38"/>
      <c r="ANX1711" s="38"/>
      <c r="ANY1711" s="38"/>
      <c r="ANZ1711" s="38"/>
      <c r="AOA1711" s="38"/>
      <c r="AOB1711" s="38"/>
      <c r="AOC1711" s="38"/>
      <c r="AOD1711" s="38"/>
      <c r="AOE1711" s="38"/>
      <c r="AOF1711" s="38"/>
      <c r="AOG1711" s="38"/>
      <c r="AOH1711" s="38"/>
      <c r="AOI1711" s="38"/>
      <c r="AOJ1711" s="38"/>
      <c r="AOK1711" s="38"/>
      <c r="AOL1711" s="38"/>
      <c r="AOM1711" s="38"/>
      <c r="AON1711" s="38"/>
      <c r="AOO1711" s="38"/>
      <c r="AOP1711" s="38"/>
      <c r="AOQ1711" s="38"/>
      <c r="AOR1711" s="38"/>
      <c r="AOS1711" s="38"/>
      <c r="AOT1711" s="38"/>
      <c r="AOU1711" s="38"/>
      <c r="AOV1711" s="38"/>
      <c r="AOW1711" s="38"/>
      <c r="AOX1711" s="38"/>
      <c r="AOY1711" s="38"/>
      <c r="AOZ1711" s="38"/>
      <c r="APA1711" s="38"/>
      <c r="APB1711" s="38"/>
      <c r="APC1711" s="38"/>
    </row>
    <row r="1712" spans="1:1095" s="36" customFormat="1" ht="14.25" customHeight="1">
      <c r="A1712" s="3" t="s">
        <v>1722</v>
      </c>
      <c r="B1712" s="36" t="s">
        <v>3984</v>
      </c>
      <c r="C1712" s="218">
        <v>4058075824294</v>
      </c>
      <c r="D1712" s="224">
        <v>4058075630581</v>
      </c>
      <c r="E1712" s="245" t="s">
        <v>1626</v>
      </c>
      <c r="F1712" s="246"/>
      <c r="G1712" s="66" t="str">
        <f>HYPERLINK("https://ledvance.com/pt/product-datasheet/247502/243807","Ficha de Produto")</f>
        <v>Ficha de Produto</v>
      </c>
      <c r="H1712" s="217">
        <v>10</v>
      </c>
      <c r="I1712" s="34" t="s">
        <v>969</v>
      </c>
      <c r="J1712" s="34" t="s">
        <v>1044</v>
      </c>
      <c r="K1712" s="34" t="s">
        <v>788</v>
      </c>
      <c r="L1712" s="34" t="s">
        <v>765</v>
      </c>
      <c r="M1712" s="247">
        <v>35.5</v>
      </c>
      <c r="N1712" s="288" t="s">
        <v>722</v>
      </c>
    </row>
    <row r="1713" spans="1:1095" s="36" customFormat="1" ht="14.25" customHeight="1">
      <c r="A1713" s="3" t="s">
        <v>1722</v>
      </c>
      <c r="B1713" s="36" t="s">
        <v>3985</v>
      </c>
      <c r="C1713" s="218">
        <v>4058075824317</v>
      </c>
      <c r="D1713" s="224">
        <v>4058075543522</v>
      </c>
      <c r="E1713" s="245" t="s">
        <v>1627</v>
      </c>
      <c r="F1713" s="246"/>
      <c r="G1713" s="66" t="str">
        <f>HYPERLINK("https://ledvance.com/pt/product-datasheet/247502/243810","Ficha de Produto")</f>
        <v>Ficha de Produto</v>
      </c>
      <c r="H1713" s="217">
        <v>10</v>
      </c>
      <c r="I1713" s="34" t="s">
        <v>767</v>
      </c>
      <c r="J1713" s="34" t="s">
        <v>1044</v>
      </c>
      <c r="K1713" s="34" t="s">
        <v>788</v>
      </c>
      <c r="L1713" s="34" t="s">
        <v>765</v>
      </c>
      <c r="M1713" s="247">
        <v>35.5</v>
      </c>
      <c r="N1713" s="288" t="s">
        <v>722</v>
      </c>
    </row>
    <row r="1714" spans="1:1095" s="36" customFormat="1" ht="14.25" customHeight="1">
      <c r="A1714" s="3" t="s">
        <v>1722</v>
      </c>
      <c r="B1714" s="36" t="s">
        <v>3986</v>
      </c>
      <c r="C1714" s="218">
        <v>4058075824331</v>
      </c>
      <c r="D1714" s="224">
        <v>4058075543546</v>
      </c>
      <c r="E1714" s="245" t="s">
        <v>1628</v>
      </c>
      <c r="F1714" s="246"/>
      <c r="G1714" s="66" t="str">
        <f>HYPERLINK("https://ledvance.com/pt/product-datasheet/247502/243813","Ficha de Produto")</f>
        <v>Ficha de Produto</v>
      </c>
      <c r="H1714" s="217">
        <v>10</v>
      </c>
      <c r="I1714" s="34" t="s">
        <v>767</v>
      </c>
      <c r="J1714" s="34" t="s">
        <v>1044</v>
      </c>
      <c r="K1714" s="34" t="s">
        <v>788</v>
      </c>
      <c r="L1714" s="34" t="s">
        <v>765</v>
      </c>
      <c r="M1714" s="247">
        <v>35.5</v>
      </c>
      <c r="N1714" s="288" t="s">
        <v>722</v>
      </c>
    </row>
    <row r="1715" spans="1:1095" s="39" customFormat="1" ht="14.25" customHeight="1">
      <c r="A1715" s="8" t="s">
        <v>1722</v>
      </c>
      <c r="B1715" s="244" t="s">
        <v>2070</v>
      </c>
      <c r="C1715" s="8"/>
      <c r="D1715" s="7"/>
      <c r="E1715" s="230"/>
      <c r="F1715" s="7"/>
      <c r="G1715" s="68" t="s">
        <v>6505</v>
      </c>
      <c r="H1715" s="230"/>
      <c r="I1715" s="230"/>
      <c r="J1715" s="230"/>
      <c r="K1715" s="230"/>
      <c r="L1715" s="230"/>
      <c r="M1715" s="248"/>
      <c r="N1715" s="284"/>
      <c r="O1715" s="38"/>
      <c r="P1715" s="38"/>
      <c r="Q1715" s="38"/>
      <c r="R1715" s="38"/>
      <c r="S1715" s="38"/>
      <c r="T1715" s="38"/>
      <c r="U1715" s="38"/>
      <c r="V1715" s="38"/>
      <c r="W1715" s="38"/>
      <c r="X1715" s="38"/>
      <c r="Y1715" s="38"/>
      <c r="Z1715" s="38"/>
      <c r="AA1715" s="38"/>
      <c r="AB1715" s="38"/>
      <c r="AC1715" s="38"/>
      <c r="AD1715" s="38"/>
      <c r="AE1715" s="38"/>
      <c r="AF1715" s="38"/>
      <c r="AG1715" s="38"/>
      <c r="AH1715" s="38"/>
      <c r="AI1715" s="38"/>
      <c r="AJ1715" s="38"/>
      <c r="AK1715" s="38"/>
      <c r="AL1715" s="38"/>
      <c r="AM1715" s="38"/>
      <c r="AN1715" s="38"/>
      <c r="AO1715" s="38"/>
      <c r="AP1715" s="38"/>
      <c r="AQ1715" s="38"/>
      <c r="AR1715" s="38"/>
      <c r="AS1715" s="38"/>
      <c r="AT1715" s="38"/>
      <c r="AU1715" s="38"/>
      <c r="AV1715" s="38"/>
      <c r="AW1715" s="38"/>
      <c r="AX1715" s="38"/>
      <c r="AY1715" s="38"/>
      <c r="AZ1715" s="38"/>
      <c r="BA1715" s="38"/>
      <c r="BB1715" s="38"/>
      <c r="BC1715" s="38"/>
      <c r="BD1715" s="38"/>
      <c r="BE1715" s="38"/>
      <c r="BF1715" s="38"/>
      <c r="BG1715" s="38"/>
      <c r="BH1715" s="38"/>
      <c r="BI1715" s="38"/>
      <c r="BJ1715" s="38"/>
      <c r="BK1715" s="38"/>
      <c r="BL1715" s="38"/>
      <c r="BM1715" s="38"/>
      <c r="BN1715" s="38"/>
      <c r="BO1715" s="38"/>
      <c r="BP1715" s="38"/>
      <c r="BQ1715" s="38"/>
      <c r="BR1715" s="38"/>
      <c r="BS1715" s="38"/>
      <c r="BT1715" s="38"/>
      <c r="BU1715" s="38"/>
      <c r="BV1715" s="38"/>
      <c r="BW1715" s="38"/>
      <c r="BX1715" s="38"/>
      <c r="BY1715" s="38"/>
      <c r="BZ1715" s="38"/>
      <c r="CA1715" s="38"/>
      <c r="CB1715" s="38"/>
      <c r="CC1715" s="38"/>
      <c r="CD1715" s="38"/>
      <c r="CE1715" s="38"/>
      <c r="CF1715" s="38"/>
      <c r="CG1715" s="38"/>
      <c r="CH1715" s="38"/>
      <c r="CI1715" s="38"/>
      <c r="CJ1715" s="38"/>
      <c r="CK1715" s="38"/>
      <c r="CL1715" s="38"/>
      <c r="CM1715" s="38"/>
      <c r="CN1715" s="38"/>
      <c r="CO1715" s="38"/>
      <c r="CP1715" s="38"/>
      <c r="CQ1715" s="38"/>
      <c r="CR1715" s="38"/>
      <c r="CS1715" s="38"/>
      <c r="CT1715" s="38"/>
      <c r="CU1715" s="38"/>
      <c r="CV1715" s="38"/>
      <c r="CW1715" s="38"/>
      <c r="CX1715" s="38"/>
      <c r="CY1715" s="38"/>
      <c r="CZ1715" s="38"/>
      <c r="DA1715" s="38"/>
      <c r="DB1715" s="38"/>
      <c r="DC1715" s="38"/>
      <c r="DD1715" s="38"/>
      <c r="DE1715" s="38"/>
      <c r="DF1715" s="38"/>
      <c r="DG1715" s="38"/>
      <c r="DH1715" s="38"/>
      <c r="DI1715" s="38"/>
      <c r="DJ1715" s="38"/>
      <c r="DK1715" s="38"/>
      <c r="DL1715" s="38"/>
      <c r="DM1715" s="38"/>
      <c r="DN1715" s="38"/>
      <c r="DO1715" s="38"/>
      <c r="DP1715" s="38"/>
      <c r="DQ1715" s="38"/>
      <c r="DR1715" s="38"/>
      <c r="DS1715" s="38"/>
      <c r="DT1715" s="38"/>
      <c r="DU1715" s="38"/>
      <c r="DV1715" s="38"/>
      <c r="DW1715" s="38"/>
      <c r="DX1715" s="38"/>
      <c r="DY1715" s="38"/>
      <c r="DZ1715" s="38"/>
      <c r="EA1715" s="38"/>
      <c r="EB1715" s="38"/>
      <c r="EC1715" s="38"/>
      <c r="ED1715" s="38"/>
      <c r="EE1715" s="38"/>
      <c r="EF1715" s="38"/>
      <c r="EG1715" s="38"/>
      <c r="EH1715" s="38"/>
      <c r="EI1715" s="38"/>
      <c r="EJ1715" s="38"/>
      <c r="EK1715" s="38"/>
      <c r="EL1715" s="38"/>
      <c r="EM1715" s="38"/>
      <c r="EN1715" s="38"/>
      <c r="EO1715" s="38"/>
      <c r="EP1715" s="38"/>
      <c r="EQ1715" s="38"/>
      <c r="ER1715" s="38"/>
      <c r="ES1715" s="38"/>
      <c r="ET1715" s="38"/>
      <c r="EU1715" s="38"/>
      <c r="EV1715" s="38"/>
      <c r="EW1715" s="38"/>
      <c r="EX1715" s="38"/>
      <c r="EY1715" s="38"/>
      <c r="EZ1715" s="38"/>
      <c r="FA1715" s="38"/>
      <c r="FB1715" s="38"/>
      <c r="FC1715" s="38"/>
      <c r="FD1715" s="38"/>
      <c r="FE1715" s="38"/>
      <c r="FF1715" s="38"/>
      <c r="FG1715" s="38"/>
      <c r="FH1715" s="38"/>
      <c r="FI1715" s="38"/>
      <c r="FJ1715" s="38"/>
      <c r="FK1715" s="38"/>
      <c r="FL1715" s="38"/>
      <c r="FM1715" s="38"/>
      <c r="FN1715" s="38"/>
      <c r="FO1715" s="38"/>
      <c r="FP1715" s="38"/>
      <c r="FQ1715" s="38"/>
      <c r="FR1715" s="38"/>
      <c r="FS1715" s="38"/>
      <c r="FT1715" s="38"/>
      <c r="FU1715" s="38"/>
      <c r="FV1715" s="38"/>
      <c r="FW1715" s="38"/>
      <c r="FX1715" s="38"/>
      <c r="FY1715" s="38"/>
      <c r="FZ1715" s="38"/>
      <c r="GA1715" s="38"/>
      <c r="GB1715" s="38"/>
      <c r="GC1715" s="38"/>
      <c r="GD1715" s="38"/>
      <c r="GE1715" s="38"/>
      <c r="GF1715" s="38"/>
      <c r="GG1715" s="38"/>
      <c r="GH1715" s="38"/>
      <c r="GI1715" s="38"/>
      <c r="GJ1715" s="38"/>
      <c r="GK1715" s="38"/>
      <c r="GL1715" s="38"/>
      <c r="GM1715" s="38"/>
      <c r="GN1715" s="38"/>
      <c r="GO1715" s="38"/>
      <c r="GP1715" s="38"/>
      <c r="GQ1715" s="38"/>
      <c r="GR1715" s="38"/>
      <c r="GS1715" s="38"/>
      <c r="GT1715" s="38"/>
      <c r="GU1715" s="38"/>
      <c r="GV1715" s="38"/>
      <c r="GW1715" s="38"/>
      <c r="GX1715" s="38"/>
      <c r="GY1715" s="38"/>
      <c r="GZ1715" s="38"/>
      <c r="HA1715" s="38"/>
      <c r="HB1715" s="38"/>
      <c r="HC1715" s="38"/>
      <c r="HD1715" s="38"/>
      <c r="HE1715" s="38"/>
      <c r="HF1715" s="38"/>
      <c r="HG1715" s="38"/>
      <c r="HH1715" s="38"/>
      <c r="HI1715" s="38"/>
      <c r="HJ1715" s="38"/>
      <c r="HK1715" s="38"/>
      <c r="HL1715" s="38"/>
      <c r="HM1715" s="38"/>
      <c r="HN1715" s="38"/>
      <c r="HO1715" s="38"/>
      <c r="HP1715" s="38"/>
      <c r="HQ1715" s="38"/>
      <c r="HR1715" s="38"/>
      <c r="HS1715" s="38"/>
      <c r="HT1715" s="38"/>
      <c r="HU1715" s="38"/>
      <c r="HV1715" s="38"/>
      <c r="HW1715" s="38"/>
      <c r="HX1715" s="38"/>
      <c r="HY1715" s="38"/>
      <c r="HZ1715" s="38"/>
      <c r="IA1715" s="38"/>
      <c r="IB1715" s="38"/>
      <c r="IC1715" s="38"/>
      <c r="ID1715" s="38"/>
      <c r="IE1715" s="38"/>
      <c r="IF1715" s="38"/>
      <c r="IG1715" s="38"/>
      <c r="IH1715" s="38"/>
      <c r="II1715" s="38"/>
      <c r="IJ1715" s="38"/>
      <c r="IK1715" s="38"/>
      <c r="IL1715" s="38"/>
      <c r="IM1715" s="38"/>
      <c r="IN1715" s="38"/>
      <c r="IO1715" s="38"/>
      <c r="IP1715" s="38"/>
      <c r="IQ1715" s="38"/>
      <c r="IR1715" s="38"/>
      <c r="IS1715" s="38"/>
      <c r="IT1715" s="38"/>
      <c r="IU1715" s="38"/>
      <c r="IV1715" s="38"/>
      <c r="IW1715" s="38"/>
      <c r="IX1715" s="38"/>
      <c r="IY1715" s="38"/>
      <c r="IZ1715" s="38"/>
      <c r="JA1715" s="38"/>
      <c r="JB1715" s="38"/>
      <c r="JC1715" s="38"/>
      <c r="JD1715" s="38"/>
      <c r="JE1715" s="38"/>
      <c r="JF1715" s="38"/>
      <c r="JG1715" s="38"/>
      <c r="JH1715" s="38"/>
      <c r="JI1715" s="38"/>
      <c r="JJ1715" s="38"/>
      <c r="JK1715" s="38"/>
      <c r="JL1715" s="38"/>
      <c r="JM1715" s="38"/>
      <c r="JN1715" s="38"/>
      <c r="JO1715" s="38"/>
      <c r="JP1715" s="38"/>
      <c r="JQ1715" s="38"/>
      <c r="JR1715" s="38"/>
      <c r="JS1715" s="38"/>
      <c r="JT1715" s="38"/>
      <c r="JU1715" s="38"/>
      <c r="JV1715" s="38"/>
      <c r="JW1715" s="38"/>
      <c r="JX1715" s="38"/>
      <c r="JY1715" s="38"/>
      <c r="JZ1715" s="38"/>
      <c r="KA1715" s="38"/>
      <c r="KB1715" s="38"/>
      <c r="KC1715" s="38"/>
      <c r="KD1715" s="38"/>
      <c r="KE1715" s="38"/>
      <c r="KF1715" s="38"/>
      <c r="KG1715" s="38"/>
      <c r="KH1715" s="38"/>
      <c r="KI1715" s="38"/>
      <c r="KJ1715" s="38"/>
      <c r="KK1715" s="38"/>
      <c r="KL1715" s="38"/>
      <c r="KM1715" s="38"/>
      <c r="KN1715" s="38"/>
      <c r="KO1715" s="38"/>
      <c r="KP1715" s="38"/>
      <c r="KQ1715" s="38"/>
      <c r="KR1715" s="38"/>
      <c r="KS1715" s="38"/>
      <c r="KT1715" s="38"/>
      <c r="KU1715" s="38"/>
      <c r="KV1715" s="38"/>
      <c r="KW1715" s="38"/>
      <c r="KX1715" s="38"/>
      <c r="KY1715" s="38"/>
      <c r="KZ1715" s="38"/>
      <c r="LA1715" s="38"/>
      <c r="LB1715" s="38"/>
      <c r="LC1715" s="38"/>
      <c r="LD1715" s="38"/>
      <c r="LE1715" s="38"/>
      <c r="LF1715" s="38"/>
      <c r="LG1715" s="38"/>
      <c r="LH1715" s="38"/>
      <c r="LI1715" s="38"/>
      <c r="LJ1715" s="38"/>
      <c r="LK1715" s="38"/>
      <c r="LL1715" s="38"/>
      <c r="LM1715" s="38"/>
      <c r="LN1715" s="38"/>
      <c r="LO1715" s="38"/>
      <c r="LP1715" s="38"/>
      <c r="LQ1715" s="38"/>
      <c r="LR1715" s="38"/>
      <c r="LS1715" s="38"/>
      <c r="LT1715" s="38"/>
      <c r="LU1715" s="38"/>
      <c r="LV1715" s="38"/>
      <c r="LW1715" s="38"/>
      <c r="LX1715" s="38"/>
      <c r="LY1715" s="38"/>
      <c r="LZ1715" s="38"/>
      <c r="MA1715" s="38"/>
      <c r="MB1715" s="38"/>
      <c r="MC1715" s="38"/>
      <c r="MD1715" s="38"/>
      <c r="ME1715" s="38"/>
      <c r="MF1715" s="38"/>
      <c r="MG1715" s="38"/>
      <c r="MH1715" s="38"/>
      <c r="MI1715" s="38"/>
      <c r="MJ1715" s="38"/>
      <c r="MK1715" s="38"/>
      <c r="ML1715" s="38"/>
      <c r="MM1715" s="38"/>
      <c r="MN1715" s="38"/>
      <c r="MO1715" s="38"/>
      <c r="MP1715" s="38"/>
      <c r="MQ1715" s="38"/>
      <c r="MR1715" s="38"/>
      <c r="MS1715" s="38"/>
      <c r="MT1715" s="38"/>
      <c r="MU1715" s="38"/>
      <c r="MV1715" s="38"/>
      <c r="MW1715" s="38"/>
      <c r="MX1715" s="38"/>
      <c r="MY1715" s="38"/>
      <c r="MZ1715" s="38"/>
      <c r="NA1715" s="38"/>
      <c r="NB1715" s="38"/>
      <c r="NC1715" s="38"/>
      <c r="ND1715" s="38"/>
      <c r="NE1715" s="38"/>
      <c r="NF1715" s="38"/>
      <c r="NG1715" s="38"/>
      <c r="NH1715" s="38"/>
      <c r="NI1715" s="38"/>
      <c r="NJ1715" s="38"/>
      <c r="NK1715" s="38"/>
      <c r="NL1715" s="38"/>
      <c r="NM1715" s="38"/>
      <c r="NN1715" s="38"/>
      <c r="NO1715" s="38"/>
      <c r="NP1715" s="38"/>
      <c r="NQ1715" s="38"/>
      <c r="NR1715" s="38"/>
      <c r="NS1715" s="38"/>
      <c r="NT1715" s="38"/>
      <c r="NU1715" s="38"/>
      <c r="NV1715" s="38"/>
      <c r="NW1715" s="38"/>
      <c r="NX1715" s="38"/>
      <c r="NY1715" s="38"/>
      <c r="NZ1715" s="38"/>
      <c r="OA1715" s="38"/>
      <c r="OB1715" s="38"/>
      <c r="OC1715" s="38"/>
      <c r="OD1715" s="38"/>
      <c r="OE1715" s="38"/>
      <c r="OF1715" s="38"/>
      <c r="OG1715" s="38"/>
      <c r="OH1715" s="38"/>
      <c r="OI1715" s="38"/>
      <c r="OJ1715" s="38"/>
      <c r="OK1715" s="38"/>
      <c r="OL1715" s="38"/>
      <c r="OM1715" s="38"/>
      <c r="ON1715" s="38"/>
      <c r="OO1715" s="38"/>
      <c r="OP1715" s="38"/>
      <c r="OQ1715" s="38"/>
      <c r="OR1715" s="38"/>
      <c r="OS1715" s="38"/>
      <c r="OT1715" s="38"/>
      <c r="OU1715" s="38"/>
      <c r="OV1715" s="38"/>
      <c r="OW1715" s="38"/>
      <c r="OX1715" s="38"/>
      <c r="OY1715" s="38"/>
      <c r="OZ1715" s="38"/>
      <c r="PA1715" s="38"/>
      <c r="PB1715" s="38"/>
      <c r="PC1715" s="38"/>
      <c r="PD1715" s="38"/>
      <c r="PE1715" s="38"/>
      <c r="PF1715" s="38"/>
      <c r="PG1715" s="38"/>
      <c r="PH1715" s="38"/>
      <c r="PI1715" s="38"/>
      <c r="PJ1715" s="38"/>
      <c r="PK1715" s="38"/>
      <c r="PL1715" s="38"/>
      <c r="PM1715" s="38"/>
      <c r="PN1715" s="38"/>
      <c r="PO1715" s="38"/>
      <c r="PP1715" s="38"/>
      <c r="PQ1715" s="38"/>
      <c r="PR1715" s="38"/>
      <c r="PS1715" s="38"/>
      <c r="PT1715" s="38"/>
      <c r="PU1715" s="38"/>
      <c r="PV1715" s="38"/>
      <c r="PW1715" s="38"/>
      <c r="PX1715" s="38"/>
      <c r="PY1715" s="38"/>
      <c r="PZ1715" s="38"/>
      <c r="QA1715" s="38"/>
      <c r="QB1715" s="38"/>
      <c r="QC1715" s="38"/>
      <c r="QD1715" s="38"/>
      <c r="QE1715" s="38"/>
      <c r="QF1715" s="38"/>
      <c r="QG1715" s="38"/>
      <c r="QH1715" s="38"/>
      <c r="QI1715" s="38"/>
      <c r="QJ1715" s="38"/>
      <c r="QK1715" s="38"/>
      <c r="QL1715" s="38"/>
      <c r="QM1715" s="38"/>
      <c r="QN1715" s="38"/>
      <c r="QO1715" s="38"/>
      <c r="QP1715" s="38"/>
      <c r="QQ1715" s="38"/>
      <c r="QR1715" s="38"/>
      <c r="QS1715" s="38"/>
      <c r="QT1715" s="38"/>
      <c r="QU1715" s="38"/>
      <c r="QV1715" s="38"/>
      <c r="QW1715" s="38"/>
      <c r="QX1715" s="38"/>
      <c r="QY1715" s="38"/>
      <c r="QZ1715" s="38"/>
      <c r="RA1715" s="38"/>
      <c r="RB1715" s="38"/>
      <c r="RC1715" s="38"/>
      <c r="RD1715" s="38"/>
      <c r="RE1715" s="38"/>
      <c r="RF1715" s="38"/>
      <c r="RG1715" s="38"/>
      <c r="RH1715" s="38"/>
      <c r="RI1715" s="38"/>
      <c r="RJ1715" s="38"/>
      <c r="RK1715" s="38"/>
      <c r="RL1715" s="38"/>
      <c r="RM1715" s="38"/>
      <c r="RN1715" s="38"/>
      <c r="RO1715" s="38"/>
      <c r="RP1715" s="38"/>
      <c r="RQ1715" s="38"/>
      <c r="RR1715" s="38"/>
      <c r="RS1715" s="38"/>
      <c r="RT1715" s="38"/>
      <c r="RU1715" s="38"/>
      <c r="RV1715" s="38"/>
      <c r="RW1715" s="38"/>
      <c r="RX1715" s="38"/>
      <c r="RY1715" s="38"/>
      <c r="RZ1715" s="38"/>
      <c r="SA1715" s="38"/>
      <c r="SB1715" s="38"/>
      <c r="SC1715" s="38"/>
      <c r="SD1715" s="38"/>
      <c r="SE1715" s="38"/>
      <c r="SF1715" s="38"/>
      <c r="SG1715" s="38"/>
      <c r="SH1715" s="38"/>
      <c r="SI1715" s="38"/>
      <c r="SJ1715" s="38"/>
      <c r="SK1715" s="38"/>
      <c r="SL1715" s="38"/>
      <c r="SM1715" s="38"/>
      <c r="SN1715" s="38"/>
      <c r="SO1715" s="38"/>
      <c r="SP1715" s="38"/>
      <c r="SQ1715" s="38"/>
      <c r="SR1715" s="38"/>
      <c r="SS1715" s="38"/>
      <c r="ST1715" s="38"/>
      <c r="SU1715" s="38"/>
      <c r="SV1715" s="38"/>
      <c r="SW1715" s="38"/>
      <c r="SX1715" s="38"/>
      <c r="SY1715" s="38"/>
      <c r="SZ1715" s="38"/>
      <c r="TA1715" s="38"/>
      <c r="TB1715" s="38"/>
      <c r="TC1715" s="38"/>
      <c r="TD1715" s="38"/>
      <c r="TE1715" s="38"/>
      <c r="TF1715" s="38"/>
      <c r="TG1715" s="38"/>
      <c r="TH1715" s="38"/>
      <c r="TI1715" s="38"/>
      <c r="TJ1715" s="38"/>
      <c r="TK1715" s="38"/>
      <c r="TL1715" s="38"/>
      <c r="TM1715" s="38"/>
      <c r="TN1715" s="38"/>
      <c r="TO1715" s="38"/>
      <c r="TP1715" s="38"/>
      <c r="TQ1715" s="38"/>
      <c r="TR1715" s="38"/>
      <c r="TS1715" s="38"/>
      <c r="TT1715" s="38"/>
      <c r="TU1715" s="38"/>
      <c r="TV1715" s="38"/>
      <c r="TW1715" s="38"/>
      <c r="TX1715" s="38"/>
      <c r="TY1715" s="38"/>
      <c r="TZ1715" s="38"/>
      <c r="UA1715" s="38"/>
      <c r="UB1715" s="38"/>
      <c r="UC1715" s="38"/>
      <c r="UD1715" s="38"/>
      <c r="UE1715" s="38"/>
      <c r="UF1715" s="38"/>
      <c r="UG1715" s="38"/>
      <c r="UH1715" s="38"/>
      <c r="UI1715" s="38"/>
      <c r="UJ1715" s="38"/>
      <c r="UK1715" s="38"/>
      <c r="UL1715" s="38"/>
      <c r="UM1715" s="38"/>
      <c r="UN1715" s="38"/>
      <c r="UO1715" s="38"/>
      <c r="UP1715" s="38"/>
      <c r="UQ1715" s="38"/>
      <c r="UR1715" s="38"/>
      <c r="US1715" s="38"/>
      <c r="UT1715" s="38"/>
      <c r="UU1715" s="38"/>
      <c r="UV1715" s="38"/>
      <c r="UW1715" s="38"/>
      <c r="UX1715" s="38"/>
      <c r="UY1715" s="38"/>
      <c r="UZ1715" s="38"/>
      <c r="VA1715" s="38"/>
      <c r="VB1715" s="38"/>
      <c r="VC1715" s="38"/>
      <c r="VD1715" s="38"/>
      <c r="VE1715" s="38"/>
      <c r="VF1715" s="38"/>
      <c r="VG1715" s="38"/>
      <c r="VH1715" s="38"/>
      <c r="VI1715" s="38"/>
      <c r="VJ1715" s="38"/>
      <c r="VK1715" s="38"/>
      <c r="VL1715" s="38"/>
      <c r="VM1715" s="38"/>
      <c r="VN1715" s="38"/>
      <c r="VO1715" s="38"/>
      <c r="VP1715" s="38"/>
      <c r="VQ1715" s="38"/>
      <c r="VR1715" s="38"/>
      <c r="VS1715" s="38"/>
      <c r="VT1715" s="38"/>
      <c r="VU1715" s="38"/>
      <c r="VV1715" s="38"/>
      <c r="VW1715" s="38"/>
      <c r="VX1715" s="38"/>
      <c r="VY1715" s="38"/>
      <c r="VZ1715" s="38"/>
      <c r="WA1715" s="38"/>
      <c r="WB1715" s="38"/>
      <c r="WC1715" s="38"/>
      <c r="WD1715" s="38"/>
      <c r="WE1715" s="38"/>
      <c r="WF1715" s="38"/>
      <c r="WG1715" s="38"/>
      <c r="WH1715" s="38"/>
      <c r="WI1715" s="38"/>
      <c r="WJ1715" s="38"/>
      <c r="WK1715" s="38"/>
      <c r="WL1715" s="38"/>
      <c r="WM1715" s="38"/>
      <c r="WN1715" s="38"/>
      <c r="WO1715" s="38"/>
      <c r="WP1715" s="38"/>
      <c r="WQ1715" s="38"/>
      <c r="WR1715" s="38"/>
      <c r="WS1715" s="38"/>
      <c r="WT1715" s="38"/>
      <c r="WU1715" s="38"/>
      <c r="WV1715" s="38"/>
      <c r="WW1715" s="38"/>
      <c r="WX1715" s="38"/>
      <c r="WY1715" s="38"/>
      <c r="WZ1715" s="38"/>
      <c r="XA1715" s="38"/>
      <c r="XB1715" s="38"/>
      <c r="XC1715" s="38"/>
      <c r="XD1715" s="38"/>
      <c r="XE1715" s="38"/>
      <c r="XF1715" s="38"/>
      <c r="XG1715" s="38"/>
      <c r="XH1715" s="38"/>
      <c r="XI1715" s="38"/>
      <c r="XJ1715" s="38"/>
      <c r="XK1715" s="38"/>
      <c r="XL1715" s="38"/>
      <c r="XM1715" s="38"/>
      <c r="XN1715" s="38"/>
      <c r="XO1715" s="38"/>
      <c r="XP1715" s="38"/>
      <c r="XQ1715" s="38"/>
      <c r="XR1715" s="38"/>
      <c r="XS1715" s="38"/>
      <c r="XT1715" s="38"/>
      <c r="XU1715" s="38"/>
      <c r="XV1715" s="38"/>
      <c r="XW1715" s="38"/>
      <c r="XX1715" s="38"/>
      <c r="XY1715" s="38"/>
      <c r="XZ1715" s="38"/>
      <c r="YA1715" s="38"/>
      <c r="YB1715" s="38"/>
      <c r="YC1715" s="38"/>
      <c r="YD1715" s="38"/>
      <c r="YE1715" s="38"/>
      <c r="YF1715" s="38"/>
      <c r="YG1715" s="38"/>
      <c r="YH1715" s="38"/>
      <c r="YI1715" s="38"/>
      <c r="YJ1715" s="38"/>
      <c r="YK1715" s="38"/>
      <c r="YL1715" s="38"/>
      <c r="YM1715" s="38"/>
      <c r="YN1715" s="38"/>
      <c r="YO1715" s="38"/>
      <c r="YP1715" s="38"/>
      <c r="YQ1715" s="38"/>
      <c r="YR1715" s="38"/>
      <c r="YS1715" s="38"/>
      <c r="YT1715" s="38"/>
      <c r="YU1715" s="38"/>
      <c r="YV1715" s="38"/>
      <c r="YW1715" s="38"/>
      <c r="YX1715" s="38"/>
      <c r="YY1715" s="38"/>
      <c r="YZ1715" s="38"/>
      <c r="ZA1715" s="38"/>
      <c r="ZB1715" s="38"/>
      <c r="ZC1715" s="38"/>
      <c r="ZD1715" s="38"/>
      <c r="ZE1715" s="38"/>
      <c r="ZF1715" s="38"/>
      <c r="ZG1715" s="38"/>
      <c r="ZH1715" s="38"/>
      <c r="ZI1715" s="38"/>
      <c r="ZJ1715" s="38"/>
      <c r="ZK1715" s="38"/>
      <c r="ZL1715" s="38"/>
      <c r="ZM1715" s="38"/>
      <c r="ZN1715" s="38"/>
      <c r="ZO1715" s="38"/>
      <c r="ZP1715" s="38"/>
      <c r="ZQ1715" s="38"/>
      <c r="ZR1715" s="38"/>
      <c r="ZS1715" s="38"/>
      <c r="ZT1715" s="38"/>
      <c r="ZU1715" s="38"/>
      <c r="ZV1715" s="38"/>
      <c r="ZW1715" s="38"/>
      <c r="ZX1715" s="38"/>
      <c r="ZY1715" s="38"/>
      <c r="ZZ1715" s="38"/>
      <c r="AAA1715" s="38"/>
      <c r="AAB1715" s="38"/>
      <c r="AAC1715" s="38"/>
      <c r="AAD1715" s="38"/>
      <c r="AAE1715" s="38"/>
      <c r="AAF1715" s="38"/>
      <c r="AAG1715" s="38"/>
      <c r="AAH1715" s="38"/>
      <c r="AAI1715" s="38"/>
      <c r="AAJ1715" s="38"/>
      <c r="AAK1715" s="38"/>
      <c r="AAL1715" s="38"/>
      <c r="AAM1715" s="38"/>
      <c r="AAN1715" s="38"/>
      <c r="AAO1715" s="38"/>
      <c r="AAP1715" s="38"/>
      <c r="AAQ1715" s="38"/>
      <c r="AAR1715" s="38"/>
      <c r="AAS1715" s="38"/>
      <c r="AAT1715" s="38"/>
      <c r="AAU1715" s="38"/>
      <c r="AAV1715" s="38"/>
      <c r="AAW1715" s="38"/>
      <c r="AAX1715" s="38"/>
      <c r="AAY1715" s="38"/>
      <c r="AAZ1715" s="38"/>
      <c r="ABA1715" s="38"/>
      <c r="ABB1715" s="38"/>
      <c r="ABC1715" s="38"/>
      <c r="ABD1715" s="38"/>
      <c r="ABE1715" s="38"/>
      <c r="ABF1715" s="38"/>
      <c r="ABG1715" s="38"/>
      <c r="ABH1715" s="38"/>
      <c r="ABI1715" s="38"/>
      <c r="ABJ1715" s="38"/>
      <c r="ABK1715" s="38"/>
      <c r="ABL1715" s="38"/>
      <c r="ABM1715" s="38"/>
      <c r="ABN1715" s="38"/>
      <c r="ABO1715" s="38"/>
      <c r="ABP1715" s="38"/>
      <c r="ABQ1715" s="38"/>
      <c r="ABR1715" s="38"/>
      <c r="ABS1715" s="38"/>
      <c r="ABT1715" s="38"/>
      <c r="ABU1715" s="38"/>
      <c r="ABV1715" s="38"/>
      <c r="ABW1715" s="38"/>
      <c r="ABX1715" s="38"/>
      <c r="ABY1715" s="38"/>
      <c r="ABZ1715" s="38"/>
      <c r="ACA1715" s="38"/>
      <c r="ACB1715" s="38"/>
      <c r="ACC1715" s="38"/>
      <c r="ACD1715" s="38"/>
      <c r="ACE1715" s="38"/>
      <c r="ACF1715" s="38"/>
      <c r="ACG1715" s="38"/>
      <c r="ACH1715" s="38"/>
      <c r="ACI1715" s="38"/>
      <c r="ACJ1715" s="38"/>
      <c r="ACK1715" s="38"/>
      <c r="ACL1715" s="38"/>
      <c r="ACM1715" s="38"/>
      <c r="ACN1715" s="38"/>
      <c r="ACO1715" s="38"/>
      <c r="ACP1715" s="38"/>
      <c r="ACQ1715" s="38"/>
      <c r="ACR1715" s="38"/>
      <c r="ACS1715" s="38"/>
      <c r="ACT1715" s="38"/>
      <c r="ACU1715" s="38"/>
      <c r="ACV1715" s="38"/>
      <c r="ACW1715" s="38"/>
      <c r="ACX1715" s="38"/>
      <c r="ACY1715" s="38"/>
      <c r="ACZ1715" s="38"/>
      <c r="ADA1715" s="38"/>
      <c r="ADB1715" s="38"/>
      <c r="ADC1715" s="38"/>
      <c r="ADD1715" s="38"/>
      <c r="ADE1715" s="38"/>
      <c r="ADF1715" s="38"/>
      <c r="ADG1715" s="38"/>
      <c r="ADH1715" s="38"/>
      <c r="ADI1715" s="38"/>
      <c r="ADJ1715" s="38"/>
      <c r="ADK1715" s="38"/>
      <c r="ADL1715" s="38"/>
      <c r="ADM1715" s="38"/>
      <c r="ADN1715" s="38"/>
      <c r="ADO1715" s="38"/>
      <c r="ADP1715" s="38"/>
      <c r="ADQ1715" s="38"/>
      <c r="ADR1715" s="38"/>
      <c r="ADS1715" s="38"/>
      <c r="ADT1715" s="38"/>
      <c r="ADU1715" s="38"/>
      <c r="ADV1715" s="38"/>
      <c r="ADW1715" s="38"/>
      <c r="ADX1715" s="38"/>
      <c r="ADY1715" s="38"/>
      <c r="ADZ1715" s="38"/>
      <c r="AEA1715" s="38"/>
      <c r="AEB1715" s="38"/>
      <c r="AEC1715" s="38"/>
      <c r="AED1715" s="38"/>
      <c r="AEE1715" s="38"/>
      <c r="AEF1715" s="38"/>
      <c r="AEG1715" s="38"/>
      <c r="AEH1715" s="38"/>
      <c r="AEI1715" s="38"/>
      <c r="AEJ1715" s="38"/>
      <c r="AEK1715" s="38"/>
      <c r="AEL1715" s="38"/>
      <c r="AEM1715" s="38"/>
      <c r="AEN1715" s="38"/>
      <c r="AEO1715" s="38"/>
      <c r="AEP1715" s="38"/>
      <c r="AEQ1715" s="38"/>
      <c r="AER1715" s="38"/>
      <c r="AES1715" s="38"/>
      <c r="AET1715" s="38"/>
      <c r="AEU1715" s="38"/>
      <c r="AEV1715" s="38"/>
      <c r="AEW1715" s="38"/>
      <c r="AEX1715" s="38"/>
      <c r="AEY1715" s="38"/>
      <c r="AEZ1715" s="38"/>
      <c r="AFA1715" s="38"/>
      <c r="AFB1715" s="38"/>
      <c r="AFC1715" s="38"/>
      <c r="AFD1715" s="38"/>
      <c r="AFE1715" s="38"/>
      <c r="AFF1715" s="38"/>
      <c r="AFG1715" s="38"/>
      <c r="AFH1715" s="38"/>
      <c r="AFI1715" s="38"/>
      <c r="AFJ1715" s="38"/>
      <c r="AFK1715" s="38"/>
      <c r="AFL1715" s="38"/>
      <c r="AFM1715" s="38"/>
      <c r="AFN1715" s="38"/>
      <c r="AFO1715" s="38"/>
      <c r="AFP1715" s="38"/>
      <c r="AFQ1715" s="38"/>
      <c r="AFR1715" s="38"/>
      <c r="AFS1715" s="38"/>
      <c r="AFT1715" s="38"/>
      <c r="AFU1715" s="38"/>
      <c r="AFV1715" s="38"/>
      <c r="AFW1715" s="38"/>
      <c r="AFX1715" s="38"/>
      <c r="AFY1715" s="38"/>
      <c r="AFZ1715" s="38"/>
      <c r="AGA1715" s="38"/>
      <c r="AGB1715" s="38"/>
      <c r="AGC1715" s="38"/>
      <c r="AGD1715" s="38"/>
      <c r="AGE1715" s="38"/>
      <c r="AGF1715" s="38"/>
      <c r="AGG1715" s="38"/>
      <c r="AGH1715" s="38"/>
      <c r="AGI1715" s="38"/>
      <c r="AGJ1715" s="38"/>
      <c r="AGK1715" s="38"/>
      <c r="AGL1715" s="38"/>
      <c r="AGM1715" s="38"/>
      <c r="AGN1715" s="38"/>
      <c r="AGO1715" s="38"/>
      <c r="AGP1715" s="38"/>
      <c r="AGQ1715" s="38"/>
      <c r="AGR1715" s="38"/>
      <c r="AGS1715" s="38"/>
      <c r="AGT1715" s="38"/>
      <c r="AGU1715" s="38"/>
      <c r="AGV1715" s="38"/>
      <c r="AGW1715" s="38"/>
      <c r="AGX1715" s="38"/>
      <c r="AGY1715" s="38"/>
      <c r="AGZ1715" s="38"/>
      <c r="AHA1715" s="38"/>
      <c r="AHB1715" s="38"/>
      <c r="AHC1715" s="38"/>
      <c r="AHD1715" s="38"/>
      <c r="AHE1715" s="38"/>
      <c r="AHF1715" s="38"/>
      <c r="AHG1715" s="38"/>
      <c r="AHH1715" s="38"/>
      <c r="AHI1715" s="38"/>
      <c r="AHJ1715" s="38"/>
      <c r="AHK1715" s="38"/>
      <c r="AHL1715" s="38"/>
      <c r="AHM1715" s="38"/>
      <c r="AHN1715" s="38"/>
      <c r="AHO1715" s="38"/>
      <c r="AHP1715" s="38"/>
      <c r="AHQ1715" s="38"/>
      <c r="AHR1715" s="38"/>
      <c r="AHS1715" s="38"/>
      <c r="AHT1715" s="38"/>
      <c r="AHU1715" s="38"/>
      <c r="AHV1715" s="38"/>
      <c r="AHW1715" s="38"/>
      <c r="AHX1715" s="38"/>
      <c r="AHY1715" s="38"/>
      <c r="AHZ1715" s="38"/>
      <c r="AIA1715" s="38"/>
      <c r="AIB1715" s="38"/>
      <c r="AIC1715" s="38"/>
      <c r="AID1715" s="38"/>
      <c r="AIE1715" s="38"/>
      <c r="AIF1715" s="38"/>
      <c r="AIG1715" s="38"/>
      <c r="AIH1715" s="38"/>
      <c r="AII1715" s="38"/>
      <c r="AIJ1715" s="38"/>
      <c r="AIK1715" s="38"/>
      <c r="AIL1715" s="38"/>
      <c r="AIM1715" s="38"/>
      <c r="AIN1715" s="38"/>
      <c r="AIO1715" s="38"/>
      <c r="AIP1715" s="38"/>
      <c r="AIQ1715" s="38"/>
      <c r="AIR1715" s="38"/>
      <c r="AIS1715" s="38"/>
      <c r="AIT1715" s="38"/>
      <c r="AIU1715" s="38"/>
      <c r="AIV1715" s="38"/>
      <c r="AIW1715" s="38"/>
      <c r="AIX1715" s="38"/>
      <c r="AIY1715" s="38"/>
      <c r="AIZ1715" s="38"/>
      <c r="AJA1715" s="38"/>
      <c r="AJB1715" s="38"/>
      <c r="AJC1715" s="38"/>
      <c r="AJD1715" s="38"/>
      <c r="AJE1715" s="38"/>
      <c r="AJF1715" s="38"/>
      <c r="AJG1715" s="38"/>
      <c r="AJH1715" s="38"/>
      <c r="AJI1715" s="38"/>
      <c r="AJJ1715" s="38"/>
      <c r="AJK1715" s="38"/>
      <c r="AJL1715" s="38"/>
      <c r="AJM1715" s="38"/>
      <c r="AJN1715" s="38"/>
      <c r="AJO1715" s="38"/>
      <c r="AJP1715" s="38"/>
      <c r="AJQ1715" s="38"/>
      <c r="AJR1715" s="38"/>
      <c r="AJS1715" s="38"/>
      <c r="AJT1715" s="38"/>
      <c r="AJU1715" s="38"/>
      <c r="AJV1715" s="38"/>
      <c r="AJW1715" s="38"/>
      <c r="AJX1715" s="38"/>
      <c r="AJY1715" s="38"/>
      <c r="AJZ1715" s="38"/>
      <c r="AKA1715" s="38"/>
      <c r="AKB1715" s="38"/>
      <c r="AKC1715" s="38"/>
      <c r="AKD1715" s="38"/>
      <c r="AKE1715" s="38"/>
      <c r="AKF1715" s="38"/>
      <c r="AKG1715" s="38"/>
      <c r="AKH1715" s="38"/>
      <c r="AKI1715" s="38"/>
      <c r="AKJ1715" s="38"/>
      <c r="AKK1715" s="38"/>
      <c r="AKL1715" s="38"/>
      <c r="AKM1715" s="38"/>
      <c r="AKN1715" s="38"/>
      <c r="AKO1715" s="38"/>
      <c r="AKP1715" s="38"/>
      <c r="AKQ1715" s="38"/>
      <c r="AKR1715" s="38"/>
      <c r="AKS1715" s="38"/>
      <c r="AKT1715" s="38"/>
      <c r="AKU1715" s="38"/>
      <c r="AKV1715" s="38"/>
      <c r="AKW1715" s="38"/>
      <c r="AKX1715" s="38"/>
      <c r="AKY1715" s="38"/>
      <c r="AKZ1715" s="38"/>
      <c r="ALA1715" s="38"/>
      <c r="ALB1715" s="38"/>
      <c r="ALC1715" s="38"/>
      <c r="ALD1715" s="38"/>
      <c r="ALE1715" s="38"/>
      <c r="ALF1715" s="38"/>
      <c r="ALG1715" s="38"/>
      <c r="ALH1715" s="38"/>
      <c r="ALI1715" s="38"/>
      <c r="ALJ1715" s="38"/>
      <c r="ALK1715" s="38"/>
      <c r="ALL1715" s="38"/>
      <c r="ALM1715" s="38"/>
      <c r="ALN1715" s="38"/>
      <c r="ALO1715" s="38"/>
      <c r="ALP1715" s="38"/>
      <c r="ALQ1715" s="38"/>
      <c r="ALR1715" s="38"/>
      <c r="ALS1715" s="38"/>
      <c r="ALT1715" s="38"/>
      <c r="ALU1715" s="38"/>
      <c r="ALV1715" s="38"/>
      <c r="ALW1715" s="38"/>
      <c r="ALX1715" s="38"/>
      <c r="ALY1715" s="38"/>
      <c r="ALZ1715" s="38"/>
      <c r="AMA1715" s="38"/>
      <c r="AMB1715" s="38"/>
      <c r="AMC1715" s="38"/>
      <c r="AMD1715" s="38"/>
      <c r="AME1715" s="38"/>
      <c r="AMF1715" s="38"/>
      <c r="AMG1715" s="38"/>
      <c r="AMH1715" s="38"/>
      <c r="AMI1715" s="38"/>
      <c r="AMJ1715" s="38"/>
      <c r="AMK1715" s="38"/>
      <c r="AML1715" s="38"/>
      <c r="AMM1715" s="38"/>
      <c r="AMN1715" s="38"/>
      <c r="AMO1715" s="38"/>
      <c r="AMP1715" s="38"/>
      <c r="AMQ1715" s="38"/>
      <c r="AMR1715" s="38"/>
      <c r="AMS1715" s="38"/>
      <c r="AMT1715" s="38"/>
      <c r="AMU1715" s="38"/>
      <c r="AMV1715" s="38"/>
      <c r="AMW1715" s="38"/>
      <c r="AMX1715" s="38"/>
      <c r="AMY1715" s="38"/>
      <c r="AMZ1715" s="38"/>
      <c r="ANA1715" s="38"/>
      <c r="ANB1715" s="38"/>
      <c r="ANC1715" s="38"/>
      <c r="AND1715" s="38"/>
      <c r="ANE1715" s="38"/>
      <c r="ANF1715" s="38"/>
      <c r="ANG1715" s="38"/>
      <c r="ANH1715" s="38"/>
      <c r="ANI1715" s="38"/>
      <c r="ANJ1715" s="38"/>
      <c r="ANK1715" s="38"/>
      <c r="ANL1715" s="38"/>
      <c r="ANM1715" s="38"/>
      <c r="ANN1715" s="38"/>
      <c r="ANO1715" s="38"/>
      <c r="ANP1715" s="38"/>
      <c r="ANQ1715" s="38"/>
      <c r="ANR1715" s="38"/>
      <c r="ANS1715" s="38"/>
      <c r="ANT1715" s="38"/>
      <c r="ANU1715" s="38"/>
      <c r="ANV1715" s="38"/>
      <c r="ANW1715" s="38"/>
      <c r="ANX1715" s="38"/>
      <c r="ANY1715" s="38"/>
      <c r="ANZ1715" s="38"/>
      <c r="AOA1715" s="38"/>
      <c r="AOB1715" s="38"/>
      <c r="AOC1715" s="38"/>
      <c r="AOD1715" s="38"/>
      <c r="AOE1715" s="38"/>
      <c r="AOF1715" s="38"/>
      <c r="AOG1715" s="38"/>
      <c r="AOH1715" s="38"/>
      <c r="AOI1715" s="38"/>
      <c r="AOJ1715" s="38"/>
      <c r="AOK1715" s="38"/>
      <c r="AOL1715" s="38"/>
      <c r="AOM1715" s="38"/>
      <c r="AON1715" s="38"/>
      <c r="AOO1715" s="38"/>
      <c r="AOP1715" s="38"/>
      <c r="AOQ1715" s="38"/>
      <c r="AOR1715" s="38"/>
      <c r="AOS1715" s="38"/>
      <c r="AOT1715" s="38"/>
      <c r="AOU1715" s="38"/>
      <c r="AOV1715" s="38"/>
      <c r="AOW1715" s="38"/>
      <c r="AOX1715" s="38"/>
      <c r="AOY1715" s="38"/>
      <c r="AOZ1715" s="38"/>
      <c r="APA1715" s="38"/>
      <c r="APB1715" s="38"/>
      <c r="APC1715" s="38"/>
    </row>
    <row r="1716" spans="1:1095" s="36" customFormat="1" ht="14.25" customHeight="1">
      <c r="A1716" s="3" t="s">
        <v>1722</v>
      </c>
      <c r="B1716" s="36" t="s">
        <v>3987</v>
      </c>
      <c r="C1716" s="218">
        <v>4058075824355</v>
      </c>
      <c r="D1716" s="224">
        <v>4058075771741</v>
      </c>
      <c r="E1716" s="252" t="s">
        <v>1629</v>
      </c>
      <c r="F1716" s="253"/>
      <c r="G1716" s="66" t="str">
        <f>HYPERLINK("https://ledvance.com/pt/product-datasheet/247502/243816","Ficha de Produto")</f>
        <v>Ficha de Produto</v>
      </c>
      <c r="H1716" s="217">
        <v>10</v>
      </c>
      <c r="I1716" s="34" t="s">
        <v>786</v>
      </c>
      <c r="J1716" s="34" t="s">
        <v>859</v>
      </c>
      <c r="K1716" s="34" t="s">
        <v>788</v>
      </c>
      <c r="L1716" s="34" t="s">
        <v>765</v>
      </c>
      <c r="M1716" s="247">
        <v>34.1</v>
      </c>
      <c r="N1716" s="288" t="s">
        <v>722</v>
      </c>
    </row>
    <row r="1717" spans="1:1095" s="36" customFormat="1" ht="14.25" customHeight="1">
      <c r="A1717" s="3" t="s">
        <v>1722</v>
      </c>
      <c r="B1717" s="36" t="s">
        <v>3988</v>
      </c>
      <c r="C1717" s="218">
        <v>4058075824379</v>
      </c>
      <c r="D1717" s="224">
        <v>4058075771765</v>
      </c>
      <c r="E1717" s="252" t="s">
        <v>1630</v>
      </c>
      <c r="F1717" s="253"/>
      <c r="G1717" s="66" t="str">
        <f>HYPERLINK("https://ledvance.com/pt/product-datasheet/247502/243819","Ficha de Produto")</f>
        <v>Ficha de Produto</v>
      </c>
      <c r="H1717" s="217">
        <v>10</v>
      </c>
      <c r="I1717" s="34" t="s">
        <v>762</v>
      </c>
      <c r="J1717" s="34" t="s">
        <v>859</v>
      </c>
      <c r="K1717" s="34" t="s">
        <v>788</v>
      </c>
      <c r="L1717" s="34" t="s">
        <v>765</v>
      </c>
      <c r="M1717" s="247">
        <v>34.1</v>
      </c>
      <c r="N1717" s="288" t="s">
        <v>722</v>
      </c>
    </row>
    <row r="1718" spans="1:1095" s="36" customFormat="1" ht="14.25" customHeight="1">
      <c r="A1718" s="3" t="s">
        <v>1722</v>
      </c>
      <c r="B1718" s="36" t="s">
        <v>3989</v>
      </c>
      <c r="C1718" s="218">
        <v>4058075824393</v>
      </c>
      <c r="D1718" s="224">
        <v>4058075771789</v>
      </c>
      <c r="E1718" s="252" t="s">
        <v>1631</v>
      </c>
      <c r="F1718" s="253"/>
      <c r="G1718" s="66" t="str">
        <f>HYPERLINK("https://ledvance.com/pt/product-datasheet/247502/243822","Ficha de Produto")</f>
        <v>Ficha de Produto</v>
      </c>
      <c r="H1718" s="217">
        <v>10</v>
      </c>
      <c r="I1718" s="34" t="s">
        <v>762</v>
      </c>
      <c r="J1718" s="34" t="s">
        <v>859</v>
      </c>
      <c r="K1718" s="34" t="s">
        <v>788</v>
      </c>
      <c r="L1718" s="34" t="s">
        <v>765</v>
      </c>
      <c r="M1718" s="247">
        <v>34.1</v>
      </c>
      <c r="N1718" s="288" t="s">
        <v>722</v>
      </c>
    </row>
    <row r="1719" spans="1:1095" s="39" customFormat="1" ht="14.25" customHeight="1">
      <c r="A1719" s="8" t="s">
        <v>1722</v>
      </c>
      <c r="B1719" s="244" t="s">
        <v>2071</v>
      </c>
      <c r="C1719" s="8"/>
      <c r="D1719" s="7"/>
      <c r="E1719" s="230"/>
      <c r="F1719" s="7"/>
      <c r="G1719" s="68"/>
      <c r="H1719" s="230"/>
      <c r="I1719" s="230"/>
      <c r="J1719" s="230"/>
      <c r="K1719" s="230"/>
      <c r="L1719" s="230"/>
      <c r="M1719" s="248"/>
      <c r="N1719" s="284"/>
      <c r="O1719" s="38"/>
      <c r="P1719" s="38"/>
      <c r="Q1719" s="38"/>
      <c r="R1719" s="38"/>
      <c r="S1719" s="38"/>
      <c r="T1719" s="38"/>
      <c r="U1719" s="38"/>
      <c r="V1719" s="38"/>
      <c r="W1719" s="38"/>
      <c r="X1719" s="38"/>
      <c r="Y1719" s="38"/>
      <c r="Z1719" s="38"/>
      <c r="AA1719" s="38"/>
      <c r="AB1719" s="38"/>
      <c r="AC1719" s="38"/>
      <c r="AD1719" s="38"/>
      <c r="AE1719" s="38"/>
      <c r="AF1719" s="38"/>
      <c r="AG1719" s="38"/>
      <c r="AH1719" s="38"/>
      <c r="AI1719" s="38"/>
      <c r="AJ1719" s="38"/>
      <c r="AK1719" s="38"/>
      <c r="AL1719" s="38"/>
      <c r="AM1719" s="38"/>
      <c r="AN1719" s="38"/>
      <c r="AO1719" s="38"/>
      <c r="AP1719" s="38"/>
      <c r="AQ1719" s="38"/>
      <c r="AR1719" s="38"/>
      <c r="AS1719" s="38"/>
      <c r="AT1719" s="38"/>
      <c r="AU1719" s="38"/>
      <c r="AV1719" s="38"/>
      <c r="AW1719" s="38"/>
      <c r="AX1719" s="38"/>
      <c r="AY1719" s="38"/>
      <c r="AZ1719" s="38"/>
      <c r="BA1719" s="38"/>
      <c r="BB1719" s="38"/>
      <c r="BC1719" s="38"/>
      <c r="BD1719" s="38"/>
      <c r="BE1719" s="38"/>
      <c r="BF1719" s="38"/>
      <c r="BG1719" s="38"/>
      <c r="BH1719" s="38"/>
      <c r="BI1719" s="38"/>
      <c r="BJ1719" s="38"/>
      <c r="BK1719" s="38"/>
      <c r="BL1719" s="38"/>
      <c r="BM1719" s="38"/>
      <c r="BN1719" s="38"/>
      <c r="BO1719" s="38"/>
      <c r="BP1719" s="38"/>
      <c r="BQ1719" s="38"/>
      <c r="BR1719" s="38"/>
      <c r="BS1719" s="38"/>
      <c r="BT1719" s="38"/>
      <c r="BU1719" s="38"/>
      <c r="BV1719" s="38"/>
      <c r="BW1719" s="38"/>
      <c r="BX1719" s="38"/>
      <c r="BY1719" s="38"/>
      <c r="BZ1719" s="38"/>
      <c r="CA1719" s="38"/>
      <c r="CB1719" s="38"/>
      <c r="CC1719" s="38"/>
      <c r="CD1719" s="38"/>
      <c r="CE1719" s="38"/>
      <c r="CF1719" s="38"/>
      <c r="CG1719" s="38"/>
      <c r="CH1719" s="38"/>
      <c r="CI1719" s="38"/>
      <c r="CJ1719" s="38"/>
      <c r="CK1719" s="38"/>
      <c r="CL1719" s="38"/>
      <c r="CM1719" s="38"/>
      <c r="CN1719" s="38"/>
      <c r="CO1719" s="38"/>
      <c r="CP1719" s="38"/>
      <c r="CQ1719" s="38"/>
      <c r="CR1719" s="38"/>
      <c r="CS1719" s="38"/>
      <c r="CT1719" s="38"/>
      <c r="CU1719" s="38"/>
      <c r="CV1719" s="38"/>
      <c r="CW1719" s="38"/>
      <c r="CX1719" s="38"/>
      <c r="CY1719" s="38"/>
      <c r="CZ1719" s="38"/>
      <c r="DA1719" s="38"/>
      <c r="DB1719" s="38"/>
      <c r="DC1719" s="38"/>
      <c r="DD1719" s="38"/>
      <c r="DE1719" s="38"/>
      <c r="DF1719" s="38"/>
      <c r="DG1719" s="38"/>
      <c r="DH1719" s="38"/>
      <c r="DI1719" s="38"/>
      <c r="DJ1719" s="38"/>
      <c r="DK1719" s="38"/>
      <c r="DL1719" s="38"/>
      <c r="DM1719" s="38"/>
      <c r="DN1719" s="38"/>
      <c r="DO1719" s="38"/>
      <c r="DP1719" s="38"/>
      <c r="DQ1719" s="38"/>
      <c r="DR1719" s="38"/>
      <c r="DS1719" s="38"/>
      <c r="DT1719" s="38"/>
      <c r="DU1719" s="38"/>
      <c r="DV1719" s="38"/>
      <c r="DW1719" s="38"/>
      <c r="DX1719" s="38"/>
      <c r="DY1719" s="38"/>
      <c r="DZ1719" s="38"/>
      <c r="EA1719" s="38"/>
      <c r="EB1719" s="38"/>
      <c r="EC1719" s="38"/>
      <c r="ED1719" s="38"/>
      <c r="EE1719" s="38"/>
      <c r="EF1719" s="38"/>
      <c r="EG1719" s="38"/>
      <c r="EH1719" s="38"/>
      <c r="EI1719" s="38"/>
      <c r="EJ1719" s="38"/>
      <c r="EK1719" s="38"/>
      <c r="EL1719" s="38"/>
      <c r="EM1719" s="38"/>
      <c r="EN1719" s="38"/>
      <c r="EO1719" s="38"/>
      <c r="EP1719" s="38"/>
      <c r="EQ1719" s="38"/>
      <c r="ER1719" s="38"/>
      <c r="ES1719" s="38"/>
      <c r="ET1719" s="38"/>
      <c r="EU1719" s="38"/>
      <c r="EV1719" s="38"/>
      <c r="EW1719" s="38"/>
      <c r="EX1719" s="38"/>
      <c r="EY1719" s="38"/>
      <c r="EZ1719" s="38"/>
      <c r="FA1719" s="38"/>
      <c r="FB1719" s="38"/>
      <c r="FC1719" s="38"/>
      <c r="FD1719" s="38"/>
      <c r="FE1719" s="38"/>
      <c r="FF1719" s="38"/>
      <c r="FG1719" s="38"/>
      <c r="FH1719" s="38"/>
      <c r="FI1719" s="38"/>
      <c r="FJ1719" s="38"/>
      <c r="FK1719" s="38"/>
      <c r="FL1719" s="38"/>
      <c r="FM1719" s="38"/>
      <c r="FN1719" s="38"/>
      <c r="FO1719" s="38"/>
      <c r="FP1719" s="38"/>
      <c r="FQ1719" s="38"/>
      <c r="FR1719" s="38"/>
      <c r="FS1719" s="38"/>
      <c r="FT1719" s="38"/>
      <c r="FU1719" s="38"/>
      <c r="FV1719" s="38"/>
      <c r="FW1719" s="38"/>
      <c r="FX1719" s="38"/>
      <c r="FY1719" s="38"/>
      <c r="FZ1719" s="38"/>
      <c r="GA1719" s="38"/>
      <c r="GB1719" s="38"/>
      <c r="GC1719" s="38"/>
      <c r="GD1719" s="38"/>
      <c r="GE1719" s="38"/>
      <c r="GF1719" s="38"/>
      <c r="GG1719" s="38"/>
      <c r="GH1719" s="38"/>
      <c r="GI1719" s="38"/>
      <c r="GJ1719" s="38"/>
      <c r="GK1719" s="38"/>
      <c r="GL1719" s="38"/>
      <c r="GM1719" s="38"/>
      <c r="GN1719" s="38"/>
      <c r="GO1719" s="38"/>
      <c r="GP1719" s="38"/>
      <c r="GQ1719" s="38"/>
      <c r="GR1719" s="38"/>
      <c r="GS1719" s="38"/>
      <c r="GT1719" s="38"/>
      <c r="GU1719" s="38"/>
      <c r="GV1719" s="38"/>
      <c r="GW1719" s="38"/>
      <c r="GX1719" s="38"/>
      <c r="GY1719" s="38"/>
      <c r="GZ1719" s="38"/>
      <c r="HA1719" s="38"/>
      <c r="HB1719" s="38"/>
      <c r="HC1719" s="38"/>
      <c r="HD1719" s="38"/>
      <c r="HE1719" s="38"/>
      <c r="HF1719" s="38"/>
      <c r="HG1719" s="38"/>
      <c r="HH1719" s="38"/>
      <c r="HI1719" s="38"/>
      <c r="HJ1719" s="38"/>
      <c r="HK1719" s="38"/>
      <c r="HL1719" s="38"/>
      <c r="HM1719" s="38"/>
      <c r="HN1719" s="38"/>
      <c r="HO1719" s="38"/>
      <c r="HP1719" s="38"/>
      <c r="HQ1719" s="38"/>
      <c r="HR1719" s="38"/>
      <c r="HS1719" s="38"/>
      <c r="HT1719" s="38"/>
      <c r="HU1719" s="38"/>
      <c r="HV1719" s="38"/>
      <c r="HW1719" s="38"/>
      <c r="HX1719" s="38"/>
      <c r="HY1719" s="38"/>
      <c r="HZ1719" s="38"/>
      <c r="IA1719" s="38"/>
      <c r="IB1719" s="38"/>
      <c r="IC1719" s="38"/>
      <c r="ID1719" s="38"/>
      <c r="IE1719" s="38"/>
      <c r="IF1719" s="38"/>
      <c r="IG1719" s="38"/>
      <c r="IH1719" s="38"/>
      <c r="II1719" s="38"/>
      <c r="IJ1719" s="38"/>
      <c r="IK1719" s="38"/>
      <c r="IL1719" s="38"/>
      <c r="IM1719" s="38"/>
      <c r="IN1719" s="38"/>
      <c r="IO1719" s="38"/>
      <c r="IP1719" s="38"/>
      <c r="IQ1719" s="38"/>
      <c r="IR1719" s="38"/>
      <c r="IS1719" s="38"/>
      <c r="IT1719" s="38"/>
      <c r="IU1719" s="38"/>
      <c r="IV1719" s="38"/>
      <c r="IW1719" s="38"/>
      <c r="IX1719" s="38"/>
      <c r="IY1719" s="38"/>
      <c r="IZ1719" s="38"/>
      <c r="JA1719" s="38"/>
      <c r="JB1719" s="38"/>
      <c r="JC1719" s="38"/>
      <c r="JD1719" s="38"/>
      <c r="JE1719" s="38"/>
      <c r="JF1719" s="38"/>
      <c r="JG1719" s="38"/>
      <c r="JH1719" s="38"/>
      <c r="JI1719" s="38"/>
      <c r="JJ1719" s="38"/>
      <c r="JK1719" s="38"/>
      <c r="JL1719" s="38"/>
      <c r="JM1719" s="38"/>
      <c r="JN1719" s="38"/>
      <c r="JO1719" s="38"/>
      <c r="JP1719" s="38"/>
      <c r="JQ1719" s="38"/>
      <c r="JR1719" s="38"/>
      <c r="JS1719" s="38"/>
      <c r="JT1719" s="38"/>
      <c r="JU1719" s="38"/>
      <c r="JV1719" s="38"/>
      <c r="JW1719" s="38"/>
      <c r="JX1719" s="38"/>
      <c r="JY1719" s="38"/>
      <c r="JZ1719" s="38"/>
      <c r="KA1719" s="38"/>
      <c r="KB1719" s="38"/>
      <c r="KC1719" s="38"/>
      <c r="KD1719" s="38"/>
      <c r="KE1719" s="38"/>
      <c r="KF1719" s="38"/>
      <c r="KG1719" s="38"/>
      <c r="KH1719" s="38"/>
      <c r="KI1719" s="38"/>
      <c r="KJ1719" s="38"/>
      <c r="KK1719" s="38"/>
      <c r="KL1719" s="38"/>
      <c r="KM1719" s="38"/>
      <c r="KN1719" s="38"/>
      <c r="KO1719" s="38"/>
      <c r="KP1719" s="38"/>
      <c r="KQ1719" s="38"/>
      <c r="KR1719" s="38"/>
      <c r="KS1719" s="38"/>
      <c r="KT1719" s="38"/>
      <c r="KU1719" s="38"/>
      <c r="KV1719" s="38"/>
      <c r="KW1719" s="38"/>
      <c r="KX1719" s="38"/>
      <c r="KY1719" s="38"/>
      <c r="KZ1719" s="38"/>
      <c r="LA1719" s="38"/>
      <c r="LB1719" s="38"/>
      <c r="LC1719" s="38"/>
      <c r="LD1719" s="38"/>
      <c r="LE1719" s="38"/>
      <c r="LF1719" s="38"/>
      <c r="LG1719" s="38"/>
      <c r="LH1719" s="38"/>
      <c r="LI1719" s="38"/>
      <c r="LJ1719" s="38"/>
      <c r="LK1719" s="38"/>
      <c r="LL1719" s="38"/>
      <c r="LM1719" s="38"/>
      <c r="LN1719" s="38"/>
      <c r="LO1719" s="38"/>
      <c r="LP1719" s="38"/>
      <c r="LQ1719" s="38"/>
      <c r="LR1719" s="38"/>
      <c r="LS1719" s="38"/>
      <c r="LT1719" s="38"/>
      <c r="LU1719" s="38"/>
      <c r="LV1719" s="38"/>
      <c r="LW1719" s="38"/>
      <c r="LX1719" s="38"/>
      <c r="LY1719" s="38"/>
      <c r="LZ1719" s="38"/>
      <c r="MA1719" s="38"/>
      <c r="MB1719" s="38"/>
      <c r="MC1719" s="38"/>
      <c r="MD1719" s="38"/>
      <c r="ME1719" s="38"/>
      <c r="MF1719" s="38"/>
      <c r="MG1719" s="38"/>
      <c r="MH1719" s="38"/>
      <c r="MI1719" s="38"/>
      <c r="MJ1719" s="38"/>
      <c r="MK1719" s="38"/>
      <c r="ML1719" s="38"/>
      <c r="MM1719" s="38"/>
      <c r="MN1719" s="38"/>
      <c r="MO1719" s="38"/>
      <c r="MP1719" s="38"/>
      <c r="MQ1719" s="38"/>
      <c r="MR1719" s="38"/>
      <c r="MS1719" s="38"/>
      <c r="MT1719" s="38"/>
      <c r="MU1719" s="38"/>
      <c r="MV1719" s="38"/>
      <c r="MW1719" s="38"/>
      <c r="MX1719" s="38"/>
      <c r="MY1719" s="38"/>
      <c r="MZ1719" s="38"/>
      <c r="NA1719" s="38"/>
      <c r="NB1719" s="38"/>
      <c r="NC1719" s="38"/>
      <c r="ND1719" s="38"/>
      <c r="NE1719" s="38"/>
      <c r="NF1719" s="38"/>
      <c r="NG1719" s="38"/>
      <c r="NH1719" s="38"/>
      <c r="NI1719" s="38"/>
      <c r="NJ1719" s="38"/>
      <c r="NK1719" s="38"/>
      <c r="NL1719" s="38"/>
      <c r="NM1719" s="38"/>
      <c r="NN1719" s="38"/>
      <c r="NO1719" s="38"/>
      <c r="NP1719" s="38"/>
      <c r="NQ1719" s="38"/>
      <c r="NR1719" s="38"/>
      <c r="NS1719" s="38"/>
      <c r="NT1719" s="38"/>
      <c r="NU1719" s="38"/>
      <c r="NV1719" s="38"/>
      <c r="NW1719" s="38"/>
      <c r="NX1719" s="38"/>
      <c r="NY1719" s="38"/>
      <c r="NZ1719" s="38"/>
      <c r="OA1719" s="38"/>
      <c r="OB1719" s="38"/>
      <c r="OC1719" s="38"/>
      <c r="OD1719" s="38"/>
      <c r="OE1719" s="38"/>
      <c r="OF1719" s="38"/>
      <c r="OG1719" s="38"/>
      <c r="OH1719" s="38"/>
      <c r="OI1719" s="38"/>
      <c r="OJ1719" s="38"/>
      <c r="OK1719" s="38"/>
      <c r="OL1719" s="38"/>
      <c r="OM1719" s="38"/>
      <c r="ON1719" s="38"/>
      <c r="OO1719" s="38"/>
      <c r="OP1719" s="38"/>
      <c r="OQ1719" s="38"/>
      <c r="OR1719" s="38"/>
      <c r="OS1719" s="38"/>
      <c r="OT1719" s="38"/>
      <c r="OU1719" s="38"/>
      <c r="OV1719" s="38"/>
      <c r="OW1719" s="38"/>
      <c r="OX1719" s="38"/>
      <c r="OY1719" s="38"/>
      <c r="OZ1719" s="38"/>
      <c r="PA1719" s="38"/>
      <c r="PB1719" s="38"/>
      <c r="PC1719" s="38"/>
      <c r="PD1719" s="38"/>
      <c r="PE1719" s="38"/>
      <c r="PF1719" s="38"/>
      <c r="PG1719" s="38"/>
      <c r="PH1719" s="38"/>
      <c r="PI1719" s="38"/>
      <c r="PJ1719" s="38"/>
      <c r="PK1719" s="38"/>
      <c r="PL1719" s="38"/>
      <c r="PM1719" s="38"/>
      <c r="PN1719" s="38"/>
      <c r="PO1719" s="38"/>
      <c r="PP1719" s="38"/>
      <c r="PQ1719" s="38"/>
      <c r="PR1719" s="38"/>
      <c r="PS1719" s="38"/>
      <c r="PT1719" s="38"/>
      <c r="PU1719" s="38"/>
      <c r="PV1719" s="38"/>
      <c r="PW1719" s="38"/>
      <c r="PX1719" s="38"/>
      <c r="PY1719" s="38"/>
      <c r="PZ1719" s="38"/>
      <c r="QA1719" s="38"/>
      <c r="QB1719" s="38"/>
      <c r="QC1719" s="38"/>
      <c r="QD1719" s="38"/>
      <c r="QE1719" s="38"/>
      <c r="QF1719" s="38"/>
      <c r="QG1719" s="38"/>
      <c r="QH1719" s="38"/>
      <c r="QI1719" s="38"/>
      <c r="QJ1719" s="38"/>
      <c r="QK1719" s="38"/>
      <c r="QL1719" s="38"/>
      <c r="QM1719" s="38"/>
      <c r="QN1719" s="38"/>
      <c r="QO1719" s="38"/>
      <c r="QP1719" s="38"/>
      <c r="QQ1719" s="38"/>
      <c r="QR1719" s="38"/>
      <c r="QS1719" s="38"/>
      <c r="QT1719" s="38"/>
      <c r="QU1719" s="38"/>
      <c r="QV1719" s="38"/>
      <c r="QW1719" s="38"/>
      <c r="QX1719" s="38"/>
      <c r="QY1719" s="38"/>
      <c r="QZ1719" s="38"/>
      <c r="RA1719" s="38"/>
      <c r="RB1719" s="38"/>
      <c r="RC1719" s="38"/>
      <c r="RD1719" s="38"/>
      <c r="RE1719" s="38"/>
      <c r="RF1719" s="38"/>
      <c r="RG1719" s="38"/>
      <c r="RH1719" s="38"/>
      <c r="RI1719" s="38"/>
      <c r="RJ1719" s="38"/>
      <c r="RK1719" s="38"/>
      <c r="RL1719" s="38"/>
      <c r="RM1719" s="38"/>
      <c r="RN1719" s="38"/>
      <c r="RO1719" s="38"/>
      <c r="RP1719" s="38"/>
      <c r="RQ1719" s="38"/>
      <c r="RR1719" s="38"/>
      <c r="RS1719" s="38"/>
      <c r="RT1719" s="38"/>
      <c r="RU1719" s="38"/>
      <c r="RV1719" s="38"/>
      <c r="RW1719" s="38"/>
      <c r="RX1719" s="38"/>
      <c r="RY1719" s="38"/>
      <c r="RZ1719" s="38"/>
      <c r="SA1719" s="38"/>
      <c r="SB1719" s="38"/>
      <c r="SC1719" s="38"/>
      <c r="SD1719" s="38"/>
      <c r="SE1719" s="38"/>
      <c r="SF1719" s="38"/>
      <c r="SG1719" s="38"/>
      <c r="SH1719" s="38"/>
      <c r="SI1719" s="38"/>
      <c r="SJ1719" s="38"/>
      <c r="SK1719" s="38"/>
      <c r="SL1719" s="38"/>
      <c r="SM1719" s="38"/>
      <c r="SN1719" s="38"/>
      <c r="SO1719" s="38"/>
      <c r="SP1719" s="38"/>
      <c r="SQ1719" s="38"/>
      <c r="SR1719" s="38"/>
      <c r="SS1719" s="38"/>
      <c r="ST1719" s="38"/>
      <c r="SU1719" s="38"/>
      <c r="SV1719" s="38"/>
      <c r="SW1719" s="38"/>
      <c r="SX1719" s="38"/>
      <c r="SY1719" s="38"/>
      <c r="SZ1719" s="38"/>
      <c r="TA1719" s="38"/>
      <c r="TB1719" s="38"/>
      <c r="TC1719" s="38"/>
      <c r="TD1719" s="38"/>
      <c r="TE1719" s="38"/>
      <c r="TF1719" s="38"/>
      <c r="TG1719" s="38"/>
      <c r="TH1719" s="38"/>
      <c r="TI1719" s="38"/>
      <c r="TJ1719" s="38"/>
      <c r="TK1719" s="38"/>
      <c r="TL1719" s="38"/>
      <c r="TM1719" s="38"/>
      <c r="TN1719" s="38"/>
      <c r="TO1719" s="38"/>
      <c r="TP1719" s="38"/>
      <c r="TQ1719" s="38"/>
      <c r="TR1719" s="38"/>
      <c r="TS1719" s="38"/>
      <c r="TT1719" s="38"/>
      <c r="TU1719" s="38"/>
      <c r="TV1719" s="38"/>
      <c r="TW1719" s="38"/>
      <c r="TX1719" s="38"/>
      <c r="TY1719" s="38"/>
      <c r="TZ1719" s="38"/>
      <c r="UA1719" s="38"/>
      <c r="UB1719" s="38"/>
      <c r="UC1719" s="38"/>
      <c r="UD1719" s="38"/>
      <c r="UE1719" s="38"/>
      <c r="UF1719" s="38"/>
      <c r="UG1719" s="38"/>
      <c r="UH1719" s="38"/>
      <c r="UI1719" s="38"/>
      <c r="UJ1719" s="38"/>
      <c r="UK1719" s="38"/>
      <c r="UL1719" s="38"/>
      <c r="UM1719" s="38"/>
      <c r="UN1719" s="38"/>
      <c r="UO1719" s="38"/>
      <c r="UP1719" s="38"/>
      <c r="UQ1719" s="38"/>
      <c r="UR1719" s="38"/>
      <c r="US1719" s="38"/>
      <c r="UT1719" s="38"/>
      <c r="UU1719" s="38"/>
      <c r="UV1719" s="38"/>
      <c r="UW1719" s="38"/>
      <c r="UX1719" s="38"/>
      <c r="UY1719" s="38"/>
      <c r="UZ1719" s="38"/>
      <c r="VA1719" s="38"/>
      <c r="VB1719" s="38"/>
      <c r="VC1719" s="38"/>
      <c r="VD1719" s="38"/>
      <c r="VE1719" s="38"/>
      <c r="VF1719" s="38"/>
      <c r="VG1719" s="38"/>
      <c r="VH1719" s="38"/>
      <c r="VI1719" s="38"/>
      <c r="VJ1719" s="38"/>
      <c r="VK1719" s="38"/>
      <c r="VL1719" s="38"/>
      <c r="VM1719" s="38"/>
      <c r="VN1719" s="38"/>
      <c r="VO1719" s="38"/>
      <c r="VP1719" s="38"/>
      <c r="VQ1719" s="38"/>
      <c r="VR1719" s="38"/>
      <c r="VS1719" s="38"/>
      <c r="VT1719" s="38"/>
      <c r="VU1719" s="38"/>
      <c r="VV1719" s="38"/>
      <c r="VW1719" s="38"/>
      <c r="VX1719" s="38"/>
      <c r="VY1719" s="38"/>
      <c r="VZ1719" s="38"/>
      <c r="WA1719" s="38"/>
      <c r="WB1719" s="38"/>
      <c r="WC1719" s="38"/>
      <c r="WD1719" s="38"/>
      <c r="WE1719" s="38"/>
      <c r="WF1719" s="38"/>
      <c r="WG1719" s="38"/>
      <c r="WH1719" s="38"/>
      <c r="WI1719" s="38"/>
      <c r="WJ1719" s="38"/>
      <c r="WK1719" s="38"/>
      <c r="WL1719" s="38"/>
      <c r="WM1719" s="38"/>
      <c r="WN1719" s="38"/>
      <c r="WO1719" s="38"/>
      <c r="WP1719" s="38"/>
      <c r="WQ1719" s="38"/>
      <c r="WR1719" s="38"/>
      <c r="WS1719" s="38"/>
      <c r="WT1719" s="38"/>
      <c r="WU1719" s="38"/>
      <c r="WV1719" s="38"/>
      <c r="WW1719" s="38"/>
      <c r="WX1719" s="38"/>
      <c r="WY1719" s="38"/>
      <c r="WZ1719" s="38"/>
      <c r="XA1719" s="38"/>
      <c r="XB1719" s="38"/>
      <c r="XC1719" s="38"/>
      <c r="XD1719" s="38"/>
      <c r="XE1719" s="38"/>
      <c r="XF1719" s="38"/>
      <c r="XG1719" s="38"/>
      <c r="XH1719" s="38"/>
      <c r="XI1719" s="38"/>
      <c r="XJ1719" s="38"/>
      <c r="XK1719" s="38"/>
      <c r="XL1719" s="38"/>
      <c r="XM1719" s="38"/>
      <c r="XN1719" s="38"/>
      <c r="XO1719" s="38"/>
      <c r="XP1719" s="38"/>
      <c r="XQ1719" s="38"/>
      <c r="XR1719" s="38"/>
      <c r="XS1719" s="38"/>
      <c r="XT1719" s="38"/>
      <c r="XU1719" s="38"/>
      <c r="XV1719" s="38"/>
      <c r="XW1719" s="38"/>
      <c r="XX1719" s="38"/>
      <c r="XY1719" s="38"/>
      <c r="XZ1719" s="38"/>
      <c r="YA1719" s="38"/>
      <c r="YB1719" s="38"/>
      <c r="YC1719" s="38"/>
      <c r="YD1719" s="38"/>
      <c r="YE1719" s="38"/>
      <c r="YF1719" s="38"/>
      <c r="YG1719" s="38"/>
      <c r="YH1719" s="38"/>
      <c r="YI1719" s="38"/>
      <c r="YJ1719" s="38"/>
      <c r="YK1719" s="38"/>
      <c r="YL1719" s="38"/>
      <c r="YM1719" s="38"/>
      <c r="YN1719" s="38"/>
      <c r="YO1719" s="38"/>
      <c r="YP1719" s="38"/>
      <c r="YQ1719" s="38"/>
      <c r="YR1719" s="38"/>
      <c r="YS1719" s="38"/>
      <c r="YT1719" s="38"/>
      <c r="YU1719" s="38"/>
      <c r="YV1719" s="38"/>
      <c r="YW1719" s="38"/>
      <c r="YX1719" s="38"/>
      <c r="YY1719" s="38"/>
      <c r="YZ1719" s="38"/>
      <c r="ZA1719" s="38"/>
      <c r="ZB1719" s="38"/>
      <c r="ZC1719" s="38"/>
      <c r="ZD1719" s="38"/>
      <c r="ZE1719" s="38"/>
      <c r="ZF1719" s="38"/>
      <c r="ZG1719" s="38"/>
      <c r="ZH1719" s="38"/>
      <c r="ZI1719" s="38"/>
      <c r="ZJ1719" s="38"/>
      <c r="ZK1719" s="38"/>
      <c r="ZL1719" s="38"/>
      <c r="ZM1719" s="38"/>
      <c r="ZN1719" s="38"/>
      <c r="ZO1719" s="38"/>
      <c r="ZP1719" s="38"/>
      <c r="ZQ1719" s="38"/>
      <c r="ZR1719" s="38"/>
      <c r="ZS1719" s="38"/>
      <c r="ZT1719" s="38"/>
      <c r="ZU1719" s="38"/>
      <c r="ZV1719" s="38"/>
      <c r="ZW1719" s="38"/>
      <c r="ZX1719" s="38"/>
      <c r="ZY1719" s="38"/>
      <c r="ZZ1719" s="38"/>
      <c r="AAA1719" s="38"/>
      <c r="AAB1719" s="38"/>
      <c r="AAC1719" s="38"/>
      <c r="AAD1719" s="38"/>
      <c r="AAE1719" s="38"/>
      <c r="AAF1719" s="38"/>
      <c r="AAG1719" s="38"/>
      <c r="AAH1719" s="38"/>
      <c r="AAI1719" s="38"/>
      <c r="AAJ1719" s="38"/>
      <c r="AAK1719" s="38"/>
      <c r="AAL1719" s="38"/>
      <c r="AAM1719" s="38"/>
      <c r="AAN1719" s="38"/>
      <c r="AAO1719" s="38"/>
      <c r="AAP1719" s="38"/>
      <c r="AAQ1719" s="38"/>
      <c r="AAR1719" s="38"/>
      <c r="AAS1719" s="38"/>
      <c r="AAT1719" s="38"/>
      <c r="AAU1719" s="38"/>
      <c r="AAV1719" s="38"/>
      <c r="AAW1719" s="38"/>
      <c r="AAX1719" s="38"/>
      <c r="AAY1719" s="38"/>
      <c r="AAZ1719" s="38"/>
      <c r="ABA1719" s="38"/>
      <c r="ABB1719" s="38"/>
      <c r="ABC1719" s="38"/>
      <c r="ABD1719" s="38"/>
      <c r="ABE1719" s="38"/>
      <c r="ABF1719" s="38"/>
      <c r="ABG1719" s="38"/>
      <c r="ABH1719" s="38"/>
      <c r="ABI1719" s="38"/>
      <c r="ABJ1719" s="38"/>
      <c r="ABK1719" s="38"/>
      <c r="ABL1719" s="38"/>
      <c r="ABM1719" s="38"/>
      <c r="ABN1719" s="38"/>
      <c r="ABO1719" s="38"/>
      <c r="ABP1719" s="38"/>
      <c r="ABQ1719" s="38"/>
      <c r="ABR1719" s="38"/>
      <c r="ABS1719" s="38"/>
      <c r="ABT1719" s="38"/>
      <c r="ABU1719" s="38"/>
      <c r="ABV1719" s="38"/>
      <c r="ABW1719" s="38"/>
      <c r="ABX1719" s="38"/>
      <c r="ABY1719" s="38"/>
      <c r="ABZ1719" s="38"/>
      <c r="ACA1719" s="38"/>
      <c r="ACB1719" s="38"/>
      <c r="ACC1719" s="38"/>
      <c r="ACD1719" s="38"/>
      <c r="ACE1719" s="38"/>
      <c r="ACF1719" s="38"/>
      <c r="ACG1719" s="38"/>
      <c r="ACH1719" s="38"/>
      <c r="ACI1719" s="38"/>
      <c r="ACJ1719" s="38"/>
      <c r="ACK1719" s="38"/>
      <c r="ACL1719" s="38"/>
      <c r="ACM1719" s="38"/>
      <c r="ACN1719" s="38"/>
      <c r="ACO1719" s="38"/>
      <c r="ACP1719" s="38"/>
      <c r="ACQ1719" s="38"/>
      <c r="ACR1719" s="38"/>
      <c r="ACS1719" s="38"/>
      <c r="ACT1719" s="38"/>
      <c r="ACU1719" s="38"/>
      <c r="ACV1719" s="38"/>
      <c r="ACW1719" s="38"/>
      <c r="ACX1719" s="38"/>
      <c r="ACY1719" s="38"/>
      <c r="ACZ1719" s="38"/>
      <c r="ADA1719" s="38"/>
      <c r="ADB1719" s="38"/>
      <c r="ADC1719" s="38"/>
      <c r="ADD1719" s="38"/>
      <c r="ADE1719" s="38"/>
      <c r="ADF1719" s="38"/>
      <c r="ADG1719" s="38"/>
      <c r="ADH1719" s="38"/>
      <c r="ADI1719" s="38"/>
      <c r="ADJ1719" s="38"/>
      <c r="ADK1719" s="38"/>
      <c r="ADL1719" s="38"/>
      <c r="ADM1719" s="38"/>
      <c r="ADN1719" s="38"/>
      <c r="ADO1719" s="38"/>
      <c r="ADP1719" s="38"/>
      <c r="ADQ1719" s="38"/>
      <c r="ADR1719" s="38"/>
      <c r="ADS1719" s="38"/>
      <c r="ADT1719" s="38"/>
      <c r="ADU1719" s="38"/>
      <c r="ADV1719" s="38"/>
      <c r="ADW1719" s="38"/>
      <c r="ADX1719" s="38"/>
      <c r="ADY1719" s="38"/>
      <c r="ADZ1719" s="38"/>
      <c r="AEA1719" s="38"/>
      <c r="AEB1719" s="38"/>
      <c r="AEC1719" s="38"/>
      <c r="AED1719" s="38"/>
      <c r="AEE1719" s="38"/>
      <c r="AEF1719" s="38"/>
      <c r="AEG1719" s="38"/>
      <c r="AEH1719" s="38"/>
      <c r="AEI1719" s="38"/>
      <c r="AEJ1719" s="38"/>
      <c r="AEK1719" s="38"/>
      <c r="AEL1719" s="38"/>
      <c r="AEM1719" s="38"/>
      <c r="AEN1719" s="38"/>
      <c r="AEO1719" s="38"/>
      <c r="AEP1719" s="38"/>
      <c r="AEQ1719" s="38"/>
      <c r="AER1719" s="38"/>
      <c r="AES1719" s="38"/>
      <c r="AET1719" s="38"/>
      <c r="AEU1719" s="38"/>
      <c r="AEV1719" s="38"/>
      <c r="AEW1719" s="38"/>
      <c r="AEX1719" s="38"/>
      <c r="AEY1719" s="38"/>
      <c r="AEZ1719" s="38"/>
      <c r="AFA1719" s="38"/>
      <c r="AFB1719" s="38"/>
      <c r="AFC1719" s="38"/>
      <c r="AFD1719" s="38"/>
      <c r="AFE1719" s="38"/>
      <c r="AFF1719" s="38"/>
      <c r="AFG1719" s="38"/>
      <c r="AFH1719" s="38"/>
      <c r="AFI1719" s="38"/>
      <c r="AFJ1719" s="38"/>
      <c r="AFK1719" s="38"/>
      <c r="AFL1719" s="38"/>
      <c r="AFM1719" s="38"/>
      <c r="AFN1719" s="38"/>
      <c r="AFO1719" s="38"/>
      <c r="AFP1719" s="38"/>
      <c r="AFQ1719" s="38"/>
      <c r="AFR1719" s="38"/>
      <c r="AFS1719" s="38"/>
      <c r="AFT1719" s="38"/>
      <c r="AFU1719" s="38"/>
      <c r="AFV1719" s="38"/>
      <c r="AFW1719" s="38"/>
      <c r="AFX1719" s="38"/>
      <c r="AFY1719" s="38"/>
      <c r="AFZ1719" s="38"/>
      <c r="AGA1719" s="38"/>
      <c r="AGB1719" s="38"/>
      <c r="AGC1719" s="38"/>
      <c r="AGD1719" s="38"/>
      <c r="AGE1719" s="38"/>
      <c r="AGF1719" s="38"/>
      <c r="AGG1719" s="38"/>
      <c r="AGH1719" s="38"/>
      <c r="AGI1719" s="38"/>
      <c r="AGJ1719" s="38"/>
      <c r="AGK1719" s="38"/>
      <c r="AGL1719" s="38"/>
      <c r="AGM1719" s="38"/>
      <c r="AGN1719" s="38"/>
      <c r="AGO1719" s="38"/>
      <c r="AGP1719" s="38"/>
      <c r="AGQ1719" s="38"/>
      <c r="AGR1719" s="38"/>
      <c r="AGS1719" s="38"/>
      <c r="AGT1719" s="38"/>
      <c r="AGU1719" s="38"/>
      <c r="AGV1719" s="38"/>
      <c r="AGW1719" s="38"/>
      <c r="AGX1719" s="38"/>
      <c r="AGY1719" s="38"/>
      <c r="AGZ1719" s="38"/>
      <c r="AHA1719" s="38"/>
      <c r="AHB1719" s="38"/>
      <c r="AHC1719" s="38"/>
      <c r="AHD1719" s="38"/>
      <c r="AHE1719" s="38"/>
      <c r="AHF1719" s="38"/>
      <c r="AHG1719" s="38"/>
      <c r="AHH1719" s="38"/>
      <c r="AHI1719" s="38"/>
      <c r="AHJ1719" s="38"/>
      <c r="AHK1719" s="38"/>
      <c r="AHL1719" s="38"/>
      <c r="AHM1719" s="38"/>
      <c r="AHN1719" s="38"/>
      <c r="AHO1719" s="38"/>
      <c r="AHP1719" s="38"/>
      <c r="AHQ1719" s="38"/>
      <c r="AHR1719" s="38"/>
      <c r="AHS1719" s="38"/>
      <c r="AHT1719" s="38"/>
      <c r="AHU1719" s="38"/>
      <c r="AHV1719" s="38"/>
      <c r="AHW1719" s="38"/>
      <c r="AHX1719" s="38"/>
      <c r="AHY1719" s="38"/>
      <c r="AHZ1719" s="38"/>
      <c r="AIA1719" s="38"/>
      <c r="AIB1719" s="38"/>
      <c r="AIC1719" s="38"/>
      <c r="AID1719" s="38"/>
      <c r="AIE1719" s="38"/>
      <c r="AIF1719" s="38"/>
      <c r="AIG1719" s="38"/>
      <c r="AIH1719" s="38"/>
      <c r="AII1719" s="38"/>
      <c r="AIJ1719" s="38"/>
      <c r="AIK1719" s="38"/>
      <c r="AIL1719" s="38"/>
      <c r="AIM1719" s="38"/>
      <c r="AIN1719" s="38"/>
      <c r="AIO1719" s="38"/>
      <c r="AIP1719" s="38"/>
      <c r="AIQ1719" s="38"/>
      <c r="AIR1719" s="38"/>
      <c r="AIS1719" s="38"/>
      <c r="AIT1719" s="38"/>
      <c r="AIU1719" s="38"/>
      <c r="AIV1719" s="38"/>
      <c r="AIW1719" s="38"/>
      <c r="AIX1719" s="38"/>
      <c r="AIY1719" s="38"/>
      <c r="AIZ1719" s="38"/>
      <c r="AJA1719" s="38"/>
      <c r="AJB1719" s="38"/>
      <c r="AJC1719" s="38"/>
      <c r="AJD1719" s="38"/>
      <c r="AJE1719" s="38"/>
      <c r="AJF1719" s="38"/>
      <c r="AJG1719" s="38"/>
      <c r="AJH1719" s="38"/>
      <c r="AJI1719" s="38"/>
      <c r="AJJ1719" s="38"/>
      <c r="AJK1719" s="38"/>
      <c r="AJL1719" s="38"/>
      <c r="AJM1719" s="38"/>
      <c r="AJN1719" s="38"/>
      <c r="AJO1719" s="38"/>
      <c r="AJP1719" s="38"/>
      <c r="AJQ1719" s="38"/>
      <c r="AJR1719" s="38"/>
      <c r="AJS1719" s="38"/>
      <c r="AJT1719" s="38"/>
      <c r="AJU1719" s="38"/>
      <c r="AJV1719" s="38"/>
      <c r="AJW1719" s="38"/>
      <c r="AJX1719" s="38"/>
      <c r="AJY1719" s="38"/>
      <c r="AJZ1719" s="38"/>
      <c r="AKA1719" s="38"/>
      <c r="AKB1719" s="38"/>
      <c r="AKC1719" s="38"/>
      <c r="AKD1719" s="38"/>
      <c r="AKE1719" s="38"/>
      <c r="AKF1719" s="38"/>
      <c r="AKG1719" s="38"/>
      <c r="AKH1719" s="38"/>
      <c r="AKI1719" s="38"/>
      <c r="AKJ1719" s="38"/>
      <c r="AKK1719" s="38"/>
      <c r="AKL1719" s="38"/>
      <c r="AKM1719" s="38"/>
      <c r="AKN1719" s="38"/>
      <c r="AKO1719" s="38"/>
      <c r="AKP1719" s="38"/>
      <c r="AKQ1719" s="38"/>
      <c r="AKR1719" s="38"/>
      <c r="AKS1719" s="38"/>
      <c r="AKT1719" s="38"/>
      <c r="AKU1719" s="38"/>
      <c r="AKV1719" s="38"/>
      <c r="AKW1719" s="38"/>
      <c r="AKX1719" s="38"/>
      <c r="AKY1719" s="38"/>
      <c r="AKZ1719" s="38"/>
      <c r="ALA1719" s="38"/>
      <c r="ALB1719" s="38"/>
      <c r="ALC1719" s="38"/>
      <c r="ALD1719" s="38"/>
      <c r="ALE1719" s="38"/>
      <c r="ALF1719" s="38"/>
      <c r="ALG1719" s="38"/>
      <c r="ALH1719" s="38"/>
      <c r="ALI1719" s="38"/>
      <c r="ALJ1719" s="38"/>
      <c r="ALK1719" s="38"/>
      <c r="ALL1719" s="38"/>
      <c r="ALM1719" s="38"/>
      <c r="ALN1719" s="38"/>
      <c r="ALO1719" s="38"/>
      <c r="ALP1719" s="38"/>
      <c r="ALQ1719" s="38"/>
      <c r="ALR1719" s="38"/>
      <c r="ALS1719" s="38"/>
      <c r="ALT1719" s="38"/>
      <c r="ALU1719" s="38"/>
      <c r="ALV1719" s="38"/>
      <c r="ALW1719" s="38"/>
      <c r="ALX1719" s="38"/>
      <c r="ALY1719" s="38"/>
      <c r="ALZ1719" s="38"/>
      <c r="AMA1719" s="38"/>
      <c r="AMB1719" s="38"/>
      <c r="AMC1719" s="38"/>
      <c r="AMD1719" s="38"/>
      <c r="AME1719" s="38"/>
      <c r="AMF1719" s="38"/>
      <c r="AMG1719" s="38"/>
      <c r="AMH1719" s="38"/>
      <c r="AMI1719" s="38"/>
      <c r="AMJ1719" s="38"/>
      <c r="AMK1719" s="38"/>
      <c r="AML1719" s="38"/>
      <c r="AMM1719" s="38"/>
      <c r="AMN1719" s="38"/>
      <c r="AMO1719" s="38"/>
      <c r="AMP1719" s="38"/>
      <c r="AMQ1719" s="38"/>
      <c r="AMR1719" s="38"/>
      <c r="AMS1719" s="38"/>
      <c r="AMT1719" s="38"/>
      <c r="AMU1719" s="38"/>
      <c r="AMV1719" s="38"/>
      <c r="AMW1719" s="38"/>
      <c r="AMX1719" s="38"/>
      <c r="AMY1719" s="38"/>
      <c r="AMZ1719" s="38"/>
      <c r="ANA1719" s="38"/>
      <c r="ANB1719" s="38"/>
      <c r="ANC1719" s="38"/>
      <c r="AND1719" s="38"/>
      <c r="ANE1719" s="38"/>
      <c r="ANF1719" s="38"/>
      <c r="ANG1719" s="38"/>
      <c r="ANH1719" s="38"/>
      <c r="ANI1719" s="38"/>
      <c r="ANJ1719" s="38"/>
      <c r="ANK1719" s="38"/>
      <c r="ANL1719" s="38"/>
      <c r="ANM1719" s="38"/>
      <c r="ANN1719" s="38"/>
      <c r="ANO1719" s="38"/>
      <c r="ANP1719" s="38"/>
      <c r="ANQ1719" s="38"/>
      <c r="ANR1719" s="38"/>
      <c r="ANS1719" s="38"/>
      <c r="ANT1719" s="38"/>
      <c r="ANU1719" s="38"/>
      <c r="ANV1719" s="38"/>
      <c r="ANW1719" s="38"/>
      <c r="ANX1719" s="38"/>
      <c r="ANY1719" s="38"/>
      <c r="ANZ1719" s="38"/>
      <c r="AOA1719" s="38"/>
      <c r="AOB1719" s="38"/>
      <c r="AOC1719" s="38"/>
      <c r="AOD1719" s="38"/>
      <c r="AOE1719" s="38"/>
      <c r="AOF1719" s="38"/>
      <c r="AOG1719" s="38"/>
      <c r="AOH1719" s="38"/>
      <c r="AOI1719" s="38"/>
      <c r="AOJ1719" s="38"/>
      <c r="AOK1719" s="38"/>
      <c r="AOL1719" s="38"/>
      <c r="AOM1719" s="38"/>
      <c r="AON1719" s="38"/>
      <c r="AOO1719" s="38"/>
      <c r="AOP1719" s="38"/>
      <c r="AOQ1719" s="38"/>
      <c r="AOR1719" s="38"/>
      <c r="AOS1719" s="38"/>
      <c r="AOT1719" s="38"/>
      <c r="AOU1719" s="38"/>
      <c r="AOV1719" s="38"/>
      <c r="AOW1719" s="38"/>
      <c r="AOX1719" s="38"/>
      <c r="AOY1719" s="38"/>
      <c r="AOZ1719" s="38"/>
      <c r="APA1719" s="38"/>
      <c r="APB1719" s="38"/>
      <c r="APC1719" s="38"/>
    </row>
    <row r="1720" spans="1:1095" s="36" customFormat="1" ht="14.25" customHeight="1">
      <c r="A1720" s="3" t="s">
        <v>1722</v>
      </c>
      <c r="B1720" s="36" t="s">
        <v>3990</v>
      </c>
      <c r="C1720" s="218">
        <v>4058075824416</v>
      </c>
      <c r="D1720" s="224">
        <v>4058075630611</v>
      </c>
      <c r="E1720" s="245" t="s">
        <v>1632</v>
      </c>
      <c r="F1720" s="246"/>
      <c r="G1720" s="66" t="str">
        <f>HYPERLINK("https://ledvance.com/pt/product-datasheet/247502/243825","Ficha de Produto")</f>
        <v>Ficha de Produto</v>
      </c>
      <c r="H1720" s="217">
        <v>10</v>
      </c>
      <c r="I1720" s="34" t="s">
        <v>1042</v>
      </c>
      <c r="J1720" s="34" t="s">
        <v>809</v>
      </c>
      <c r="K1720" s="34" t="s">
        <v>788</v>
      </c>
      <c r="L1720" s="34" t="s">
        <v>765</v>
      </c>
      <c r="M1720" s="247">
        <v>32.1</v>
      </c>
      <c r="N1720" s="288" t="s">
        <v>722</v>
      </c>
    </row>
    <row r="1721" spans="1:1095" s="36" customFormat="1" ht="14.25" customHeight="1">
      <c r="A1721" s="3" t="s">
        <v>1722</v>
      </c>
      <c r="B1721" s="36" t="s">
        <v>3991</v>
      </c>
      <c r="C1721" s="218">
        <v>4058075824430</v>
      </c>
      <c r="D1721" s="224">
        <v>4058075543560</v>
      </c>
      <c r="E1721" s="245" t="s">
        <v>1633</v>
      </c>
      <c r="F1721" s="246"/>
      <c r="G1721" s="66" t="str">
        <f>HYPERLINK("https://ledvance.com/pt/product-datasheet/247502/243828","Ficha de Produto")</f>
        <v>Ficha de Produto</v>
      </c>
      <c r="H1721" s="217">
        <v>10</v>
      </c>
      <c r="I1721" s="34" t="s">
        <v>858</v>
      </c>
      <c r="J1721" s="34" t="s">
        <v>809</v>
      </c>
      <c r="K1721" s="34" t="s">
        <v>788</v>
      </c>
      <c r="L1721" s="34" t="s">
        <v>765</v>
      </c>
      <c r="M1721" s="247">
        <v>32.1</v>
      </c>
      <c r="N1721" s="288" t="s">
        <v>722</v>
      </c>
    </row>
    <row r="1722" spans="1:1095" s="36" customFormat="1" ht="14.25" customHeight="1">
      <c r="A1722" s="3" t="s">
        <v>1722</v>
      </c>
      <c r="B1722" s="36" t="s">
        <v>3992</v>
      </c>
      <c r="C1722" s="218">
        <v>4058075824454</v>
      </c>
      <c r="D1722" s="224">
        <v>4058075543584</v>
      </c>
      <c r="E1722" s="245" t="s">
        <v>1634</v>
      </c>
      <c r="F1722" s="246"/>
      <c r="G1722" s="66" t="str">
        <f>HYPERLINK("https://ledvance.com/pt/product-datasheet/247502/243831","Ficha de Produto")</f>
        <v>Ficha de Produto</v>
      </c>
      <c r="H1722" s="217">
        <v>10</v>
      </c>
      <c r="I1722" s="34" t="s">
        <v>858</v>
      </c>
      <c r="J1722" s="34" t="s">
        <v>809</v>
      </c>
      <c r="K1722" s="34" t="s">
        <v>788</v>
      </c>
      <c r="L1722" s="34" t="s">
        <v>765</v>
      </c>
      <c r="M1722" s="247">
        <v>32.1</v>
      </c>
      <c r="N1722" s="288" t="s">
        <v>722</v>
      </c>
    </row>
    <row r="1723" spans="1:1095" s="39" customFormat="1" ht="14.25" customHeight="1">
      <c r="A1723" s="8" t="s">
        <v>1722</v>
      </c>
      <c r="B1723" s="244" t="s">
        <v>2072</v>
      </c>
      <c r="C1723" s="8"/>
      <c r="D1723" s="7"/>
      <c r="E1723" s="230"/>
      <c r="F1723" s="7"/>
      <c r="G1723" s="68" t="s">
        <v>6505</v>
      </c>
      <c r="H1723" s="230"/>
      <c r="I1723" s="230"/>
      <c r="J1723" s="230"/>
      <c r="K1723" s="230"/>
      <c r="L1723" s="230"/>
      <c r="M1723" s="248"/>
      <c r="N1723" s="292"/>
      <c r="O1723" s="38"/>
      <c r="P1723" s="38"/>
      <c r="Q1723" s="38"/>
      <c r="R1723" s="38"/>
      <c r="S1723" s="38"/>
      <c r="T1723" s="38"/>
      <c r="U1723" s="38"/>
      <c r="V1723" s="38"/>
      <c r="W1723" s="38"/>
      <c r="X1723" s="38"/>
      <c r="Y1723" s="38"/>
      <c r="Z1723" s="38"/>
      <c r="AA1723" s="38"/>
      <c r="AB1723" s="38"/>
      <c r="AC1723" s="38"/>
      <c r="AD1723" s="38"/>
      <c r="AE1723" s="38"/>
      <c r="AF1723" s="38"/>
      <c r="AG1723" s="38"/>
      <c r="AH1723" s="38"/>
      <c r="AI1723" s="38"/>
      <c r="AJ1723" s="38"/>
      <c r="AK1723" s="38"/>
      <c r="AL1723" s="38"/>
      <c r="AM1723" s="38"/>
      <c r="AN1723" s="38"/>
      <c r="AO1723" s="38"/>
      <c r="AP1723" s="38"/>
      <c r="AQ1723" s="38"/>
      <c r="AR1723" s="38"/>
      <c r="AS1723" s="38"/>
      <c r="AT1723" s="38"/>
      <c r="AU1723" s="38"/>
      <c r="AV1723" s="38"/>
      <c r="AW1723" s="38"/>
      <c r="AX1723" s="38"/>
      <c r="AY1723" s="38"/>
      <c r="AZ1723" s="38"/>
      <c r="BA1723" s="38"/>
      <c r="BB1723" s="38"/>
      <c r="BC1723" s="38"/>
      <c r="BD1723" s="38"/>
      <c r="BE1723" s="38"/>
      <c r="BF1723" s="38"/>
      <c r="BG1723" s="38"/>
      <c r="BH1723" s="38"/>
      <c r="BI1723" s="38"/>
      <c r="BJ1723" s="38"/>
      <c r="BK1723" s="38"/>
      <c r="BL1723" s="38"/>
      <c r="BM1723" s="38"/>
      <c r="BN1723" s="38"/>
      <c r="BO1723" s="38"/>
      <c r="BP1723" s="38"/>
      <c r="BQ1723" s="38"/>
      <c r="BR1723" s="38"/>
      <c r="BS1723" s="38"/>
      <c r="BT1723" s="38"/>
      <c r="BU1723" s="38"/>
      <c r="BV1723" s="38"/>
      <c r="BW1723" s="38"/>
      <c r="BX1723" s="38"/>
      <c r="BY1723" s="38"/>
      <c r="BZ1723" s="38"/>
      <c r="CA1723" s="38"/>
      <c r="CB1723" s="38"/>
      <c r="CC1723" s="38"/>
      <c r="CD1723" s="38"/>
      <c r="CE1723" s="38"/>
      <c r="CF1723" s="38"/>
      <c r="CG1723" s="38"/>
      <c r="CH1723" s="38"/>
      <c r="CI1723" s="38"/>
      <c r="CJ1723" s="38"/>
      <c r="CK1723" s="38"/>
      <c r="CL1723" s="38"/>
      <c r="CM1723" s="38"/>
      <c r="CN1723" s="38"/>
      <c r="CO1723" s="38"/>
      <c r="CP1723" s="38"/>
      <c r="CQ1723" s="38"/>
      <c r="CR1723" s="38"/>
      <c r="CS1723" s="38"/>
      <c r="CT1723" s="38"/>
      <c r="CU1723" s="38"/>
      <c r="CV1723" s="38"/>
      <c r="CW1723" s="38"/>
      <c r="CX1723" s="38"/>
      <c r="CY1723" s="38"/>
      <c r="CZ1723" s="38"/>
      <c r="DA1723" s="38"/>
      <c r="DB1723" s="38"/>
      <c r="DC1723" s="38"/>
      <c r="DD1723" s="38"/>
      <c r="DE1723" s="38"/>
      <c r="DF1723" s="38"/>
      <c r="DG1723" s="38"/>
      <c r="DH1723" s="38"/>
      <c r="DI1723" s="38"/>
      <c r="DJ1723" s="38"/>
      <c r="DK1723" s="38"/>
      <c r="DL1723" s="38"/>
      <c r="DM1723" s="38"/>
      <c r="DN1723" s="38"/>
      <c r="DO1723" s="38"/>
      <c r="DP1723" s="38"/>
      <c r="DQ1723" s="38"/>
      <c r="DR1723" s="38"/>
      <c r="DS1723" s="38"/>
      <c r="DT1723" s="38"/>
      <c r="DU1723" s="38"/>
      <c r="DV1723" s="38"/>
      <c r="DW1723" s="38"/>
      <c r="DX1723" s="38"/>
      <c r="DY1723" s="38"/>
      <c r="DZ1723" s="38"/>
      <c r="EA1723" s="38"/>
      <c r="EB1723" s="38"/>
      <c r="EC1723" s="38"/>
      <c r="ED1723" s="38"/>
      <c r="EE1723" s="38"/>
      <c r="EF1723" s="38"/>
      <c r="EG1723" s="38"/>
      <c r="EH1723" s="38"/>
      <c r="EI1723" s="38"/>
      <c r="EJ1723" s="38"/>
      <c r="EK1723" s="38"/>
      <c r="EL1723" s="38"/>
      <c r="EM1723" s="38"/>
      <c r="EN1723" s="38"/>
      <c r="EO1723" s="38"/>
      <c r="EP1723" s="38"/>
      <c r="EQ1723" s="38"/>
      <c r="ER1723" s="38"/>
      <c r="ES1723" s="38"/>
      <c r="ET1723" s="38"/>
      <c r="EU1723" s="38"/>
      <c r="EV1723" s="38"/>
      <c r="EW1723" s="38"/>
      <c r="EX1723" s="38"/>
      <c r="EY1723" s="38"/>
      <c r="EZ1723" s="38"/>
      <c r="FA1723" s="38"/>
      <c r="FB1723" s="38"/>
      <c r="FC1723" s="38"/>
      <c r="FD1723" s="38"/>
      <c r="FE1723" s="38"/>
      <c r="FF1723" s="38"/>
      <c r="FG1723" s="38"/>
      <c r="FH1723" s="38"/>
      <c r="FI1723" s="38"/>
      <c r="FJ1723" s="38"/>
      <c r="FK1723" s="38"/>
      <c r="FL1723" s="38"/>
      <c r="FM1723" s="38"/>
      <c r="FN1723" s="38"/>
      <c r="FO1723" s="38"/>
      <c r="FP1723" s="38"/>
      <c r="FQ1723" s="38"/>
      <c r="FR1723" s="38"/>
      <c r="FS1723" s="38"/>
      <c r="FT1723" s="38"/>
      <c r="FU1723" s="38"/>
      <c r="FV1723" s="38"/>
      <c r="FW1723" s="38"/>
      <c r="FX1723" s="38"/>
      <c r="FY1723" s="38"/>
      <c r="FZ1723" s="38"/>
      <c r="GA1723" s="38"/>
      <c r="GB1723" s="38"/>
      <c r="GC1723" s="38"/>
      <c r="GD1723" s="38"/>
      <c r="GE1723" s="38"/>
      <c r="GF1723" s="38"/>
      <c r="GG1723" s="38"/>
      <c r="GH1723" s="38"/>
      <c r="GI1723" s="38"/>
      <c r="GJ1723" s="38"/>
      <c r="GK1723" s="38"/>
      <c r="GL1723" s="38"/>
      <c r="GM1723" s="38"/>
      <c r="GN1723" s="38"/>
      <c r="GO1723" s="38"/>
      <c r="GP1723" s="38"/>
      <c r="GQ1723" s="38"/>
      <c r="GR1723" s="38"/>
      <c r="GS1723" s="38"/>
      <c r="GT1723" s="38"/>
      <c r="GU1723" s="38"/>
      <c r="GV1723" s="38"/>
      <c r="GW1723" s="38"/>
      <c r="GX1723" s="38"/>
      <c r="GY1723" s="38"/>
      <c r="GZ1723" s="38"/>
      <c r="HA1723" s="38"/>
      <c r="HB1723" s="38"/>
      <c r="HC1723" s="38"/>
      <c r="HD1723" s="38"/>
      <c r="HE1723" s="38"/>
      <c r="HF1723" s="38"/>
      <c r="HG1723" s="38"/>
      <c r="HH1723" s="38"/>
      <c r="HI1723" s="38"/>
      <c r="HJ1723" s="38"/>
      <c r="HK1723" s="38"/>
      <c r="HL1723" s="38"/>
      <c r="HM1723" s="38"/>
      <c r="HN1723" s="38"/>
      <c r="HO1723" s="38"/>
      <c r="HP1723" s="38"/>
      <c r="HQ1723" s="38"/>
      <c r="HR1723" s="38"/>
      <c r="HS1723" s="38"/>
      <c r="HT1723" s="38"/>
      <c r="HU1723" s="38"/>
      <c r="HV1723" s="38"/>
      <c r="HW1723" s="38"/>
      <c r="HX1723" s="38"/>
      <c r="HY1723" s="38"/>
      <c r="HZ1723" s="38"/>
      <c r="IA1723" s="38"/>
      <c r="IB1723" s="38"/>
      <c r="IC1723" s="38"/>
      <c r="ID1723" s="38"/>
      <c r="IE1723" s="38"/>
      <c r="IF1723" s="38"/>
      <c r="IG1723" s="38"/>
      <c r="IH1723" s="38"/>
      <c r="II1723" s="38"/>
      <c r="IJ1723" s="38"/>
      <c r="IK1723" s="38"/>
      <c r="IL1723" s="38"/>
      <c r="IM1723" s="38"/>
      <c r="IN1723" s="38"/>
      <c r="IO1723" s="38"/>
      <c r="IP1723" s="38"/>
      <c r="IQ1723" s="38"/>
      <c r="IR1723" s="38"/>
      <c r="IS1723" s="38"/>
      <c r="IT1723" s="38"/>
      <c r="IU1723" s="38"/>
      <c r="IV1723" s="38"/>
      <c r="IW1723" s="38"/>
      <c r="IX1723" s="38"/>
      <c r="IY1723" s="38"/>
      <c r="IZ1723" s="38"/>
      <c r="JA1723" s="38"/>
      <c r="JB1723" s="38"/>
      <c r="JC1723" s="38"/>
      <c r="JD1723" s="38"/>
      <c r="JE1723" s="38"/>
      <c r="JF1723" s="38"/>
      <c r="JG1723" s="38"/>
      <c r="JH1723" s="38"/>
      <c r="JI1723" s="38"/>
      <c r="JJ1723" s="38"/>
      <c r="JK1723" s="38"/>
      <c r="JL1723" s="38"/>
      <c r="JM1723" s="38"/>
      <c r="JN1723" s="38"/>
      <c r="JO1723" s="38"/>
      <c r="JP1723" s="38"/>
      <c r="JQ1723" s="38"/>
      <c r="JR1723" s="38"/>
      <c r="JS1723" s="38"/>
      <c r="JT1723" s="38"/>
      <c r="JU1723" s="38"/>
      <c r="JV1723" s="38"/>
      <c r="JW1723" s="38"/>
      <c r="JX1723" s="38"/>
      <c r="JY1723" s="38"/>
      <c r="JZ1723" s="38"/>
      <c r="KA1723" s="38"/>
      <c r="KB1723" s="38"/>
      <c r="KC1723" s="38"/>
      <c r="KD1723" s="38"/>
      <c r="KE1723" s="38"/>
      <c r="KF1723" s="38"/>
      <c r="KG1723" s="38"/>
      <c r="KH1723" s="38"/>
      <c r="KI1723" s="38"/>
      <c r="KJ1723" s="38"/>
      <c r="KK1723" s="38"/>
      <c r="KL1723" s="38"/>
      <c r="KM1723" s="38"/>
      <c r="KN1723" s="38"/>
      <c r="KO1723" s="38"/>
      <c r="KP1723" s="38"/>
      <c r="KQ1723" s="38"/>
      <c r="KR1723" s="38"/>
      <c r="KS1723" s="38"/>
      <c r="KT1723" s="38"/>
      <c r="KU1723" s="38"/>
      <c r="KV1723" s="38"/>
      <c r="KW1723" s="38"/>
      <c r="KX1723" s="38"/>
      <c r="KY1723" s="38"/>
      <c r="KZ1723" s="38"/>
      <c r="LA1723" s="38"/>
      <c r="LB1723" s="38"/>
      <c r="LC1723" s="38"/>
      <c r="LD1723" s="38"/>
      <c r="LE1723" s="38"/>
      <c r="LF1723" s="38"/>
      <c r="LG1723" s="38"/>
      <c r="LH1723" s="38"/>
      <c r="LI1723" s="38"/>
      <c r="LJ1723" s="38"/>
      <c r="LK1723" s="38"/>
      <c r="LL1723" s="38"/>
      <c r="LM1723" s="38"/>
      <c r="LN1723" s="38"/>
      <c r="LO1723" s="38"/>
      <c r="LP1723" s="38"/>
      <c r="LQ1723" s="38"/>
      <c r="LR1723" s="38"/>
      <c r="LS1723" s="38"/>
      <c r="LT1723" s="38"/>
      <c r="LU1723" s="38"/>
      <c r="LV1723" s="38"/>
      <c r="LW1723" s="38"/>
      <c r="LX1723" s="38"/>
      <c r="LY1723" s="38"/>
      <c r="LZ1723" s="38"/>
      <c r="MA1723" s="38"/>
      <c r="MB1723" s="38"/>
      <c r="MC1723" s="38"/>
      <c r="MD1723" s="38"/>
      <c r="ME1723" s="38"/>
      <c r="MF1723" s="38"/>
      <c r="MG1723" s="38"/>
      <c r="MH1723" s="38"/>
      <c r="MI1723" s="38"/>
      <c r="MJ1723" s="38"/>
      <c r="MK1723" s="38"/>
      <c r="ML1723" s="38"/>
      <c r="MM1723" s="38"/>
      <c r="MN1723" s="38"/>
      <c r="MO1723" s="38"/>
      <c r="MP1723" s="38"/>
      <c r="MQ1723" s="38"/>
      <c r="MR1723" s="38"/>
      <c r="MS1723" s="38"/>
      <c r="MT1723" s="38"/>
      <c r="MU1723" s="38"/>
      <c r="MV1723" s="38"/>
      <c r="MW1723" s="38"/>
      <c r="MX1723" s="38"/>
      <c r="MY1723" s="38"/>
      <c r="MZ1723" s="38"/>
      <c r="NA1723" s="38"/>
      <c r="NB1723" s="38"/>
      <c r="NC1723" s="38"/>
      <c r="ND1723" s="38"/>
      <c r="NE1723" s="38"/>
      <c r="NF1723" s="38"/>
      <c r="NG1723" s="38"/>
      <c r="NH1723" s="38"/>
      <c r="NI1723" s="38"/>
      <c r="NJ1723" s="38"/>
      <c r="NK1723" s="38"/>
      <c r="NL1723" s="38"/>
      <c r="NM1723" s="38"/>
      <c r="NN1723" s="38"/>
      <c r="NO1723" s="38"/>
      <c r="NP1723" s="38"/>
      <c r="NQ1723" s="38"/>
      <c r="NR1723" s="38"/>
      <c r="NS1723" s="38"/>
      <c r="NT1723" s="38"/>
      <c r="NU1723" s="38"/>
      <c r="NV1723" s="38"/>
      <c r="NW1723" s="38"/>
      <c r="NX1723" s="38"/>
      <c r="NY1723" s="38"/>
      <c r="NZ1723" s="38"/>
      <c r="OA1723" s="38"/>
      <c r="OB1723" s="38"/>
      <c r="OC1723" s="38"/>
      <c r="OD1723" s="38"/>
      <c r="OE1723" s="38"/>
      <c r="OF1723" s="38"/>
      <c r="OG1723" s="38"/>
      <c r="OH1723" s="38"/>
      <c r="OI1723" s="38"/>
      <c r="OJ1723" s="38"/>
      <c r="OK1723" s="38"/>
      <c r="OL1723" s="38"/>
      <c r="OM1723" s="38"/>
      <c r="ON1723" s="38"/>
      <c r="OO1723" s="38"/>
      <c r="OP1723" s="38"/>
      <c r="OQ1723" s="38"/>
      <c r="OR1723" s="38"/>
      <c r="OS1723" s="38"/>
      <c r="OT1723" s="38"/>
      <c r="OU1723" s="38"/>
      <c r="OV1723" s="38"/>
      <c r="OW1723" s="38"/>
      <c r="OX1723" s="38"/>
      <c r="OY1723" s="38"/>
      <c r="OZ1723" s="38"/>
      <c r="PA1723" s="38"/>
      <c r="PB1723" s="38"/>
      <c r="PC1723" s="38"/>
      <c r="PD1723" s="38"/>
      <c r="PE1723" s="38"/>
      <c r="PF1723" s="38"/>
      <c r="PG1723" s="38"/>
      <c r="PH1723" s="38"/>
      <c r="PI1723" s="38"/>
      <c r="PJ1723" s="38"/>
      <c r="PK1723" s="38"/>
      <c r="PL1723" s="38"/>
      <c r="PM1723" s="38"/>
      <c r="PN1723" s="38"/>
      <c r="PO1723" s="38"/>
      <c r="PP1723" s="38"/>
      <c r="PQ1723" s="38"/>
      <c r="PR1723" s="38"/>
      <c r="PS1723" s="38"/>
      <c r="PT1723" s="38"/>
      <c r="PU1723" s="38"/>
      <c r="PV1723" s="38"/>
      <c r="PW1723" s="38"/>
      <c r="PX1723" s="38"/>
      <c r="PY1723" s="38"/>
      <c r="PZ1723" s="38"/>
      <c r="QA1723" s="38"/>
      <c r="QB1723" s="38"/>
      <c r="QC1723" s="38"/>
      <c r="QD1723" s="38"/>
      <c r="QE1723" s="38"/>
      <c r="QF1723" s="38"/>
      <c r="QG1723" s="38"/>
      <c r="QH1723" s="38"/>
      <c r="QI1723" s="38"/>
      <c r="QJ1723" s="38"/>
      <c r="QK1723" s="38"/>
      <c r="QL1723" s="38"/>
      <c r="QM1723" s="38"/>
      <c r="QN1723" s="38"/>
      <c r="QO1723" s="38"/>
      <c r="QP1723" s="38"/>
      <c r="QQ1723" s="38"/>
      <c r="QR1723" s="38"/>
      <c r="QS1723" s="38"/>
      <c r="QT1723" s="38"/>
      <c r="QU1723" s="38"/>
      <c r="QV1723" s="38"/>
      <c r="QW1723" s="38"/>
      <c r="QX1723" s="38"/>
      <c r="QY1723" s="38"/>
      <c r="QZ1723" s="38"/>
      <c r="RA1723" s="38"/>
      <c r="RB1723" s="38"/>
      <c r="RC1723" s="38"/>
      <c r="RD1723" s="38"/>
      <c r="RE1723" s="38"/>
      <c r="RF1723" s="38"/>
      <c r="RG1723" s="38"/>
      <c r="RH1723" s="38"/>
      <c r="RI1723" s="38"/>
      <c r="RJ1723" s="38"/>
      <c r="RK1723" s="38"/>
      <c r="RL1723" s="38"/>
      <c r="RM1723" s="38"/>
      <c r="RN1723" s="38"/>
      <c r="RO1723" s="38"/>
      <c r="RP1723" s="38"/>
      <c r="RQ1723" s="38"/>
      <c r="RR1723" s="38"/>
      <c r="RS1723" s="38"/>
      <c r="RT1723" s="38"/>
      <c r="RU1723" s="38"/>
      <c r="RV1723" s="38"/>
      <c r="RW1723" s="38"/>
      <c r="RX1723" s="38"/>
      <c r="RY1723" s="38"/>
      <c r="RZ1723" s="38"/>
      <c r="SA1723" s="38"/>
      <c r="SB1723" s="38"/>
      <c r="SC1723" s="38"/>
      <c r="SD1723" s="38"/>
      <c r="SE1723" s="38"/>
      <c r="SF1723" s="38"/>
      <c r="SG1723" s="38"/>
      <c r="SH1723" s="38"/>
      <c r="SI1723" s="38"/>
      <c r="SJ1723" s="38"/>
      <c r="SK1723" s="38"/>
      <c r="SL1723" s="38"/>
      <c r="SM1723" s="38"/>
      <c r="SN1723" s="38"/>
      <c r="SO1723" s="38"/>
      <c r="SP1723" s="38"/>
      <c r="SQ1723" s="38"/>
      <c r="SR1723" s="38"/>
      <c r="SS1723" s="38"/>
      <c r="ST1723" s="38"/>
      <c r="SU1723" s="38"/>
      <c r="SV1723" s="38"/>
      <c r="SW1723" s="38"/>
      <c r="SX1723" s="38"/>
      <c r="SY1723" s="38"/>
      <c r="SZ1723" s="38"/>
      <c r="TA1723" s="38"/>
      <c r="TB1723" s="38"/>
      <c r="TC1723" s="38"/>
      <c r="TD1723" s="38"/>
      <c r="TE1723" s="38"/>
      <c r="TF1723" s="38"/>
      <c r="TG1723" s="38"/>
      <c r="TH1723" s="38"/>
      <c r="TI1723" s="38"/>
      <c r="TJ1723" s="38"/>
      <c r="TK1723" s="38"/>
      <c r="TL1723" s="38"/>
      <c r="TM1723" s="38"/>
      <c r="TN1723" s="38"/>
      <c r="TO1723" s="38"/>
      <c r="TP1723" s="38"/>
      <c r="TQ1723" s="38"/>
      <c r="TR1723" s="38"/>
      <c r="TS1723" s="38"/>
      <c r="TT1723" s="38"/>
      <c r="TU1723" s="38"/>
      <c r="TV1723" s="38"/>
      <c r="TW1723" s="38"/>
      <c r="TX1723" s="38"/>
      <c r="TY1723" s="38"/>
      <c r="TZ1723" s="38"/>
      <c r="UA1723" s="38"/>
      <c r="UB1723" s="38"/>
      <c r="UC1723" s="38"/>
      <c r="UD1723" s="38"/>
      <c r="UE1723" s="38"/>
      <c r="UF1723" s="38"/>
      <c r="UG1723" s="38"/>
      <c r="UH1723" s="38"/>
      <c r="UI1723" s="38"/>
      <c r="UJ1723" s="38"/>
      <c r="UK1723" s="38"/>
      <c r="UL1723" s="38"/>
      <c r="UM1723" s="38"/>
      <c r="UN1723" s="38"/>
      <c r="UO1723" s="38"/>
      <c r="UP1723" s="38"/>
      <c r="UQ1723" s="38"/>
      <c r="UR1723" s="38"/>
      <c r="US1723" s="38"/>
      <c r="UT1723" s="38"/>
      <c r="UU1723" s="38"/>
      <c r="UV1723" s="38"/>
      <c r="UW1723" s="38"/>
      <c r="UX1723" s="38"/>
      <c r="UY1723" s="38"/>
      <c r="UZ1723" s="38"/>
      <c r="VA1723" s="38"/>
      <c r="VB1723" s="38"/>
      <c r="VC1723" s="38"/>
      <c r="VD1723" s="38"/>
      <c r="VE1723" s="38"/>
      <c r="VF1723" s="38"/>
      <c r="VG1723" s="38"/>
      <c r="VH1723" s="38"/>
      <c r="VI1723" s="38"/>
      <c r="VJ1723" s="38"/>
      <c r="VK1723" s="38"/>
      <c r="VL1723" s="38"/>
      <c r="VM1723" s="38"/>
      <c r="VN1723" s="38"/>
      <c r="VO1723" s="38"/>
      <c r="VP1723" s="38"/>
      <c r="VQ1723" s="38"/>
      <c r="VR1723" s="38"/>
      <c r="VS1723" s="38"/>
      <c r="VT1723" s="38"/>
      <c r="VU1723" s="38"/>
      <c r="VV1723" s="38"/>
      <c r="VW1723" s="38"/>
      <c r="VX1723" s="38"/>
      <c r="VY1723" s="38"/>
      <c r="VZ1723" s="38"/>
      <c r="WA1723" s="38"/>
      <c r="WB1723" s="38"/>
      <c r="WC1723" s="38"/>
      <c r="WD1723" s="38"/>
      <c r="WE1723" s="38"/>
      <c r="WF1723" s="38"/>
      <c r="WG1723" s="38"/>
      <c r="WH1723" s="38"/>
      <c r="WI1723" s="38"/>
      <c r="WJ1723" s="38"/>
      <c r="WK1723" s="38"/>
      <c r="WL1723" s="38"/>
      <c r="WM1723" s="38"/>
      <c r="WN1723" s="38"/>
      <c r="WO1723" s="38"/>
      <c r="WP1723" s="38"/>
      <c r="WQ1723" s="38"/>
      <c r="WR1723" s="38"/>
      <c r="WS1723" s="38"/>
      <c r="WT1723" s="38"/>
      <c r="WU1723" s="38"/>
      <c r="WV1723" s="38"/>
      <c r="WW1723" s="38"/>
      <c r="WX1723" s="38"/>
      <c r="WY1723" s="38"/>
      <c r="WZ1723" s="38"/>
      <c r="XA1723" s="38"/>
      <c r="XB1723" s="38"/>
      <c r="XC1723" s="38"/>
      <c r="XD1723" s="38"/>
      <c r="XE1723" s="38"/>
      <c r="XF1723" s="38"/>
      <c r="XG1723" s="38"/>
      <c r="XH1723" s="38"/>
      <c r="XI1723" s="38"/>
      <c r="XJ1723" s="38"/>
      <c r="XK1723" s="38"/>
      <c r="XL1723" s="38"/>
      <c r="XM1723" s="38"/>
      <c r="XN1723" s="38"/>
      <c r="XO1723" s="38"/>
      <c r="XP1723" s="38"/>
      <c r="XQ1723" s="38"/>
      <c r="XR1723" s="38"/>
      <c r="XS1723" s="38"/>
      <c r="XT1723" s="38"/>
      <c r="XU1723" s="38"/>
      <c r="XV1723" s="38"/>
      <c r="XW1723" s="38"/>
      <c r="XX1723" s="38"/>
      <c r="XY1723" s="38"/>
      <c r="XZ1723" s="38"/>
      <c r="YA1723" s="38"/>
      <c r="YB1723" s="38"/>
      <c r="YC1723" s="38"/>
      <c r="YD1723" s="38"/>
      <c r="YE1723" s="38"/>
      <c r="YF1723" s="38"/>
      <c r="YG1723" s="38"/>
      <c r="YH1723" s="38"/>
      <c r="YI1723" s="38"/>
      <c r="YJ1723" s="38"/>
      <c r="YK1723" s="38"/>
      <c r="YL1723" s="38"/>
      <c r="YM1723" s="38"/>
      <c r="YN1723" s="38"/>
      <c r="YO1723" s="38"/>
      <c r="YP1723" s="38"/>
      <c r="YQ1723" s="38"/>
      <c r="YR1723" s="38"/>
      <c r="YS1723" s="38"/>
      <c r="YT1723" s="38"/>
      <c r="YU1723" s="38"/>
      <c r="YV1723" s="38"/>
      <c r="YW1723" s="38"/>
      <c r="YX1723" s="38"/>
      <c r="YY1723" s="38"/>
      <c r="YZ1723" s="38"/>
      <c r="ZA1723" s="38"/>
      <c r="ZB1723" s="38"/>
      <c r="ZC1723" s="38"/>
      <c r="ZD1723" s="38"/>
      <c r="ZE1723" s="38"/>
      <c r="ZF1723" s="38"/>
      <c r="ZG1723" s="38"/>
      <c r="ZH1723" s="38"/>
      <c r="ZI1723" s="38"/>
      <c r="ZJ1723" s="38"/>
      <c r="ZK1723" s="38"/>
      <c r="ZL1723" s="38"/>
      <c r="ZM1723" s="38"/>
      <c r="ZN1723" s="38"/>
      <c r="ZO1723" s="38"/>
      <c r="ZP1723" s="38"/>
      <c r="ZQ1723" s="38"/>
      <c r="ZR1723" s="38"/>
      <c r="ZS1723" s="38"/>
      <c r="ZT1723" s="38"/>
      <c r="ZU1723" s="38"/>
      <c r="ZV1723" s="38"/>
      <c r="ZW1723" s="38"/>
      <c r="ZX1723" s="38"/>
      <c r="ZY1723" s="38"/>
      <c r="ZZ1723" s="38"/>
      <c r="AAA1723" s="38"/>
      <c r="AAB1723" s="38"/>
      <c r="AAC1723" s="38"/>
      <c r="AAD1723" s="38"/>
      <c r="AAE1723" s="38"/>
      <c r="AAF1723" s="38"/>
      <c r="AAG1723" s="38"/>
      <c r="AAH1723" s="38"/>
      <c r="AAI1723" s="38"/>
      <c r="AAJ1723" s="38"/>
      <c r="AAK1723" s="38"/>
      <c r="AAL1723" s="38"/>
      <c r="AAM1723" s="38"/>
      <c r="AAN1723" s="38"/>
      <c r="AAO1723" s="38"/>
      <c r="AAP1723" s="38"/>
      <c r="AAQ1723" s="38"/>
      <c r="AAR1723" s="38"/>
      <c r="AAS1723" s="38"/>
      <c r="AAT1723" s="38"/>
      <c r="AAU1723" s="38"/>
      <c r="AAV1723" s="38"/>
      <c r="AAW1723" s="38"/>
      <c r="AAX1723" s="38"/>
      <c r="AAY1723" s="38"/>
      <c r="AAZ1723" s="38"/>
      <c r="ABA1723" s="38"/>
      <c r="ABB1723" s="38"/>
      <c r="ABC1723" s="38"/>
      <c r="ABD1723" s="38"/>
      <c r="ABE1723" s="38"/>
      <c r="ABF1723" s="38"/>
      <c r="ABG1723" s="38"/>
      <c r="ABH1723" s="38"/>
      <c r="ABI1723" s="38"/>
      <c r="ABJ1723" s="38"/>
      <c r="ABK1723" s="38"/>
      <c r="ABL1723" s="38"/>
      <c r="ABM1723" s="38"/>
      <c r="ABN1723" s="38"/>
      <c r="ABO1723" s="38"/>
      <c r="ABP1723" s="38"/>
      <c r="ABQ1723" s="38"/>
      <c r="ABR1723" s="38"/>
      <c r="ABS1723" s="38"/>
      <c r="ABT1723" s="38"/>
      <c r="ABU1723" s="38"/>
      <c r="ABV1723" s="38"/>
      <c r="ABW1723" s="38"/>
      <c r="ABX1723" s="38"/>
      <c r="ABY1723" s="38"/>
      <c r="ABZ1723" s="38"/>
      <c r="ACA1723" s="38"/>
      <c r="ACB1723" s="38"/>
      <c r="ACC1723" s="38"/>
      <c r="ACD1723" s="38"/>
      <c r="ACE1723" s="38"/>
      <c r="ACF1723" s="38"/>
      <c r="ACG1723" s="38"/>
      <c r="ACH1723" s="38"/>
      <c r="ACI1723" s="38"/>
      <c r="ACJ1723" s="38"/>
      <c r="ACK1723" s="38"/>
      <c r="ACL1723" s="38"/>
      <c r="ACM1723" s="38"/>
      <c r="ACN1723" s="38"/>
      <c r="ACO1723" s="38"/>
      <c r="ACP1723" s="38"/>
      <c r="ACQ1723" s="38"/>
      <c r="ACR1723" s="38"/>
      <c r="ACS1723" s="38"/>
      <c r="ACT1723" s="38"/>
      <c r="ACU1723" s="38"/>
      <c r="ACV1723" s="38"/>
      <c r="ACW1723" s="38"/>
      <c r="ACX1723" s="38"/>
      <c r="ACY1723" s="38"/>
      <c r="ACZ1723" s="38"/>
      <c r="ADA1723" s="38"/>
      <c r="ADB1723" s="38"/>
      <c r="ADC1723" s="38"/>
      <c r="ADD1723" s="38"/>
      <c r="ADE1723" s="38"/>
      <c r="ADF1723" s="38"/>
      <c r="ADG1723" s="38"/>
      <c r="ADH1723" s="38"/>
      <c r="ADI1723" s="38"/>
      <c r="ADJ1723" s="38"/>
      <c r="ADK1723" s="38"/>
      <c r="ADL1723" s="38"/>
      <c r="ADM1723" s="38"/>
      <c r="ADN1723" s="38"/>
      <c r="ADO1723" s="38"/>
      <c r="ADP1723" s="38"/>
      <c r="ADQ1723" s="38"/>
      <c r="ADR1723" s="38"/>
      <c r="ADS1723" s="38"/>
      <c r="ADT1723" s="38"/>
      <c r="ADU1723" s="38"/>
      <c r="ADV1723" s="38"/>
      <c r="ADW1723" s="38"/>
      <c r="ADX1723" s="38"/>
      <c r="ADY1723" s="38"/>
      <c r="ADZ1723" s="38"/>
      <c r="AEA1723" s="38"/>
      <c r="AEB1723" s="38"/>
      <c r="AEC1723" s="38"/>
      <c r="AED1723" s="38"/>
      <c r="AEE1723" s="38"/>
      <c r="AEF1723" s="38"/>
      <c r="AEG1723" s="38"/>
      <c r="AEH1723" s="38"/>
      <c r="AEI1723" s="38"/>
      <c r="AEJ1723" s="38"/>
      <c r="AEK1723" s="38"/>
      <c r="AEL1723" s="38"/>
      <c r="AEM1723" s="38"/>
      <c r="AEN1723" s="38"/>
      <c r="AEO1723" s="38"/>
      <c r="AEP1723" s="38"/>
      <c r="AEQ1723" s="38"/>
      <c r="AER1723" s="38"/>
      <c r="AES1723" s="38"/>
      <c r="AET1723" s="38"/>
      <c r="AEU1723" s="38"/>
      <c r="AEV1723" s="38"/>
      <c r="AEW1723" s="38"/>
      <c r="AEX1723" s="38"/>
      <c r="AEY1723" s="38"/>
      <c r="AEZ1723" s="38"/>
      <c r="AFA1723" s="38"/>
      <c r="AFB1723" s="38"/>
      <c r="AFC1723" s="38"/>
      <c r="AFD1723" s="38"/>
      <c r="AFE1723" s="38"/>
      <c r="AFF1723" s="38"/>
      <c r="AFG1723" s="38"/>
      <c r="AFH1723" s="38"/>
      <c r="AFI1723" s="38"/>
      <c r="AFJ1723" s="38"/>
      <c r="AFK1723" s="38"/>
      <c r="AFL1723" s="38"/>
      <c r="AFM1723" s="38"/>
      <c r="AFN1723" s="38"/>
      <c r="AFO1723" s="38"/>
      <c r="AFP1723" s="38"/>
      <c r="AFQ1723" s="38"/>
      <c r="AFR1723" s="38"/>
      <c r="AFS1723" s="38"/>
      <c r="AFT1723" s="38"/>
      <c r="AFU1723" s="38"/>
      <c r="AFV1723" s="38"/>
      <c r="AFW1723" s="38"/>
      <c r="AFX1723" s="38"/>
      <c r="AFY1723" s="38"/>
      <c r="AFZ1723" s="38"/>
      <c r="AGA1723" s="38"/>
      <c r="AGB1723" s="38"/>
      <c r="AGC1723" s="38"/>
      <c r="AGD1723" s="38"/>
      <c r="AGE1723" s="38"/>
      <c r="AGF1723" s="38"/>
      <c r="AGG1723" s="38"/>
      <c r="AGH1723" s="38"/>
      <c r="AGI1723" s="38"/>
      <c r="AGJ1723" s="38"/>
      <c r="AGK1723" s="38"/>
      <c r="AGL1723" s="38"/>
      <c r="AGM1723" s="38"/>
      <c r="AGN1723" s="38"/>
      <c r="AGO1723" s="38"/>
      <c r="AGP1723" s="38"/>
      <c r="AGQ1723" s="38"/>
      <c r="AGR1723" s="38"/>
      <c r="AGS1723" s="38"/>
      <c r="AGT1723" s="38"/>
      <c r="AGU1723" s="38"/>
      <c r="AGV1723" s="38"/>
      <c r="AGW1723" s="38"/>
      <c r="AGX1723" s="38"/>
      <c r="AGY1723" s="38"/>
      <c r="AGZ1723" s="38"/>
      <c r="AHA1723" s="38"/>
      <c r="AHB1723" s="38"/>
      <c r="AHC1723" s="38"/>
      <c r="AHD1723" s="38"/>
      <c r="AHE1723" s="38"/>
      <c r="AHF1723" s="38"/>
      <c r="AHG1723" s="38"/>
      <c r="AHH1723" s="38"/>
      <c r="AHI1723" s="38"/>
      <c r="AHJ1723" s="38"/>
      <c r="AHK1723" s="38"/>
      <c r="AHL1723" s="38"/>
      <c r="AHM1723" s="38"/>
      <c r="AHN1723" s="38"/>
      <c r="AHO1723" s="38"/>
      <c r="AHP1723" s="38"/>
      <c r="AHQ1723" s="38"/>
      <c r="AHR1723" s="38"/>
      <c r="AHS1723" s="38"/>
      <c r="AHT1723" s="38"/>
      <c r="AHU1723" s="38"/>
      <c r="AHV1723" s="38"/>
      <c r="AHW1723" s="38"/>
      <c r="AHX1723" s="38"/>
      <c r="AHY1723" s="38"/>
      <c r="AHZ1723" s="38"/>
      <c r="AIA1723" s="38"/>
      <c r="AIB1723" s="38"/>
      <c r="AIC1723" s="38"/>
      <c r="AID1723" s="38"/>
      <c r="AIE1723" s="38"/>
      <c r="AIF1723" s="38"/>
      <c r="AIG1723" s="38"/>
      <c r="AIH1723" s="38"/>
      <c r="AII1723" s="38"/>
      <c r="AIJ1723" s="38"/>
      <c r="AIK1723" s="38"/>
      <c r="AIL1723" s="38"/>
      <c r="AIM1723" s="38"/>
      <c r="AIN1723" s="38"/>
      <c r="AIO1723" s="38"/>
      <c r="AIP1723" s="38"/>
      <c r="AIQ1723" s="38"/>
      <c r="AIR1723" s="38"/>
      <c r="AIS1723" s="38"/>
      <c r="AIT1723" s="38"/>
      <c r="AIU1723" s="38"/>
      <c r="AIV1723" s="38"/>
      <c r="AIW1723" s="38"/>
      <c r="AIX1723" s="38"/>
      <c r="AIY1723" s="38"/>
      <c r="AIZ1723" s="38"/>
      <c r="AJA1723" s="38"/>
      <c r="AJB1723" s="38"/>
      <c r="AJC1723" s="38"/>
      <c r="AJD1723" s="38"/>
      <c r="AJE1723" s="38"/>
      <c r="AJF1723" s="38"/>
      <c r="AJG1723" s="38"/>
      <c r="AJH1723" s="38"/>
      <c r="AJI1723" s="38"/>
      <c r="AJJ1723" s="38"/>
      <c r="AJK1723" s="38"/>
      <c r="AJL1723" s="38"/>
      <c r="AJM1723" s="38"/>
      <c r="AJN1723" s="38"/>
      <c r="AJO1723" s="38"/>
      <c r="AJP1723" s="38"/>
      <c r="AJQ1723" s="38"/>
      <c r="AJR1723" s="38"/>
      <c r="AJS1723" s="38"/>
      <c r="AJT1723" s="38"/>
      <c r="AJU1723" s="38"/>
      <c r="AJV1723" s="38"/>
      <c r="AJW1723" s="38"/>
      <c r="AJX1723" s="38"/>
      <c r="AJY1723" s="38"/>
      <c r="AJZ1723" s="38"/>
      <c r="AKA1723" s="38"/>
      <c r="AKB1723" s="38"/>
      <c r="AKC1723" s="38"/>
      <c r="AKD1723" s="38"/>
      <c r="AKE1723" s="38"/>
      <c r="AKF1723" s="38"/>
      <c r="AKG1723" s="38"/>
      <c r="AKH1723" s="38"/>
      <c r="AKI1723" s="38"/>
      <c r="AKJ1723" s="38"/>
      <c r="AKK1723" s="38"/>
      <c r="AKL1723" s="38"/>
      <c r="AKM1723" s="38"/>
      <c r="AKN1723" s="38"/>
      <c r="AKO1723" s="38"/>
      <c r="AKP1723" s="38"/>
      <c r="AKQ1723" s="38"/>
      <c r="AKR1723" s="38"/>
      <c r="AKS1723" s="38"/>
      <c r="AKT1723" s="38"/>
      <c r="AKU1723" s="38"/>
      <c r="AKV1723" s="38"/>
      <c r="AKW1723" s="38"/>
      <c r="AKX1723" s="38"/>
      <c r="AKY1723" s="38"/>
      <c r="AKZ1723" s="38"/>
      <c r="ALA1723" s="38"/>
      <c r="ALB1723" s="38"/>
      <c r="ALC1723" s="38"/>
      <c r="ALD1723" s="38"/>
      <c r="ALE1723" s="38"/>
      <c r="ALF1723" s="38"/>
      <c r="ALG1723" s="38"/>
      <c r="ALH1723" s="38"/>
      <c r="ALI1723" s="38"/>
      <c r="ALJ1723" s="38"/>
      <c r="ALK1723" s="38"/>
      <c r="ALL1723" s="38"/>
      <c r="ALM1723" s="38"/>
      <c r="ALN1723" s="38"/>
      <c r="ALO1723" s="38"/>
      <c r="ALP1723" s="38"/>
      <c r="ALQ1723" s="38"/>
      <c r="ALR1723" s="38"/>
      <c r="ALS1723" s="38"/>
      <c r="ALT1723" s="38"/>
      <c r="ALU1723" s="38"/>
      <c r="ALV1723" s="38"/>
      <c r="ALW1723" s="38"/>
      <c r="ALX1723" s="38"/>
      <c r="ALY1723" s="38"/>
      <c r="ALZ1723" s="38"/>
      <c r="AMA1723" s="38"/>
      <c r="AMB1723" s="38"/>
      <c r="AMC1723" s="38"/>
      <c r="AMD1723" s="38"/>
      <c r="AME1723" s="38"/>
      <c r="AMF1723" s="38"/>
      <c r="AMG1723" s="38"/>
      <c r="AMH1723" s="38"/>
      <c r="AMI1723" s="38"/>
      <c r="AMJ1723" s="38"/>
      <c r="AMK1723" s="38"/>
      <c r="AML1723" s="38"/>
      <c r="AMM1723" s="38"/>
      <c r="AMN1723" s="38"/>
      <c r="AMO1723" s="38"/>
      <c r="AMP1723" s="38"/>
      <c r="AMQ1723" s="38"/>
      <c r="AMR1723" s="38"/>
      <c r="AMS1723" s="38"/>
      <c r="AMT1723" s="38"/>
      <c r="AMU1723" s="38"/>
      <c r="AMV1723" s="38"/>
      <c r="AMW1723" s="38"/>
      <c r="AMX1723" s="38"/>
      <c r="AMY1723" s="38"/>
      <c r="AMZ1723" s="38"/>
      <c r="ANA1723" s="38"/>
      <c r="ANB1723" s="38"/>
      <c r="ANC1723" s="38"/>
      <c r="AND1723" s="38"/>
      <c r="ANE1723" s="38"/>
      <c r="ANF1723" s="38"/>
      <c r="ANG1723" s="38"/>
      <c r="ANH1723" s="38"/>
      <c r="ANI1723" s="38"/>
      <c r="ANJ1723" s="38"/>
      <c r="ANK1723" s="38"/>
      <c r="ANL1723" s="38"/>
      <c r="ANM1723" s="38"/>
      <c r="ANN1723" s="38"/>
      <c r="ANO1723" s="38"/>
      <c r="ANP1723" s="38"/>
      <c r="ANQ1723" s="38"/>
      <c r="ANR1723" s="38"/>
      <c r="ANS1723" s="38"/>
      <c r="ANT1723" s="38"/>
      <c r="ANU1723" s="38"/>
      <c r="ANV1723" s="38"/>
      <c r="ANW1723" s="38"/>
      <c r="ANX1723" s="38"/>
      <c r="ANY1723" s="38"/>
      <c r="ANZ1723" s="38"/>
      <c r="AOA1723" s="38"/>
      <c r="AOB1723" s="38"/>
      <c r="AOC1723" s="38"/>
      <c r="AOD1723" s="38"/>
      <c r="AOE1723" s="38"/>
      <c r="AOF1723" s="38"/>
      <c r="AOG1723" s="38"/>
      <c r="AOH1723" s="38"/>
      <c r="AOI1723" s="38"/>
      <c r="AOJ1723" s="38"/>
      <c r="AOK1723" s="38"/>
      <c r="AOL1723" s="38"/>
      <c r="AOM1723" s="38"/>
      <c r="AON1723" s="38"/>
      <c r="AOO1723" s="38"/>
      <c r="AOP1723" s="38"/>
      <c r="AOQ1723" s="38"/>
      <c r="AOR1723" s="38"/>
      <c r="AOS1723" s="38"/>
      <c r="AOT1723" s="38"/>
      <c r="AOU1723" s="38"/>
      <c r="AOV1723" s="38"/>
      <c r="AOW1723" s="38"/>
      <c r="AOX1723" s="38"/>
      <c r="AOY1723" s="38"/>
      <c r="AOZ1723" s="38"/>
      <c r="APA1723" s="38"/>
      <c r="APB1723" s="38"/>
      <c r="APC1723" s="38"/>
    </row>
    <row r="1724" spans="1:1095" s="36" customFormat="1" ht="14.25" customHeight="1">
      <c r="A1724" s="3" t="s">
        <v>1722</v>
      </c>
      <c r="B1724" s="36" t="s">
        <v>3996</v>
      </c>
      <c r="C1724" s="218">
        <v>4058075823617</v>
      </c>
      <c r="D1724" s="246"/>
      <c r="E1724" s="249"/>
      <c r="F1724" s="222" t="s">
        <v>3136</v>
      </c>
      <c r="G1724" s="66" t="str">
        <f>HYPERLINK("https://ledvance.com/pt/product-datasheet/246741/241036","Ficha de Produto")</f>
        <v>Ficha de Produto</v>
      </c>
      <c r="H1724" s="217">
        <v>25</v>
      </c>
      <c r="I1724" s="34" t="s">
        <v>6327</v>
      </c>
      <c r="J1724" s="34" t="s">
        <v>855</v>
      </c>
      <c r="K1724" s="34" t="s">
        <v>788</v>
      </c>
      <c r="L1724" s="34" t="s">
        <v>793</v>
      </c>
      <c r="M1724" s="247">
        <v>24.6</v>
      </c>
      <c r="N1724" s="288" t="s">
        <v>722</v>
      </c>
    </row>
    <row r="1725" spans="1:1095" s="36" customFormat="1" ht="14.25" customHeight="1">
      <c r="A1725" s="3" t="s">
        <v>1722</v>
      </c>
      <c r="B1725" s="36" t="s">
        <v>3993</v>
      </c>
      <c r="C1725" s="218">
        <v>4058075823631</v>
      </c>
      <c r="D1725" s="246"/>
      <c r="E1725" s="249"/>
      <c r="F1725" s="222" t="s">
        <v>3136</v>
      </c>
      <c r="G1725" s="66" t="str">
        <f>HYPERLINK("https://ledvance.com/pt/product-datasheet/246741/241043","Ficha de Produto")</f>
        <v>Ficha de Produto</v>
      </c>
      <c r="H1725" s="217">
        <v>25</v>
      </c>
      <c r="I1725" s="34" t="s">
        <v>854</v>
      </c>
      <c r="J1725" s="34" t="s">
        <v>855</v>
      </c>
      <c r="K1725" s="34" t="s">
        <v>788</v>
      </c>
      <c r="L1725" s="34" t="s">
        <v>793</v>
      </c>
      <c r="M1725" s="247">
        <v>24.6</v>
      </c>
      <c r="N1725" s="288" t="s">
        <v>722</v>
      </c>
    </row>
    <row r="1726" spans="1:1095" s="36" customFormat="1" ht="14.25" customHeight="1">
      <c r="A1726" s="3" t="s">
        <v>1722</v>
      </c>
      <c r="B1726" s="36" t="s">
        <v>3994</v>
      </c>
      <c r="C1726" s="218">
        <v>4058075823655</v>
      </c>
      <c r="D1726" s="246"/>
      <c r="E1726" s="249"/>
      <c r="F1726" s="222" t="s">
        <v>3136</v>
      </c>
      <c r="G1726" s="66" t="str">
        <f>HYPERLINK("https://ledvance.com/pt/product-datasheet/246741/241050","Ficha de Produto")</f>
        <v>Ficha de Produto</v>
      </c>
      <c r="H1726" s="217">
        <v>25</v>
      </c>
      <c r="I1726" s="34" t="s">
        <v>6328</v>
      </c>
      <c r="J1726" s="34" t="s">
        <v>809</v>
      </c>
      <c r="K1726" s="34" t="s">
        <v>788</v>
      </c>
      <c r="L1726" s="34" t="s">
        <v>793</v>
      </c>
      <c r="M1726" s="247">
        <v>27.3</v>
      </c>
      <c r="N1726" s="288" t="s">
        <v>722</v>
      </c>
    </row>
    <row r="1727" spans="1:1095" s="36" customFormat="1" ht="14.25" customHeight="1">
      <c r="A1727" s="3" t="s">
        <v>1722</v>
      </c>
      <c r="B1727" s="36" t="s">
        <v>3995</v>
      </c>
      <c r="C1727" s="218">
        <v>4058075823679</v>
      </c>
      <c r="D1727" s="246"/>
      <c r="E1727" s="249"/>
      <c r="F1727" s="222" t="s">
        <v>3136</v>
      </c>
      <c r="G1727" s="66" t="str">
        <f>HYPERLINK("https://ledvance.com/pt/product-datasheet/246741/241057","Ficha de Produto")</f>
        <v>Ficha de Produto</v>
      </c>
      <c r="H1727" s="217">
        <v>25</v>
      </c>
      <c r="I1727" s="34" t="s">
        <v>6316</v>
      </c>
      <c r="J1727" s="34" t="s">
        <v>809</v>
      </c>
      <c r="K1727" s="34" t="s">
        <v>788</v>
      </c>
      <c r="L1727" s="34" t="s">
        <v>793</v>
      </c>
      <c r="M1727" s="247">
        <v>27.3</v>
      </c>
      <c r="N1727" s="288" t="s">
        <v>722</v>
      </c>
    </row>
    <row r="1728" spans="1:1095" s="39" customFormat="1" ht="14.25" customHeight="1">
      <c r="A1728" s="8" t="s">
        <v>1722</v>
      </c>
      <c r="B1728" s="244" t="s">
        <v>1635</v>
      </c>
      <c r="C1728" s="8"/>
      <c r="D1728" s="7"/>
      <c r="E1728" s="230"/>
      <c r="F1728" s="7"/>
      <c r="G1728" s="68" t="s">
        <v>6505</v>
      </c>
      <c r="H1728" s="230"/>
      <c r="I1728" s="230"/>
      <c r="J1728" s="230"/>
      <c r="K1728" s="230"/>
      <c r="L1728" s="230"/>
      <c r="M1728" s="248"/>
      <c r="N1728" s="289"/>
      <c r="O1728" s="38"/>
      <c r="P1728" s="38"/>
      <c r="Q1728" s="38"/>
      <c r="R1728" s="38"/>
      <c r="S1728" s="38"/>
      <c r="T1728" s="38"/>
      <c r="U1728" s="38"/>
      <c r="V1728" s="38"/>
      <c r="W1728" s="38"/>
      <c r="X1728" s="38"/>
      <c r="Y1728" s="38"/>
      <c r="Z1728" s="38"/>
      <c r="AA1728" s="38"/>
      <c r="AB1728" s="38"/>
      <c r="AC1728" s="38"/>
      <c r="AD1728" s="38"/>
      <c r="AE1728" s="38"/>
      <c r="AF1728" s="38"/>
      <c r="AG1728" s="38"/>
      <c r="AH1728" s="38"/>
      <c r="AI1728" s="38"/>
      <c r="AJ1728" s="38"/>
      <c r="AK1728" s="38"/>
      <c r="AL1728" s="38"/>
      <c r="AM1728" s="38"/>
      <c r="AN1728" s="38"/>
      <c r="AO1728" s="38"/>
      <c r="AP1728" s="38"/>
      <c r="AQ1728" s="38"/>
      <c r="AR1728" s="38"/>
      <c r="AS1728" s="38"/>
      <c r="AT1728" s="38"/>
      <c r="AU1728" s="38"/>
      <c r="AV1728" s="38"/>
      <c r="AW1728" s="38"/>
      <c r="AX1728" s="38"/>
      <c r="AY1728" s="38"/>
      <c r="AZ1728" s="38"/>
      <c r="BA1728" s="38"/>
      <c r="BB1728" s="38"/>
      <c r="BC1728" s="38"/>
      <c r="BD1728" s="38"/>
      <c r="BE1728" s="38"/>
      <c r="BF1728" s="38"/>
      <c r="BG1728" s="38"/>
      <c r="BH1728" s="38"/>
      <c r="BI1728" s="38"/>
      <c r="BJ1728" s="38"/>
      <c r="BK1728" s="38"/>
      <c r="BL1728" s="38"/>
      <c r="BM1728" s="38"/>
      <c r="BN1728" s="38"/>
      <c r="BO1728" s="38"/>
      <c r="BP1728" s="38"/>
      <c r="BQ1728" s="38"/>
      <c r="BR1728" s="38"/>
      <c r="BS1728" s="38"/>
      <c r="BT1728" s="38"/>
      <c r="BU1728" s="38"/>
      <c r="BV1728" s="38"/>
      <c r="BW1728" s="38"/>
      <c r="BX1728" s="38"/>
      <c r="BY1728" s="38"/>
      <c r="BZ1728" s="38"/>
      <c r="CA1728" s="38"/>
      <c r="CB1728" s="38"/>
      <c r="CC1728" s="38"/>
      <c r="CD1728" s="38"/>
      <c r="CE1728" s="38"/>
      <c r="CF1728" s="38"/>
      <c r="CG1728" s="38"/>
      <c r="CH1728" s="38"/>
      <c r="CI1728" s="38"/>
      <c r="CJ1728" s="38"/>
      <c r="CK1728" s="38"/>
      <c r="CL1728" s="38"/>
      <c r="CM1728" s="38"/>
      <c r="CN1728" s="38"/>
      <c r="CO1728" s="38"/>
      <c r="CP1728" s="38"/>
      <c r="CQ1728" s="38"/>
      <c r="CR1728" s="38"/>
      <c r="CS1728" s="38"/>
      <c r="CT1728" s="38"/>
      <c r="CU1728" s="38"/>
      <c r="CV1728" s="38"/>
      <c r="CW1728" s="38"/>
      <c r="CX1728" s="38"/>
      <c r="CY1728" s="38"/>
      <c r="CZ1728" s="38"/>
      <c r="DA1728" s="38"/>
      <c r="DB1728" s="38"/>
      <c r="DC1728" s="38"/>
      <c r="DD1728" s="38"/>
      <c r="DE1728" s="38"/>
      <c r="DF1728" s="38"/>
      <c r="DG1728" s="38"/>
      <c r="DH1728" s="38"/>
      <c r="DI1728" s="38"/>
      <c r="DJ1728" s="38"/>
      <c r="DK1728" s="38"/>
      <c r="DL1728" s="38"/>
      <c r="DM1728" s="38"/>
      <c r="DN1728" s="38"/>
      <c r="DO1728" s="38"/>
      <c r="DP1728" s="38"/>
      <c r="DQ1728" s="38"/>
      <c r="DR1728" s="38"/>
      <c r="DS1728" s="38"/>
      <c r="DT1728" s="38"/>
      <c r="DU1728" s="38"/>
      <c r="DV1728" s="38"/>
      <c r="DW1728" s="38"/>
      <c r="DX1728" s="38"/>
      <c r="DY1728" s="38"/>
      <c r="DZ1728" s="38"/>
      <c r="EA1728" s="38"/>
      <c r="EB1728" s="38"/>
      <c r="EC1728" s="38"/>
      <c r="ED1728" s="38"/>
      <c r="EE1728" s="38"/>
      <c r="EF1728" s="38"/>
      <c r="EG1728" s="38"/>
      <c r="EH1728" s="38"/>
      <c r="EI1728" s="38"/>
      <c r="EJ1728" s="38"/>
      <c r="EK1728" s="38"/>
      <c r="EL1728" s="38"/>
      <c r="EM1728" s="38"/>
      <c r="EN1728" s="38"/>
      <c r="EO1728" s="38"/>
      <c r="EP1728" s="38"/>
      <c r="EQ1728" s="38"/>
      <c r="ER1728" s="38"/>
      <c r="ES1728" s="38"/>
      <c r="ET1728" s="38"/>
      <c r="EU1728" s="38"/>
      <c r="EV1728" s="38"/>
      <c r="EW1728" s="38"/>
      <c r="EX1728" s="38"/>
      <c r="EY1728" s="38"/>
      <c r="EZ1728" s="38"/>
      <c r="FA1728" s="38"/>
      <c r="FB1728" s="38"/>
      <c r="FC1728" s="38"/>
      <c r="FD1728" s="38"/>
      <c r="FE1728" s="38"/>
      <c r="FF1728" s="38"/>
      <c r="FG1728" s="38"/>
      <c r="FH1728" s="38"/>
      <c r="FI1728" s="38"/>
      <c r="FJ1728" s="38"/>
      <c r="FK1728" s="38"/>
      <c r="FL1728" s="38"/>
      <c r="FM1728" s="38"/>
      <c r="FN1728" s="38"/>
      <c r="FO1728" s="38"/>
      <c r="FP1728" s="38"/>
      <c r="FQ1728" s="38"/>
      <c r="FR1728" s="38"/>
      <c r="FS1728" s="38"/>
      <c r="FT1728" s="38"/>
      <c r="FU1728" s="38"/>
      <c r="FV1728" s="38"/>
      <c r="FW1728" s="38"/>
      <c r="FX1728" s="38"/>
      <c r="FY1728" s="38"/>
      <c r="FZ1728" s="38"/>
      <c r="GA1728" s="38"/>
      <c r="GB1728" s="38"/>
      <c r="GC1728" s="38"/>
      <c r="GD1728" s="38"/>
      <c r="GE1728" s="38"/>
      <c r="GF1728" s="38"/>
      <c r="GG1728" s="38"/>
      <c r="GH1728" s="38"/>
      <c r="GI1728" s="38"/>
      <c r="GJ1728" s="38"/>
      <c r="GK1728" s="38"/>
      <c r="GL1728" s="38"/>
      <c r="GM1728" s="38"/>
      <c r="GN1728" s="38"/>
      <c r="GO1728" s="38"/>
      <c r="GP1728" s="38"/>
      <c r="GQ1728" s="38"/>
      <c r="GR1728" s="38"/>
      <c r="GS1728" s="38"/>
      <c r="GT1728" s="38"/>
      <c r="GU1728" s="38"/>
      <c r="GV1728" s="38"/>
      <c r="GW1728" s="38"/>
      <c r="GX1728" s="38"/>
      <c r="GY1728" s="38"/>
      <c r="GZ1728" s="38"/>
      <c r="HA1728" s="38"/>
      <c r="HB1728" s="38"/>
      <c r="HC1728" s="38"/>
      <c r="HD1728" s="38"/>
      <c r="HE1728" s="38"/>
      <c r="HF1728" s="38"/>
      <c r="HG1728" s="38"/>
      <c r="HH1728" s="38"/>
      <c r="HI1728" s="38"/>
      <c r="HJ1728" s="38"/>
      <c r="HK1728" s="38"/>
      <c r="HL1728" s="38"/>
      <c r="HM1728" s="38"/>
      <c r="HN1728" s="38"/>
      <c r="HO1728" s="38"/>
      <c r="HP1728" s="38"/>
      <c r="HQ1728" s="38"/>
      <c r="HR1728" s="38"/>
      <c r="HS1728" s="38"/>
      <c r="HT1728" s="38"/>
      <c r="HU1728" s="38"/>
      <c r="HV1728" s="38"/>
      <c r="HW1728" s="38"/>
      <c r="HX1728" s="38"/>
      <c r="HY1728" s="38"/>
      <c r="HZ1728" s="38"/>
      <c r="IA1728" s="38"/>
      <c r="IB1728" s="38"/>
      <c r="IC1728" s="38"/>
      <c r="ID1728" s="38"/>
      <c r="IE1728" s="38"/>
      <c r="IF1728" s="38"/>
      <c r="IG1728" s="38"/>
      <c r="IH1728" s="38"/>
      <c r="II1728" s="38"/>
      <c r="IJ1728" s="38"/>
      <c r="IK1728" s="38"/>
      <c r="IL1728" s="38"/>
      <c r="IM1728" s="38"/>
      <c r="IN1728" s="38"/>
      <c r="IO1728" s="38"/>
      <c r="IP1728" s="38"/>
      <c r="IQ1728" s="38"/>
      <c r="IR1728" s="38"/>
      <c r="IS1728" s="38"/>
      <c r="IT1728" s="38"/>
      <c r="IU1728" s="38"/>
      <c r="IV1728" s="38"/>
      <c r="IW1728" s="38"/>
      <c r="IX1728" s="38"/>
      <c r="IY1728" s="38"/>
      <c r="IZ1728" s="38"/>
      <c r="JA1728" s="38"/>
      <c r="JB1728" s="38"/>
      <c r="JC1728" s="38"/>
      <c r="JD1728" s="38"/>
      <c r="JE1728" s="38"/>
      <c r="JF1728" s="38"/>
      <c r="JG1728" s="38"/>
      <c r="JH1728" s="38"/>
      <c r="JI1728" s="38"/>
      <c r="JJ1728" s="38"/>
      <c r="JK1728" s="38"/>
      <c r="JL1728" s="38"/>
      <c r="JM1728" s="38"/>
      <c r="JN1728" s="38"/>
      <c r="JO1728" s="38"/>
      <c r="JP1728" s="38"/>
      <c r="JQ1728" s="38"/>
      <c r="JR1728" s="38"/>
      <c r="JS1728" s="38"/>
      <c r="JT1728" s="38"/>
      <c r="JU1728" s="38"/>
      <c r="JV1728" s="38"/>
      <c r="JW1728" s="38"/>
      <c r="JX1728" s="38"/>
      <c r="JY1728" s="38"/>
      <c r="JZ1728" s="38"/>
      <c r="KA1728" s="38"/>
      <c r="KB1728" s="38"/>
      <c r="KC1728" s="38"/>
      <c r="KD1728" s="38"/>
      <c r="KE1728" s="38"/>
      <c r="KF1728" s="38"/>
      <c r="KG1728" s="38"/>
      <c r="KH1728" s="38"/>
      <c r="KI1728" s="38"/>
      <c r="KJ1728" s="38"/>
      <c r="KK1728" s="38"/>
      <c r="KL1728" s="38"/>
      <c r="KM1728" s="38"/>
      <c r="KN1728" s="38"/>
      <c r="KO1728" s="38"/>
      <c r="KP1728" s="38"/>
      <c r="KQ1728" s="38"/>
      <c r="KR1728" s="38"/>
      <c r="KS1728" s="38"/>
      <c r="KT1728" s="38"/>
      <c r="KU1728" s="38"/>
      <c r="KV1728" s="38"/>
      <c r="KW1728" s="38"/>
      <c r="KX1728" s="38"/>
      <c r="KY1728" s="38"/>
      <c r="KZ1728" s="38"/>
      <c r="LA1728" s="38"/>
      <c r="LB1728" s="38"/>
      <c r="LC1728" s="38"/>
      <c r="LD1728" s="38"/>
      <c r="LE1728" s="38"/>
      <c r="LF1728" s="38"/>
      <c r="LG1728" s="38"/>
      <c r="LH1728" s="38"/>
      <c r="LI1728" s="38"/>
      <c r="LJ1728" s="38"/>
      <c r="LK1728" s="38"/>
      <c r="LL1728" s="38"/>
      <c r="LM1728" s="38"/>
      <c r="LN1728" s="38"/>
      <c r="LO1728" s="38"/>
      <c r="LP1728" s="38"/>
      <c r="LQ1728" s="38"/>
      <c r="LR1728" s="38"/>
      <c r="LS1728" s="38"/>
      <c r="LT1728" s="38"/>
      <c r="LU1728" s="38"/>
      <c r="LV1728" s="38"/>
      <c r="LW1728" s="38"/>
      <c r="LX1728" s="38"/>
      <c r="LY1728" s="38"/>
      <c r="LZ1728" s="38"/>
      <c r="MA1728" s="38"/>
      <c r="MB1728" s="38"/>
      <c r="MC1728" s="38"/>
      <c r="MD1728" s="38"/>
      <c r="ME1728" s="38"/>
      <c r="MF1728" s="38"/>
      <c r="MG1728" s="38"/>
      <c r="MH1728" s="38"/>
      <c r="MI1728" s="38"/>
      <c r="MJ1728" s="38"/>
      <c r="MK1728" s="38"/>
      <c r="ML1728" s="38"/>
      <c r="MM1728" s="38"/>
      <c r="MN1728" s="38"/>
      <c r="MO1728" s="38"/>
      <c r="MP1728" s="38"/>
      <c r="MQ1728" s="38"/>
      <c r="MR1728" s="38"/>
      <c r="MS1728" s="38"/>
      <c r="MT1728" s="38"/>
      <c r="MU1728" s="38"/>
      <c r="MV1728" s="38"/>
      <c r="MW1728" s="38"/>
      <c r="MX1728" s="38"/>
      <c r="MY1728" s="38"/>
      <c r="MZ1728" s="38"/>
      <c r="NA1728" s="38"/>
      <c r="NB1728" s="38"/>
      <c r="NC1728" s="38"/>
      <c r="ND1728" s="38"/>
      <c r="NE1728" s="38"/>
      <c r="NF1728" s="38"/>
      <c r="NG1728" s="38"/>
      <c r="NH1728" s="38"/>
      <c r="NI1728" s="38"/>
      <c r="NJ1728" s="38"/>
      <c r="NK1728" s="38"/>
      <c r="NL1728" s="38"/>
      <c r="NM1728" s="38"/>
      <c r="NN1728" s="38"/>
      <c r="NO1728" s="38"/>
      <c r="NP1728" s="38"/>
      <c r="NQ1728" s="38"/>
      <c r="NR1728" s="38"/>
      <c r="NS1728" s="38"/>
      <c r="NT1728" s="38"/>
      <c r="NU1728" s="38"/>
      <c r="NV1728" s="38"/>
      <c r="NW1728" s="38"/>
      <c r="NX1728" s="38"/>
      <c r="NY1728" s="38"/>
      <c r="NZ1728" s="38"/>
      <c r="OA1728" s="38"/>
      <c r="OB1728" s="38"/>
      <c r="OC1728" s="38"/>
      <c r="OD1728" s="38"/>
      <c r="OE1728" s="38"/>
      <c r="OF1728" s="38"/>
      <c r="OG1728" s="38"/>
      <c r="OH1728" s="38"/>
      <c r="OI1728" s="38"/>
      <c r="OJ1728" s="38"/>
      <c r="OK1728" s="38"/>
      <c r="OL1728" s="38"/>
      <c r="OM1728" s="38"/>
      <c r="ON1728" s="38"/>
      <c r="OO1728" s="38"/>
      <c r="OP1728" s="38"/>
      <c r="OQ1728" s="38"/>
      <c r="OR1728" s="38"/>
      <c r="OS1728" s="38"/>
      <c r="OT1728" s="38"/>
      <c r="OU1728" s="38"/>
      <c r="OV1728" s="38"/>
      <c r="OW1728" s="38"/>
      <c r="OX1728" s="38"/>
      <c r="OY1728" s="38"/>
      <c r="OZ1728" s="38"/>
      <c r="PA1728" s="38"/>
      <c r="PB1728" s="38"/>
      <c r="PC1728" s="38"/>
      <c r="PD1728" s="38"/>
      <c r="PE1728" s="38"/>
      <c r="PF1728" s="38"/>
      <c r="PG1728" s="38"/>
      <c r="PH1728" s="38"/>
      <c r="PI1728" s="38"/>
      <c r="PJ1728" s="38"/>
      <c r="PK1728" s="38"/>
      <c r="PL1728" s="38"/>
      <c r="PM1728" s="38"/>
      <c r="PN1728" s="38"/>
      <c r="PO1728" s="38"/>
      <c r="PP1728" s="38"/>
      <c r="PQ1728" s="38"/>
      <c r="PR1728" s="38"/>
      <c r="PS1728" s="38"/>
      <c r="PT1728" s="38"/>
      <c r="PU1728" s="38"/>
      <c r="PV1728" s="38"/>
      <c r="PW1728" s="38"/>
      <c r="PX1728" s="38"/>
      <c r="PY1728" s="38"/>
      <c r="PZ1728" s="38"/>
      <c r="QA1728" s="38"/>
      <c r="QB1728" s="38"/>
      <c r="QC1728" s="38"/>
      <c r="QD1728" s="38"/>
      <c r="QE1728" s="38"/>
      <c r="QF1728" s="38"/>
      <c r="QG1728" s="38"/>
      <c r="QH1728" s="38"/>
      <c r="QI1728" s="38"/>
      <c r="QJ1728" s="38"/>
      <c r="QK1728" s="38"/>
      <c r="QL1728" s="38"/>
      <c r="QM1728" s="38"/>
      <c r="QN1728" s="38"/>
      <c r="QO1728" s="38"/>
      <c r="QP1728" s="38"/>
      <c r="QQ1728" s="38"/>
      <c r="QR1728" s="38"/>
      <c r="QS1728" s="38"/>
      <c r="QT1728" s="38"/>
      <c r="QU1728" s="38"/>
      <c r="QV1728" s="38"/>
      <c r="QW1728" s="38"/>
      <c r="QX1728" s="38"/>
      <c r="QY1728" s="38"/>
      <c r="QZ1728" s="38"/>
      <c r="RA1728" s="38"/>
      <c r="RB1728" s="38"/>
      <c r="RC1728" s="38"/>
      <c r="RD1728" s="38"/>
      <c r="RE1728" s="38"/>
      <c r="RF1728" s="38"/>
      <c r="RG1728" s="38"/>
      <c r="RH1728" s="38"/>
      <c r="RI1728" s="38"/>
      <c r="RJ1728" s="38"/>
      <c r="RK1728" s="38"/>
      <c r="RL1728" s="38"/>
      <c r="RM1728" s="38"/>
      <c r="RN1728" s="38"/>
      <c r="RO1728" s="38"/>
      <c r="RP1728" s="38"/>
      <c r="RQ1728" s="38"/>
      <c r="RR1728" s="38"/>
      <c r="RS1728" s="38"/>
      <c r="RT1728" s="38"/>
      <c r="RU1728" s="38"/>
      <c r="RV1728" s="38"/>
      <c r="RW1728" s="38"/>
      <c r="RX1728" s="38"/>
      <c r="RY1728" s="38"/>
      <c r="RZ1728" s="38"/>
      <c r="SA1728" s="38"/>
      <c r="SB1728" s="38"/>
      <c r="SC1728" s="38"/>
      <c r="SD1728" s="38"/>
      <c r="SE1728" s="38"/>
      <c r="SF1728" s="38"/>
      <c r="SG1728" s="38"/>
      <c r="SH1728" s="38"/>
      <c r="SI1728" s="38"/>
      <c r="SJ1728" s="38"/>
      <c r="SK1728" s="38"/>
      <c r="SL1728" s="38"/>
      <c r="SM1728" s="38"/>
      <c r="SN1728" s="38"/>
      <c r="SO1728" s="38"/>
      <c r="SP1728" s="38"/>
      <c r="SQ1728" s="38"/>
      <c r="SR1728" s="38"/>
      <c r="SS1728" s="38"/>
      <c r="ST1728" s="38"/>
      <c r="SU1728" s="38"/>
      <c r="SV1728" s="38"/>
      <c r="SW1728" s="38"/>
      <c r="SX1728" s="38"/>
      <c r="SY1728" s="38"/>
      <c r="SZ1728" s="38"/>
      <c r="TA1728" s="38"/>
      <c r="TB1728" s="38"/>
      <c r="TC1728" s="38"/>
      <c r="TD1728" s="38"/>
      <c r="TE1728" s="38"/>
      <c r="TF1728" s="38"/>
      <c r="TG1728" s="38"/>
      <c r="TH1728" s="38"/>
      <c r="TI1728" s="38"/>
      <c r="TJ1728" s="38"/>
      <c r="TK1728" s="38"/>
      <c r="TL1728" s="38"/>
      <c r="TM1728" s="38"/>
      <c r="TN1728" s="38"/>
      <c r="TO1728" s="38"/>
      <c r="TP1728" s="38"/>
      <c r="TQ1728" s="38"/>
      <c r="TR1728" s="38"/>
      <c r="TS1728" s="38"/>
      <c r="TT1728" s="38"/>
      <c r="TU1728" s="38"/>
      <c r="TV1728" s="38"/>
      <c r="TW1728" s="38"/>
      <c r="TX1728" s="38"/>
      <c r="TY1728" s="38"/>
      <c r="TZ1728" s="38"/>
      <c r="UA1728" s="38"/>
      <c r="UB1728" s="38"/>
      <c r="UC1728" s="38"/>
      <c r="UD1728" s="38"/>
      <c r="UE1728" s="38"/>
      <c r="UF1728" s="38"/>
      <c r="UG1728" s="38"/>
      <c r="UH1728" s="38"/>
      <c r="UI1728" s="38"/>
      <c r="UJ1728" s="38"/>
      <c r="UK1728" s="38"/>
      <c r="UL1728" s="38"/>
      <c r="UM1728" s="38"/>
      <c r="UN1728" s="38"/>
      <c r="UO1728" s="38"/>
      <c r="UP1728" s="38"/>
      <c r="UQ1728" s="38"/>
      <c r="UR1728" s="38"/>
      <c r="US1728" s="38"/>
      <c r="UT1728" s="38"/>
      <c r="UU1728" s="38"/>
      <c r="UV1728" s="38"/>
      <c r="UW1728" s="38"/>
      <c r="UX1728" s="38"/>
      <c r="UY1728" s="38"/>
      <c r="UZ1728" s="38"/>
      <c r="VA1728" s="38"/>
      <c r="VB1728" s="38"/>
      <c r="VC1728" s="38"/>
      <c r="VD1728" s="38"/>
      <c r="VE1728" s="38"/>
      <c r="VF1728" s="38"/>
      <c r="VG1728" s="38"/>
      <c r="VH1728" s="38"/>
      <c r="VI1728" s="38"/>
      <c r="VJ1728" s="38"/>
      <c r="VK1728" s="38"/>
      <c r="VL1728" s="38"/>
      <c r="VM1728" s="38"/>
      <c r="VN1728" s="38"/>
      <c r="VO1728" s="38"/>
      <c r="VP1728" s="38"/>
      <c r="VQ1728" s="38"/>
      <c r="VR1728" s="38"/>
      <c r="VS1728" s="38"/>
      <c r="VT1728" s="38"/>
      <c r="VU1728" s="38"/>
      <c r="VV1728" s="38"/>
      <c r="VW1728" s="38"/>
      <c r="VX1728" s="38"/>
      <c r="VY1728" s="38"/>
      <c r="VZ1728" s="38"/>
      <c r="WA1728" s="38"/>
      <c r="WB1728" s="38"/>
      <c r="WC1728" s="38"/>
      <c r="WD1728" s="38"/>
      <c r="WE1728" s="38"/>
      <c r="WF1728" s="38"/>
      <c r="WG1728" s="38"/>
      <c r="WH1728" s="38"/>
      <c r="WI1728" s="38"/>
      <c r="WJ1728" s="38"/>
      <c r="WK1728" s="38"/>
      <c r="WL1728" s="38"/>
      <c r="WM1728" s="38"/>
      <c r="WN1728" s="38"/>
      <c r="WO1728" s="38"/>
      <c r="WP1728" s="38"/>
      <c r="WQ1728" s="38"/>
      <c r="WR1728" s="38"/>
      <c r="WS1728" s="38"/>
      <c r="WT1728" s="38"/>
      <c r="WU1728" s="38"/>
      <c r="WV1728" s="38"/>
      <c r="WW1728" s="38"/>
      <c r="WX1728" s="38"/>
      <c r="WY1728" s="38"/>
      <c r="WZ1728" s="38"/>
      <c r="XA1728" s="38"/>
      <c r="XB1728" s="38"/>
      <c r="XC1728" s="38"/>
      <c r="XD1728" s="38"/>
      <c r="XE1728" s="38"/>
      <c r="XF1728" s="38"/>
      <c r="XG1728" s="38"/>
      <c r="XH1728" s="38"/>
      <c r="XI1728" s="38"/>
      <c r="XJ1728" s="38"/>
      <c r="XK1728" s="38"/>
      <c r="XL1728" s="38"/>
      <c r="XM1728" s="38"/>
      <c r="XN1728" s="38"/>
      <c r="XO1728" s="38"/>
      <c r="XP1728" s="38"/>
      <c r="XQ1728" s="38"/>
      <c r="XR1728" s="38"/>
      <c r="XS1728" s="38"/>
      <c r="XT1728" s="38"/>
      <c r="XU1728" s="38"/>
      <c r="XV1728" s="38"/>
      <c r="XW1728" s="38"/>
      <c r="XX1728" s="38"/>
      <c r="XY1728" s="38"/>
      <c r="XZ1728" s="38"/>
      <c r="YA1728" s="38"/>
      <c r="YB1728" s="38"/>
      <c r="YC1728" s="38"/>
      <c r="YD1728" s="38"/>
      <c r="YE1728" s="38"/>
      <c r="YF1728" s="38"/>
      <c r="YG1728" s="38"/>
      <c r="YH1728" s="38"/>
      <c r="YI1728" s="38"/>
      <c r="YJ1728" s="38"/>
      <c r="YK1728" s="38"/>
      <c r="YL1728" s="38"/>
      <c r="YM1728" s="38"/>
      <c r="YN1728" s="38"/>
      <c r="YO1728" s="38"/>
      <c r="YP1728" s="38"/>
      <c r="YQ1728" s="38"/>
      <c r="YR1728" s="38"/>
      <c r="YS1728" s="38"/>
      <c r="YT1728" s="38"/>
      <c r="YU1728" s="38"/>
      <c r="YV1728" s="38"/>
      <c r="YW1728" s="38"/>
      <c r="YX1728" s="38"/>
      <c r="YY1728" s="38"/>
      <c r="YZ1728" s="38"/>
      <c r="ZA1728" s="38"/>
      <c r="ZB1728" s="38"/>
      <c r="ZC1728" s="38"/>
      <c r="ZD1728" s="38"/>
      <c r="ZE1728" s="38"/>
      <c r="ZF1728" s="38"/>
      <c r="ZG1728" s="38"/>
      <c r="ZH1728" s="38"/>
      <c r="ZI1728" s="38"/>
      <c r="ZJ1728" s="38"/>
      <c r="ZK1728" s="38"/>
      <c r="ZL1728" s="38"/>
      <c r="ZM1728" s="38"/>
      <c r="ZN1728" s="38"/>
      <c r="ZO1728" s="38"/>
      <c r="ZP1728" s="38"/>
      <c r="ZQ1728" s="38"/>
      <c r="ZR1728" s="38"/>
      <c r="ZS1728" s="38"/>
      <c r="ZT1728" s="38"/>
      <c r="ZU1728" s="38"/>
      <c r="ZV1728" s="38"/>
      <c r="ZW1728" s="38"/>
      <c r="ZX1728" s="38"/>
      <c r="ZY1728" s="38"/>
      <c r="ZZ1728" s="38"/>
      <c r="AAA1728" s="38"/>
      <c r="AAB1728" s="38"/>
      <c r="AAC1728" s="38"/>
      <c r="AAD1728" s="38"/>
      <c r="AAE1728" s="38"/>
      <c r="AAF1728" s="38"/>
      <c r="AAG1728" s="38"/>
      <c r="AAH1728" s="38"/>
      <c r="AAI1728" s="38"/>
      <c r="AAJ1728" s="38"/>
      <c r="AAK1728" s="38"/>
      <c r="AAL1728" s="38"/>
      <c r="AAM1728" s="38"/>
      <c r="AAN1728" s="38"/>
      <c r="AAO1728" s="38"/>
      <c r="AAP1728" s="38"/>
      <c r="AAQ1728" s="38"/>
      <c r="AAR1728" s="38"/>
      <c r="AAS1728" s="38"/>
      <c r="AAT1728" s="38"/>
      <c r="AAU1728" s="38"/>
      <c r="AAV1728" s="38"/>
      <c r="AAW1728" s="38"/>
      <c r="AAX1728" s="38"/>
      <c r="AAY1728" s="38"/>
      <c r="AAZ1728" s="38"/>
      <c r="ABA1728" s="38"/>
      <c r="ABB1728" s="38"/>
      <c r="ABC1728" s="38"/>
      <c r="ABD1728" s="38"/>
      <c r="ABE1728" s="38"/>
      <c r="ABF1728" s="38"/>
      <c r="ABG1728" s="38"/>
      <c r="ABH1728" s="38"/>
      <c r="ABI1728" s="38"/>
      <c r="ABJ1728" s="38"/>
      <c r="ABK1728" s="38"/>
      <c r="ABL1728" s="38"/>
      <c r="ABM1728" s="38"/>
      <c r="ABN1728" s="38"/>
      <c r="ABO1728" s="38"/>
      <c r="ABP1728" s="38"/>
      <c r="ABQ1728" s="38"/>
      <c r="ABR1728" s="38"/>
      <c r="ABS1728" s="38"/>
      <c r="ABT1728" s="38"/>
      <c r="ABU1728" s="38"/>
      <c r="ABV1728" s="38"/>
      <c r="ABW1728" s="38"/>
      <c r="ABX1728" s="38"/>
      <c r="ABY1728" s="38"/>
      <c r="ABZ1728" s="38"/>
      <c r="ACA1728" s="38"/>
      <c r="ACB1728" s="38"/>
      <c r="ACC1728" s="38"/>
      <c r="ACD1728" s="38"/>
      <c r="ACE1728" s="38"/>
      <c r="ACF1728" s="38"/>
      <c r="ACG1728" s="38"/>
      <c r="ACH1728" s="38"/>
      <c r="ACI1728" s="38"/>
      <c r="ACJ1728" s="38"/>
      <c r="ACK1728" s="38"/>
      <c r="ACL1728" s="38"/>
      <c r="ACM1728" s="38"/>
      <c r="ACN1728" s="38"/>
      <c r="ACO1728" s="38"/>
      <c r="ACP1728" s="38"/>
      <c r="ACQ1728" s="38"/>
      <c r="ACR1728" s="38"/>
      <c r="ACS1728" s="38"/>
      <c r="ACT1728" s="38"/>
      <c r="ACU1728" s="38"/>
      <c r="ACV1728" s="38"/>
      <c r="ACW1728" s="38"/>
      <c r="ACX1728" s="38"/>
      <c r="ACY1728" s="38"/>
      <c r="ACZ1728" s="38"/>
      <c r="ADA1728" s="38"/>
      <c r="ADB1728" s="38"/>
      <c r="ADC1728" s="38"/>
      <c r="ADD1728" s="38"/>
      <c r="ADE1728" s="38"/>
      <c r="ADF1728" s="38"/>
      <c r="ADG1728" s="38"/>
      <c r="ADH1728" s="38"/>
      <c r="ADI1728" s="38"/>
      <c r="ADJ1728" s="38"/>
      <c r="ADK1728" s="38"/>
      <c r="ADL1728" s="38"/>
      <c r="ADM1728" s="38"/>
      <c r="ADN1728" s="38"/>
      <c r="ADO1728" s="38"/>
      <c r="ADP1728" s="38"/>
      <c r="ADQ1728" s="38"/>
      <c r="ADR1728" s="38"/>
      <c r="ADS1728" s="38"/>
      <c r="ADT1728" s="38"/>
      <c r="ADU1728" s="38"/>
      <c r="ADV1728" s="38"/>
      <c r="ADW1728" s="38"/>
      <c r="ADX1728" s="38"/>
      <c r="ADY1728" s="38"/>
      <c r="ADZ1728" s="38"/>
      <c r="AEA1728" s="38"/>
      <c r="AEB1728" s="38"/>
      <c r="AEC1728" s="38"/>
      <c r="AED1728" s="38"/>
      <c r="AEE1728" s="38"/>
      <c r="AEF1728" s="38"/>
      <c r="AEG1728" s="38"/>
      <c r="AEH1728" s="38"/>
      <c r="AEI1728" s="38"/>
      <c r="AEJ1728" s="38"/>
      <c r="AEK1728" s="38"/>
      <c r="AEL1728" s="38"/>
      <c r="AEM1728" s="38"/>
      <c r="AEN1728" s="38"/>
      <c r="AEO1728" s="38"/>
      <c r="AEP1728" s="38"/>
      <c r="AEQ1728" s="38"/>
      <c r="AER1728" s="38"/>
      <c r="AES1728" s="38"/>
      <c r="AET1728" s="38"/>
      <c r="AEU1728" s="38"/>
      <c r="AEV1728" s="38"/>
      <c r="AEW1728" s="38"/>
      <c r="AEX1728" s="38"/>
      <c r="AEY1728" s="38"/>
      <c r="AEZ1728" s="38"/>
      <c r="AFA1728" s="38"/>
      <c r="AFB1728" s="38"/>
      <c r="AFC1728" s="38"/>
      <c r="AFD1728" s="38"/>
      <c r="AFE1728" s="38"/>
      <c r="AFF1728" s="38"/>
      <c r="AFG1728" s="38"/>
      <c r="AFH1728" s="38"/>
      <c r="AFI1728" s="38"/>
      <c r="AFJ1728" s="38"/>
      <c r="AFK1728" s="38"/>
      <c r="AFL1728" s="38"/>
      <c r="AFM1728" s="38"/>
      <c r="AFN1728" s="38"/>
      <c r="AFO1728" s="38"/>
      <c r="AFP1728" s="38"/>
      <c r="AFQ1728" s="38"/>
      <c r="AFR1728" s="38"/>
      <c r="AFS1728" s="38"/>
      <c r="AFT1728" s="38"/>
      <c r="AFU1728" s="38"/>
      <c r="AFV1728" s="38"/>
      <c r="AFW1728" s="38"/>
      <c r="AFX1728" s="38"/>
      <c r="AFY1728" s="38"/>
      <c r="AFZ1728" s="38"/>
      <c r="AGA1728" s="38"/>
      <c r="AGB1728" s="38"/>
      <c r="AGC1728" s="38"/>
      <c r="AGD1728" s="38"/>
      <c r="AGE1728" s="38"/>
      <c r="AGF1728" s="38"/>
      <c r="AGG1728" s="38"/>
      <c r="AGH1728" s="38"/>
      <c r="AGI1728" s="38"/>
      <c r="AGJ1728" s="38"/>
      <c r="AGK1728" s="38"/>
      <c r="AGL1728" s="38"/>
      <c r="AGM1728" s="38"/>
      <c r="AGN1728" s="38"/>
      <c r="AGO1728" s="38"/>
      <c r="AGP1728" s="38"/>
      <c r="AGQ1728" s="38"/>
      <c r="AGR1728" s="38"/>
      <c r="AGS1728" s="38"/>
      <c r="AGT1728" s="38"/>
      <c r="AGU1728" s="38"/>
      <c r="AGV1728" s="38"/>
      <c r="AGW1728" s="38"/>
      <c r="AGX1728" s="38"/>
      <c r="AGY1728" s="38"/>
      <c r="AGZ1728" s="38"/>
      <c r="AHA1728" s="38"/>
      <c r="AHB1728" s="38"/>
      <c r="AHC1728" s="38"/>
      <c r="AHD1728" s="38"/>
      <c r="AHE1728" s="38"/>
      <c r="AHF1728" s="38"/>
      <c r="AHG1728" s="38"/>
      <c r="AHH1728" s="38"/>
      <c r="AHI1728" s="38"/>
      <c r="AHJ1728" s="38"/>
      <c r="AHK1728" s="38"/>
      <c r="AHL1728" s="38"/>
      <c r="AHM1728" s="38"/>
      <c r="AHN1728" s="38"/>
      <c r="AHO1728" s="38"/>
      <c r="AHP1728" s="38"/>
      <c r="AHQ1728" s="38"/>
      <c r="AHR1728" s="38"/>
      <c r="AHS1728" s="38"/>
      <c r="AHT1728" s="38"/>
      <c r="AHU1728" s="38"/>
      <c r="AHV1728" s="38"/>
      <c r="AHW1728" s="38"/>
      <c r="AHX1728" s="38"/>
      <c r="AHY1728" s="38"/>
      <c r="AHZ1728" s="38"/>
      <c r="AIA1728" s="38"/>
      <c r="AIB1728" s="38"/>
      <c r="AIC1728" s="38"/>
      <c r="AID1728" s="38"/>
      <c r="AIE1728" s="38"/>
      <c r="AIF1728" s="38"/>
      <c r="AIG1728" s="38"/>
      <c r="AIH1728" s="38"/>
      <c r="AII1728" s="38"/>
      <c r="AIJ1728" s="38"/>
      <c r="AIK1728" s="38"/>
      <c r="AIL1728" s="38"/>
      <c r="AIM1728" s="38"/>
      <c r="AIN1728" s="38"/>
      <c r="AIO1728" s="38"/>
      <c r="AIP1728" s="38"/>
      <c r="AIQ1728" s="38"/>
      <c r="AIR1728" s="38"/>
      <c r="AIS1728" s="38"/>
      <c r="AIT1728" s="38"/>
      <c r="AIU1728" s="38"/>
      <c r="AIV1728" s="38"/>
      <c r="AIW1728" s="38"/>
      <c r="AIX1728" s="38"/>
      <c r="AIY1728" s="38"/>
      <c r="AIZ1728" s="38"/>
      <c r="AJA1728" s="38"/>
      <c r="AJB1728" s="38"/>
      <c r="AJC1728" s="38"/>
      <c r="AJD1728" s="38"/>
      <c r="AJE1728" s="38"/>
      <c r="AJF1728" s="38"/>
      <c r="AJG1728" s="38"/>
      <c r="AJH1728" s="38"/>
      <c r="AJI1728" s="38"/>
      <c r="AJJ1728" s="38"/>
      <c r="AJK1728" s="38"/>
      <c r="AJL1728" s="38"/>
      <c r="AJM1728" s="38"/>
      <c r="AJN1728" s="38"/>
      <c r="AJO1728" s="38"/>
      <c r="AJP1728" s="38"/>
      <c r="AJQ1728" s="38"/>
      <c r="AJR1728" s="38"/>
      <c r="AJS1728" s="38"/>
      <c r="AJT1728" s="38"/>
      <c r="AJU1728" s="38"/>
      <c r="AJV1728" s="38"/>
      <c r="AJW1728" s="38"/>
      <c r="AJX1728" s="38"/>
      <c r="AJY1728" s="38"/>
      <c r="AJZ1728" s="38"/>
      <c r="AKA1728" s="38"/>
      <c r="AKB1728" s="38"/>
      <c r="AKC1728" s="38"/>
      <c r="AKD1728" s="38"/>
      <c r="AKE1728" s="38"/>
      <c r="AKF1728" s="38"/>
      <c r="AKG1728" s="38"/>
      <c r="AKH1728" s="38"/>
      <c r="AKI1728" s="38"/>
      <c r="AKJ1728" s="38"/>
      <c r="AKK1728" s="38"/>
      <c r="AKL1728" s="38"/>
      <c r="AKM1728" s="38"/>
      <c r="AKN1728" s="38"/>
      <c r="AKO1728" s="38"/>
      <c r="AKP1728" s="38"/>
      <c r="AKQ1728" s="38"/>
      <c r="AKR1728" s="38"/>
      <c r="AKS1728" s="38"/>
      <c r="AKT1728" s="38"/>
      <c r="AKU1728" s="38"/>
      <c r="AKV1728" s="38"/>
      <c r="AKW1728" s="38"/>
      <c r="AKX1728" s="38"/>
      <c r="AKY1728" s="38"/>
      <c r="AKZ1728" s="38"/>
      <c r="ALA1728" s="38"/>
      <c r="ALB1728" s="38"/>
      <c r="ALC1728" s="38"/>
      <c r="ALD1728" s="38"/>
      <c r="ALE1728" s="38"/>
      <c r="ALF1728" s="38"/>
      <c r="ALG1728" s="38"/>
      <c r="ALH1728" s="38"/>
      <c r="ALI1728" s="38"/>
      <c r="ALJ1728" s="38"/>
      <c r="ALK1728" s="38"/>
      <c r="ALL1728" s="38"/>
      <c r="ALM1728" s="38"/>
      <c r="ALN1728" s="38"/>
      <c r="ALO1728" s="38"/>
      <c r="ALP1728" s="38"/>
      <c r="ALQ1728" s="38"/>
      <c r="ALR1728" s="38"/>
      <c r="ALS1728" s="38"/>
      <c r="ALT1728" s="38"/>
      <c r="ALU1728" s="38"/>
      <c r="ALV1728" s="38"/>
      <c r="ALW1728" s="38"/>
      <c r="ALX1728" s="38"/>
      <c r="ALY1728" s="38"/>
      <c r="ALZ1728" s="38"/>
      <c r="AMA1728" s="38"/>
      <c r="AMB1728" s="38"/>
      <c r="AMC1728" s="38"/>
      <c r="AMD1728" s="38"/>
      <c r="AME1728" s="38"/>
      <c r="AMF1728" s="38"/>
      <c r="AMG1728" s="38"/>
      <c r="AMH1728" s="38"/>
      <c r="AMI1728" s="38"/>
      <c r="AMJ1728" s="38"/>
      <c r="AMK1728" s="38"/>
      <c r="AML1728" s="38"/>
      <c r="AMM1728" s="38"/>
      <c r="AMN1728" s="38"/>
      <c r="AMO1728" s="38"/>
      <c r="AMP1728" s="38"/>
      <c r="AMQ1728" s="38"/>
      <c r="AMR1728" s="38"/>
      <c r="AMS1728" s="38"/>
      <c r="AMT1728" s="38"/>
      <c r="AMU1728" s="38"/>
      <c r="AMV1728" s="38"/>
      <c r="AMW1728" s="38"/>
      <c r="AMX1728" s="38"/>
      <c r="AMY1728" s="38"/>
      <c r="AMZ1728" s="38"/>
      <c r="ANA1728" s="38"/>
      <c r="ANB1728" s="38"/>
      <c r="ANC1728" s="38"/>
      <c r="AND1728" s="38"/>
      <c r="ANE1728" s="38"/>
      <c r="ANF1728" s="38"/>
      <c r="ANG1728" s="38"/>
      <c r="ANH1728" s="38"/>
      <c r="ANI1728" s="38"/>
      <c r="ANJ1728" s="38"/>
      <c r="ANK1728" s="38"/>
      <c r="ANL1728" s="38"/>
      <c r="ANM1728" s="38"/>
      <c r="ANN1728" s="38"/>
      <c r="ANO1728" s="38"/>
      <c r="ANP1728" s="38"/>
      <c r="ANQ1728" s="38"/>
      <c r="ANR1728" s="38"/>
      <c r="ANS1728" s="38"/>
      <c r="ANT1728" s="38"/>
      <c r="ANU1728" s="38"/>
      <c r="ANV1728" s="38"/>
      <c r="ANW1728" s="38"/>
      <c r="ANX1728" s="38"/>
      <c r="ANY1728" s="38"/>
      <c r="ANZ1728" s="38"/>
      <c r="AOA1728" s="38"/>
      <c r="AOB1728" s="38"/>
      <c r="AOC1728" s="38"/>
      <c r="AOD1728" s="38"/>
      <c r="AOE1728" s="38"/>
      <c r="AOF1728" s="38"/>
      <c r="AOG1728" s="38"/>
      <c r="AOH1728" s="38"/>
      <c r="AOI1728" s="38"/>
      <c r="AOJ1728" s="38"/>
      <c r="AOK1728" s="38"/>
      <c r="AOL1728" s="38"/>
      <c r="AOM1728" s="38"/>
      <c r="AON1728" s="38"/>
      <c r="AOO1728" s="38"/>
      <c r="AOP1728" s="38"/>
      <c r="AOQ1728" s="38"/>
      <c r="AOR1728" s="38"/>
      <c r="AOS1728" s="38"/>
      <c r="AOT1728" s="38"/>
      <c r="AOU1728" s="38"/>
      <c r="AOV1728" s="38"/>
      <c r="AOW1728" s="38"/>
      <c r="AOX1728" s="38"/>
      <c r="AOY1728" s="38"/>
      <c r="AOZ1728" s="38"/>
      <c r="APA1728" s="38"/>
      <c r="APB1728" s="38"/>
      <c r="APC1728" s="38"/>
    </row>
    <row r="1729" spans="1:1095" s="36" customFormat="1" ht="14.25" customHeight="1">
      <c r="A1729" s="3" t="s">
        <v>1722</v>
      </c>
      <c r="B1729" s="36" t="s">
        <v>3997</v>
      </c>
      <c r="C1729" s="10">
        <v>4058075730557</v>
      </c>
      <c r="D1729" s="224">
        <v>4058075730557</v>
      </c>
      <c r="E1729" s="245" t="s">
        <v>1636</v>
      </c>
      <c r="F1729" s="246"/>
      <c r="G1729" s="66" t="str">
        <f>HYPERLINK("https://ledvance.com/pt/product-datasheet/216561/206079","Ficha de Produto")</f>
        <v>Ficha de Produto</v>
      </c>
      <c r="H1729" s="217">
        <v>25</v>
      </c>
      <c r="I1729" s="34" t="s">
        <v>847</v>
      </c>
      <c r="J1729" s="34" t="s">
        <v>875</v>
      </c>
      <c r="K1729" s="34" t="s">
        <v>788</v>
      </c>
      <c r="L1729" s="34" t="s">
        <v>765</v>
      </c>
      <c r="M1729" s="247">
        <v>21.900000000000002</v>
      </c>
      <c r="N1729" s="288" t="s">
        <v>722</v>
      </c>
    </row>
    <row r="1730" spans="1:1095" s="36" customFormat="1" ht="14.25" customHeight="1">
      <c r="A1730" s="3" t="s">
        <v>1722</v>
      </c>
      <c r="B1730" s="36" t="s">
        <v>3998</v>
      </c>
      <c r="C1730" s="10">
        <v>4058075730571</v>
      </c>
      <c r="D1730" s="224">
        <v>4058075730571</v>
      </c>
      <c r="E1730" s="245" t="s">
        <v>1637</v>
      </c>
      <c r="F1730" s="246"/>
      <c r="G1730" s="66" t="str">
        <f>HYPERLINK("https://ledvance.com/pt/product-datasheet/216561/206082","Ficha de Produto")</f>
        <v>Ficha de Produto</v>
      </c>
      <c r="H1730" s="217">
        <v>25</v>
      </c>
      <c r="I1730" s="34" t="s">
        <v>847</v>
      </c>
      <c r="J1730" s="34" t="s">
        <v>875</v>
      </c>
      <c r="K1730" s="34" t="s">
        <v>788</v>
      </c>
      <c r="L1730" s="34" t="s">
        <v>765</v>
      </c>
      <c r="M1730" s="247">
        <v>21.900000000000002</v>
      </c>
      <c r="N1730" s="288" t="s">
        <v>722</v>
      </c>
    </row>
    <row r="1731" spans="1:1095" s="36" customFormat="1" ht="14.25" customHeight="1">
      <c r="A1731" s="3" t="s">
        <v>1722</v>
      </c>
      <c r="B1731" s="36" t="s">
        <v>3999</v>
      </c>
      <c r="C1731" s="10">
        <v>4058075730595</v>
      </c>
      <c r="D1731" s="224">
        <v>4058075730595</v>
      </c>
      <c r="E1731" s="245" t="s">
        <v>1638</v>
      </c>
      <c r="F1731" s="246"/>
      <c r="G1731" s="66" t="str">
        <f>HYPERLINK("https://ledvance.com/pt/product-datasheet/216561/206087","Ficha de Produto")</f>
        <v>Ficha de Produto</v>
      </c>
      <c r="H1731" s="217">
        <v>25</v>
      </c>
      <c r="I1731" s="34" t="s">
        <v>767</v>
      </c>
      <c r="J1731" s="34" t="s">
        <v>860</v>
      </c>
      <c r="K1731" s="34" t="s">
        <v>788</v>
      </c>
      <c r="L1731" s="34" t="s">
        <v>765</v>
      </c>
      <c r="M1731" s="247">
        <v>19.5</v>
      </c>
      <c r="N1731" s="288" t="s">
        <v>722</v>
      </c>
    </row>
    <row r="1732" spans="1:1095" s="36" customFormat="1" ht="14.25" customHeight="1">
      <c r="A1732" s="3" t="s">
        <v>1722</v>
      </c>
      <c r="B1732" s="36" t="s">
        <v>4000</v>
      </c>
      <c r="C1732" s="10">
        <v>4058075730618</v>
      </c>
      <c r="D1732" s="224">
        <v>4058075730618</v>
      </c>
      <c r="E1732" s="245" t="s">
        <v>1639</v>
      </c>
      <c r="F1732" s="246"/>
      <c r="G1732" s="66" t="str">
        <f>HYPERLINK("https://ledvance.com/pt/product-datasheet/216561/206090","Ficha de Produto")</f>
        <v>Ficha de Produto</v>
      </c>
      <c r="H1732" s="217">
        <v>25</v>
      </c>
      <c r="I1732" s="34" t="s">
        <v>767</v>
      </c>
      <c r="J1732" s="34" t="s">
        <v>860</v>
      </c>
      <c r="K1732" s="34" t="s">
        <v>788</v>
      </c>
      <c r="L1732" s="34" t="s">
        <v>765</v>
      </c>
      <c r="M1732" s="247">
        <v>19.5</v>
      </c>
      <c r="N1732" s="288" t="s">
        <v>722</v>
      </c>
    </row>
    <row r="1733" spans="1:1095" s="39" customFormat="1" ht="14.25" customHeight="1">
      <c r="A1733" s="8" t="s">
        <v>1722</v>
      </c>
      <c r="B1733" s="244" t="s">
        <v>1640</v>
      </c>
      <c r="C1733" s="8"/>
      <c r="D1733" s="7"/>
      <c r="E1733" s="230"/>
      <c r="F1733" s="7"/>
      <c r="G1733" s="68"/>
      <c r="H1733" s="230"/>
      <c r="I1733" s="230"/>
      <c r="J1733" s="230"/>
      <c r="K1733" s="230"/>
      <c r="L1733" s="230"/>
      <c r="M1733" s="248"/>
      <c r="N1733" s="284"/>
      <c r="O1733" s="38"/>
      <c r="P1733" s="38"/>
      <c r="Q1733" s="38"/>
      <c r="R1733" s="38"/>
      <c r="S1733" s="38"/>
      <c r="T1733" s="38"/>
      <c r="U1733" s="38"/>
      <c r="V1733" s="38"/>
      <c r="W1733" s="38"/>
      <c r="X1733" s="38"/>
      <c r="Y1733" s="38"/>
      <c r="Z1733" s="38"/>
      <c r="AA1733" s="38"/>
      <c r="AB1733" s="38"/>
      <c r="AC1733" s="38"/>
      <c r="AD1733" s="38"/>
      <c r="AE1733" s="38"/>
      <c r="AF1733" s="38"/>
      <c r="AG1733" s="38"/>
      <c r="AH1733" s="38"/>
      <c r="AI1733" s="38"/>
      <c r="AJ1733" s="38"/>
      <c r="AK1733" s="38"/>
      <c r="AL1733" s="38"/>
      <c r="AM1733" s="38"/>
      <c r="AN1733" s="38"/>
      <c r="AO1733" s="38"/>
      <c r="AP1733" s="38"/>
      <c r="AQ1733" s="38"/>
      <c r="AR1733" s="38"/>
      <c r="AS1733" s="38"/>
      <c r="AT1733" s="38"/>
      <c r="AU1733" s="38"/>
      <c r="AV1733" s="38"/>
      <c r="AW1733" s="38"/>
      <c r="AX1733" s="38"/>
      <c r="AY1733" s="38"/>
      <c r="AZ1733" s="38"/>
      <c r="BA1733" s="38"/>
      <c r="BB1733" s="38"/>
      <c r="BC1733" s="38"/>
      <c r="BD1733" s="38"/>
      <c r="BE1733" s="38"/>
      <c r="BF1733" s="38"/>
      <c r="BG1733" s="38"/>
      <c r="BH1733" s="38"/>
      <c r="BI1733" s="38"/>
      <c r="BJ1733" s="38"/>
      <c r="BK1733" s="38"/>
      <c r="BL1733" s="38"/>
      <c r="BM1733" s="38"/>
      <c r="BN1733" s="38"/>
      <c r="BO1733" s="38"/>
      <c r="BP1733" s="38"/>
      <c r="BQ1733" s="38"/>
      <c r="BR1733" s="38"/>
      <c r="BS1733" s="38"/>
      <c r="BT1733" s="38"/>
      <c r="BU1733" s="38"/>
      <c r="BV1733" s="38"/>
      <c r="BW1733" s="38"/>
      <c r="BX1733" s="38"/>
      <c r="BY1733" s="38"/>
      <c r="BZ1733" s="38"/>
      <c r="CA1733" s="38"/>
      <c r="CB1733" s="38"/>
      <c r="CC1733" s="38"/>
      <c r="CD1733" s="38"/>
      <c r="CE1733" s="38"/>
      <c r="CF1733" s="38"/>
      <c r="CG1733" s="38"/>
      <c r="CH1733" s="38"/>
      <c r="CI1733" s="38"/>
      <c r="CJ1733" s="38"/>
      <c r="CK1733" s="38"/>
      <c r="CL1733" s="38"/>
      <c r="CM1733" s="38"/>
      <c r="CN1733" s="38"/>
      <c r="CO1733" s="38"/>
      <c r="CP1733" s="38"/>
      <c r="CQ1733" s="38"/>
      <c r="CR1733" s="38"/>
      <c r="CS1733" s="38"/>
      <c r="CT1733" s="38"/>
      <c r="CU1733" s="38"/>
      <c r="CV1733" s="38"/>
      <c r="CW1733" s="38"/>
      <c r="CX1733" s="38"/>
      <c r="CY1733" s="38"/>
      <c r="CZ1733" s="38"/>
      <c r="DA1733" s="38"/>
      <c r="DB1733" s="38"/>
      <c r="DC1733" s="38"/>
      <c r="DD1733" s="38"/>
      <c r="DE1733" s="38"/>
      <c r="DF1733" s="38"/>
      <c r="DG1733" s="38"/>
      <c r="DH1733" s="38"/>
      <c r="DI1733" s="38"/>
      <c r="DJ1733" s="38"/>
      <c r="DK1733" s="38"/>
      <c r="DL1733" s="38"/>
      <c r="DM1733" s="38"/>
      <c r="DN1733" s="38"/>
      <c r="DO1733" s="38"/>
      <c r="DP1733" s="38"/>
      <c r="DQ1733" s="38"/>
      <c r="DR1733" s="38"/>
      <c r="DS1733" s="38"/>
      <c r="DT1733" s="38"/>
      <c r="DU1733" s="38"/>
      <c r="DV1733" s="38"/>
      <c r="DW1733" s="38"/>
      <c r="DX1733" s="38"/>
      <c r="DY1733" s="38"/>
      <c r="DZ1733" s="38"/>
      <c r="EA1733" s="38"/>
      <c r="EB1733" s="38"/>
      <c r="EC1733" s="38"/>
      <c r="ED1733" s="38"/>
      <c r="EE1733" s="38"/>
      <c r="EF1733" s="38"/>
      <c r="EG1733" s="38"/>
      <c r="EH1733" s="38"/>
      <c r="EI1733" s="38"/>
      <c r="EJ1733" s="38"/>
      <c r="EK1733" s="38"/>
      <c r="EL1733" s="38"/>
      <c r="EM1733" s="38"/>
      <c r="EN1733" s="38"/>
      <c r="EO1733" s="38"/>
      <c r="EP1733" s="38"/>
      <c r="EQ1733" s="38"/>
      <c r="ER1733" s="38"/>
      <c r="ES1733" s="38"/>
      <c r="ET1733" s="38"/>
      <c r="EU1733" s="38"/>
      <c r="EV1733" s="38"/>
      <c r="EW1733" s="38"/>
      <c r="EX1733" s="38"/>
      <c r="EY1733" s="38"/>
      <c r="EZ1733" s="38"/>
      <c r="FA1733" s="38"/>
      <c r="FB1733" s="38"/>
      <c r="FC1733" s="38"/>
      <c r="FD1733" s="38"/>
      <c r="FE1733" s="38"/>
      <c r="FF1733" s="38"/>
      <c r="FG1733" s="38"/>
      <c r="FH1733" s="38"/>
      <c r="FI1733" s="38"/>
      <c r="FJ1733" s="38"/>
      <c r="FK1733" s="38"/>
      <c r="FL1733" s="38"/>
      <c r="FM1733" s="38"/>
      <c r="FN1733" s="38"/>
      <c r="FO1733" s="38"/>
      <c r="FP1733" s="38"/>
      <c r="FQ1733" s="38"/>
      <c r="FR1733" s="38"/>
      <c r="FS1733" s="38"/>
      <c r="FT1733" s="38"/>
      <c r="FU1733" s="38"/>
      <c r="FV1733" s="38"/>
      <c r="FW1733" s="38"/>
      <c r="FX1733" s="38"/>
      <c r="FY1733" s="38"/>
      <c r="FZ1733" s="38"/>
      <c r="GA1733" s="38"/>
      <c r="GB1733" s="38"/>
      <c r="GC1733" s="38"/>
      <c r="GD1733" s="38"/>
      <c r="GE1733" s="38"/>
      <c r="GF1733" s="38"/>
      <c r="GG1733" s="38"/>
      <c r="GH1733" s="38"/>
      <c r="GI1733" s="38"/>
      <c r="GJ1733" s="38"/>
      <c r="GK1733" s="38"/>
      <c r="GL1733" s="38"/>
      <c r="GM1733" s="38"/>
      <c r="GN1733" s="38"/>
      <c r="GO1733" s="38"/>
      <c r="GP1733" s="38"/>
      <c r="GQ1733" s="38"/>
      <c r="GR1733" s="38"/>
      <c r="GS1733" s="38"/>
      <c r="GT1733" s="38"/>
      <c r="GU1733" s="38"/>
      <c r="GV1733" s="38"/>
      <c r="GW1733" s="38"/>
      <c r="GX1733" s="38"/>
      <c r="GY1733" s="38"/>
      <c r="GZ1733" s="38"/>
      <c r="HA1733" s="38"/>
      <c r="HB1733" s="38"/>
      <c r="HC1733" s="38"/>
      <c r="HD1733" s="38"/>
      <c r="HE1733" s="38"/>
      <c r="HF1733" s="38"/>
      <c r="HG1733" s="38"/>
      <c r="HH1733" s="38"/>
      <c r="HI1733" s="38"/>
      <c r="HJ1733" s="38"/>
      <c r="HK1733" s="38"/>
      <c r="HL1733" s="38"/>
      <c r="HM1733" s="38"/>
      <c r="HN1733" s="38"/>
      <c r="HO1733" s="38"/>
      <c r="HP1733" s="38"/>
      <c r="HQ1733" s="38"/>
      <c r="HR1733" s="38"/>
      <c r="HS1733" s="38"/>
      <c r="HT1733" s="38"/>
      <c r="HU1733" s="38"/>
      <c r="HV1733" s="38"/>
      <c r="HW1733" s="38"/>
      <c r="HX1733" s="38"/>
      <c r="HY1733" s="38"/>
      <c r="HZ1733" s="38"/>
      <c r="IA1733" s="38"/>
      <c r="IB1733" s="38"/>
      <c r="IC1733" s="38"/>
      <c r="ID1733" s="38"/>
      <c r="IE1733" s="38"/>
      <c r="IF1733" s="38"/>
      <c r="IG1733" s="38"/>
      <c r="IH1733" s="38"/>
      <c r="II1733" s="38"/>
      <c r="IJ1733" s="38"/>
      <c r="IK1733" s="38"/>
      <c r="IL1733" s="38"/>
      <c r="IM1733" s="38"/>
      <c r="IN1733" s="38"/>
      <c r="IO1733" s="38"/>
      <c r="IP1733" s="38"/>
      <c r="IQ1733" s="38"/>
      <c r="IR1733" s="38"/>
      <c r="IS1733" s="38"/>
      <c r="IT1733" s="38"/>
      <c r="IU1733" s="38"/>
      <c r="IV1733" s="38"/>
      <c r="IW1733" s="38"/>
      <c r="IX1733" s="38"/>
      <c r="IY1733" s="38"/>
      <c r="IZ1733" s="38"/>
      <c r="JA1733" s="38"/>
      <c r="JB1733" s="38"/>
      <c r="JC1733" s="38"/>
      <c r="JD1733" s="38"/>
      <c r="JE1733" s="38"/>
      <c r="JF1733" s="38"/>
      <c r="JG1733" s="38"/>
      <c r="JH1733" s="38"/>
      <c r="JI1733" s="38"/>
      <c r="JJ1733" s="38"/>
      <c r="JK1733" s="38"/>
      <c r="JL1733" s="38"/>
      <c r="JM1733" s="38"/>
      <c r="JN1733" s="38"/>
      <c r="JO1733" s="38"/>
      <c r="JP1733" s="38"/>
      <c r="JQ1733" s="38"/>
      <c r="JR1733" s="38"/>
      <c r="JS1733" s="38"/>
      <c r="JT1733" s="38"/>
      <c r="JU1733" s="38"/>
      <c r="JV1733" s="38"/>
      <c r="JW1733" s="38"/>
      <c r="JX1733" s="38"/>
      <c r="JY1733" s="38"/>
      <c r="JZ1733" s="38"/>
      <c r="KA1733" s="38"/>
      <c r="KB1733" s="38"/>
      <c r="KC1733" s="38"/>
      <c r="KD1733" s="38"/>
      <c r="KE1733" s="38"/>
      <c r="KF1733" s="38"/>
      <c r="KG1733" s="38"/>
      <c r="KH1733" s="38"/>
      <c r="KI1733" s="38"/>
      <c r="KJ1733" s="38"/>
      <c r="KK1733" s="38"/>
      <c r="KL1733" s="38"/>
      <c r="KM1733" s="38"/>
      <c r="KN1733" s="38"/>
      <c r="KO1733" s="38"/>
      <c r="KP1733" s="38"/>
      <c r="KQ1733" s="38"/>
      <c r="KR1733" s="38"/>
      <c r="KS1733" s="38"/>
      <c r="KT1733" s="38"/>
      <c r="KU1733" s="38"/>
      <c r="KV1733" s="38"/>
      <c r="KW1733" s="38"/>
      <c r="KX1733" s="38"/>
      <c r="KY1733" s="38"/>
      <c r="KZ1733" s="38"/>
      <c r="LA1733" s="38"/>
      <c r="LB1733" s="38"/>
      <c r="LC1733" s="38"/>
      <c r="LD1733" s="38"/>
      <c r="LE1733" s="38"/>
      <c r="LF1733" s="38"/>
      <c r="LG1733" s="38"/>
      <c r="LH1733" s="38"/>
      <c r="LI1733" s="38"/>
      <c r="LJ1733" s="38"/>
      <c r="LK1733" s="38"/>
      <c r="LL1733" s="38"/>
      <c r="LM1733" s="38"/>
      <c r="LN1733" s="38"/>
      <c r="LO1733" s="38"/>
      <c r="LP1733" s="38"/>
      <c r="LQ1733" s="38"/>
      <c r="LR1733" s="38"/>
      <c r="LS1733" s="38"/>
      <c r="LT1733" s="38"/>
      <c r="LU1733" s="38"/>
      <c r="LV1733" s="38"/>
      <c r="LW1733" s="38"/>
      <c r="LX1733" s="38"/>
      <c r="LY1733" s="38"/>
      <c r="LZ1733" s="38"/>
      <c r="MA1733" s="38"/>
      <c r="MB1733" s="38"/>
      <c r="MC1733" s="38"/>
      <c r="MD1733" s="38"/>
      <c r="ME1733" s="38"/>
      <c r="MF1733" s="38"/>
      <c r="MG1733" s="38"/>
      <c r="MH1733" s="38"/>
      <c r="MI1733" s="38"/>
      <c r="MJ1733" s="38"/>
      <c r="MK1733" s="38"/>
      <c r="ML1733" s="38"/>
      <c r="MM1733" s="38"/>
      <c r="MN1733" s="38"/>
      <c r="MO1733" s="38"/>
      <c r="MP1733" s="38"/>
      <c r="MQ1733" s="38"/>
      <c r="MR1733" s="38"/>
      <c r="MS1733" s="38"/>
      <c r="MT1733" s="38"/>
      <c r="MU1733" s="38"/>
      <c r="MV1733" s="38"/>
      <c r="MW1733" s="38"/>
      <c r="MX1733" s="38"/>
      <c r="MY1733" s="38"/>
      <c r="MZ1733" s="38"/>
      <c r="NA1733" s="38"/>
      <c r="NB1733" s="38"/>
      <c r="NC1733" s="38"/>
      <c r="ND1733" s="38"/>
      <c r="NE1733" s="38"/>
      <c r="NF1733" s="38"/>
      <c r="NG1733" s="38"/>
      <c r="NH1733" s="38"/>
      <c r="NI1733" s="38"/>
      <c r="NJ1733" s="38"/>
      <c r="NK1733" s="38"/>
      <c r="NL1733" s="38"/>
      <c r="NM1733" s="38"/>
      <c r="NN1733" s="38"/>
      <c r="NO1733" s="38"/>
      <c r="NP1733" s="38"/>
      <c r="NQ1733" s="38"/>
      <c r="NR1733" s="38"/>
      <c r="NS1733" s="38"/>
      <c r="NT1733" s="38"/>
      <c r="NU1733" s="38"/>
      <c r="NV1733" s="38"/>
      <c r="NW1733" s="38"/>
      <c r="NX1733" s="38"/>
      <c r="NY1733" s="38"/>
      <c r="NZ1733" s="38"/>
      <c r="OA1733" s="38"/>
      <c r="OB1733" s="38"/>
      <c r="OC1733" s="38"/>
      <c r="OD1733" s="38"/>
      <c r="OE1733" s="38"/>
      <c r="OF1733" s="38"/>
      <c r="OG1733" s="38"/>
      <c r="OH1733" s="38"/>
      <c r="OI1733" s="38"/>
      <c r="OJ1733" s="38"/>
      <c r="OK1733" s="38"/>
      <c r="OL1733" s="38"/>
      <c r="OM1733" s="38"/>
      <c r="ON1733" s="38"/>
      <c r="OO1733" s="38"/>
      <c r="OP1733" s="38"/>
      <c r="OQ1733" s="38"/>
      <c r="OR1733" s="38"/>
      <c r="OS1733" s="38"/>
      <c r="OT1733" s="38"/>
      <c r="OU1733" s="38"/>
      <c r="OV1733" s="38"/>
      <c r="OW1733" s="38"/>
      <c r="OX1733" s="38"/>
      <c r="OY1733" s="38"/>
      <c r="OZ1733" s="38"/>
      <c r="PA1733" s="38"/>
      <c r="PB1733" s="38"/>
      <c r="PC1733" s="38"/>
      <c r="PD1733" s="38"/>
      <c r="PE1733" s="38"/>
      <c r="PF1733" s="38"/>
      <c r="PG1733" s="38"/>
      <c r="PH1733" s="38"/>
      <c r="PI1733" s="38"/>
      <c r="PJ1733" s="38"/>
      <c r="PK1733" s="38"/>
      <c r="PL1733" s="38"/>
      <c r="PM1733" s="38"/>
      <c r="PN1733" s="38"/>
      <c r="PO1733" s="38"/>
      <c r="PP1733" s="38"/>
      <c r="PQ1733" s="38"/>
      <c r="PR1733" s="38"/>
      <c r="PS1733" s="38"/>
      <c r="PT1733" s="38"/>
      <c r="PU1733" s="38"/>
      <c r="PV1733" s="38"/>
      <c r="PW1733" s="38"/>
      <c r="PX1733" s="38"/>
      <c r="PY1733" s="38"/>
      <c r="PZ1733" s="38"/>
      <c r="QA1733" s="38"/>
      <c r="QB1733" s="38"/>
      <c r="QC1733" s="38"/>
      <c r="QD1733" s="38"/>
      <c r="QE1733" s="38"/>
      <c r="QF1733" s="38"/>
      <c r="QG1733" s="38"/>
      <c r="QH1733" s="38"/>
      <c r="QI1733" s="38"/>
      <c r="QJ1733" s="38"/>
      <c r="QK1733" s="38"/>
      <c r="QL1733" s="38"/>
      <c r="QM1733" s="38"/>
      <c r="QN1733" s="38"/>
      <c r="QO1733" s="38"/>
      <c r="QP1733" s="38"/>
      <c r="QQ1733" s="38"/>
      <c r="QR1733" s="38"/>
      <c r="QS1733" s="38"/>
      <c r="QT1733" s="38"/>
      <c r="QU1733" s="38"/>
      <c r="QV1733" s="38"/>
      <c r="QW1733" s="38"/>
      <c r="QX1733" s="38"/>
      <c r="QY1733" s="38"/>
      <c r="QZ1733" s="38"/>
      <c r="RA1733" s="38"/>
      <c r="RB1733" s="38"/>
      <c r="RC1733" s="38"/>
      <c r="RD1733" s="38"/>
      <c r="RE1733" s="38"/>
      <c r="RF1733" s="38"/>
      <c r="RG1733" s="38"/>
      <c r="RH1733" s="38"/>
      <c r="RI1733" s="38"/>
      <c r="RJ1733" s="38"/>
      <c r="RK1733" s="38"/>
      <c r="RL1733" s="38"/>
      <c r="RM1733" s="38"/>
      <c r="RN1733" s="38"/>
      <c r="RO1733" s="38"/>
      <c r="RP1733" s="38"/>
      <c r="RQ1733" s="38"/>
      <c r="RR1733" s="38"/>
      <c r="RS1733" s="38"/>
      <c r="RT1733" s="38"/>
      <c r="RU1733" s="38"/>
      <c r="RV1733" s="38"/>
      <c r="RW1733" s="38"/>
      <c r="RX1733" s="38"/>
      <c r="RY1733" s="38"/>
      <c r="RZ1733" s="38"/>
      <c r="SA1733" s="38"/>
      <c r="SB1733" s="38"/>
      <c r="SC1733" s="38"/>
      <c r="SD1733" s="38"/>
      <c r="SE1733" s="38"/>
      <c r="SF1733" s="38"/>
      <c r="SG1733" s="38"/>
      <c r="SH1733" s="38"/>
      <c r="SI1733" s="38"/>
      <c r="SJ1733" s="38"/>
      <c r="SK1733" s="38"/>
      <c r="SL1733" s="38"/>
      <c r="SM1733" s="38"/>
      <c r="SN1733" s="38"/>
      <c r="SO1733" s="38"/>
      <c r="SP1733" s="38"/>
      <c r="SQ1733" s="38"/>
      <c r="SR1733" s="38"/>
      <c r="SS1733" s="38"/>
      <c r="ST1733" s="38"/>
      <c r="SU1733" s="38"/>
      <c r="SV1733" s="38"/>
      <c r="SW1733" s="38"/>
      <c r="SX1733" s="38"/>
      <c r="SY1733" s="38"/>
      <c r="SZ1733" s="38"/>
      <c r="TA1733" s="38"/>
      <c r="TB1733" s="38"/>
      <c r="TC1733" s="38"/>
      <c r="TD1733" s="38"/>
      <c r="TE1733" s="38"/>
      <c r="TF1733" s="38"/>
      <c r="TG1733" s="38"/>
      <c r="TH1733" s="38"/>
      <c r="TI1733" s="38"/>
      <c r="TJ1733" s="38"/>
      <c r="TK1733" s="38"/>
      <c r="TL1733" s="38"/>
      <c r="TM1733" s="38"/>
      <c r="TN1733" s="38"/>
      <c r="TO1733" s="38"/>
      <c r="TP1733" s="38"/>
      <c r="TQ1733" s="38"/>
      <c r="TR1733" s="38"/>
      <c r="TS1733" s="38"/>
      <c r="TT1733" s="38"/>
      <c r="TU1733" s="38"/>
      <c r="TV1733" s="38"/>
      <c r="TW1733" s="38"/>
      <c r="TX1733" s="38"/>
      <c r="TY1733" s="38"/>
      <c r="TZ1733" s="38"/>
      <c r="UA1733" s="38"/>
      <c r="UB1733" s="38"/>
      <c r="UC1733" s="38"/>
      <c r="UD1733" s="38"/>
      <c r="UE1733" s="38"/>
      <c r="UF1733" s="38"/>
      <c r="UG1733" s="38"/>
      <c r="UH1733" s="38"/>
      <c r="UI1733" s="38"/>
      <c r="UJ1733" s="38"/>
      <c r="UK1733" s="38"/>
      <c r="UL1733" s="38"/>
      <c r="UM1733" s="38"/>
      <c r="UN1733" s="38"/>
      <c r="UO1733" s="38"/>
      <c r="UP1733" s="38"/>
      <c r="UQ1733" s="38"/>
      <c r="UR1733" s="38"/>
      <c r="US1733" s="38"/>
      <c r="UT1733" s="38"/>
      <c r="UU1733" s="38"/>
      <c r="UV1733" s="38"/>
      <c r="UW1733" s="38"/>
      <c r="UX1733" s="38"/>
      <c r="UY1733" s="38"/>
      <c r="UZ1733" s="38"/>
      <c r="VA1733" s="38"/>
      <c r="VB1733" s="38"/>
      <c r="VC1733" s="38"/>
      <c r="VD1733" s="38"/>
      <c r="VE1733" s="38"/>
      <c r="VF1733" s="38"/>
      <c r="VG1733" s="38"/>
      <c r="VH1733" s="38"/>
      <c r="VI1733" s="38"/>
      <c r="VJ1733" s="38"/>
      <c r="VK1733" s="38"/>
      <c r="VL1733" s="38"/>
      <c r="VM1733" s="38"/>
      <c r="VN1733" s="38"/>
      <c r="VO1733" s="38"/>
      <c r="VP1733" s="38"/>
      <c r="VQ1733" s="38"/>
      <c r="VR1733" s="38"/>
      <c r="VS1733" s="38"/>
      <c r="VT1733" s="38"/>
      <c r="VU1733" s="38"/>
      <c r="VV1733" s="38"/>
      <c r="VW1733" s="38"/>
      <c r="VX1733" s="38"/>
      <c r="VY1733" s="38"/>
      <c r="VZ1733" s="38"/>
      <c r="WA1733" s="38"/>
      <c r="WB1733" s="38"/>
      <c r="WC1733" s="38"/>
      <c r="WD1733" s="38"/>
      <c r="WE1733" s="38"/>
      <c r="WF1733" s="38"/>
      <c r="WG1733" s="38"/>
      <c r="WH1733" s="38"/>
      <c r="WI1733" s="38"/>
      <c r="WJ1733" s="38"/>
      <c r="WK1733" s="38"/>
      <c r="WL1733" s="38"/>
      <c r="WM1733" s="38"/>
      <c r="WN1733" s="38"/>
      <c r="WO1733" s="38"/>
      <c r="WP1733" s="38"/>
      <c r="WQ1733" s="38"/>
      <c r="WR1733" s="38"/>
      <c r="WS1733" s="38"/>
      <c r="WT1733" s="38"/>
      <c r="WU1733" s="38"/>
      <c r="WV1733" s="38"/>
      <c r="WW1733" s="38"/>
      <c r="WX1733" s="38"/>
      <c r="WY1733" s="38"/>
      <c r="WZ1733" s="38"/>
      <c r="XA1733" s="38"/>
      <c r="XB1733" s="38"/>
      <c r="XC1733" s="38"/>
      <c r="XD1733" s="38"/>
      <c r="XE1733" s="38"/>
      <c r="XF1733" s="38"/>
      <c r="XG1733" s="38"/>
      <c r="XH1733" s="38"/>
      <c r="XI1733" s="38"/>
      <c r="XJ1733" s="38"/>
      <c r="XK1733" s="38"/>
      <c r="XL1733" s="38"/>
      <c r="XM1733" s="38"/>
      <c r="XN1733" s="38"/>
      <c r="XO1733" s="38"/>
      <c r="XP1733" s="38"/>
      <c r="XQ1733" s="38"/>
      <c r="XR1733" s="38"/>
      <c r="XS1733" s="38"/>
      <c r="XT1733" s="38"/>
      <c r="XU1733" s="38"/>
      <c r="XV1733" s="38"/>
      <c r="XW1733" s="38"/>
      <c r="XX1733" s="38"/>
      <c r="XY1733" s="38"/>
      <c r="XZ1733" s="38"/>
      <c r="YA1733" s="38"/>
      <c r="YB1733" s="38"/>
      <c r="YC1733" s="38"/>
      <c r="YD1733" s="38"/>
      <c r="YE1733" s="38"/>
      <c r="YF1733" s="38"/>
      <c r="YG1733" s="38"/>
      <c r="YH1733" s="38"/>
      <c r="YI1733" s="38"/>
      <c r="YJ1733" s="38"/>
      <c r="YK1733" s="38"/>
      <c r="YL1733" s="38"/>
      <c r="YM1733" s="38"/>
      <c r="YN1733" s="38"/>
      <c r="YO1733" s="38"/>
      <c r="YP1733" s="38"/>
      <c r="YQ1733" s="38"/>
      <c r="YR1733" s="38"/>
      <c r="YS1733" s="38"/>
      <c r="YT1733" s="38"/>
      <c r="YU1733" s="38"/>
      <c r="YV1733" s="38"/>
      <c r="YW1733" s="38"/>
      <c r="YX1733" s="38"/>
      <c r="YY1733" s="38"/>
      <c r="YZ1733" s="38"/>
      <c r="ZA1733" s="38"/>
      <c r="ZB1733" s="38"/>
      <c r="ZC1733" s="38"/>
      <c r="ZD1733" s="38"/>
      <c r="ZE1733" s="38"/>
      <c r="ZF1733" s="38"/>
      <c r="ZG1733" s="38"/>
      <c r="ZH1733" s="38"/>
      <c r="ZI1733" s="38"/>
      <c r="ZJ1733" s="38"/>
      <c r="ZK1733" s="38"/>
      <c r="ZL1733" s="38"/>
      <c r="ZM1733" s="38"/>
      <c r="ZN1733" s="38"/>
      <c r="ZO1733" s="38"/>
      <c r="ZP1733" s="38"/>
      <c r="ZQ1733" s="38"/>
      <c r="ZR1733" s="38"/>
      <c r="ZS1733" s="38"/>
      <c r="ZT1733" s="38"/>
      <c r="ZU1733" s="38"/>
      <c r="ZV1733" s="38"/>
      <c r="ZW1733" s="38"/>
      <c r="ZX1733" s="38"/>
      <c r="ZY1733" s="38"/>
      <c r="ZZ1733" s="38"/>
      <c r="AAA1733" s="38"/>
      <c r="AAB1733" s="38"/>
      <c r="AAC1733" s="38"/>
      <c r="AAD1733" s="38"/>
      <c r="AAE1733" s="38"/>
      <c r="AAF1733" s="38"/>
      <c r="AAG1733" s="38"/>
      <c r="AAH1733" s="38"/>
      <c r="AAI1733" s="38"/>
      <c r="AAJ1733" s="38"/>
      <c r="AAK1733" s="38"/>
      <c r="AAL1733" s="38"/>
      <c r="AAM1733" s="38"/>
      <c r="AAN1733" s="38"/>
      <c r="AAO1733" s="38"/>
      <c r="AAP1733" s="38"/>
      <c r="AAQ1733" s="38"/>
      <c r="AAR1733" s="38"/>
      <c r="AAS1733" s="38"/>
      <c r="AAT1733" s="38"/>
      <c r="AAU1733" s="38"/>
      <c r="AAV1733" s="38"/>
      <c r="AAW1733" s="38"/>
      <c r="AAX1733" s="38"/>
      <c r="AAY1733" s="38"/>
      <c r="AAZ1733" s="38"/>
      <c r="ABA1733" s="38"/>
      <c r="ABB1733" s="38"/>
      <c r="ABC1733" s="38"/>
      <c r="ABD1733" s="38"/>
      <c r="ABE1733" s="38"/>
      <c r="ABF1733" s="38"/>
      <c r="ABG1733" s="38"/>
      <c r="ABH1733" s="38"/>
      <c r="ABI1733" s="38"/>
      <c r="ABJ1733" s="38"/>
      <c r="ABK1733" s="38"/>
      <c r="ABL1733" s="38"/>
      <c r="ABM1733" s="38"/>
      <c r="ABN1733" s="38"/>
      <c r="ABO1733" s="38"/>
      <c r="ABP1733" s="38"/>
      <c r="ABQ1733" s="38"/>
      <c r="ABR1733" s="38"/>
      <c r="ABS1733" s="38"/>
      <c r="ABT1733" s="38"/>
      <c r="ABU1733" s="38"/>
      <c r="ABV1733" s="38"/>
      <c r="ABW1733" s="38"/>
      <c r="ABX1733" s="38"/>
      <c r="ABY1733" s="38"/>
      <c r="ABZ1733" s="38"/>
      <c r="ACA1733" s="38"/>
      <c r="ACB1733" s="38"/>
      <c r="ACC1733" s="38"/>
      <c r="ACD1733" s="38"/>
      <c r="ACE1733" s="38"/>
      <c r="ACF1733" s="38"/>
      <c r="ACG1733" s="38"/>
      <c r="ACH1733" s="38"/>
      <c r="ACI1733" s="38"/>
      <c r="ACJ1733" s="38"/>
      <c r="ACK1733" s="38"/>
      <c r="ACL1733" s="38"/>
      <c r="ACM1733" s="38"/>
      <c r="ACN1733" s="38"/>
      <c r="ACO1733" s="38"/>
      <c r="ACP1733" s="38"/>
      <c r="ACQ1733" s="38"/>
      <c r="ACR1733" s="38"/>
      <c r="ACS1733" s="38"/>
      <c r="ACT1733" s="38"/>
      <c r="ACU1733" s="38"/>
      <c r="ACV1733" s="38"/>
      <c r="ACW1733" s="38"/>
      <c r="ACX1733" s="38"/>
      <c r="ACY1733" s="38"/>
      <c r="ACZ1733" s="38"/>
      <c r="ADA1733" s="38"/>
      <c r="ADB1733" s="38"/>
      <c r="ADC1733" s="38"/>
      <c r="ADD1733" s="38"/>
      <c r="ADE1733" s="38"/>
      <c r="ADF1733" s="38"/>
      <c r="ADG1733" s="38"/>
      <c r="ADH1733" s="38"/>
      <c r="ADI1733" s="38"/>
      <c r="ADJ1733" s="38"/>
      <c r="ADK1733" s="38"/>
      <c r="ADL1733" s="38"/>
      <c r="ADM1733" s="38"/>
      <c r="ADN1733" s="38"/>
      <c r="ADO1733" s="38"/>
      <c r="ADP1733" s="38"/>
      <c r="ADQ1733" s="38"/>
      <c r="ADR1733" s="38"/>
      <c r="ADS1733" s="38"/>
      <c r="ADT1733" s="38"/>
      <c r="ADU1733" s="38"/>
      <c r="ADV1733" s="38"/>
      <c r="ADW1733" s="38"/>
      <c r="ADX1733" s="38"/>
      <c r="ADY1733" s="38"/>
      <c r="ADZ1733" s="38"/>
      <c r="AEA1733" s="38"/>
      <c r="AEB1733" s="38"/>
      <c r="AEC1733" s="38"/>
      <c r="AED1733" s="38"/>
      <c r="AEE1733" s="38"/>
      <c r="AEF1733" s="38"/>
      <c r="AEG1733" s="38"/>
      <c r="AEH1733" s="38"/>
      <c r="AEI1733" s="38"/>
      <c r="AEJ1733" s="38"/>
      <c r="AEK1733" s="38"/>
      <c r="AEL1733" s="38"/>
      <c r="AEM1733" s="38"/>
      <c r="AEN1733" s="38"/>
      <c r="AEO1733" s="38"/>
      <c r="AEP1733" s="38"/>
      <c r="AEQ1733" s="38"/>
      <c r="AER1733" s="38"/>
      <c r="AES1733" s="38"/>
      <c r="AET1733" s="38"/>
      <c r="AEU1733" s="38"/>
      <c r="AEV1733" s="38"/>
      <c r="AEW1733" s="38"/>
      <c r="AEX1733" s="38"/>
      <c r="AEY1733" s="38"/>
      <c r="AEZ1733" s="38"/>
      <c r="AFA1733" s="38"/>
      <c r="AFB1733" s="38"/>
      <c r="AFC1733" s="38"/>
      <c r="AFD1733" s="38"/>
      <c r="AFE1733" s="38"/>
      <c r="AFF1733" s="38"/>
      <c r="AFG1733" s="38"/>
      <c r="AFH1733" s="38"/>
      <c r="AFI1733" s="38"/>
      <c r="AFJ1733" s="38"/>
      <c r="AFK1733" s="38"/>
      <c r="AFL1733" s="38"/>
      <c r="AFM1733" s="38"/>
      <c r="AFN1733" s="38"/>
      <c r="AFO1733" s="38"/>
      <c r="AFP1733" s="38"/>
      <c r="AFQ1733" s="38"/>
      <c r="AFR1733" s="38"/>
      <c r="AFS1733" s="38"/>
      <c r="AFT1733" s="38"/>
      <c r="AFU1733" s="38"/>
      <c r="AFV1733" s="38"/>
      <c r="AFW1733" s="38"/>
      <c r="AFX1733" s="38"/>
      <c r="AFY1733" s="38"/>
      <c r="AFZ1733" s="38"/>
      <c r="AGA1733" s="38"/>
      <c r="AGB1733" s="38"/>
      <c r="AGC1733" s="38"/>
      <c r="AGD1733" s="38"/>
      <c r="AGE1733" s="38"/>
      <c r="AGF1733" s="38"/>
      <c r="AGG1733" s="38"/>
      <c r="AGH1733" s="38"/>
      <c r="AGI1733" s="38"/>
      <c r="AGJ1733" s="38"/>
      <c r="AGK1733" s="38"/>
      <c r="AGL1733" s="38"/>
      <c r="AGM1733" s="38"/>
      <c r="AGN1733" s="38"/>
      <c r="AGO1733" s="38"/>
      <c r="AGP1733" s="38"/>
      <c r="AGQ1733" s="38"/>
      <c r="AGR1733" s="38"/>
      <c r="AGS1733" s="38"/>
      <c r="AGT1733" s="38"/>
      <c r="AGU1733" s="38"/>
      <c r="AGV1733" s="38"/>
      <c r="AGW1733" s="38"/>
      <c r="AGX1733" s="38"/>
      <c r="AGY1733" s="38"/>
      <c r="AGZ1733" s="38"/>
      <c r="AHA1733" s="38"/>
      <c r="AHB1733" s="38"/>
      <c r="AHC1733" s="38"/>
      <c r="AHD1733" s="38"/>
      <c r="AHE1733" s="38"/>
      <c r="AHF1733" s="38"/>
      <c r="AHG1733" s="38"/>
      <c r="AHH1733" s="38"/>
      <c r="AHI1733" s="38"/>
      <c r="AHJ1733" s="38"/>
      <c r="AHK1733" s="38"/>
      <c r="AHL1733" s="38"/>
      <c r="AHM1733" s="38"/>
      <c r="AHN1733" s="38"/>
      <c r="AHO1733" s="38"/>
      <c r="AHP1733" s="38"/>
      <c r="AHQ1733" s="38"/>
      <c r="AHR1733" s="38"/>
      <c r="AHS1733" s="38"/>
      <c r="AHT1733" s="38"/>
      <c r="AHU1733" s="38"/>
      <c r="AHV1733" s="38"/>
      <c r="AHW1733" s="38"/>
      <c r="AHX1733" s="38"/>
      <c r="AHY1733" s="38"/>
      <c r="AHZ1733" s="38"/>
      <c r="AIA1733" s="38"/>
      <c r="AIB1733" s="38"/>
      <c r="AIC1733" s="38"/>
      <c r="AID1733" s="38"/>
      <c r="AIE1733" s="38"/>
      <c r="AIF1733" s="38"/>
      <c r="AIG1733" s="38"/>
      <c r="AIH1733" s="38"/>
      <c r="AII1733" s="38"/>
      <c r="AIJ1733" s="38"/>
      <c r="AIK1733" s="38"/>
      <c r="AIL1733" s="38"/>
      <c r="AIM1733" s="38"/>
      <c r="AIN1733" s="38"/>
      <c r="AIO1733" s="38"/>
      <c r="AIP1733" s="38"/>
      <c r="AIQ1733" s="38"/>
      <c r="AIR1733" s="38"/>
      <c r="AIS1733" s="38"/>
      <c r="AIT1733" s="38"/>
      <c r="AIU1733" s="38"/>
      <c r="AIV1733" s="38"/>
      <c r="AIW1733" s="38"/>
      <c r="AIX1733" s="38"/>
      <c r="AIY1733" s="38"/>
      <c r="AIZ1733" s="38"/>
      <c r="AJA1733" s="38"/>
      <c r="AJB1733" s="38"/>
      <c r="AJC1733" s="38"/>
      <c r="AJD1733" s="38"/>
      <c r="AJE1733" s="38"/>
      <c r="AJF1733" s="38"/>
      <c r="AJG1733" s="38"/>
      <c r="AJH1733" s="38"/>
      <c r="AJI1733" s="38"/>
      <c r="AJJ1733" s="38"/>
      <c r="AJK1733" s="38"/>
      <c r="AJL1733" s="38"/>
      <c r="AJM1733" s="38"/>
      <c r="AJN1733" s="38"/>
      <c r="AJO1733" s="38"/>
      <c r="AJP1733" s="38"/>
      <c r="AJQ1733" s="38"/>
      <c r="AJR1733" s="38"/>
      <c r="AJS1733" s="38"/>
      <c r="AJT1733" s="38"/>
      <c r="AJU1733" s="38"/>
      <c r="AJV1733" s="38"/>
      <c r="AJW1733" s="38"/>
      <c r="AJX1733" s="38"/>
      <c r="AJY1733" s="38"/>
      <c r="AJZ1733" s="38"/>
      <c r="AKA1733" s="38"/>
      <c r="AKB1733" s="38"/>
      <c r="AKC1733" s="38"/>
      <c r="AKD1733" s="38"/>
      <c r="AKE1733" s="38"/>
      <c r="AKF1733" s="38"/>
      <c r="AKG1733" s="38"/>
      <c r="AKH1733" s="38"/>
      <c r="AKI1733" s="38"/>
      <c r="AKJ1733" s="38"/>
      <c r="AKK1733" s="38"/>
      <c r="AKL1733" s="38"/>
      <c r="AKM1733" s="38"/>
      <c r="AKN1733" s="38"/>
      <c r="AKO1733" s="38"/>
      <c r="AKP1733" s="38"/>
      <c r="AKQ1733" s="38"/>
      <c r="AKR1733" s="38"/>
      <c r="AKS1733" s="38"/>
      <c r="AKT1733" s="38"/>
      <c r="AKU1733" s="38"/>
      <c r="AKV1733" s="38"/>
      <c r="AKW1733" s="38"/>
      <c r="AKX1733" s="38"/>
      <c r="AKY1733" s="38"/>
      <c r="AKZ1733" s="38"/>
      <c r="ALA1733" s="38"/>
      <c r="ALB1733" s="38"/>
      <c r="ALC1733" s="38"/>
      <c r="ALD1733" s="38"/>
      <c r="ALE1733" s="38"/>
      <c r="ALF1733" s="38"/>
      <c r="ALG1733" s="38"/>
      <c r="ALH1733" s="38"/>
      <c r="ALI1733" s="38"/>
      <c r="ALJ1733" s="38"/>
      <c r="ALK1733" s="38"/>
      <c r="ALL1733" s="38"/>
      <c r="ALM1733" s="38"/>
      <c r="ALN1733" s="38"/>
      <c r="ALO1733" s="38"/>
      <c r="ALP1733" s="38"/>
      <c r="ALQ1733" s="38"/>
      <c r="ALR1733" s="38"/>
      <c r="ALS1733" s="38"/>
      <c r="ALT1733" s="38"/>
      <c r="ALU1733" s="38"/>
      <c r="ALV1733" s="38"/>
      <c r="ALW1733" s="38"/>
      <c r="ALX1733" s="38"/>
      <c r="ALY1733" s="38"/>
      <c r="ALZ1733" s="38"/>
      <c r="AMA1733" s="38"/>
      <c r="AMB1733" s="38"/>
      <c r="AMC1733" s="38"/>
      <c r="AMD1733" s="38"/>
      <c r="AME1733" s="38"/>
      <c r="AMF1733" s="38"/>
      <c r="AMG1733" s="38"/>
      <c r="AMH1733" s="38"/>
      <c r="AMI1733" s="38"/>
      <c r="AMJ1733" s="38"/>
      <c r="AMK1733" s="38"/>
      <c r="AML1733" s="38"/>
      <c r="AMM1733" s="38"/>
      <c r="AMN1733" s="38"/>
      <c r="AMO1733" s="38"/>
      <c r="AMP1733" s="38"/>
      <c r="AMQ1733" s="38"/>
      <c r="AMR1733" s="38"/>
      <c r="AMS1733" s="38"/>
      <c r="AMT1733" s="38"/>
      <c r="AMU1733" s="38"/>
      <c r="AMV1733" s="38"/>
      <c r="AMW1733" s="38"/>
      <c r="AMX1733" s="38"/>
      <c r="AMY1733" s="38"/>
      <c r="AMZ1733" s="38"/>
      <c r="ANA1733" s="38"/>
      <c r="ANB1733" s="38"/>
      <c r="ANC1733" s="38"/>
      <c r="AND1733" s="38"/>
      <c r="ANE1733" s="38"/>
      <c r="ANF1733" s="38"/>
      <c r="ANG1733" s="38"/>
      <c r="ANH1733" s="38"/>
      <c r="ANI1733" s="38"/>
      <c r="ANJ1733" s="38"/>
      <c r="ANK1733" s="38"/>
      <c r="ANL1733" s="38"/>
      <c r="ANM1733" s="38"/>
      <c r="ANN1733" s="38"/>
      <c r="ANO1733" s="38"/>
      <c r="ANP1733" s="38"/>
      <c r="ANQ1733" s="38"/>
      <c r="ANR1733" s="38"/>
      <c r="ANS1733" s="38"/>
      <c r="ANT1733" s="38"/>
      <c r="ANU1733" s="38"/>
      <c r="ANV1733" s="38"/>
      <c r="ANW1733" s="38"/>
      <c r="ANX1733" s="38"/>
      <c r="ANY1733" s="38"/>
      <c r="ANZ1733" s="38"/>
      <c r="AOA1733" s="38"/>
      <c r="AOB1733" s="38"/>
      <c r="AOC1733" s="38"/>
      <c r="AOD1733" s="38"/>
      <c r="AOE1733" s="38"/>
      <c r="AOF1733" s="38"/>
      <c r="AOG1733" s="38"/>
      <c r="AOH1733" s="38"/>
      <c r="AOI1733" s="38"/>
      <c r="AOJ1733" s="38"/>
      <c r="AOK1733" s="38"/>
      <c r="AOL1733" s="38"/>
      <c r="AOM1733" s="38"/>
      <c r="AON1733" s="38"/>
      <c r="AOO1733" s="38"/>
      <c r="AOP1733" s="38"/>
      <c r="AOQ1733" s="38"/>
      <c r="AOR1733" s="38"/>
      <c r="AOS1733" s="38"/>
      <c r="AOT1733" s="38"/>
      <c r="AOU1733" s="38"/>
      <c r="AOV1733" s="38"/>
      <c r="AOW1733" s="38"/>
      <c r="AOX1733" s="38"/>
      <c r="AOY1733" s="38"/>
      <c r="AOZ1733" s="38"/>
      <c r="APA1733" s="38"/>
      <c r="APB1733" s="38"/>
      <c r="APC1733" s="38"/>
    </row>
    <row r="1734" spans="1:1095" s="36" customFormat="1" ht="14.25" customHeight="1">
      <c r="A1734" s="3" t="s">
        <v>1722</v>
      </c>
      <c r="B1734" s="36" t="s">
        <v>4001</v>
      </c>
      <c r="C1734" s="10">
        <v>4058075730410</v>
      </c>
      <c r="D1734" s="224">
        <v>4058075730410</v>
      </c>
      <c r="E1734" s="245" t="s">
        <v>1641</v>
      </c>
      <c r="F1734" s="246"/>
      <c r="G1734" s="66" t="str">
        <f>HYPERLINK("https://ledvance.com/pt/product-datasheet/216559/206041","Ficha de Produto")</f>
        <v>Ficha de Produto</v>
      </c>
      <c r="H1734" s="217">
        <v>25</v>
      </c>
      <c r="I1734" s="34" t="s">
        <v>863</v>
      </c>
      <c r="J1734" s="34" t="s">
        <v>6329</v>
      </c>
      <c r="K1734" s="34" t="s">
        <v>788</v>
      </c>
      <c r="L1734" s="34" t="s">
        <v>765</v>
      </c>
      <c r="M1734" s="247">
        <v>30.700000000000003</v>
      </c>
      <c r="N1734" s="288" t="s">
        <v>722</v>
      </c>
    </row>
    <row r="1735" spans="1:1095" s="36" customFormat="1" ht="14.25" customHeight="1">
      <c r="A1735" s="3" t="s">
        <v>1722</v>
      </c>
      <c r="B1735" s="36" t="s">
        <v>4002</v>
      </c>
      <c r="C1735" s="10">
        <v>4058075730397</v>
      </c>
      <c r="D1735" s="224">
        <v>4058075730397</v>
      </c>
      <c r="E1735" s="245" t="s">
        <v>1642</v>
      </c>
      <c r="F1735" s="246"/>
      <c r="G1735" s="66" t="str">
        <f>HYPERLINK("https://ledvance.com/pt/product-datasheet/216559/206044","Ficha de Produto")</f>
        <v>Ficha de Produto</v>
      </c>
      <c r="H1735" s="217">
        <v>25</v>
      </c>
      <c r="I1735" s="34" t="s">
        <v>863</v>
      </c>
      <c r="J1735" s="34" t="s">
        <v>6329</v>
      </c>
      <c r="K1735" s="34" t="s">
        <v>788</v>
      </c>
      <c r="L1735" s="34" t="s">
        <v>765</v>
      </c>
      <c r="M1735" s="247">
        <v>30.700000000000003</v>
      </c>
      <c r="N1735" s="288" t="s">
        <v>722</v>
      </c>
    </row>
    <row r="1736" spans="1:1095" s="36" customFormat="1" ht="14.25" customHeight="1">
      <c r="A1736" s="3" t="s">
        <v>1722</v>
      </c>
      <c r="B1736" s="36" t="s">
        <v>4003</v>
      </c>
      <c r="C1736" s="10">
        <v>4058075730434</v>
      </c>
      <c r="D1736" s="224">
        <v>4058075730434</v>
      </c>
      <c r="E1736" s="245" t="s">
        <v>1643</v>
      </c>
      <c r="F1736" s="246"/>
      <c r="G1736" s="66" t="str">
        <f>HYPERLINK("https://ledvance.com/pt/product-datasheet/216559/206047","Ficha de Produto")</f>
        <v>Ficha de Produto</v>
      </c>
      <c r="H1736" s="217">
        <v>25</v>
      </c>
      <c r="I1736" s="34" t="s">
        <v>815</v>
      </c>
      <c r="J1736" s="34" t="s">
        <v>881</v>
      </c>
      <c r="K1736" s="34" t="s">
        <v>788</v>
      </c>
      <c r="L1736" s="34" t="s">
        <v>765</v>
      </c>
      <c r="M1736" s="247">
        <v>25</v>
      </c>
      <c r="N1736" s="288" t="s">
        <v>722</v>
      </c>
    </row>
    <row r="1737" spans="1:1095" s="36" customFormat="1" ht="14.25" customHeight="1">
      <c r="A1737" s="3" t="s">
        <v>1722</v>
      </c>
      <c r="B1737" s="36" t="s">
        <v>4004</v>
      </c>
      <c r="C1737" s="10">
        <v>4058075730458</v>
      </c>
      <c r="D1737" s="224">
        <v>4058075730458</v>
      </c>
      <c r="E1737" s="245" t="s">
        <v>1644</v>
      </c>
      <c r="F1737" s="246"/>
      <c r="G1737" s="66" t="str">
        <f>HYPERLINK("https://ledvance.com/pt/product-datasheet/216559/206054","Ficha de Produto")</f>
        <v>Ficha de Produto</v>
      </c>
      <c r="H1737" s="217">
        <v>25</v>
      </c>
      <c r="I1737" s="34" t="s">
        <v>815</v>
      </c>
      <c r="J1737" s="34" t="s">
        <v>881</v>
      </c>
      <c r="K1737" s="34" t="s">
        <v>788</v>
      </c>
      <c r="L1737" s="34" t="s">
        <v>765</v>
      </c>
      <c r="M1737" s="247">
        <v>25</v>
      </c>
      <c r="N1737" s="288" t="s">
        <v>722</v>
      </c>
    </row>
    <row r="1738" spans="1:1095" s="36" customFormat="1" ht="14.25" customHeight="1">
      <c r="A1738" s="3" t="s">
        <v>1722</v>
      </c>
      <c r="B1738" s="36" t="s">
        <v>4005</v>
      </c>
      <c r="C1738" s="10">
        <v>4058075730472</v>
      </c>
      <c r="D1738" s="224">
        <v>4058075730472</v>
      </c>
      <c r="E1738" s="245" t="s">
        <v>1645</v>
      </c>
      <c r="F1738" s="246"/>
      <c r="G1738" s="66" t="str">
        <f>HYPERLINK("https://ledvance.com/pt/product-datasheet/216559/206058","Ficha de Produto")</f>
        <v>Ficha de Produto</v>
      </c>
      <c r="H1738" s="217">
        <v>25</v>
      </c>
      <c r="I1738" s="34" t="s">
        <v>815</v>
      </c>
      <c r="J1738" s="34" t="s">
        <v>881</v>
      </c>
      <c r="K1738" s="34" t="s">
        <v>788</v>
      </c>
      <c r="L1738" s="34" t="s">
        <v>765</v>
      </c>
      <c r="M1738" s="247">
        <v>25.6</v>
      </c>
      <c r="N1738" s="288" t="s">
        <v>722</v>
      </c>
    </row>
    <row r="1739" spans="1:1095" s="36" customFormat="1" ht="14.25" customHeight="1">
      <c r="A1739" s="3" t="s">
        <v>1722</v>
      </c>
      <c r="B1739" s="36" t="s">
        <v>4006</v>
      </c>
      <c r="C1739" s="10">
        <v>4058075730496</v>
      </c>
      <c r="D1739" s="224">
        <v>4058075730496</v>
      </c>
      <c r="E1739" s="245" t="s">
        <v>1646</v>
      </c>
      <c r="F1739" s="246"/>
      <c r="G1739" s="66" t="str">
        <f>HYPERLINK("https://ledvance.com/pt/product-datasheet/216559/206062","Ficha de Produto")</f>
        <v>Ficha de Produto</v>
      </c>
      <c r="H1739" s="217">
        <v>25</v>
      </c>
      <c r="I1739" s="34" t="s">
        <v>815</v>
      </c>
      <c r="J1739" s="34" t="s">
        <v>881</v>
      </c>
      <c r="K1739" s="34" t="s">
        <v>788</v>
      </c>
      <c r="L1739" s="34" t="s">
        <v>765</v>
      </c>
      <c r="M1739" s="247">
        <v>25.6</v>
      </c>
      <c r="N1739" s="288" t="s">
        <v>722</v>
      </c>
    </row>
    <row r="1740" spans="1:1095" s="36" customFormat="1" ht="14.25" customHeight="1">
      <c r="A1740" s="3" t="s">
        <v>1722</v>
      </c>
      <c r="B1740" s="36" t="s">
        <v>4007</v>
      </c>
      <c r="C1740" s="10">
        <v>4058075730519</v>
      </c>
      <c r="D1740" s="224">
        <v>4058075730519</v>
      </c>
      <c r="E1740" s="245" t="s">
        <v>1647</v>
      </c>
      <c r="F1740" s="246"/>
      <c r="G1740" s="66" t="str">
        <f>HYPERLINK("https://ledvance.com/pt/product-datasheet/216559/206066","Ficha de Produto")</f>
        <v>Ficha de Produto</v>
      </c>
      <c r="H1740" s="217">
        <v>25</v>
      </c>
      <c r="I1740" s="34" t="s">
        <v>814</v>
      </c>
      <c r="J1740" s="34" t="s">
        <v>773</v>
      </c>
      <c r="K1740" s="34" t="s">
        <v>788</v>
      </c>
      <c r="L1740" s="34" t="s">
        <v>765</v>
      </c>
      <c r="M1740" s="247">
        <v>23.400000000000002</v>
      </c>
      <c r="N1740" s="288" t="s">
        <v>722</v>
      </c>
    </row>
    <row r="1741" spans="1:1095" s="36" customFormat="1" ht="14.25" customHeight="1">
      <c r="A1741" s="3" t="s">
        <v>1722</v>
      </c>
      <c r="B1741" s="36" t="s">
        <v>4008</v>
      </c>
      <c r="C1741" s="10">
        <v>4058075730533</v>
      </c>
      <c r="D1741" s="224">
        <v>4058075730533</v>
      </c>
      <c r="E1741" s="245" t="s">
        <v>1648</v>
      </c>
      <c r="F1741" s="246"/>
      <c r="G1741" s="66" t="str">
        <f>HYPERLINK("https://ledvance.com/pt/product-datasheet/216559/206074","Ficha de Produto")</f>
        <v>Ficha de Produto</v>
      </c>
      <c r="H1741" s="217">
        <v>25</v>
      </c>
      <c r="I1741" s="34" t="s">
        <v>814</v>
      </c>
      <c r="J1741" s="34" t="s">
        <v>773</v>
      </c>
      <c r="K1741" s="34" t="s">
        <v>788</v>
      </c>
      <c r="L1741" s="34" t="s">
        <v>765</v>
      </c>
      <c r="M1741" s="247">
        <v>23.400000000000002</v>
      </c>
      <c r="N1741" s="288" t="s">
        <v>722</v>
      </c>
    </row>
    <row r="1742" spans="1:1095" s="39" customFormat="1" ht="14.25" customHeight="1">
      <c r="A1742" s="8" t="s">
        <v>1722</v>
      </c>
      <c r="B1742" s="244" t="s">
        <v>1649</v>
      </c>
      <c r="C1742" s="8"/>
      <c r="D1742" s="7"/>
      <c r="E1742" s="230"/>
      <c r="F1742" s="7"/>
      <c r="G1742" s="68"/>
      <c r="H1742" s="230"/>
      <c r="I1742" s="230"/>
      <c r="J1742" s="230"/>
      <c r="K1742" s="230"/>
      <c r="L1742" s="230"/>
      <c r="M1742" s="248"/>
      <c r="N1742" s="289"/>
      <c r="O1742" s="38"/>
      <c r="P1742" s="38"/>
      <c r="Q1742" s="38"/>
      <c r="R1742" s="38"/>
      <c r="S1742" s="38"/>
      <c r="T1742" s="38"/>
      <c r="U1742" s="38"/>
      <c r="V1742" s="38"/>
      <c r="W1742" s="38"/>
      <c r="X1742" s="38"/>
      <c r="Y1742" s="38"/>
      <c r="Z1742" s="38"/>
      <c r="AA1742" s="38"/>
      <c r="AB1742" s="38"/>
      <c r="AC1742" s="38"/>
      <c r="AD1742" s="38"/>
      <c r="AE1742" s="38"/>
      <c r="AF1742" s="38"/>
      <c r="AG1742" s="38"/>
      <c r="AH1742" s="38"/>
      <c r="AI1742" s="38"/>
      <c r="AJ1742" s="38"/>
      <c r="AK1742" s="38"/>
      <c r="AL1742" s="38"/>
      <c r="AM1742" s="38"/>
      <c r="AN1742" s="38"/>
      <c r="AO1742" s="38"/>
      <c r="AP1742" s="38"/>
      <c r="AQ1742" s="38"/>
      <c r="AR1742" s="38"/>
      <c r="AS1742" s="38"/>
      <c r="AT1742" s="38"/>
      <c r="AU1742" s="38"/>
      <c r="AV1742" s="38"/>
      <c r="AW1742" s="38"/>
      <c r="AX1742" s="38"/>
      <c r="AY1742" s="38"/>
      <c r="AZ1742" s="38"/>
      <c r="BA1742" s="38"/>
      <c r="BB1742" s="38"/>
      <c r="BC1742" s="38"/>
      <c r="BD1742" s="38"/>
      <c r="BE1742" s="38"/>
      <c r="BF1742" s="38"/>
      <c r="BG1742" s="38"/>
      <c r="BH1742" s="38"/>
      <c r="BI1742" s="38"/>
      <c r="BJ1742" s="38"/>
      <c r="BK1742" s="38"/>
      <c r="BL1742" s="38"/>
      <c r="BM1742" s="38"/>
      <c r="BN1742" s="38"/>
      <c r="BO1742" s="38"/>
      <c r="BP1742" s="38"/>
      <c r="BQ1742" s="38"/>
      <c r="BR1742" s="38"/>
      <c r="BS1742" s="38"/>
      <c r="BT1742" s="38"/>
      <c r="BU1742" s="38"/>
      <c r="BV1742" s="38"/>
      <c r="BW1742" s="38"/>
      <c r="BX1742" s="38"/>
      <c r="BY1742" s="38"/>
      <c r="BZ1742" s="38"/>
      <c r="CA1742" s="38"/>
      <c r="CB1742" s="38"/>
      <c r="CC1742" s="38"/>
      <c r="CD1742" s="38"/>
      <c r="CE1742" s="38"/>
      <c r="CF1742" s="38"/>
      <c r="CG1742" s="38"/>
      <c r="CH1742" s="38"/>
      <c r="CI1742" s="38"/>
      <c r="CJ1742" s="38"/>
      <c r="CK1742" s="38"/>
      <c r="CL1742" s="38"/>
      <c r="CM1742" s="38"/>
      <c r="CN1742" s="38"/>
      <c r="CO1742" s="38"/>
      <c r="CP1742" s="38"/>
      <c r="CQ1742" s="38"/>
      <c r="CR1742" s="38"/>
      <c r="CS1742" s="38"/>
      <c r="CT1742" s="38"/>
      <c r="CU1742" s="38"/>
      <c r="CV1742" s="38"/>
      <c r="CW1742" s="38"/>
      <c r="CX1742" s="38"/>
      <c r="CY1742" s="38"/>
      <c r="CZ1742" s="38"/>
      <c r="DA1742" s="38"/>
      <c r="DB1742" s="38"/>
      <c r="DC1742" s="38"/>
      <c r="DD1742" s="38"/>
      <c r="DE1742" s="38"/>
      <c r="DF1742" s="38"/>
      <c r="DG1742" s="38"/>
      <c r="DH1742" s="38"/>
      <c r="DI1742" s="38"/>
      <c r="DJ1742" s="38"/>
      <c r="DK1742" s="38"/>
      <c r="DL1742" s="38"/>
      <c r="DM1742" s="38"/>
      <c r="DN1742" s="38"/>
      <c r="DO1742" s="38"/>
      <c r="DP1742" s="38"/>
      <c r="DQ1742" s="38"/>
      <c r="DR1742" s="38"/>
      <c r="DS1742" s="38"/>
      <c r="DT1742" s="38"/>
      <c r="DU1742" s="38"/>
      <c r="DV1742" s="38"/>
      <c r="DW1742" s="38"/>
      <c r="DX1742" s="38"/>
      <c r="DY1742" s="38"/>
      <c r="DZ1742" s="38"/>
      <c r="EA1742" s="38"/>
      <c r="EB1742" s="38"/>
      <c r="EC1742" s="38"/>
      <c r="ED1742" s="38"/>
      <c r="EE1742" s="38"/>
      <c r="EF1742" s="38"/>
      <c r="EG1742" s="38"/>
      <c r="EH1742" s="38"/>
      <c r="EI1742" s="38"/>
      <c r="EJ1742" s="38"/>
      <c r="EK1742" s="38"/>
      <c r="EL1742" s="38"/>
      <c r="EM1742" s="38"/>
      <c r="EN1742" s="38"/>
      <c r="EO1742" s="38"/>
      <c r="EP1742" s="38"/>
      <c r="EQ1742" s="38"/>
      <c r="ER1742" s="38"/>
      <c r="ES1742" s="38"/>
      <c r="ET1742" s="38"/>
      <c r="EU1742" s="38"/>
      <c r="EV1742" s="38"/>
      <c r="EW1742" s="38"/>
      <c r="EX1742" s="38"/>
      <c r="EY1742" s="38"/>
      <c r="EZ1742" s="38"/>
      <c r="FA1742" s="38"/>
      <c r="FB1742" s="38"/>
      <c r="FC1742" s="38"/>
      <c r="FD1742" s="38"/>
      <c r="FE1742" s="38"/>
      <c r="FF1742" s="38"/>
      <c r="FG1742" s="38"/>
      <c r="FH1742" s="38"/>
      <c r="FI1742" s="38"/>
      <c r="FJ1742" s="38"/>
      <c r="FK1742" s="38"/>
      <c r="FL1742" s="38"/>
      <c r="FM1742" s="38"/>
      <c r="FN1742" s="38"/>
      <c r="FO1742" s="38"/>
      <c r="FP1742" s="38"/>
      <c r="FQ1742" s="38"/>
      <c r="FR1742" s="38"/>
      <c r="FS1742" s="38"/>
      <c r="FT1742" s="38"/>
      <c r="FU1742" s="38"/>
      <c r="FV1742" s="38"/>
      <c r="FW1742" s="38"/>
      <c r="FX1742" s="38"/>
      <c r="FY1742" s="38"/>
      <c r="FZ1742" s="38"/>
      <c r="GA1742" s="38"/>
      <c r="GB1742" s="38"/>
      <c r="GC1742" s="38"/>
      <c r="GD1742" s="38"/>
      <c r="GE1742" s="38"/>
      <c r="GF1742" s="38"/>
      <c r="GG1742" s="38"/>
      <c r="GH1742" s="38"/>
      <c r="GI1742" s="38"/>
      <c r="GJ1742" s="38"/>
      <c r="GK1742" s="38"/>
      <c r="GL1742" s="38"/>
      <c r="GM1742" s="38"/>
      <c r="GN1742" s="38"/>
      <c r="GO1742" s="38"/>
      <c r="GP1742" s="38"/>
      <c r="GQ1742" s="38"/>
      <c r="GR1742" s="38"/>
      <c r="GS1742" s="38"/>
      <c r="GT1742" s="38"/>
      <c r="GU1742" s="38"/>
      <c r="GV1742" s="38"/>
      <c r="GW1742" s="38"/>
      <c r="GX1742" s="38"/>
      <c r="GY1742" s="38"/>
      <c r="GZ1742" s="38"/>
      <c r="HA1742" s="38"/>
      <c r="HB1742" s="38"/>
      <c r="HC1742" s="38"/>
      <c r="HD1742" s="38"/>
      <c r="HE1742" s="38"/>
      <c r="HF1742" s="38"/>
      <c r="HG1742" s="38"/>
      <c r="HH1742" s="38"/>
      <c r="HI1742" s="38"/>
      <c r="HJ1742" s="38"/>
      <c r="HK1742" s="38"/>
      <c r="HL1742" s="38"/>
      <c r="HM1742" s="38"/>
      <c r="HN1742" s="38"/>
      <c r="HO1742" s="38"/>
      <c r="HP1742" s="38"/>
      <c r="HQ1742" s="38"/>
      <c r="HR1742" s="38"/>
      <c r="HS1742" s="38"/>
      <c r="HT1742" s="38"/>
      <c r="HU1742" s="38"/>
      <c r="HV1742" s="38"/>
      <c r="HW1742" s="38"/>
      <c r="HX1742" s="38"/>
      <c r="HY1742" s="38"/>
      <c r="HZ1742" s="38"/>
      <c r="IA1742" s="38"/>
      <c r="IB1742" s="38"/>
      <c r="IC1742" s="38"/>
      <c r="ID1742" s="38"/>
      <c r="IE1742" s="38"/>
      <c r="IF1742" s="38"/>
      <c r="IG1742" s="38"/>
      <c r="IH1742" s="38"/>
      <c r="II1742" s="38"/>
      <c r="IJ1742" s="38"/>
      <c r="IK1742" s="38"/>
      <c r="IL1742" s="38"/>
      <c r="IM1742" s="38"/>
      <c r="IN1742" s="38"/>
      <c r="IO1742" s="38"/>
      <c r="IP1742" s="38"/>
      <c r="IQ1742" s="38"/>
      <c r="IR1742" s="38"/>
      <c r="IS1742" s="38"/>
      <c r="IT1742" s="38"/>
      <c r="IU1742" s="38"/>
      <c r="IV1742" s="38"/>
      <c r="IW1742" s="38"/>
      <c r="IX1742" s="38"/>
      <c r="IY1742" s="38"/>
      <c r="IZ1742" s="38"/>
      <c r="JA1742" s="38"/>
      <c r="JB1742" s="38"/>
      <c r="JC1742" s="38"/>
      <c r="JD1742" s="38"/>
      <c r="JE1742" s="38"/>
      <c r="JF1742" s="38"/>
      <c r="JG1742" s="38"/>
      <c r="JH1742" s="38"/>
      <c r="JI1742" s="38"/>
      <c r="JJ1742" s="38"/>
      <c r="JK1742" s="38"/>
      <c r="JL1742" s="38"/>
      <c r="JM1742" s="38"/>
      <c r="JN1742" s="38"/>
      <c r="JO1742" s="38"/>
      <c r="JP1742" s="38"/>
      <c r="JQ1742" s="38"/>
      <c r="JR1742" s="38"/>
      <c r="JS1742" s="38"/>
      <c r="JT1742" s="38"/>
      <c r="JU1742" s="38"/>
      <c r="JV1742" s="38"/>
      <c r="JW1742" s="38"/>
      <c r="JX1742" s="38"/>
      <c r="JY1742" s="38"/>
      <c r="JZ1742" s="38"/>
      <c r="KA1742" s="38"/>
      <c r="KB1742" s="38"/>
      <c r="KC1742" s="38"/>
      <c r="KD1742" s="38"/>
      <c r="KE1742" s="38"/>
      <c r="KF1742" s="38"/>
      <c r="KG1742" s="38"/>
      <c r="KH1742" s="38"/>
      <c r="KI1742" s="38"/>
      <c r="KJ1742" s="38"/>
      <c r="KK1742" s="38"/>
      <c r="KL1742" s="38"/>
      <c r="KM1742" s="38"/>
      <c r="KN1742" s="38"/>
      <c r="KO1742" s="38"/>
      <c r="KP1742" s="38"/>
      <c r="KQ1742" s="38"/>
      <c r="KR1742" s="38"/>
      <c r="KS1742" s="38"/>
      <c r="KT1742" s="38"/>
      <c r="KU1742" s="38"/>
      <c r="KV1742" s="38"/>
      <c r="KW1742" s="38"/>
      <c r="KX1742" s="38"/>
      <c r="KY1742" s="38"/>
      <c r="KZ1742" s="38"/>
      <c r="LA1742" s="38"/>
      <c r="LB1742" s="38"/>
      <c r="LC1742" s="38"/>
      <c r="LD1742" s="38"/>
      <c r="LE1742" s="38"/>
      <c r="LF1742" s="38"/>
      <c r="LG1742" s="38"/>
      <c r="LH1742" s="38"/>
      <c r="LI1742" s="38"/>
      <c r="LJ1742" s="38"/>
      <c r="LK1742" s="38"/>
      <c r="LL1742" s="38"/>
      <c r="LM1742" s="38"/>
      <c r="LN1742" s="38"/>
      <c r="LO1742" s="38"/>
      <c r="LP1742" s="38"/>
      <c r="LQ1742" s="38"/>
      <c r="LR1742" s="38"/>
      <c r="LS1742" s="38"/>
      <c r="LT1742" s="38"/>
      <c r="LU1742" s="38"/>
      <c r="LV1742" s="38"/>
      <c r="LW1742" s="38"/>
      <c r="LX1742" s="38"/>
      <c r="LY1742" s="38"/>
      <c r="LZ1742" s="38"/>
      <c r="MA1742" s="38"/>
      <c r="MB1742" s="38"/>
      <c r="MC1742" s="38"/>
      <c r="MD1742" s="38"/>
      <c r="ME1742" s="38"/>
      <c r="MF1742" s="38"/>
      <c r="MG1742" s="38"/>
      <c r="MH1742" s="38"/>
      <c r="MI1742" s="38"/>
      <c r="MJ1742" s="38"/>
      <c r="MK1742" s="38"/>
      <c r="ML1742" s="38"/>
      <c r="MM1742" s="38"/>
      <c r="MN1742" s="38"/>
      <c r="MO1742" s="38"/>
      <c r="MP1742" s="38"/>
      <c r="MQ1742" s="38"/>
      <c r="MR1742" s="38"/>
      <c r="MS1742" s="38"/>
      <c r="MT1742" s="38"/>
      <c r="MU1742" s="38"/>
      <c r="MV1742" s="38"/>
      <c r="MW1742" s="38"/>
      <c r="MX1742" s="38"/>
      <c r="MY1742" s="38"/>
      <c r="MZ1742" s="38"/>
      <c r="NA1742" s="38"/>
      <c r="NB1742" s="38"/>
      <c r="NC1742" s="38"/>
      <c r="ND1742" s="38"/>
      <c r="NE1742" s="38"/>
      <c r="NF1742" s="38"/>
      <c r="NG1742" s="38"/>
      <c r="NH1742" s="38"/>
      <c r="NI1742" s="38"/>
      <c r="NJ1742" s="38"/>
      <c r="NK1742" s="38"/>
      <c r="NL1742" s="38"/>
      <c r="NM1742" s="38"/>
      <c r="NN1742" s="38"/>
      <c r="NO1742" s="38"/>
      <c r="NP1742" s="38"/>
      <c r="NQ1742" s="38"/>
      <c r="NR1742" s="38"/>
      <c r="NS1742" s="38"/>
      <c r="NT1742" s="38"/>
      <c r="NU1742" s="38"/>
      <c r="NV1742" s="38"/>
      <c r="NW1742" s="38"/>
      <c r="NX1742" s="38"/>
      <c r="NY1742" s="38"/>
      <c r="NZ1742" s="38"/>
      <c r="OA1742" s="38"/>
      <c r="OB1742" s="38"/>
      <c r="OC1742" s="38"/>
      <c r="OD1742" s="38"/>
      <c r="OE1742" s="38"/>
      <c r="OF1742" s="38"/>
      <c r="OG1742" s="38"/>
      <c r="OH1742" s="38"/>
      <c r="OI1742" s="38"/>
      <c r="OJ1742" s="38"/>
      <c r="OK1742" s="38"/>
      <c r="OL1742" s="38"/>
      <c r="OM1742" s="38"/>
      <c r="ON1742" s="38"/>
      <c r="OO1742" s="38"/>
      <c r="OP1742" s="38"/>
      <c r="OQ1742" s="38"/>
      <c r="OR1742" s="38"/>
      <c r="OS1742" s="38"/>
      <c r="OT1742" s="38"/>
      <c r="OU1742" s="38"/>
      <c r="OV1742" s="38"/>
      <c r="OW1742" s="38"/>
      <c r="OX1742" s="38"/>
      <c r="OY1742" s="38"/>
      <c r="OZ1742" s="38"/>
      <c r="PA1742" s="38"/>
      <c r="PB1742" s="38"/>
      <c r="PC1742" s="38"/>
      <c r="PD1742" s="38"/>
      <c r="PE1742" s="38"/>
      <c r="PF1742" s="38"/>
      <c r="PG1742" s="38"/>
      <c r="PH1742" s="38"/>
      <c r="PI1742" s="38"/>
      <c r="PJ1742" s="38"/>
      <c r="PK1742" s="38"/>
      <c r="PL1742" s="38"/>
      <c r="PM1742" s="38"/>
      <c r="PN1742" s="38"/>
      <c r="PO1742" s="38"/>
      <c r="PP1742" s="38"/>
      <c r="PQ1742" s="38"/>
      <c r="PR1742" s="38"/>
      <c r="PS1742" s="38"/>
      <c r="PT1742" s="38"/>
      <c r="PU1742" s="38"/>
      <c r="PV1742" s="38"/>
      <c r="PW1742" s="38"/>
      <c r="PX1742" s="38"/>
      <c r="PY1742" s="38"/>
      <c r="PZ1742" s="38"/>
      <c r="QA1742" s="38"/>
      <c r="QB1742" s="38"/>
      <c r="QC1742" s="38"/>
      <c r="QD1742" s="38"/>
      <c r="QE1742" s="38"/>
      <c r="QF1742" s="38"/>
      <c r="QG1742" s="38"/>
      <c r="QH1742" s="38"/>
      <c r="QI1742" s="38"/>
      <c r="QJ1742" s="38"/>
      <c r="QK1742" s="38"/>
      <c r="QL1742" s="38"/>
      <c r="QM1742" s="38"/>
      <c r="QN1742" s="38"/>
      <c r="QO1742" s="38"/>
      <c r="QP1742" s="38"/>
      <c r="QQ1742" s="38"/>
      <c r="QR1742" s="38"/>
      <c r="QS1742" s="38"/>
      <c r="QT1742" s="38"/>
      <c r="QU1742" s="38"/>
      <c r="QV1742" s="38"/>
      <c r="QW1742" s="38"/>
      <c r="QX1742" s="38"/>
      <c r="QY1742" s="38"/>
      <c r="QZ1742" s="38"/>
      <c r="RA1742" s="38"/>
      <c r="RB1742" s="38"/>
      <c r="RC1742" s="38"/>
      <c r="RD1742" s="38"/>
      <c r="RE1742" s="38"/>
      <c r="RF1742" s="38"/>
      <c r="RG1742" s="38"/>
      <c r="RH1742" s="38"/>
      <c r="RI1742" s="38"/>
      <c r="RJ1742" s="38"/>
      <c r="RK1742" s="38"/>
      <c r="RL1742" s="38"/>
      <c r="RM1742" s="38"/>
      <c r="RN1742" s="38"/>
      <c r="RO1742" s="38"/>
      <c r="RP1742" s="38"/>
      <c r="RQ1742" s="38"/>
      <c r="RR1742" s="38"/>
      <c r="RS1742" s="38"/>
      <c r="RT1742" s="38"/>
      <c r="RU1742" s="38"/>
      <c r="RV1742" s="38"/>
      <c r="RW1742" s="38"/>
      <c r="RX1742" s="38"/>
      <c r="RY1742" s="38"/>
      <c r="RZ1742" s="38"/>
      <c r="SA1742" s="38"/>
      <c r="SB1742" s="38"/>
      <c r="SC1742" s="38"/>
      <c r="SD1742" s="38"/>
      <c r="SE1742" s="38"/>
      <c r="SF1742" s="38"/>
      <c r="SG1742" s="38"/>
      <c r="SH1742" s="38"/>
      <c r="SI1742" s="38"/>
      <c r="SJ1742" s="38"/>
      <c r="SK1742" s="38"/>
      <c r="SL1742" s="38"/>
      <c r="SM1742" s="38"/>
      <c r="SN1742" s="38"/>
      <c r="SO1742" s="38"/>
      <c r="SP1742" s="38"/>
      <c r="SQ1742" s="38"/>
      <c r="SR1742" s="38"/>
      <c r="SS1742" s="38"/>
      <c r="ST1742" s="38"/>
      <c r="SU1742" s="38"/>
      <c r="SV1742" s="38"/>
      <c r="SW1742" s="38"/>
      <c r="SX1742" s="38"/>
      <c r="SY1742" s="38"/>
      <c r="SZ1742" s="38"/>
      <c r="TA1742" s="38"/>
      <c r="TB1742" s="38"/>
      <c r="TC1742" s="38"/>
      <c r="TD1742" s="38"/>
      <c r="TE1742" s="38"/>
      <c r="TF1742" s="38"/>
      <c r="TG1742" s="38"/>
      <c r="TH1742" s="38"/>
      <c r="TI1742" s="38"/>
      <c r="TJ1742" s="38"/>
      <c r="TK1742" s="38"/>
      <c r="TL1742" s="38"/>
      <c r="TM1742" s="38"/>
      <c r="TN1742" s="38"/>
      <c r="TO1742" s="38"/>
      <c r="TP1742" s="38"/>
      <c r="TQ1742" s="38"/>
      <c r="TR1742" s="38"/>
      <c r="TS1742" s="38"/>
      <c r="TT1742" s="38"/>
      <c r="TU1742" s="38"/>
      <c r="TV1742" s="38"/>
      <c r="TW1742" s="38"/>
      <c r="TX1742" s="38"/>
      <c r="TY1742" s="38"/>
      <c r="TZ1742" s="38"/>
      <c r="UA1742" s="38"/>
      <c r="UB1742" s="38"/>
      <c r="UC1742" s="38"/>
      <c r="UD1742" s="38"/>
      <c r="UE1742" s="38"/>
      <c r="UF1742" s="38"/>
      <c r="UG1742" s="38"/>
      <c r="UH1742" s="38"/>
      <c r="UI1742" s="38"/>
      <c r="UJ1742" s="38"/>
      <c r="UK1742" s="38"/>
      <c r="UL1742" s="38"/>
      <c r="UM1742" s="38"/>
      <c r="UN1742" s="38"/>
      <c r="UO1742" s="38"/>
      <c r="UP1742" s="38"/>
      <c r="UQ1742" s="38"/>
      <c r="UR1742" s="38"/>
      <c r="US1742" s="38"/>
      <c r="UT1742" s="38"/>
      <c r="UU1742" s="38"/>
      <c r="UV1742" s="38"/>
      <c r="UW1742" s="38"/>
      <c r="UX1742" s="38"/>
      <c r="UY1742" s="38"/>
      <c r="UZ1742" s="38"/>
      <c r="VA1742" s="38"/>
      <c r="VB1742" s="38"/>
      <c r="VC1742" s="38"/>
      <c r="VD1742" s="38"/>
      <c r="VE1742" s="38"/>
      <c r="VF1742" s="38"/>
      <c r="VG1742" s="38"/>
      <c r="VH1742" s="38"/>
      <c r="VI1742" s="38"/>
      <c r="VJ1742" s="38"/>
      <c r="VK1742" s="38"/>
      <c r="VL1742" s="38"/>
      <c r="VM1742" s="38"/>
      <c r="VN1742" s="38"/>
      <c r="VO1742" s="38"/>
      <c r="VP1742" s="38"/>
      <c r="VQ1742" s="38"/>
      <c r="VR1742" s="38"/>
      <c r="VS1742" s="38"/>
      <c r="VT1742" s="38"/>
      <c r="VU1742" s="38"/>
      <c r="VV1742" s="38"/>
      <c r="VW1742" s="38"/>
      <c r="VX1742" s="38"/>
      <c r="VY1742" s="38"/>
      <c r="VZ1742" s="38"/>
      <c r="WA1742" s="38"/>
      <c r="WB1742" s="38"/>
      <c r="WC1742" s="38"/>
      <c r="WD1742" s="38"/>
      <c r="WE1742" s="38"/>
      <c r="WF1742" s="38"/>
      <c r="WG1742" s="38"/>
      <c r="WH1742" s="38"/>
      <c r="WI1742" s="38"/>
      <c r="WJ1742" s="38"/>
      <c r="WK1742" s="38"/>
      <c r="WL1742" s="38"/>
      <c r="WM1742" s="38"/>
      <c r="WN1742" s="38"/>
      <c r="WO1742" s="38"/>
      <c r="WP1742" s="38"/>
      <c r="WQ1742" s="38"/>
      <c r="WR1742" s="38"/>
      <c r="WS1742" s="38"/>
      <c r="WT1742" s="38"/>
      <c r="WU1742" s="38"/>
      <c r="WV1742" s="38"/>
      <c r="WW1742" s="38"/>
      <c r="WX1742" s="38"/>
      <c r="WY1742" s="38"/>
      <c r="WZ1742" s="38"/>
      <c r="XA1742" s="38"/>
      <c r="XB1742" s="38"/>
      <c r="XC1742" s="38"/>
      <c r="XD1742" s="38"/>
      <c r="XE1742" s="38"/>
      <c r="XF1742" s="38"/>
      <c r="XG1742" s="38"/>
      <c r="XH1742" s="38"/>
      <c r="XI1742" s="38"/>
      <c r="XJ1742" s="38"/>
      <c r="XK1742" s="38"/>
      <c r="XL1742" s="38"/>
      <c r="XM1742" s="38"/>
      <c r="XN1742" s="38"/>
      <c r="XO1742" s="38"/>
      <c r="XP1742" s="38"/>
      <c r="XQ1742" s="38"/>
      <c r="XR1742" s="38"/>
      <c r="XS1742" s="38"/>
      <c r="XT1742" s="38"/>
      <c r="XU1742" s="38"/>
      <c r="XV1742" s="38"/>
      <c r="XW1742" s="38"/>
      <c r="XX1742" s="38"/>
      <c r="XY1742" s="38"/>
      <c r="XZ1742" s="38"/>
      <c r="YA1742" s="38"/>
      <c r="YB1742" s="38"/>
      <c r="YC1742" s="38"/>
      <c r="YD1742" s="38"/>
      <c r="YE1742" s="38"/>
      <c r="YF1742" s="38"/>
      <c r="YG1742" s="38"/>
      <c r="YH1742" s="38"/>
      <c r="YI1742" s="38"/>
      <c r="YJ1742" s="38"/>
      <c r="YK1742" s="38"/>
      <c r="YL1742" s="38"/>
      <c r="YM1742" s="38"/>
      <c r="YN1742" s="38"/>
      <c r="YO1742" s="38"/>
      <c r="YP1742" s="38"/>
      <c r="YQ1742" s="38"/>
      <c r="YR1742" s="38"/>
      <c r="YS1742" s="38"/>
      <c r="YT1742" s="38"/>
      <c r="YU1742" s="38"/>
      <c r="YV1742" s="38"/>
      <c r="YW1742" s="38"/>
      <c r="YX1742" s="38"/>
      <c r="YY1742" s="38"/>
      <c r="YZ1742" s="38"/>
      <c r="ZA1742" s="38"/>
      <c r="ZB1742" s="38"/>
      <c r="ZC1742" s="38"/>
      <c r="ZD1742" s="38"/>
      <c r="ZE1742" s="38"/>
      <c r="ZF1742" s="38"/>
      <c r="ZG1742" s="38"/>
      <c r="ZH1742" s="38"/>
      <c r="ZI1742" s="38"/>
      <c r="ZJ1742" s="38"/>
      <c r="ZK1742" s="38"/>
      <c r="ZL1742" s="38"/>
      <c r="ZM1742" s="38"/>
      <c r="ZN1742" s="38"/>
      <c r="ZO1742" s="38"/>
      <c r="ZP1742" s="38"/>
      <c r="ZQ1742" s="38"/>
      <c r="ZR1742" s="38"/>
      <c r="ZS1742" s="38"/>
      <c r="ZT1742" s="38"/>
      <c r="ZU1742" s="38"/>
      <c r="ZV1742" s="38"/>
      <c r="ZW1742" s="38"/>
      <c r="ZX1742" s="38"/>
      <c r="ZY1742" s="38"/>
      <c r="ZZ1742" s="38"/>
      <c r="AAA1742" s="38"/>
      <c r="AAB1742" s="38"/>
      <c r="AAC1742" s="38"/>
      <c r="AAD1742" s="38"/>
      <c r="AAE1742" s="38"/>
      <c r="AAF1742" s="38"/>
      <c r="AAG1742" s="38"/>
      <c r="AAH1742" s="38"/>
      <c r="AAI1742" s="38"/>
      <c r="AAJ1742" s="38"/>
      <c r="AAK1742" s="38"/>
      <c r="AAL1742" s="38"/>
      <c r="AAM1742" s="38"/>
      <c r="AAN1742" s="38"/>
      <c r="AAO1742" s="38"/>
      <c r="AAP1742" s="38"/>
      <c r="AAQ1742" s="38"/>
      <c r="AAR1742" s="38"/>
      <c r="AAS1742" s="38"/>
      <c r="AAT1742" s="38"/>
      <c r="AAU1742" s="38"/>
      <c r="AAV1742" s="38"/>
      <c r="AAW1742" s="38"/>
      <c r="AAX1742" s="38"/>
      <c r="AAY1742" s="38"/>
      <c r="AAZ1742" s="38"/>
      <c r="ABA1742" s="38"/>
      <c r="ABB1742" s="38"/>
      <c r="ABC1742" s="38"/>
      <c r="ABD1742" s="38"/>
      <c r="ABE1742" s="38"/>
      <c r="ABF1742" s="38"/>
      <c r="ABG1742" s="38"/>
      <c r="ABH1742" s="38"/>
      <c r="ABI1742" s="38"/>
      <c r="ABJ1742" s="38"/>
      <c r="ABK1742" s="38"/>
      <c r="ABL1742" s="38"/>
      <c r="ABM1742" s="38"/>
      <c r="ABN1742" s="38"/>
      <c r="ABO1742" s="38"/>
      <c r="ABP1742" s="38"/>
      <c r="ABQ1742" s="38"/>
      <c r="ABR1742" s="38"/>
      <c r="ABS1742" s="38"/>
      <c r="ABT1742" s="38"/>
      <c r="ABU1742" s="38"/>
      <c r="ABV1742" s="38"/>
      <c r="ABW1742" s="38"/>
      <c r="ABX1742" s="38"/>
      <c r="ABY1742" s="38"/>
      <c r="ABZ1742" s="38"/>
      <c r="ACA1742" s="38"/>
      <c r="ACB1742" s="38"/>
      <c r="ACC1742" s="38"/>
      <c r="ACD1742" s="38"/>
      <c r="ACE1742" s="38"/>
      <c r="ACF1742" s="38"/>
      <c r="ACG1742" s="38"/>
      <c r="ACH1742" s="38"/>
      <c r="ACI1742" s="38"/>
      <c r="ACJ1742" s="38"/>
      <c r="ACK1742" s="38"/>
      <c r="ACL1742" s="38"/>
      <c r="ACM1742" s="38"/>
      <c r="ACN1742" s="38"/>
      <c r="ACO1742" s="38"/>
      <c r="ACP1742" s="38"/>
      <c r="ACQ1742" s="38"/>
      <c r="ACR1742" s="38"/>
      <c r="ACS1742" s="38"/>
      <c r="ACT1742" s="38"/>
      <c r="ACU1742" s="38"/>
      <c r="ACV1742" s="38"/>
      <c r="ACW1742" s="38"/>
      <c r="ACX1742" s="38"/>
      <c r="ACY1742" s="38"/>
      <c r="ACZ1742" s="38"/>
      <c r="ADA1742" s="38"/>
      <c r="ADB1742" s="38"/>
      <c r="ADC1742" s="38"/>
      <c r="ADD1742" s="38"/>
      <c r="ADE1742" s="38"/>
      <c r="ADF1742" s="38"/>
      <c r="ADG1742" s="38"/>
      <c r="ADH1742" s="38"/>
      <c r="ADI1742" s="38"/>
      <c r="ADJ1742" s="38"/>
      <c r="ADK1742" s="38"/>
      <c r="ADL1742" s="38"/>
      <c r="ADM1742" s="38"/>
      <c r="ADN1742" s="38"/>
      <c r="ADO1742" s="38"/>
      <c r="ADP1742" s="38"/>
      <c r="ADQ1742" s="38"/>
      <c r="ADR1742" s="38"/>
      <c r="ADS1742" s="38"/>
      <c r="ADT1742" s="38"/>
      <c r="ADU1742" s="38"/>
      <c r="ADV1742" s="38"/>
      <c r="ADW1742" s="38"/>
      <c r="ADX1742" s="38"/>
      <c r="ADY1742" s="38"/>
      <c r="ADZ1742" s="38"/>
      <c r="AEA1742" s="38"/>
      <c r="AEB1742" s="38"/>
      <c r="AEC1742" s="38"/>
      <c r="AED1742" s="38"/>
      <c r="AEE1742" s="38"/>
      <c r="AEF1742" s="38"/>
      <c r="AEG1742" s="38"/>
      <c r="AEH1742" s="38"/>
      <c r="AEI1742" s="38"/>
      <c r="AEJ1742" s="38"/>
      <c r="AEK1742" s="38"/>
      <c r="AEL1742" s="38"/>
      <c r="AEM1742" s="38"/>
      <c r="AEN1742" s="38"/>
      <c r="AEO1742" s="38"/>
      <c r="AEP1742" s="38"/>
      <c r="AEQ1742" s="38"/>
      <c r="AER1742" s="38"/>
      <c r="AES1742" s="38"/>
      <c r="AET1742" s="38"/>
      <c r="AEU1742" s="38"/>
      <c r="AEV1742" s="38"/>
      <c r="AEW1742" s="38"/>
      <c r="AEX1742" s="38"/>
      <c r="AEY1742" s="38"/>
      <c r="AEZ1742" s="38"/>
      <c r="AFA1742" s="38"/>
      <c r="AFB1742" s="38"/>
      <c r="AFC1742" s="38"/>
      <c r="AFD1742" s="38"/>
      <c r="AFE1742" s="38"/>
      <c r="AFF1742" s="38"/>
      <c r="AFG1742" s="38"/>
      <c r="AFH1742" s="38"/>
      <c r="AFI1742" s="38"/>
      <c r="AFJ1742" s="38"/>
      <c r="AFK1742" s="38"/>
      <c r="AFL1742" s="38"/>
      <c r="AFM1742" s="38"/>
      <c r="AFN1742" s="38"/>
      <c r="AFO1742" s="38"/>
      <c r="AFP1742" s="38"/>
      <c r="AFQ1742" s="38"/>
      <c r="AFR1742" s="38"/>
      <c r="AFS1742" s="38"/>
      <c r="AFT1742" s="38"/>
      <c r="AFU1742" s="38"/>
      <c r="AFV1742" s="38"/>
      <c r="AFW1742" s="38"/>
      <c r="AFX1742" s="38"/>
      <c r="AFY1742" s="38"/>
      <c r="AFZ1742" s="38"/>
      <c r="AGA1742" s="38"/>
      <c r="AGB1742" s="38"/>
      <c r="AGC1742" s="38"/>
      <c r="AGD1742" s="38"/>
      <c r="AGE1742" s="38"/>
      <c r="AGF1742" s="38"/>
      <c r="AGG1742" s="38"/>
      <c r="AGH1742" s="38"/>
      <c r="AGI1742" s="38"/>
      <c r="AGJ1742" s="38"/>
      <c r="AGK1742" s="38"/>
      <c r="AGL1742" s="38"/>
      <c r="AGM1742" s="38"/>
      <c r="AGN1742" s="38"/>
      <c r="AGO1742" s="38"/>
      <c r="AGP1742" s="38"/>
      <c r="AGQ1742" s="38"/>
      <c r="AGR1742" s="38"/>
      <c r="AGS1742" s="38"/>
      <c r="AGT1742" s="38"/>
      <c r="AGU1742" s="38"/>
      <c r="AGV1742" s="38"/>
      <c r="AGW1742" s="38"/>
      <c r="AGX1742" s="38"/>
      <c r="AGY1742" s="38"/>
      <c r="AGZ1742" s="38"/>
      <c r="AHA1742" s="38"/>
      <c r="AHB1742" s="38"/>
      <c r="AHC1742" s="38"/>
      <c r="AHD1742" s="38"/>
      <c r="AHE1742" s="38"/>
      <c r="AHF1742" s="38"/>
      <c r="AHG1742" s="38"/>
      <c r="AHH1742" s="38"/>
      <c r="AHI1742" s="38"/>
      <c r="AHJ1742" s="38"/>
      <c r="AHK1742" s="38"/>
      <c r="AHL1742" s="38"/>
      <c r="AHM1742" s="38"/>
      <c r="AHN1742" s="38"/>
      <c r="AHO1742" s="38"/>
      <c r="AHP1742" s="38"/>
      <c r="AHQ1742" s="38"/>
      <c r="AHR1742" s="38"/>
      <c r="AHS1742" s="38"/>
      <c r="AHT1742" s="38"/>
      <c r="AHU1742" s="38"/>
      <c r="AHV1742" s="38"/>
      <c r="AHW1742" s="38"/>
      <c r="AHX1742" s="38"/>
      <c r="AHY1742" s="38"/>
      <c r="AHZ1742" s="38"/>
      <c r="AIA1742" s="38"/>
      <c r="AIB1742" s="38"/>
      <c r="AIC1742" s="38"/>
      <c r="AID1742" s="38"/>
      <c r="AIE1742" s="38"/>
      <c r="AIF1742" s="38"/>
      <c r="AIG1742" s="38"/>
      <c r="AIH1742" s="38"/>
      <c r="AII1742" s="38"/>
      <c r="AIJ1742" s="38"/>
      <c r="AIK1742" s="38"/>
      <c r="AIL1742" s="38"/>
      <c r="AIM1742" s="38"/>
      <c r="AIN1742" s="38"/>
      <c r="AIO1742" s="38"/>
      <c r="AIP1742" s="38"/>
      <c r="AIQ1742" s="38"/>
      <c r="AIR1742" s="38"/>
      <c r="AIS1742" s="38"/>
      <c r="AIT1742" s="38"/>
      <c r="AIU1742" s="38"/>
      <c r="AIV1742" s="38"/>
      <c r="AIW1742" s="38"/>
      <c r="AIX1742" s="38"/>
      <c r="AIY1742" s="38"/>
      <c r="AIZ1742" s="38"/>
      <c r="AJA1742" s="38"/>
      <c r="AJB1742" s="38"/>
      <c r="AJC1742" s="38"/>
      <c r="AJD1742" s="38"/>
      <c r="AJE1742" s="38"/>
      <c r="AJF1742" s="38"/>
      <c r="AJG1742" s="38"/>
      <c r="AJH1742" s="38"/>
      <c r="AJI1742" s="38"/>
      <c r="AJJ1742" s="38"/>
      <c r="AJK1742" s="38"/>
      <c r="AJL1742" s="38"/>
      <c r="AJM1742" s="38"/>
      <c r="AJN1742" s="38"/>
      <c r="AJO1742" s="38"/>
      <c r="AJP1742" s="38"/>
      <c r="AJQ1742" s="38"/>
      <c r="AJR1742" s="38"/>
      <c r="AJS1742" s="38"/>
      <c r="AJT1742" s="38"/>
      <c r="AJU1742" s="38"/>
      <c r="AJV1742" s="38"/>
      <c r="AJW1742" s="38"/>
      <c r="AJX1742" s="38"/>
      <c r="AJY1742" s="38"/>
      <c r="AJZ1742" s="38"/>
      <c r="AKA1742" s="38"/>
      <c r="AKB1742" s="38"/>
      <c r="AKC1742" s="38"/>
      <c r="AKD1742" s="38"/>
      <c r="AKE1742" s="38"/>
      <c r="AKF1742" s="38"/>
      <c r="AKG1742" s="38"/>
      <c r="AKH1742" s="38"/>
      <c r="AKI1742" s="38"/>
      <c r="AKJ1742" s="38"/>
      <c r="AKK1742" s="38"/>
      <c r="AKL1742" s="38"/>
      <c r="AKM1742" s="38"/>
      <c r="AKN1742" s="38"/>
      <c r="AKO1742" s="38"/>
      <c r="AKP1742" s="38"/>
      <c r="AKQ1742" s="38"/>
      <c r="AKR1742" s="38"/>
      <c r="AKS1742" s="38"/>
      <c r="AKT1742" s="38"/>
      <c r="AKU1742" s="38"/>
      <c r="AKV1742" s="38"/>
      <c r="AKW1742" s="38"/>
      <c r="AKX1742" s="38"/>
      <c r="AKY1742" s="38"/>
      <c r="AKZ1742" s="38"/>
      <c r="ALA1742" s="38"/>
      <c r="ALB1742" s="38"/>
      <c r="ALC1742" s="38"/>
      <c r="ALD1742" s="38"/>
      <c r="ALE1742" s="38"/>
      <c r="ALF1742" s="38"/>
      <c r="ALG1742" s="38"/>
      <c r="ALH1742" s="38"/>
      <c r="ALI1742" s="38"/>
      <c r="ALJ1742" s="38"/>
      <c r="ALK1742" s="38"/>
      <c r="ALL1742" s="38"/>
      <c r="ALM1742" s="38"/>
      <c r="ALN1742" s="38"/>
      <c r="ALO1742" s="38"/>
      <c r="ALP1742" s="38"/>
      <c r="ALQ1742" s="38"/>
      <c r="ALR1742" s="38"/>
      <c r="ALS1742" s="38"/>
      <c r="ALT1742" s="38"/>
      <c r="ALU1742" s="38"/>
      <c r="ALV1742" s="38"/>
      <c r="ALW1742" s="38"/>
      <c r="ALX1742" s="38"/>
      <c r="ALY1742" s="38"/>
      <c r="ALZ1742" s="38"/>
      <c r="AMA1742" s="38"/>
      <c r="AMB1742" s="38"/>
      <c r="AMC1742" s="38"/>
      <c r="AMD1742" s="38"/>
      <c r="AME1742" s="38"/>
      <c r="AMF1742" s="38"/>
      <c r="AMG1742" s="38"/>
      <c r="AMH1742" s="38"/>
      <c r="AMI1742" s="38"/>
      <c r="AMJ1742" s="38"/>
      <c r="AMK1742" s="38"/>
      <c r="AML1742" s="38"/>
      <c r="AMM1742" s="38"/>
      <c r="AMN1742" s="38"/>
      <c r="AMO1742" s="38"/>
      <c r="AMP1742" s="38"/>
      <c r="AMQ1742" s="38"/>
      <c r="AMR1742" s="38"/>
      <c r="AMS1742" s="38"/>
      <c r="AMT1742" s="38"/>
      <c r="AMU1742" s="38"/>
      <c r="AMV1742" s="38"/>
      <c r="AMW1742" s="38"/>
      <c r="AMX1742" s="38"/>
      <c r="AMY1742" s="38"/>
      <c r="AMZ1742" s="38"/>
      <c r="ANA1742" s="38"/>
      <c r="ANB1742" s="38"/>
      <c r="ANC1742" s="38"/>
      <c r="AND1742" s="38"/>
      <c r="ANE1742" s="38"/>
      <c r="ANF1742" s="38"/>
      <c r="ANG1742" s="38"/>
      <c r="ANH1742" s="38"/>
      <c r="ANI1742" s="38"/>
      <c r="ANJ1742" s="38"/>
      <c r="ANK1742" s="38"/>
      <c r="ANL1742" s="38"/>
      <c r="ANM1742" s="38"/>
      <c r="ANN1742" s="38"/>
      <c r="ANO1742" s="38"/>
      <c r="ANP1742" s="38"/>
      <c r="ANQ1742" s="38"/>
      <c r="ANR1742" s="38"/>
      <c r="ANS1742" s="38"/>
      <c r="ANT1742" s="38"/>
      <c r="ANU1742" s="38"/>
      <c r="ANV1742" s="38"/>
      <c r="ANW1742" s="38"/>
      <c r="ANX1742" s="38"/>
      <c r="ANY1742" s="38"/>
      <c r="ANZ1742" s="38"/>
      <c r="AOA1742" s="38"/>
      <c r="AOB1742" s="38"/>
      <c r="AOC1742" s="38"/>
      <c r="AOD1742" s="38"/>
      <c r="AOE1742" s="38"/>
      <c r="AOF1742" s="38"/>
      <c r="AOG1742" s="38"/>
      <c r="AOH1742" s="38"/>
      <c r="AOI1742" s="38"/>
      <c r="AOJ1742" s="38"/>
      <c r="AOK1742" s="38"/>
      <c r="AOL1742" s="38"/>
      <c r="AOM1742" s="38"/>
      <c r="AON1742" s="38"/>
      <c r="AOO1742" s="38"/>
      <c r="AOP1742" s="38"/>
      <c r="AOQ1742" s="38"/>
      <c r="AOR1742" s="38"/>
      <c r="AOS1742" s="38"/>
      <c r="AOT1742" s="38"/>
      <c r="AOU1742" s="38"/>
      <c r="AOV1742" s="38"/>
      <c r="AOW1742" s="38"/>
      <c r="AOX1742" s="38"/>
      <c r="AOY1742" s="38"/>
      <c r="AOZ1742" s="38"/>
      <c r="APA1742" s="38"/>
      <c r="APB1742" s="38"/>
      <c r="APC1742" s="38"/>
    </row>
    <row r="1743" spans="1:1095" s="36" customFormat="1" ht="14.25" customHeight="1">
      <c r="A1743" s="3" t="s">
        <v>1722</v>
      </c>
      <c r="B1743" s="36" t="s">
        <v>1650</v>
      </c>
      <c r="C1743" s="10">
        <v>4058075730632</v>
      </c>
      <c r="D1743" s="224">
        <v>4058075730632</v>
      </c>
      <c r="E1743" s="245" t="s">
        <v>1650</v>
      </c>
      <c r="F1743" s="246"/>
      <c r="G1743" s="66" t="str">
        <f>HYPERLINK("https://ledvance.com/pt/product-datasheet/216563/210121","Ficha de Produto")</f>
        <v>Ficha de Produto</v>
      </c>
      <c r="H1743" s="217">
        <v>25</v>
      </c>
      <c r="I1743" s="217" t="s">
        <v>1201</v>
      </c>
      <c r="J1743" s="34" t="s">
        <v>6330</v>
      </c>
      <c r="K1743" s="34" t="s">
        <v>788</v>
      </c>
      <c r="L1743" s="34" t="s">
        <v>765</v>
      </c>
      <c r="M1743" s="247">
        <v>88.300000000000011</v>
      </c>
      <c r="N1743" s="288" t="s">
        <v>722</v>
      </c>
    </row>
    <row r="1744" spans="1:1095" s="36" customFormat="1" ht="14.25" customHeight="1">
      <c r="A1744" s="3" t="s">
        <v>1722</v>
      </c>
      <c r="B1744" s="36" t="s">
        <v>1651</v>
      </c>
      <c r="C1744" s="10">
        <v>4058075730656</v>
      </c>
      <c r="D1744" s="224">
        <v>4058075730656</v>
      </c>
      <c r="E1744" s="245" t="s">
        <v>1651</v>
      </c>
      <c r="F1744" s="246"/>
      <c r="G1744" s="66" t="str">
        <f>HYPERLINK("https://ledvance.com/pt/product-datasheet/216563/210124","Ficha de Produto")</f>
        <v>Ficha de Produto</v>
      </c>
      <c r="H1744" s="217">
        <v>25</v>
      </c>
      <c r="I1744" s="217" t="s">
        <v>1201</v>
      </c>
      <c r="J1744" s="34" t="s">
        <v>6164</v>
      </c>
      <c r="K1744" s="34" t="s">
        <v>788</v>
      </c>
      <c r="L1744" s="34" t="s">
        <v>765</v>
      </c>
      <c r="M1744" s="247">
        <v>102.9</v>
      </c>
      <c r="N1744" s="288" t="s">
        <v>722</v>
      </c>
    </row>
    <row r="1745" spans="1:1095" s="39" customFormat="1" ht="14.25" customHeight="1">
      <c r="A1745" s="8" t="s">
        <v>1722</v>
      </c>
      <c r="B1745" s="244" t="s">
        <v>2073</v>
      </c>
      <c r="C1745" s="8"/>
      <c r="D1745" s="7"/>
      <c r="E1745" s="230"/>
      <c r="F1745" s="7"/>
      <c r="G1745" s="68"/>
      <c r="H1745" s="230"/>
      <c r="I1745" s="230"/>
      <c r="J1745" s="230"/>
      <c r="K1745" s="230"/>
      <c r="L1745" s="230"/>
      <c r="M1745" s="248"/>
      <c r="N1745" s="289"/>
      <c r="O1745" s="38"/>
      <c r="P1745" s="38"/>
      <c r="Q1745" s="38"/>
      <c r="R1745" s="38"/>
      <c r="S1745" s="38"/>
      <c r="T1745" s="38"/>
      <c r="U1745" s="38"/>
      <c r="V1745" s="38"/>
      <c r="W1745" s="38"/>
      <c r="X1745" s="38"/>
      <c r="Y1745" s="38"/>
      <c r="Z1745" s="38"/>
      <c r="AA1745" s="38"/>
      <c r="AB1745" s="38"/>
      <c r="AC1745" s="38"/>
      <c r="AD1745" s="38"/>
      <c r="AE1745" s="38"/>
      <c r="AF1745" s="38"/>
      <c r="AG1745" s="38"/>
      <c r="AH1745" s="38"/>
      <c r="AI1745" s="38"/>
      <c r="AJ1745" s="38"/>
      <c r="AK1745" s="38"/>
      <c r="AL1745" s="38"/>
      <c r="AM1745" s="38"/>
      <c r="AN1745" s="38"/>
      <c r="AO1745" s="38"/>
      <c r="AP1745" s="38"/>
      <c r="AQ1745" s="38"/>
      <c r="AR1745" s="38"/>
      <c r="AS1745" s="38"/>
      <c r="AT1745" s="38"/>
      <c r="AU1745" s="38"/>
      <c r="AV1745" s="38"/>
      <c r="AW1745" s="38"/>
      <c r="AX1745" s="38"/>
      <c r="AY1745" s="38"/>
      <c r="AZ1745" s="38"/>
      <c r="BA1745" s="38"/>
      <c r="BB1745" s="38"/>
      <c r="BC1745" s="38"/>
      <c r="BD1745" s="38"/>
      <c r="BE1745" s="38"/>
      <c r="BF1745" s="38"/>
      <c r="BG1745" s="38"/>
      <c r="BH1745" s="38"/>
      <c r="BI1745" s="38"/>
      <c r="BJ1745" s="38"/>
      <c r="BK1745" s="38"/>
      <c r="BL1745" s="38"/>
      <c r="BM1745" s="38"/>
      <c r="BN1745" s="38"/>
      <c r="BO1745" s="38"/>
      <c r="BP1745" s="38"/>
      <c r="BQ1745" s="38"/>
      <c r="BR1745" s="38"/>
      <c r="BS1745" s="38"/>
      <c r="BT1745" s="38"/>
      <c r="BU1745" s="38"/>
      <c r="BV1745" s="38"/>
      <c r="BW1745" s="38"/>
      <c r="BX1745" s="38"/>
      <c r="BY1745" s="38"/>
      <c r="BZ1745" s="38"/>
      <c r="CA1745" s="38"/>
      <c r="CB1745" s="38"/>
      <c r="CC1745" s="38"/>
      <c r="CD1745" s="38"/>
      <c r="CE1745" s="38"/>
      <c r="CF1745" s="38"/>
      <c r="CG1745" s="38"/>
      <c r="CH1745" s="38"/>
      <c r="CI1745" s="38"/>
      <c r="CJ1745" s="38"/>
      <c r="CK1745" s="38"/>
      <c r="CL1745" s="38"/>
      <c r="CM1745" s="38"/>
      <c r="CN1745" s="38"/>
      <c r="CO1745" s="38"/>
      <c r="CP1745" s="38"/>
      <c r="CQ1745" s="38"/>
      <c r="CR1745" s="38"/>
      <c r="CS1745" s="38"/>
      <c r="CT1745" s="38"/>
      <c r="CU1745" s="38"/>
      <c r="CV1745" s="38"/>
      <c r="CW1745" s="38"/>
      <c r="CX1745" s="38"/>
      <c r="CY1745" s="38"/>
      <c r="CZ1745" s="38"/>
      <c r="DA1745" s="38"/>
      <c r="DB1745" s="38"/>
      <c r="DC1745" s="38"/>
      <c r="DD1745" s="38"/>
      <c r="DE1745" s="38"/>
      <c r="DF1745" s="38"/>
      <c r="DG1745" s="38"/>
      <c r="DH1745" s="38"/>
      <c r="DI1745" s="38"/>
      <c r="DJ1745" s="38"/>
      <c r="DK1745" s="38"/>
      <c r="DL1745" s="38"/>
      <c r="DM1745" s="38"/>
      <c r="DN1745" s="38"/>
      <c r="DO1745" s="38"/>
      <c r="DP1745" s="38"/>
      <c r="DQ1745" s="38"/>
      <c r="DR1745" s="38"/>
      <c r="DS1745" s="38"/>
      <c r="DT1745" s="38"/>
      <c r="DU1745" s="38"/>
      <c r="DV1745" s="38"/>
      <c r="DW1745" s="38"/>
      <c r="DX1745" s="38"/>
      <c r="DY1745" s="38"/>
      <c r="DZ1745" s="38"/>
      <c r="EA1745" s="38"/>
      <c r="EB1745" s="38"/>
      <c r="EC1745" s="38"/>
      <c r="ED1745" s="38"/>
      <c r="EE1745" s="38"/>
      <c r="EF1745" s="38"/>
      <c r="EG1745" s="38"/>
      <c r="EH1745" s="38"/>
      <c r="EI1745" s="38"/>
      <c r="EJ1745" s="38"/>
      <c r="EK1745" s="38"/>
      <c r="EL1745" s="38"/>
      <c r="EM1745" s="38"/>
      <c r="EN1745" s="38"/>
      <c r="EO1745" s="38"/>
      <c r="EP1745" s="38"/>
      <c r="EQ1745" s="38"/>
      <c r="ER1745" s="38"/>
      <c r="ES1745" s="38"/>
      <c r="ET1745" s="38"/>
      <c r="EU1745" s="38"/>
      <c r="EV1745" s="38"/>
      <c r="EW1745" s="38"/>
      <c r="EX1745" s="38"/>
      <c r="EY1745" s="38"/>
      <c r="EZ1745" s="38"/>
      <c r="FA1745" s="38"/>
      <c r="FB1745" s="38"/>
      <c r="FC1745" s="38"/>
      <c r="FD1745" s="38"/>
      <c r="FE1745" s="38"/>
      <c r="FF1745" s="38"/>
      <c r="FG1745" s="38"/>
      <c r="FH1745" s="38"/>
      <c r="FI1745" s="38"/>
      <c r="FJ1745" s="38"/>
      <c r="FK1745" s="38"/>
      <c r="FL1745" s="38"/>
      <c r="FM1745" s="38"/>
      <c r="FN1745" s="38"/>
      <c r="FO1745" s="38"/>
      <c r="FP1745" s="38"/>
      <c r="FQ1745" s="38"/>
      <c r="FR1745" s="38"/>
      <c r="FS1745" s="38"/>
      <c r="FT1745" s="38"/>
      <c r="FU1745" s="38"/>
      <c r="FV1745" s="38"/>
      <c r="FW1745" s="38"/>
      <c r="FX1745" s="38"/>
      <c r="FY1745" s="38"/>
      <c r="FZ1745" s="38"/>
      <c r="GA1745" s="38"/>
      <c r="GB1745" s="38"/>
      <c r="GC1745" s="38"/>
      <c r="GD1745" s="38"/>
      <c r="GE1745" s="38"/>
      <c r="GF1745" s="38"/>
      <c r="GG1745" s="38"/>
      <c r="GH1745" s="38"/>
      <c r="GI1745" s="38"/>
      <c r="GJ1745" s="38"/>
      <c r="GK1745" s="38"/>
      <c r="GL1745" s="38"/>
      <c r="GM1745" s="38"/>
      <c r="GN1745" s="38"/>
      <c r="GO1745" s="38"/>
      <c r="GP1745" s="38"/>
      <c r="GQ1745" s="38"/>
      <c r="GR1745" s="38"/>
      <c r="GS1745" s="38"/>
      <c r="GT1745" s="38"/>
      <c r="GU1745" s="38"/>
      <c r="GV1745" s="38"/>
      <c r="GW1745" s="38"/>
      <c r="GX1745" s="38"/>
      <c r="GY1745" s="38"/>
      <c r="GZ1745" s="38"/>
      <c r="HA1745" s="38"/>
      <c r="HB1745" s="38"/>
      <c r="HC1745" s="38"/>
      <c r="HD1745" s="38"/>
      <c r="HE1745" s="38"/>
      <c r="HF1745" s="38"/>
      <c r="HG1745" s="38"/>
      <c r="HH1745" s="38"/>
      <c r="HI1745" s="38"/>
      <c r="HJ1745" s="38"/>
      <c r="HK1745" s="38"/>
      <c r="HL1745" s="38"/>
      <c r="HM1745" s="38"/>
      <c r="HN1745" s="38"/>
      <c r="HO1745" s="38"/>
      <c r="HP1745" s="38"/>
      <c r="HQ1745" s="38"/>
      <c r="HR1745" s="38"/>
      <c r="HS1745" s="38"/>
      <c r="HT1745" s="38"/>
      <c r="HU1745" s="38"/>
      <c r="HV1745" s="38"/>
      <c r="HW1745" s="38"/>
      <c r="HX1745" s="38"/>
      <c r="HY1745" s="38"/>
      <c r="HZ1745" s="38"/>
      <c r="IA1745" s="38"/>
      <c r="IB1745" s="38"/>
      <c r="IC1745" s="38"/>
      <c r="ID1745" s="38"/>
      <c r="IE1745" s="38"/>
      <c r="IF1745" s="38"/>
      <c r="IG1745" s="38"/>
      <c r="IH1745" s="38"/>
      <c r="II1745" s="38"/>
      <c r="IJ1745" s="38"/>
      <c r="IK1745" s="38"/>
      <c r="IL1745" s="38"/>
      <c r="IM1745" s="38"/>
      <c r="IN1745" s="38"/>
      <c r="IO1745" s="38"/>
      <c r="IP1745" s="38"/>
      <c r="IQ1745" s="38"/>
      <c r="IR1745" s="38"/>
      <c r="IS1745" s="38"/>
      <c r="IT1745" s="38"/>
      <c r="IU1745" s="38"/>
      <c r="IV1745" s="38"/>
      <c r="IW1745" s="38"/>
      <c r="IX1745" s="38"/>
      <c r="IY1745" s="38"/>
      <c r="IZ1745" s="38"/>
      <c r="JA1745" s="38"/>
      <c r="JB1745" s="38"/>
      <c r="JC1745" s="38"/>
      <c r="JD1745" s="38"/>
      <c r="JE1745" s="38"/>
      <c r="JF1745" s="38"/>
      <c r="JG1745" s="38"/>
      <c r="JH1745" s="38"/>
      <c r="JI1745" s="38"/>
      <c r="JJ1745" s="38"/>
      <c r="JK1745" s="38"/>
      <c r="JL1745" s="38"/>
      <c r="JM1745" s="38"/>
      <c r="JN1745" s="38"/>
      <c r="JO1745" s="38"/>
      <c r="JP1745" s="38"/>
      <c r="JQ1745" s="38"/>
      <c r="JR1745" s="38"/>
      <c r="JS1745" s="38"/>
      <c r="JT1745" s="38"/>
      <c r="JU1745" s="38"/>
      <c r="JV1745" s="38"/>
      <c r="JW1745" s="38"/>
      <c r="JX1745" s="38"/>
      <c r="JY1745" s="38"/>
      <c r="JZ1745" s="38"/>
      <c r="KA1745" s="38"/>
      <c r="KB1745" s="38"/>
      <c r="KC1745" s="38"/>
      <c r="KD1745" s="38"/>
      <c r="KE1745" s="38"/>
      <c r="KF1745" s="38"/>
      <c r="KG1745" s="38"/>
      <c r="KH1745" s="38"/>
      <c r="KI1745" s="38"/>
      <c r="KJ1745" s="38"/>
      <c r="KK1745" s="38"/>
      <c r="KL1745" s="38"/>
      <c r="KM1745" s="38"/>
      <c r="KN1745" s="38"/>
      <c r="KO1745" s="38"/>
      <c r="KP1745" s="38"/>
      <c r="KQ1745" s="38"/>
      <c r="KR1745" s="38"/>
      <c r="KS1745" s="38"/>
      <c r="KT1745" s="38"/>
      <c r="KU1745" s="38"/>
      <c r="KV1745" s="38"/>
      <c r="KW1745" s="38"/>
      <c r="KX1745" s="38"/>
      <c r="KY1745" s="38"/>
      <c r="KZ1745" s="38"/>
      <c r="LA1745" s="38"/>
      <c r="LB1745" s="38"/>
      <c r="LC1745" s="38"/>
      <c r="LD1745" s="38"/>
      <c r="LE1745" s="38"/>
      <c r="LF1745" s="38"/>
      <c r="LG1745" s="38"/>
      <c r="LH1745" s="38"/>
      <c r="LI1745" s="38"/>
      <c r="LJ1745" s="38"/>
      <c r="LK1745" s="38"/>
      <c r="LL1745" s="38"/>
      <c r="LM1745" s="38"/>
      <c r="LN1745" s="38"/>
      <c r="LO1745" s="38"/>
      <c r="LP1745" s="38"/>
      <c r="LQ1745" s="38"/>
      <c r="LR1745" s="38"/>
      <c r="LS1745" s="38"/>
      <c r="LT1745" s="38"/>
      <c r="LU1745" s="38"/>
      <c r="LV1745" s="38"/>
      <c r="LW1745" s="38"/>
      <c r="LX1745" s="38"/>
      <c r="LY1745" s="38"/>
      <c r="LZ1745" s="38"/>
      <c r="MA1745" s="38"/>
      <c r="MB1745" s="38"/>
      <c r="MC1745" s="38"/>
      <c r="MD1745" s="38"/>
      <c r="ME1745" s="38"/>
      <c r="MF1745" s="38"/>
      <c r="MG1745" s="38"/>
      <c r="MH1745" s="38"/>
      <c r="MI1745" s="38"/>
      <c r="MJ1745" s="38"/>
      <c r="MK1745" s="38"/>
      <c r="ML1745" s="38"/>
      <c r="MM1745" s="38"/>
      <c r="MN1745" s="38"/>
      <c r="MO1745" s="38"/>
      <c r="MP1745" s="38"/>
      <c r="MQ1745" s="38"/>
      <c r="MR1745" s="38"/>
      <c r="MS1745" s="38"/>
      <c r="MT1745" s="38"/>
      <c r="MU1745" s="38"/>
      <c r="MV1745" s="38"/>
      <c r="MW1745" s="38"/>
      <c r="MX1745" s="38"/>
      <c r="MY1745" s="38"/>
      <c r="MZ1745" s="38"/>
      <c r="NA1745" s="38"/>
      <c r="NB1745" s="38"/>
      <c r="NC1745" s="38"/>
      <c r="ND1745" s="38"/>
      <c r="NE1745" s="38"/>
      <c r="NF1745" s="38"/>
      <c r="NG1745" s="38"/>
      <c r="NH1745" s="38"/>
      <c r="NI1745" s="38"/>
      <c r="NJ1745" s="38"/>
      <c r="NK1745" s="38"/>
      <c r="NL1745" s="38"/>
      <c r="NM1745" s="38"/>
      <c r="NN1745" s="38"/>
      <c r="NO1745" s="38"/>
      <c r="NP1745" s="38"/>
      <c r="NQ1745" s="38"/>
      <c r="NR1745" s="38"/>
      <c r="NS1745" s="38"/>
      <c r="NT1745" s="38"/>
      <c r="NU1745" s="38"/>
      <c r="NV1745" s="38"/>
      <c r="NW1745" s="38"/>
      <c r="NX1745" s="38"/>
      <c r="NY1745" s="38"/>
      <c r="NZ1745" s="38"/>
      <c r="OA1745" s="38"/>
      <c r="OB1745" s="38"/>
      <c r="OC1745" s="38"/>
      <c r="OD1745" s="38"/>
      <c r="OE1745" s="38"/>
      <c r="OF1745" s="38"/>
      <c r="OG1745" s="38"/>
      <c r="OH1745" s="38"/>
      <c r="OI1745" s="38"/>
      <c r="OJ1745" s="38"/>
      <c r="OK1745" s="38"/>
      <c r="OL1745" s="38"/>
      <c r="OM1745" s="38"/>
      <c r="ON1745" s="38"/>
      <c r="OO1745" s="38"/>
      <c r="OP1745" s="38"/>
      <c r="OQ1745" s="38"/>
      <c r="OR1745" s="38"/>
      <c r="OS1745" s="38"/>
      <c r="OT1745" s="38"/>
      <c r="OU1745" s="38"/>
      <c r="OV1745" s="38"/>
      <c r="OW1745" s="38"/>
      <c r="OX1745" s="38"/>
      <c r="OY1745" s="38"/>
      <c r="OZ1745" s="38"/>
      <c r="PA1745" s="38"/>
      <c r="PB1745" s="38"/>
      <c r="PC1745" s="38"/>
      <c r="PD1745" s="38"/>
      <c r="PE1745" s="38"/>
      <c r="PF1745" s="38"/>
      <c r="PG1745" s="38"/>
      <c r="PH1745" s="38"/>
      <c r="PI1745" s="38"/>
      <c r="PJ1745" s="38"/>
      <c r="PK1745" s="38"/>
      <c r="PL1745" s="38"/>
      <c r="PM1745" s="38"/>
      <c r="PN1745" s="38"/>
      <c r="PO1745" s="38"/>
      <c r="PP1745" s="38"/>
      <c r="PQ1745" s="38"/>
      <c r="PR1745" s="38"/>
      <c r="PS1745" s="38"/>
      <c r="PT1745" s="38"/>
      <c r="PU1745" s="38"/>
      <c r="PV1745" s="38"/>
      <c r="PW1745" s="38"/>
      <c r="PX1745" s="38"/>
      <c r="PY1745" s="38"/>
      <c r="PZ1745" s="38"/>
      <c r="QA1745" s="38"/>
      <c r="QB1745" s="38"/>
      <c r="QC1745" s="38"/>
      <c r="QD1745" s="38"/>
      <c r="QE1745" s="38"/>
      <c r="QF1745" s="38"/>
      <c r="QG1745" s="38"/>
      <c r="QH1745" s="38"/>
      <c r="QI1745" s="38"/>
      <c r="QJ1745" s="38"/>
      <c r="QK1745" s="38"/>
      <c r="QL1745" s="38"/>
      <c r="QM1745" s="38"/>
      <c r="QN1745" s="38"/>
      <c r="QO1745" s="38"/>
      <c r="QP1745" s="38"/>
      <c r="QQ1745" s="38"/>
      <c r="QR1745" s="38"/>
      <c r="QS1745" s="38"/>
      <c r="QT1745" s="38"/>
      <c r="QU1745" s="38"/>
      <c r="QV1745" s="38"/>
      <c r="QW1745" s="38"/>
      <c r="QX1745" s="38"/>
      <c r="QY1745" s="38"/>
      <c r="QZ1745" s="38"/>
      <c r="RA1745" s="38"/>
      <c r="RB1745" s="38"/>
      <c r="RC1745" s="38"/>
      <c r="RD1745" s="38"/>
      <c r="RE1745" s="38"/>
      <c r="RF1745" s="38"/>
      <c r="RG1745" s="38"/>
      <c r="RH1745" s="38"/>
      <c r="RI1745" s="38"/>
      <c r="RJ1745" s="38"/>
      <c r="RK1745" s="38"/>
      <c r="RL1745" s="38"/>
      <c r="RM1745" s="38"/>
      <c r="RN1745" s="38"/>
      <c r="RO1745" s="38"/>
      <c r="RP1745" s="38"/>
      <c r="RQ1745" s="38"/>
      <c r="RR1745" s="38"/>
      <c r="RS1745" s="38"/>
      <c r="RT1745" s="38"/>
      <c r="RU1745" s="38"/>
      <c r="RV1745" s="38"/>
      <c r="RW1745" s="38"/>
      <c r="RX1745" s="38"/>
      <c r="RY1745" s="38"/>
      <c r="RZ1745" s="38"/>
      <c r="SA1745" s="38"/>
      <c r="SB1745" s="38"/>
      <c r="SC1745" s="38"/>
      <c r="SD1745" s="38"/>
      <c r="SE1745" s="38"/>
      <c r="SF1745" s="38"/>
      <c r="SG1745" s="38"/>
      <c r="SH1745" s="38"/>
      <c r="SI1745" s="38"/>
      <c r="SJ1745" s="38"/>
      <c r="SK1745" s="38"/>
      <c r="SL1745" s="38"/>
      <c r="SM1745" s="38"/>
      <c r="SN1745" s="38"/>
      <c r="SO1745" s="38"/>
      <c r="SP1745" s="38"/>
      <c r="SQ1745" s="38"/>
      <c r="SR1745" s="38"/>
      <c r="SS1745" s="38"/>
      <c r="ST1745" s="38"/>
      <c r="SU1745" s="38"/>
      <c r="SV1745" s="38"/>
      <c r="SW1745" s="38"/>
      <c r="SX1745" s="38"/>
      <c r="SY1745" s="38"/>
      <c r="SZ1745" s="38"/>
      <c r="TA1745" s="38"/>
      <c r="TB1745" s="38"/>
      <c r="TC1745" s="38"/>
      <c r="TD1745" s="38"/>
      <c r="TE1745" s="38"/>
      <c r="TF1745" s="38"/>
      <c r="TG1745" s="38"/>
      <c r="TH1745" s="38"/>
      <c r="TI1745" s="38"/>
      <c r="TJ1745" s="38"/>
      <c r="TK1745" s="38"/>
      <c r="TL1745" s="38"/>
      <c r="TM1745" s="38"/>
      <c r="TN1745" s="38"/>
      <c r="TO1745" s="38"/>
      <c r="TP1745" s="38"/>
      <c r="TQ1745" s="38"/>
      <c r="TR1745" s="38"/>
      <c r="TS1745" s="38"/>
      <c r="TT1745" s="38"/>
      <c r="TU1745" s="38"/>
      <c r="TV1745" s="38"/>
      <c r="TW1745" s="38"/>
      <c r="TX1745" s="38"/>
      <c r="TY1745" s="38"/>
      <c r="TZ1745" s="38"/>
      <c r="UA1745" s="38"/>
      <c r="UB1745" s="38"/>
      <c r="UC1745" s="38"/>
      <c r="UD1745" s="38"/>
      <c r="UE1745" s="38"/>
      <c r="UF1745" s="38"/>
      <c r="UG1745" s="38"/>
      <c r="UH1745" s="38"/>
      <c r="UI1745" s="38"/>
      <c r="UJ1745" s="38"/>
      <c r="UK1745" s="38"/>
      <c r="UL1745" s="38"/>
      <c r="UM1745" s="38"/>
      <c r="UN1745" s="38"/>
      <c r="UO1745" s="38"/>
      <c r="UP1745" s="38"/>
      <c r="UQ1745" s="38"/>
      <c r="UR1745" s="38"/>
      <c r="US1745" s="38"/>
      <c r="UT1745" s="38"/>
      <c r="UU1745" s="38"/>
      <c r="UV1745" s="38"/>
      <c r="UW1745" s="38"/>
      <c r="UX1745" s="38"/>
      <c r="UY1745" s="38"/>
      <c r="UZ1745" s="38"/>
      <c r="VA1745" s="38"/>
      <c r="VB1745" s="38"/>
      <c r="VC1745" s="38"/>
      <c r="VD1745" s="38"/>
      <c r="VE1745" s="38"/>
      <c r="VF1745" s="38"/>
      <c r="VG1745" s="38"/>
      <c r="VH1745" s="38"/>
      <c r="VI1745" s="38"/>
      <c r="VJ1745" s="38"/>
      <c r="VK1745" s="38"/>
      <c r="VL1745" s="38"/>
      <c r="VM1745" s="38"/>
      <c r="VN1745" s="38"/>
      <c r="VO1745" s="38"/>
      <c r="VP1745" s="38"/>
      <c r="VQ1745" s="38"/>
      <c r="VR1745" s="38"/>
      <c r="VS1745" s="38"/>
      <c r="VT1745" s="38"/>
      <c r="VU1745" s="38"/>
      <c r="VV1745" s="38"/>
      <c r="VW1745" s="38"/>
      <c r="VX1745" s="38"/>
      <c r="VY1745" s="38"/>
      <c r="VZ1745" s="38"/>
      <c r="WA1745" s="38"/>
      <c r="WB1745" s="38"/>
      <c r="WC1745" s="38"/>
      <c r="WD1745" s="38"/>
      <c r="WE1745" s="38"/>
      <c r="WF1745" s="38"/>
      <c r="WG1745" s="38"/>
      <c r="WH1745" s="38"/>
      <c r="WI1745" s="38"/>
      <c r="WJ1745" s="38"/>
      <c r="WK1745" s="38"/>
      <c r="WL1745" s="38"/>
      <c r="WM1745" s="38"/>
      <c r="WN1745" s="38"/>
      <c r="WO1745" s="38"/>
      <c r="WP1745" s="38"/>
      <c r="WQ1745" s="38"/>
      <c r="WR1745" s="38"/>
      <c r="WS1745" s="38"/>
      <c r="WT1745" s="38"/>
      <c r="WU1745" s="38"/>
      <c r="WV1745" s="38"/>
      <c r="WW1745" s="38"/>
      <c r="WX1745" s="38"/>
      <c r="WY1745" s="38"/>
      <c r="WZ1745" s="38"/>
      <c r="XA1745" s="38"/>
      <c r="XB1745" s="38"/>
      <c r="XC1745" s="38"/>
      <c r="XD1745" s="38"/>
      <c r="XE1745" s="38"/>
      <c r="XF1745" s="38"/>
      <c r="XG1745" s="38"/>
      <c r="XH1745" s="38"/>
      <c r="XI1745" s="38"/>
      <c r="XJ1745" s="38"/>
      <c r="XK1745" s="38"/>
      <c r="XL1745" s="38"/>
      <c r="XM1745" s="38"/>
      <c r="XN1745" s="38"/>
      <c r="XO1745" s="38"/>
      <c r="XP1745" s="38"/>
      <c r="XQ1745" s="38"/>
      <c r="XR1745" s="38"/>
      <c r="XS1745" s="38"/>
      <c r="XT1745" s="38"/>
      <c r="XU1745" s="38"/>
      <c r="XV1745" s="38"/>
      <c r="XW1745" s="38"/>
      <c r="XX1745" s="38"/>
      <c r="XY1745" s="38"/>
      <c r="XZ1745" s="38"/>
      <c r="YA1745" s="38"/>
      <c r="YB1745" s="38"/>
      <c r="YC1745" s="38"/>
      <c r="YD1745" s="38"/>
      <c r="YE1745" s="38"/>
      <c r="YF1745" s="38"/>
      <c r="YG1745" s="38"/>
      <c r="YH1745" s="38"/>
      <c r="YI1745" s="38"/>
      <c r="YJ1745" s="38"/>
      <c r="YK1745" s="38"/>
      <c r="YL1745" s="38"/>
      <c r="YM1745" s="38"/>
      <c r="YN1745" s="38"/>
      <c r="YO1745" s="38"/>
      <c r="YP1745" s="38"/>
      <c r="YQ1745" s="38"/>
      <c r="YR1745" s="38"/>
      <c r="YS1745" s="38"/>
      <c r="YT1745" s="38"/>
      <c r="YU1745" s="38"/>
      <c r="YV1745" s="38"/>
      <c r="YW1745" s="38"/>
      <c r="YX1745" s="38"/>
      <c r="YY1745" s="38"/>
      <c r="YZ1745" s="38"/>
      <c r="ZA1745" s="38"/>
      <c r="ZB1745" s="38"/>
      <c r="ZC1745" s="38"/>
      <c r="ZD1745" s="38"/>
      <c r="ZE1745" s="38"/>
      <c r="ZF1745" s="38"/>
      <c r="ZG1745" s="38"/>
      <c r="ZH1745" s="38"/>
      <c r="ZI1745" s="38"/>
      <c r="ZJ1745" s="38"/>
      <c r="ZK1745" s="38"/>
      <c r="ZL1745" s="38"/>
      <c r="ZM1745" s="38"/>
      <c r="ZN1745" s="38"/>
      <c r="ZO1745" s="38"/>
      <c r="ZP1745" s="38"/>
      <c r="ZQ1745" s="38"/>
      <c r="ZR1745" s="38"/>
      <c r="ZS1745" s="38"/>
      <c r="ZT1745" s="38"/>
      <c r="ZU1745" s="38"/>
      <c r="ZV1745" s="38"/>
      <c r="ZW1745" s="38"/>
      <c r="ZX1745" s="38"/>
      <c r="ZY1745" s="38"/>
      <c r="ZZ1745" s="38"/>
      <c r="AAA1745" s="38"/>
      <c r="AAB1745" s="38"/>
      <c r="AAC1745" s="38"/>
      <c r="AAD1745" s="38"/>
      <c r="AAE1745" s="38"/>
      <c r="AAF1745" s="38"/>
      <c r="AAG1745" s="38"/>
      <c r="AAH1745" s="38"/>
      <c r="AAI1745" s="38"/>
      <c r="AAJ1745" s="38"/>
      <c r="AAK1745" s="38"/>
      <c r="AAL1745" s="38"/>
      <c r="AAM1745" s="38"/>
      <c r="AAN1745" s="38"/>
      <c r="AAO1745" s="38"/>
      <c r="AAP1745" s="38"/>
      <c r="AAQ1745" s="38"/>
      <c r="AAR1745" s="38"/>
      <c r="AAS1745" s="38"/>
      <c r="AAT1745" s="38"/>
      <c r="AAU1745" s="38"/>
      <c r="AAV1745" s="38"/>
      <c r="AAW1745" s="38"/>
      <c r="AAX1745" s="38"/>
      <c r="AAY1745" s="38"/>
      <c r="AAZ1745" s="38"/>
      <c r="ABA1745" s="38"/>
      <c r="ABB1745" s="38"/>
      <c r="ABC1745" s="38"/>
      <c r="ABD1745" s="38"/>
      <c r="ABE1745" s="38"/>
      <c r="ABF1745" s="38"/>
      <c r="ABG1745" s="38"/>
      <c r="ABH1745" s="38"/>
      <c r="ABI1745" s="38"/>
      <c r="ABJ1745" s="38"/>
      <c r="ABK1745" s="38"/>
      <c r="ABL1745" s="38"/>
      <c r="ABM1745" s="38"/>
      <c r="ABN1745" s="38"/>
      <c r="ABO1745" s="38"/>
      <c r="ABP1745" s="38"/>
      <c r="ABQ1745" s="38"/>
      <c r="ABR1745" s="38"/>
      <c r="ABS1745" s="38"/>
      <c r="ABT1745" s="38"/>
      <c r="ABU1745" s="38"/>
      <c r="ABV1745" s="38"/>
      <c r="ABW1745" s="38"/>
      <c r="ABX1745" s="38"/>
      <c r="ABY1745" s="38"/>
      <c r="ABZ1745" s="38"/>
      <c r="ACA1745" s="38"/>
      <c r="ACB1745" s="38"/>
      <c r="ACC1745" s="38"/>
      <c r="ACD1745" s="38"/>
      <c r="ACE1745" s="38"/>
      <c r="ACF1745" s="38"/>
      <c r="ACG1745" s="38"/>
      <c r="ACH1745" s="38"/>
      <c r="ACI1745" s="38"/>
      <c r="ACJ1745" s="38"/>
      <c r="ACK1745" s="38"/>
      <c r="ACL1745" s="38"/>
      <c r="ACM1745" s="38"/>
      <c r="ACN1745" s="38"/>
      <c r="ACO1745" s="38"/>
      <c r="ACP1745" s="38"/>
      <c r="ACQ1745" s="38"/>
      <c r="ACR1745" s="38"/>
      <c r="ACS1745" s="38"/>
      <c r="ACT1745" s="38"/>
      <c r="ACU1745" s="38"/>
      <c r="ACV1745" s="38"/>
      <c r="ACW1745" s="38"/>
      <c r="ACX1745" s="38"/>
      <c r="ACY1745" s="38"/>
      <c r="ACZ1745" s="38"/>
      <c r="ADA1745" s="38"/>
      <c r="ADB1745" s="38"/>
      <c r="ADC1745" s="38"/>
      <c r="ADD1745" s="38"/>
      <c r="ADE1745" s="38"/>
      <c r="ADF1745" s="38"/>
      <c r="ADG1745" s="38"/>
      <c r="ADH1745" s="38"/>
      <c r="ADI1745" s="38"/>
      <c r="ADJ1745" s="38"/>
      <c r="ADK1745" s="38"/>
      <c r="ADL1745" s="38"/>
      <c r="ADM1745" s="38"/>
      <c r="ADN1745" s="38"/>
      <c r="ADO1745" s="38"/>
      <c r="ADP1745" s="38"/>
      <c r="ADQ1745" s="38"/>
      <c r="ADR1745" s="38"/>
      <c r="ADS1745" s="38"/>
      <c r="ADT1745" s="38"/>
      <c r="ADU1745" s="38"/>
      <c r="ADV1745" s="38"/>
      <c r="ADW1745" s="38"/>
      <c r="ADX1745" s="38"/>
      <c r="ADY1745" s="38"/>
      <c r="ADZ1745" s="38"/>
      <c r="AEA1745" s="38"/>
      <c r="AEB1745" s="38"/>
      <c r="AEC1745" s="38"/>
      <c r="AED1745" s="38"/>
      <c r="AEE1745" s="38"/>
      <c r="AEF1745" s="38"/>
      <c r="AEG1745" s="38"/>
      <c r="AEH1745" s="38"/>
      <c r="AEI1745" s="38"/>
      <c r="AEJ1745" s="38"/>
      <c r="AEK1745" s="38"/>
      <c r="AEL1745" s="38"/>
      <c r="AEM1745" s="38"/>
      <c r="AEN1745" s="38"/>
      <c r="AEO1745" s="38"/>
      <c r="AEP1745" s="38"/>
      <c r="AEQ1745" s="38"/>
      <c r="AER1745" s="38"/>
      <c r="AES1745" s="38"/>
      <c r="AET1745" s="38"/>
      <c r="AEU1745" s="38"/>
      <c r="AEV1745" s="38"/>
      <c r="AEW1745" s="38"/>
      <c r="AEX1745" s="38"/>
      <c r="AEY1745" s="38"/>
      <c r="AEZ1745" s="38"/>
      <c r="AFA1745" s="38"/>
      <c r="AFB1745" s="38"/>
      <c r="AFC1745" s="38"/>
      <c r="AFD1745" s="38"/>
      <c r="AFE1745" s="38"/>
      <c r="AFF1745" s="38"/>
      <c r="AFG1745" s="38"/>
      <c r="AFH1745" s="38"/>
      <c r="AFI1745" s="38"/>
      <c r="AFJ1745" s="38"/>
      <c r="AFK1745" s="38"/>
      <c r="AFL1745" s="38"/>
      <c r="AFM1745" s="38"/>
      <c r="AFN1745" s="38"/>
      <c r="AFO1745" s="38"/>
      <c r="AFP1745" s="38"/>
      <c r="AFQ1745" s="38"/>
      <c r="AFR1745" s="38"/>
      <c r="AFS1745" s="38"/>
      <c r="AFT1745" s="38"/>
      <c r="AFU1745" s="38"/>
      <c r="AFV1745" s="38"/>
      <c r="AFW1745" s="38"/>
      <c r="AFX1745" s="38"/>
      <c r="AFY1745" s="38"/>
      <c r="AFZ1745" s="38"/>
      <c r="AGA1745" s="38"/>
      <c r="AGB1745" s="38"/>
      <c r="AGC1745" s="38"/>
      <c r="AGD1745" s="38"/>
      <c r="AGE1745" s="38"/>
      <c r="AGF1745" s="38"/>
      <c r="AGG1745" s="38"/>
      <c r="AGH1745" s="38"/>
      <c r="AGI1745" s="38"/>
      <c r="AGJ1745" s="38"/>
      <c r="AGK1745" s="38"/>
      <c r="AGL1745" s="38"/>
      <c r="AGM1745" s="38"/>
      <c r="AGN1745" s="38"/>
      <c r="AGO1745" s="38"/>
      <c r="AGP1745" s="38"/>
      <c r="AGQ1745" s="38"/>
      <c r="AGR1745" s="38"/>
      <c r="AGS1745" s="38"/>
      <c r="AGT1745" s="38"/>
      <c r="AGU1745" s="38"/>
      <c r="AGV1745" s="38"/>
      <c r="AGW1745" s="38"/>
      <c r="AGX1745" s="38"/>
      <c r="AGY1745" s="38"/>
      <c r="AGZ1745" s="38"/>
      <c r="AHA1745" s="38"/>
      <c r="AHB1745" s="38"/>
      <c r="AHC1745" s="38"/>
      <c r="AHD1745" s="38"/>
      <c r="AHE1745" s="38"/>
      <c r="AHF1745" s="38"/>
      <c r="AHG1745" s="38"/>
      <c r="AHH1745" s="38"/>
      <c r="AHI1745" s="38"/>
      <c r="AHJ1745" s="38"/>
      <c r="AHK1745" s="38"/>
      <c r="AHL1745" s="38"/>
      <c r="AHM1745" s="38"/>
      <c r="AHN1745" s="38"/>
      <c r="AHO1745" s="38"/>
      <c r="AHP1745" s="38"/>
      <c r="AHQ1745" s="38"/>
      <c r="AHR1745" s="38"/>
      <c r="AHS1745" s="38"/>
      <c r="AHT1745" s="38"/>
      <c r="AHU1745" s="38"/>
      <c r="AHV1745" s="38"/>
      <c r="AHW1745" s="38"/>
      <c r="AHX1745" s="38"/>
      <c r="AHY1745" s="38"/>
      <c r="AHZ1745" s="38"/>
      <c r="AIA1745" s="38"/>
      <c r="AIB1745" s="38"/>
      <c r="AIC1745" s="38"/>
      <c r="AID1745" s="38"/>
      <c r="AIE1745" s="38"/>
      <c r="AIF1745" s="38"/>
      <c r="AIG1745" s="38"/>
      <c r="AIH1745" s="38"/>
      <c r="AII1745" s="38"/>
      <c r="AIJ1745" s="38"/>
      <c r="AIK1745" s="38"/>
      <c r="AIL1745" s="38"/>
      <c r="AIM1745" s="38"/>
      <c r="AIN1745" s="38"/>
      <c r="AIO1745" s="38"/>
      <c r="AIP1745" s="38"/>
      <c r="AIQ1745" s="38"/>
      <c r="AIR1745" s="38"/>
      <c r="AIS1745" s="38"/>
      <c r="AIT1745" s="38"/>
      <c r="AIU1745" s="38"/>
      <c r="AIV1745" s="38"/>
      <c r="AIW1745" s="38"/>
      <c r="AIX1745" s="38"/>
      <c r="AIY1745" s="38"/>
      <c r="AIZ1745" s="38"/>
      <c r="AJA1745" s="38"/>
      <c r="AJB1745" s="38"/>
      <c r="AJC1745" s="38"/>
      <c r="AJD1745" s="38"/>
      <c r="AJE1745" s="38"/>
      <c r="AJF1745" s="38"/>
      <c r="AJG1745" s="38"/>
      <c r="AJH1745" s="38"/>
      <c r="AJI1745" s="38"/>
      <c r="AJJ1745" s="38"/>
      <c r="AJK1745" s="38"/>
      <c r="AJL1745" s="38"/>
      <c r="AJM1745" s="38"/>
      <c r="AJN1745" s="38"/>
      <c r="AJO1745" s="38"/>
      <c r="AJP1745" s="38"/>
      <c r="AJQ1745" s="38"/>
      <c r="AJR1745" s="38"/>
      <c r="AJS1745" s="38"/>
      <c r="AJT1745" s="38"/>
      <c r="AJU1745" s="38"/>
      <c r="AJV1745" s="38"/>
      <c r="AJW1745" s="38"/>
      <c r="AJX1745" s="38"/>
      <c r="AJY1745" s="38"/>
      <c r="AJZ1745" s="38"/>
      <c r="AKA1745" s="38"/>
      <c r="AKB1745" s="38"/>
      <c r="AKC1745" s="38"/>
      <c r="AKD1745" s="38"/>
      <c r="AKE1745" s="38"/>
      <c r="AKF1745" s="38"/>
      <c r="AKG1745" s="38"/>
      <c r="AKH1745" s="38"/>
      <c r="AKI1745" s="38"/>
      <c r="AKJ1745" s="38"/>
      <c r="AKK1745" s="38"/>
      <c r="AKL1745" s="38"/>
      <c r="AKM1745" s="38"/>
      <c r="AKN1745" s="38"/>
      <c r="AKO1745" s="38"/>
      <c r="AKP1745" s="38"/>
      <c r="AKQ1745" s="38"/>
      <c r="AKR1745" s="38"/>
      <c r="AKS1745" s="38"/>
      <c r="AKT1745" s="38"/>
      <c r="AKU1745" s="38"/>
      <c r="AKV1745" s="38"/>
      <c r="AKW1745" s="38"/>
      <c r="AKX1745" s="38"/>
      <c r="AKY1745" s="38"/>
      <c r="AKZ1745" s="38"/>
      <c r="ALA1745" s="38"/>
      <c r="ALB1745" s="38"/>
      <c r="ALC1745" s="38"/>
      <c r="ALD1745" s="38"/>
      <c r="ALE1745" s="38"/>
      <c r="ALF1745" s="38"/>
      <c r="ALG1745" s="38"/>
      <c r="ALH1745" s="38"/>
      <c r="ALI1745" s="38"/>
      <c r="ALJ1745" s="38"/>
      <c r="ALK1745" s="38"/>
      <c r="ALL1745" s="38"/>
      <c r="ALM1745" s="38"/>
      <c r="ALN1745" s="38"/>
      <c r="ALO1745" s="38"/>
      <c r="ALP1745" s="38"/>
      <c r="ALQ1745" s="38"/>
      <c r="ALR1745" s="38"/>
      <c r="ALS1745" s="38"/>
      <c r="ALT1745" s="38"/>
      <c r="ALU1745" s="38"/>
      <c r="ALV1745" s="38"/>
      <c r="ALW1745" s="38"/>
      <c r="ALX1745" s="38"/>
      <c r="ALY1745" s="38"/>
      <c r="ALZ1745" s="38"/>
      <c r="AMA1745" s="38"/>
      <c r="AMB1745" s="38"/>
      <c r="AMC1745" s="38"/>
      <c r="AMD1745" s="38"/>
      <c r="AME1745" s="38"/>
      <c r="AMF1745" s="38"/>
      <c r="AMG1745" s="38"/>
      <c r="AMH1745" s="38"/>
      <c r="AMI1745" s="38"/>
      <c r="AMJ1745" s="38"/>
      <c r="AMK1745" s="38"/>
      <c r="AML1745" s="38"/>
      <c r="AMM1745" s="38"/>
      <c r="AMN1745" s="38"/>
      <c r="AMO1745" s="38"/>
      <c r="AMP1745" s="38"/>
      <c r="AMQ1745" s="38"/>
      <c r="AMR1745" s="38"/>
      <c r="AMS1745" s="38"/>
      <c r="AMT1745" s="38"/>
      <c r="AMU1745" s="38"/>
      <c r="AMV1745" s="38"/>
      <c r="AMW1745" s="38"/>
      <c r="AMX1745" s="38"/>
      <c r="AMY1745" s="38"/>
      <c r="AMZ1745" s="38"/>
      <c r="ANA1745" s="38"/>
      <c r="ANB1745" s="38"/>
      <c r="ANC1745" s="38"/>
      <c r="AND1745" s="38"/>
      <c r="ANE1745" s="38"/>
      <c r="ANF1745" s="38"/>
      <c r="ANG1745" s="38"/>
      <c r="ANH1745" s="38"/>
      <c r="ANI1745" s="38"/>
      <c r="ANJ1745" s="38"/>
      <c r="ANK1745" s="38"/>
      <c r="ANL1745" s="38"/>
      <c r="ANM1745" s="38"/>
      <c r="ANN1745" s="38"/>
      <c r="ANO1745" s="38"/>
      <c r="ANP1745" s="38"/>
      <c r="ANQ1745" s="38"/>
      <c r="ANR1745" s="38"/>
      <c r="ANS1745" s="38"/>
      <c r="ANT1745" s="38"/>
      <c r="ANU1745" s="38"/>
      <c r="ANV1745" s="38"/>
      <c r="ANW1745" s="38"/>
      <c r="ANX1745" s="38"/>
      <c r="ANY1745" s="38"/>
      <c r="ANZ1745" s="38"/>
      <c r="AOA1745" s="38"/>
      <c r="AOB1745" s="38"/>
      <c r="AOC1745" s="38"/>
      <c r="AOD1745" s="38"/>
      <c r="AOE1745" s="38"/>
      <c r="AOF1745" s="38"/>
      <c r="AOG1745" s="38"/>
      <c r="AOH1745" s="38"/>
      <c r="AOI1745" s="38"/>
      <c r="AOJ1745" s="38"/>
      <c r="AOK1745" s="38"/>
      <c r="AOL1745" s="38"/>
      <c r="AOM1745" s="38"/>
      <c r="AON1745" s="38"/>
      <c r="AOO1745" s="38"/>
      <c r="AOP1745" s="38"/>
      <c r="AOQ1745" s="38"/>
      <c r="AOR1745" s="38"/>
      <c r="AOS1745" s="38"/>
      <c r="AOT1745" s="38"/>
      <c r="AOU1745" s="38"/>
      <c r="AOV1745" s="38"/>
      <c r="AOW1745" s="38"/>
      <c r="AOX1745" s="38"/>
      <c r="AOY1745" s="38"/>
      <c r="AOZ1745" s="38"/>
      <c r="APA1745" s="38"/>
      <c r="APB1745" s="38"/>
      <c r="APC1745" s="38"/>
    </row>
    <row r="1746" spans="1:1095" s="36" customFormat="1" ht="14.25" customHeight="1">
      <c r="A1746" s="3" t="s">
        <v>1722</v>
      </c>
      <c r="B1746" s="36" t="s">
        <v>4010</v>
      </c>
      <c r="C1746" s="10">
        <v>4099854042447</v>
      </c>
      <c r="D1746" s="246"/>
      <c r="E1746" s="249"/>
      <c r="F1746" s="222" t="s">
        <v>3136</v>
      </c>
      <c r="G1746" s="66" t="str">
        <f>HYPERLINK("https://ledvance.com/pt/product-datasheet/247589/234417","Ficha de Produto")</f>
        <v>Ficha de Produto</v>
      </c>
      <c r="H1746" s="217">
        <v>10</v>
      </c>
      <c r="I1746" s="34" t="s">
        <v>857</v>
      </c>
      <c r="J1746" s="34" t="s">
        <v>1053</v>
      </c>
      <c r="K1746" s="34" t="s">
        <v>788</v>
      </c>
      <c r="L1746" s="34" t="s">
        <v>793</v>
      </c>
      <c r="M1746" s="247">
        <v>25.900000000000002</v>
      </c>
      <c r="N1746" s="288" t="s">
        <v>722</v>
      </c>
    </row>
    <row r="1747" spans="1:1095" s="36" customFormat="1" ht="14.25" customHeight="1">
      <c r="A1747" s="3" t="s">
        <v>1722</v>
      </c>
      <c r="B1747" s="36" t="s">
        <v>4011</v>
      </c>
      <c r="C1747" s="10">
        <v>4099854042461</v>
      </c>
      <c r="D1747" s="224">
        <v>4058075604612</v>
      </c>
      <c r="E1747" s="245" t="s">
        <v>1024</v>
      </c>
      <c r="F1747" s="246"/>
      <c r="G1747" s="66" t="str">
        <f>HYPERLINK("https://ledvance.com/pt/product-datasheet/247589/234420","Ficha de Produto")</f>
        <v>Ficha de Produto</v>
      </c>
      <c r="H1747" s="217">
        <v>10</v>
      </c>
      <c r="I1747" s="34" t="s">
        <v>6331</v>
      </c>
      <c r="J1747" s="34" t="s">
        <v>1053</v>
      </c>
      <c r="K1747" s="34" t="s">
        <v>788</v>
      </c>
      <c r="L1747" s="34" t="s">
        <v>793</v>
      </c>
      <c r="M1747" s="247">
        <v>25.900000000000002</v>
      </c>
      <c r="N1747" s="288" t="s">
        <v>722</v>
      </c>
    </row>
    <row r="1748" spans="1:1095" s="36" customFormat="1" ht="14.25" customHeight="1">
      <c r="A1748" s="3" t="s">
        <v>1722</v>
      </c>
      <c r="B1748" s="36" t="s">
        <v>4012</v>
      </c>
      <c r="C1748" s="10">
        <v>4099854042485</v>
      </c>
      <c r="D1748" s="224">
        <v>4058075604650</v>
      </c>
      <c r="E1748" s="245" t="s">
        <v>1025</v>
      </c>
      <c r="F1748" s="246"/>
      <c r="G1748" s="66" t="str">
        <f>HYPERLINK("https://ledvance.com/pt/product-datasheet/247589/234423","Ficha de Produto")</f>
        <v>Ficha de Produto</v>
      </c>
      <c r="H1748" s="217">
        <v>10</v>
      </c>
      <c r="I1748" s="34" t="s">
        <v>6331</v>
      </c>
      <c r="J1748" s="34" t="s">
        <v>1053</v>
      </c>
      <c r="K1748" s="34" t="s">
        <v>788</v>
      </c>
      <c r="L1748" s="34" t="s">
        <v>793</v>
      </c>
      <c r="M1748" s="247">
        <v>25.900000000000002</v>
      </c>
      <c r="N1748" s="288" t="s">
        <v>722</v>
      </c>
    </row>
    <row r="1749" spans="1:1095" s="36" customFormat="1" ht="14.25" customHeight="1">
      <c r="A1749" s="3" t="s">
        <v>1722</v>
      </c>
      <c r="B1749" s="36" t="s">
        <v>4013</v>
      </c>
      <c r="C1749" s="10">
        <v>4099854042508</v>
      </c>
      <c r="D1749" s="246"/>
      <c r="E1749" s="249"/>
      <c r="F1749" s="222" t="s">
        <v>3136</v>
      </c>
      <c r="G1749" s="66" t="str">
        <f>HYPERLINK("https://ledvance.com/pt/product-datasheet/247589/234426","Ficha de Produto")</f>
        <v>Ficha de Produto</v>
      </c>
      <c r="H1749" s="217">
        <v>10</v>
      </c>
      <c r="I1749" s="34" t="s">
        <v>861</v>
      </c>
      <c r="J1749" s="34" t="s">
        <v>6319</v>
      </c>
      <c r="K1749" s="34" t="s">
        <v>788</v>
      </c>
      <c r="L1749" s="34" t="s">
        <v>793</v>
      </c>
      <c r="M1749" s="247">
        <v>31.900000000000002</v>
      </c>
      <c r="N1749" s="288" t="s">
        <v>722</v>
      </c>
    </row>
    <row r="1750" spans="1:1095" s="36" customFormat="1" ht="14.25" customHeight="1">
      <c r="A1750" s="3" t="s">
        <v>1722</v>
      </c>
      <c r="B1750" s="36" t="s">
        <v>4014</v>
      </c>
      <c r="C1750" s="10">
        <v>4099854042522</v>
      </c>
      <c r="D1750" s="224">
        <v>4058075604674</v>
      </c>
      <c r="E1750" s="245" t="s">
        <v>1026</v>
      </c>
      <c r="F1750" s="246"/>
      <c r="G1750" s="66" t="str">
        <f>HYPERLINK("https://ledvance.com/pt/product-datasheet/247589/234429","Ficha de Produto")</f>
        <v>Ficha de Produto</v>
      </c>
      <c r="H1750" s="217">
        <v>10</v>
      </c>
      <c r="I1750" s="34" t="s">
        <v>819</v>
      </c>
      <c r="J1750" s="34" t="s">
        <v>6319</v>
      </c>
      <c r="K1750" s="34" t="s">
        <v>788</v>
      </c>
      <c r="L1750" s="34" t="s">
        <v>793</v>
      </c>
      <c r="M1750" s="247">
        <v>31.900000000000002</v>
      </c>
      <c r="N1750" s="288" t="s">
        <v>722</v>
      </c>
    </row>
    <row r="1751" spans="1:1095" s="36" customFormat="1" ht="14.25" customHeight="1">
      <c r="A1751" s="3" t="s">
        <v>1722</v>
      </c>
      <c r="B1751" s="36" t="s">
        <v>4015</v>
      </c>
      <c r="C1751" s="10">
        <v>4099854042546</v>
      </c>
      <c r="D1751" s="224">
        <v>4058075604698</v>
      </c>
      <c r="E1751" s="245" t="s">
        <v>1027</v>
      </c>
      <c r="F1751" s="246"/>
      <c r="G1751" s="66" t="str">
        <f>HYPERLINK("https://ledvance.com/pt/product-datasheet/247589/234432","Ficha de Produto")</f>
        <v>Ficha de Produto</v>
      </c>
      <c r="H1751" s="217">
        <v>10</v>
      </c>
      <c r="I1751" s="34" t="s">
        <v>819</v>
      </c>
      <c r="J1751" s="34" t="s">
        <v>6319</v>
      </c>
      <c r="K1751" s="34" t="s">
        <v>788</v>
      </c>
      <c r="L1751" s="34" t="s">
        <v>793</v>
      </c>
      <c r="M1751" s="247">
        <v>31.900000000000002</v>
      </c>
      <c r="N1751" s="288" t="s">
        <v>722</v>
      </c>
    </row>
    <row r="1752" spans="1:1095" s="36" customFormat="1" ht="14.25" customHeight="1">
      <c r="A1752" s="3" t="s">
        <v>1722</v>
      </c>
      <c r="B1752" s="36" t="s">
        <v>4016</v>
      </c>
      <c r="C1752" s="10">
        <v>4099854042560</v>
      </c>
      <c r="D1752" s="246"/>
      <c r="E1752" s="249"/>
      <c r="F1752" s="222" t="s">
        <v>3136</v>
      </c>
      <c r="G1752" s="66" t="str">
        <f>HYPERLINK("https://ledvance.com/pt/product-datasheet/247589/234435","Ficha de Produto")</f>
        <v>Ficha de Produto</v>
      </c>
      <c r="H1752" s="217">
        <v>10</v>
      </c>
      <c r="I1752" s="34" t="s">
        <v>1047</v>
      </c>
      <c r="J1752" s="34" t="s">
        <v>821</v>
      </c>
      <c r="K1752" s="34" t="s">
        <v>788</v>
      </c>
      <c r="L1752" s="34" t="s">
        <v>793</v>
      </c>
      <c r="M1752" s="247">
        <v>56.1</v>
      </c>
      <c r="N1752" s="288" t="s">
        <v>722</v>
      </c>
    </row>
    <row r="1753" spans="1:1095" s="36" customFormat="1" ht="14.25" customHeight="1">
      <c r="A1753" s="3" t="s">
        <v>1722</v>
      </c>
      <c r="B1753" s="36" t="s">
        <v>4017</v>
      </c>
      <c r="C1753" s="10">
        <v>4099854042584</v>
      </c>
      <c r="D1753" s="246"/>
      <c r="E1753" s="249"/>
      <c r="F1753" s="222" t="s">
        <v>3136</v>
      </c>
      <c r="G1753" s="66" t="str">
        <f>HYPERLINK("https://ledvance.com/pt/product-datasheet/247589/234438","Ficha de Produto")</f>
        <v>Ficha de Produto</v>
      </c>
      <c r="H1753" s="217">
        <v>10</v>
      </c>
      <c r="I1753" s="34" t="s">
        <v>1047</v>
      </c>
      <c r="J1753" s="34" t="s">
        <v>821</v>
      </c>
      <c r="K1753" s="34" t="s">
        <v>788</v>
      </c>
      <c r="L1753" s="34" t="s">
        <v>793</v>
      </c>
      <c r="M1753" s="247">
        <v>56.1</v>
      </c>
      <c r="N1753" s="288" t="s">
        <v>722</v>
      </c>
    </row>
    <row r="1754" spans="1:1095" s="39" customFormat="1" ht="14.25" customHeight="1">
      <c r="A1754" s="8" t="s">
        <v>1722</v>
      </c>
      <c r="B1754" s="244" t="s">
        <v>2074</v>
      </c>
      <c r="C1754" s="8"/>
      <c r="D1754" s="7"/>
      <c r="E1754" s="250"/>
      <c r="F1754" s="250"/>
      <c r="G1754" s="68"/>
      <c r="H1754" s="230"/>
      <c r="I1754" s="250"/>
      <c r="J1754" s="250"/>
      <c r="K1754" s="250"/>
      <c r="L1754" s="250"/>
      <c r="M1754" s="248"/>
      <c r="N1754" s="292"/>
      <c r="O1754" s="38"/>
      <c r="P1754" s="38"/>
      <c r="Q1754" s="38"/>
      <c r="R1754" s="38"/>
      <c r="S1754" s="38"/>
      <c r="T1754" s="38"/>
      <c r="U1754" s="38"/>
      <c r="V1754" s="38"/>
      <c r="W1754" s="38"/>
      <c r="X1754" s="38"/>
      <c r="Y1754" s="38"/>
      <c r="Z1754" s="38"/>
      <c r="AA1754" s="38"/>
      <c r="AB1754" s="38"/>
      <c r="AC1754" s="38"/>
      <c r="AD1754" s="38"/>
      <c r="AE1754" s="38"/>
      <c r="AF1754" s="38"/>
      <c r="AG1754" s="38"/>
      <c r="AH1754" s="38"/>
      <c r="AI1754" s="38"/>
      <c r="AJ1754" s="38"/>
      <c r="AK1754" s="38"/>
      <c r="AL1754" s="38"/>
      <c r="AM1754" s="38"/>
      <c r="AN1754" s="38"/>
      <c r="AO1754" s="38"/>
      <c r="AP1754" s="38"/>
      <c r="AQ1754" s="38"/>
      <c r="AR1754" s="38"/>
      <c r="AS1754" s="38"/>
      <c r="AT1754" s="38"/>
      <c r="AU1754" s="38"/>
      <c r="AV1754" s="38"/>
      <c r="AW1754" s="38"/>
      <c r="AX1754" s="38"/>
      <c r="AY1754" s="38"/>
      <c r="AZ1754" s="38"/>
      <c r="BA1754" s="38"/>
      <c r="BB1754" s="38"/>
      <c r="BC1754" s="38"/>
      <c r="BD1754" s="38"/>
      <c r="BE1754" s="38"/>
      <c r="BF1754" s="38"/>
      <c r="BG1754" s="38"/>
      <c r="BH1754" s="38"/>
      <c r="BI1754" s="38"/>
      <c r="BJ1754" s="38"/>
      <c r="BK1754" s="38"/>
      <c r="BL1754" s="38"/>
      <c r="BM1754" s="38"/>
      <c r="BN1754" s="38"/>
      <c r="BO1754" s="38"/>
      <c r="BP1754" s="38"/>
      <c r="BQ1754" s="38"/>
      <c r="BR1754" s="38"/>
      <c r="BS1754" s="38"/>
      <c r="BT1754" s="38"/>
      <c r="BU1754" s="38"/>
      <c r="BV1754" s="38"/>
      <c r="BW1754" s="38"/>
      <c r="BX1754" s="38"/>
      <c r="BY1754" s="38"/>
      <c r="BZ1754" s="38"/>
      <c r="CA1754" s="38"/>
      <c r="CB1754" s="38"/>
      <c r="CC1754" s="38"/>
      <c r="CD1754" s="38"/>
      <c r="CE1754" s="38"/>
      <c r="CF1754" s="38"/>
      <c r="CG1754" s="38"/>
      <c r="CH1754" s="38"/>
      <c r="CI1754" s="38"/>
      <c r="CJ1754" s="38"/>
      <c r="CK1754" s="38"/>
      <c r="CL1754" s="38"/>
      <c r="CM1754" s="38"/>
      <c r="CN1754" s="38"/>
      <c r="CO1754" s="38"/>
      <c r="CP1754" s="38"/>
      <c r="CQ1754" s="38"/>
      <c r="CR1754" s="38"/>
      <c r="CS1754" s="38"/>
      <c r="CT1754" s="38"/>
      <c r="CU1754" s="38"/>
      <c r="CV1754" s="38"/>
      <c r="CW1754" s="38"/>
      <c r="CX1754" s="38"/>
      <c r="CY1754" s="38"/>
      <c r="CZ1754" s="38"/>
      <c r="DA1754" s="38"/>
      <c r="DB1754" s="38"/>
      <c r="DC1754" s="38"/>
      <c r="DD1754" s="38"/>
      <c r="DE1754" s="38"/>
      <c r="DF1754" s="38"/>
      <c r="DG1754" s="38"/>
      <c r="DH1754" s="38"/>
      <c r="DI1754" s="38"/>
      <c r="DJ1754" s="38"/>
      <c r="DK1754" s="38"/>
      <c r="DL1754" s="38"/>
      <c r="DM1754" s="38"/>
      <c r="DN1754" s="38"/>
      <c r="DO1754" s="38"/>
      <c r="DP1754" s="38"/>
      <c r="DQ1754" s="38"/>
      <c r="DR1754" s="38"/>
      <c r="DS1754" s="38"/>
      <c r="DT1754" s="38"/>
      <c r="DU1754" s="38"/>
      <c r="DV1754" s="38"/>
      <c r="DW1754" s="38"/>
      <c r="DX1754" s="38"/>
      <c r="DY1754" s="38"/>
      <c r="DZ1754" s="38"/>
      <c r="EA1754" s="38"/>
      <c r="EB1754" s="38"/>
      <c r="EC1754" s="38"/>
      <c r="ED1754" s="38"/>
      <c r="EE1754" s="38"/>
      <c r="EF1754" s="38"/>
      <c r="EG1754" s="38"/>
      <c r="EH1754" s="38"/>
      <c r="EI1754" s="38"/>
      <c r="EJ1754" s="38"/>
      <c r="EK1754" s="38"/>
      <c r="EL1754" s="38"/>
      <c r="EM1754" s="38"/>
      <c r="EN1754" s="38"/>
      <c r="EO1754" s="38"/>
      <c r="EP1754" s="38"/>
      <c r="EQ1754" s="38"/>
      <c r="ER1754" s="38"/>
      <c r="ES1754" s="38"/>
      <c r="ET1754" s="38"/>
      <c r="EU1754" s="38"/>
      <c r="EV1754" s="38"/>
      <c r="EW1754" s="38"/>
      <c r="EX1754" s="38"/>
      <c r="EY1754" s="38"/>
      <c r="EZ1754" s="38"/>
      <c r="FA1754" s="38"/>
      <c r="FB1754" s="38"/>
      <c r="FC1754" s="38"/>
      <c r="FD1754" s="38"/>
      <c r="FE1754" s="38"/>
      <c r="FF1754" s="38"/>
      <c r="FG1754" s="38"/>
      <c r="FH1754" s="38"/>
      <c r="FI1754" s="38"/>
      <c r="FJ1754" s="38"/>
      <c r="FK1754" s="38"/>
      <c r="FL1754" s="38"/>
      <c r="FM1754" s="38"/>
      <c r="FN1754" s="38"/>
      <c r="FO1754" s="38"/>
      <c r="FP1754" s="38"/>
      <c r="FQ1754" s="38"/>
      <c r="FR1754" s="38"/>
      <c r="FS1754" s="38"/>
      <c r="FT1754" s="38"/>
      <c r="FU1754" s="38"/>
      <c r="FV1754" s="38"/>
      <c r="FW1754" s="38"/>
      <c r="FX1754" s="38"/>
      <c r="FY1754" s="38"/>
      <c r="FZ1754" s="38"/>
      <c r="GA1754" s="38"/>
      <c r="GB1754" s="38"/>
      <c r="GC1754" s="38"/>
      <c r="GD1754" s="38"/>
      <c r="GE1754" s="38"/>
      <c r="GF1754" s="38"/>
      <c r="GG1754" s="38"/>
      <c r="GH1754" s="38"/>
      <c r="GI1754" s="38"/>
      <c r="GJ1754" s="38"/>
      <c r="GK1754" s="38"/>
      <c r="GL1754" s="38"/>
      <c r="GM1754" s="38"/>
      <c r="GN1754" s="38"/>
      <c r="GO1754" s="38"/>
      <c r="GP1754" s="38"/>
      <c r="GQ1754" s="38"/>
      <c r="GR1754" s="38"/>
      <c r="GS1754" s="38"/>
      <c r="GT1754" s="38"/>
      <c r="GU1754" s="38"/>
      <c r="GV1754" s="38"/>
      <c r="GW1754" s="38"/>
      <c r="GX1754" s="38"/>
      <c r="GY1754" s="38"/>
      <c r="GZ1754" s="38"/>
      <c r="HA1754" s="38"/>
      <c r="HB1754" s="38"/>
      <c r="HC1754" s="38"/>
      <c r="HD1754" s="38"/>
      <c r="HE1754" s="38"/>
      <c r="HF1754" s="38"/>
      <c r="HG1754" s="38"/>
      <c r="HH1754" s="38"/>
      <c r="HI1754" s="38"/>
      <c r="HJ1754" s="38"/>
      <c r="HK1754" s="38"/>
      <c r="HL1754" s="38"/>
      <c r="HM1754" s="38"/>
      <c r="HN1754" s="38"/>
      <c r="HO1754" s="38"/>
      <c r="HP1754" s="38"/>
      <c r="HQ1754" s="38"/>
      <c r="HR1754" s="38"/>
      <c r="HS1754" s="38"/>
      <c r="HT1754" s="38"/>
      <c r="HU1754" s="38"/>
      <c r="HV1754" s="38"/>
      <c r="HW1754" s="38"/>
      <c r="HX1754" s="38"/>
      <c r="HY1754" s="38"/>
      <c r="HZ1754" s="38"/>
      <c r="IA1754" s="38"/>
      <c r="IB1754" s="38"/>
      <c r="IC1754" s="38"/>
      <c r="ID1754" s="38"/>
      <c r="IE1754" s="38"/>
      <c r="IF1754" s="38"/>
      <c r="IG1754" s="38"/>
      <c r="IH1754" s="38"/>
      <c r="II1754" s="38"/>
      <c r="IJ1754" s="38"/>
      <c r="IK1754" s="38"/>
      <c r="IL1754" s="38"/>
      <c r="IM1754" s="38"/>
      <c r="IN1754" s="38"/>
      <c r="IO1754" s="38"/>
      <c r="IP1754" s="38"/>
      <c r="IQ1754" s="38"/>
      <c r="IR1754" s="38"/>
      <c r="IS1754" s="38"/>
      <c r="IT1754" s="38"/>
      <c r="IU1754" s="38"/>
      <c r="IV1754" s="38"/>
      <c r="IW1754" s="38"/>
      <c r="IX1754" s="38"/>
      <c r="IY1754" s="38"/>
      <c r="IZ1754" s="38"/>
      <c r="JA1754" s="38"/>
      <c r="JB1754" s="38"/>
      <c r="JC1754" s="38"/>
      <c r="JD1754" s="38"/>
      <c r="JE1754" s="38"/>
      <c r="JF1754" s="38"/>
      <c r="JG1754" s="38"/>
      <c r="JH1754" s="38"/>
      <c r="JI1754" s="38"/>
      <c r="JJ1754" s="38"/>
      <c r="JK1754" s="38"/>
      <c r="JL1754" s="38"/>
      <c r="JM1754" s="38"/>
      <c r="JN1754" s="38"/>
      <c r="JO1754" s="38"/>
      <c r="JP1754" s="38"/>
      <c r="JQ1754" s="38"/>
      <c r="JR1754" s="38"/>
      <c r="JS1754" s="38"/>
      <c r="JT1754" s="38"/>
      <c r="JU1754" s="38"/>
      <c r="JV1754" s="38"/>
      <c r="JW1754" s="38"/>
      <c r="JX1754" s="38"/>
      <c r="JY1754" s="38"/>
      <c r="JZ1754" s="38"/>
      <c r="KA1754" s="38"/>
      <c r="KB1754" s="38"/>
      <c r="KC1754" s="38"/>
      <c r="KD1754" s="38"/>
      <c r="KE1754" s="38"/>
      <c r="KF1754" s="38"/>
      <c r="KG1754" s="38"/>
      <c r="KH1754" s="38"/>
      <c r="KI1754" s="38"/>
      <c r="KJ1754" s="38"/>
      <c r="KK1754" s="38"/>
      <c r="KL1754" s="38"/>
      <c r="KM1754" s="38"/>
      <c r="KN1754" s="38"/>
      <c r="KO1754" s="38"/>
      <c r="KP1754" s="38"/>
      <c r="KQ1754" s="38"/>
      <c r="KR1754" s="38"/>
      <c r="KS1754" s="38"/>
      <c r="KT1754" s="38"/>
      <c r="KU1754" s="38"/>
      <c r="KV1754" s="38"/>
      <c r="KW1754" s="38"/>
      <c r="KX1754" s="38"/>
      <c r="KY1754" s="38"/>
      <c r="KZ1754" s="38"/>
      <c r="LA1754" s="38"/>
      <c r="LB1754" s="38"/>
      <c r="LC1754" s="38"/>
      <c r="LD1754" s="38"/>
      <c r="LE1754" s="38"/>
      <c r="LF1754" s="38"/>
      <c r="LG1754" s="38"/>
      <c r="LH1754" s="38"/>
      <c r="LI1754" s="38"/>
      <c r="LJ1754" s="38"/>
      <c r="LK1754" s="38"/>
      <c r="LL1754" s="38"/>
      <c r="LM1754" s="38"/>
      <c r="LN1754" s="38"/>
      <c r="LO1754" s="38"/>
      <c r="LP1754" s="38"/>
      <c r="LQ1754" s="38"/>
      <c r="LR1754" s="38"/>
      <c r="LS1754" s="38"/>
      <c r="LT1754" s="38"/>
      <c r="LU1754" s="38"/>
      <c r="LV1754" s="38"/>
      <c r="LW1754" s="38"/>
      <c r="LX1754" s="38"/>
      <c r="LY1754" s="38"/>
      <c r="LZ1754" s="38"/>
      <c r="MA1754" s="38"/>
      <c r="MB1754" s="38"/>
      <c r="MC1754" s="38"/>
      <c r="MD1754" s="38"/>
      <c r="ME1754" s="38"/>
      <c r="MF1754" s="38"/>
      <c r="MG1754" s="38"/>
      <c r="MH1754" s="38"/>
      <c r="MI1754" s="38"/>
      <c r="MJ1754" s="38"/>
      <c r="MK1754" s="38"/>
      <c r="ML1754" s="38"/>
      <c r="MM1754" s="38"/>
      <c r="MN1754" s="38"/>
      <c r="MO1754" s="38"/>
      <c r="MP1754" s="38"/>
      <c r="MQ1754" s="38"/>
      <c r="MR1754" s="38"/>
      <c r="MS1754" s="38"/>
      <c r="MT1754" s="38"/>
      <c r="MU1754" s="38"/>
      <c r="MV1754" s="38"/>
      <c r="MW1754" s="38"/>
      <c r="MX1754" s="38"/>
      <c r="MY1754" s="38"/>
      <c r="MZ1754" s="38"/>
      <c r="NA1754" s="38"/>
      <c r="NB1754" s="38"/>
      <c r="NC1754" s="38"/>
      <c r="ND1754" s="38"/>
      <c r="NE1754" s="38"/>
      <c r="NF1754" s="38"/>
      <c r="NG1754" s="38"/>
      <c r="NH1754" s="38"/>
      <c r="NI1754" s="38"/>
      <c r="NJ1754" s="38"/>
      <c r="NK1754" s="38"/>
      <c r="NL1754" s="38"/>
      <c r="NM1754" s="38"/>
      <c r="NN1754" s="38"/>
      <c r="NO1754" s="38"/>
      <c r="NP1754" s="38"/>
      <c r="NQ1754" s="38"/>
      <c r="NR1754" s="38"/>
      <c r="NS1754" s="38"/>
      <c r="NT1754" s="38"/>
      <c r="NU1754" s="38"/>
      <c r="NV1754" s="38"/>
      <c r="NW1754" s="38"/>
      <c r="NX1754" s="38"/>
      <c r="NY1754" s="38"/>
      <c r="NZ1754" s="38"/>
      <c r="OA1754" s="38"/>
      <c r="OB1754" s="38"/>
      <c r="OC1754" s="38"/>
      <c r="OD1754" s="38"/>
      <c r="OE1754" s="38"/>
      <c r="OF1754" s="38"/>
      <c r="OG1754" s="38"/>
      <c r="OH1754" s="38"/>
      <c r="OI1754" s="38"/>
      <c r="OJ1754" s="38"/>
      <c r="OK1754" s="38"/>
      <c r="OL1754" s="38"/>
      <c r="OM1754" s="38"/>
      <c r="ON1754" s="38"/>
      <c r="OO1754" s="38"/>
      <c r="OP1754" s="38"/>
      <c r="OQ1754" s="38"/>
      <c r="OR1754" s="38"/>
      <c r="OS1754" s="38"/>
      <c r="OT1754" s="38"/>
      <c r="OU1754" s="38"/>
      <c r="OV1754" s="38"/>
      <c r="OW1754" s="38"/>
      <c r="OX1754" s="38"/>
      <c r="OY1754" s="38"/>
      <c r="OZ1754" s="38"/>
      <c r="PA1754" s="38"/>
      <c r="PB1754" s="38"/>
      <c r="PC1754" s="38"/>
      <c r="PD1754" s="38"/>
      <c r="PE1754" s="38"/>
      <c r="PF1754" s="38"/>
      <c r="PG1754" s="38"/>
      <c r="PH1754" s="38"/>
      <c r="PI1754" s="38"/>
      <c r="PJ1754" s="38"/>
      <c r="PK1754" s="38"/>
      <c r="PL1754" s="38"/>
      <c r="PM1754" s="38"/>
      <c r="PN1754" s="38"/>
      <c r="PO1754" s="38"/>
      <c r="PP1754" s="38"/>
      <c r="PQ1754" s="38"/>
      <c r="PR1754" s="38"/>
      <c r="PS1754" s="38"/>
      <c r="PT1754" s="38"/>
      <c r="PU1754" s="38"/>
      <c r="PV1754" s="38"/>
      <c r="PW1754" s="38"/>
      <c r="PX1754" s="38"/>
      <c r="PY1754" s="38"/>
      <c r="PZ1754" s="38"/>
      <c r="QA1754" s="38"/>
      <c r="QB1754" s="38"/>
      <c r="QC1754" s="38"/>
      <c r="QD1754" s="38"/>
      <c r="QE1754" s="38"/>
      <c r="QF1754" s="38"/>
      <c r="QG1754" s="38"/>
      <c r="QH1754" s="38"/>
      <c r="QI1754" s="38"/>
      <c r="QJ1754" s="38"/>
      <c r="QK1754" s="38"/>
      <c r="QL1754" s="38"/>
      <c r="QM1754" s="38"/>
      <c r="QN1754" s="38"/>
      <c r="QO1754" s="38"/>
      <c r="QP1754" s="38"/>
      <c r="QQ1754" s="38"/>
      <c r="QR1754" s="38"/>
      <c r="QS1754" s="38"/>
      <c r="QT1754" s="38"/>
      <c r="QU1754" s="38"/>
      <c r="QV1754" s="38"/>
      <c r="QW1754" s="38"/>
      <c r="QX1754" s="38"/>
      <c r="QY1754" s="38"/>
      <c r="QZ1754" s="38"/>
      <c r="RA1754" s="38"/>
      <c r="RB1754" s="38"/>
      <c r="RC1754" s="38"/>
      <c r="RD1754" s="38"/>
      <c r="RE1754" s="38"/>
      <c r="RF1754" s="38"/>
      <c r="RG1754" s="38"/>
      <c r="RH1754" s="38"/>
      <c r="RI1754" s="38"/>
      <c r="RJ1754" s="38"/>
      <c r="RK1754" s="38"/>
      <c r="RL1754" s="38"/>
      <c r="RM1754" s="38"/>
      <c r="RN1754" s="38"/>
      <c r="RO1754" s="38"/>
      <c r="RP1754" s="38"/>
      <c r="RQ1754" s="38"/>
      <c r="RR1754" s="38"/>
      <c r="RS1754" s="38"/>
      <c r="RT1754" s="38"/>
      <c r="RU1754" s="38"/>
      <c r="RV1754" s="38"/>
      <c r="RW1754" s="38"/>
      <c r="RX1754" s="38"/>
      <c r="RY1754" s="38"/>
      <c r="RZ1754" s="38"/>
      <c r="SA1754" s="38"/>
      <c r="SB1754" s="38"/>
      <c r="SC1754" s="38"/>
      <c r="SD1754" s="38"/>
      <c r="SE1754" s="38"/>
      <c r="SF1754" s="38"/>
      <c r="SG1754" s="38"/>
      <c r="SH1754" s="38"/>
      <c r="SI1754" s="38"/>
      <c r="SJ1754" s="38"/>
      <c r="SK1754" s="38"/>
      <c r="SL1754" s="38"/>
      <c r="SM1754" s="38"/>
      <c r="SN1754" s="38"/>
      <c r="SO1754" s="38"/>
      <c r="SP1754" s="38"/>
      <c r="SQ1754" s="38"/>
      <c r="SR1754" s="38"/>
      <c r="SS1754" s="38"/>
      <c r="ST1754" s="38"/>
      <c r="SU1754" s="38"/>
      <c r="SV1754" s="38"/>
      <c r="SW1754" s="38"/>
      <c r="SX1754" s="38"/>
      <c r="SY1754" s="38"/>
      <c r="SZ1754" s="38"/>
      <c r="TA1754" s="38"/>
      <c r="TB1754" s="38"/>
      <c r="TC1754" s="38"/>
      <c r="TD1754" s="38"/>
      <c r="TE1754" s="38"/>
      <c r="TF1754" s="38"/>
      <c r="TG1754" s="38"/>
      <c r="TH1754" s="38"/>
      <c r="TI1754" s="38"/>
      <c r="TJ1754" s="38"/>
      <c r="TK1754" s="38"/>
      <c r="TL1754" s="38"/>
      <c r="TM1754" s="38"/>
      <c r="TN1754" s="38"/>
      <c r="TO1754" s="38"/>
      <c r="TP1754" s="38"/>
      <c r="TQ1754" s="38"/>
      <c r="TR1754" s="38"/>
      <c r="TS1754" s="38"/>
      <c r="TT1754" s="38"/>
      <c r="TU1754" s="38"/>
      <c r="TV1754" s="38"/>
      <c r="TW1754" s="38"/>
      <c r="TX1754" s="38"/>
      <c r="TY1754" s="38"/>
      <c r="TZ1754" s="38"/>
      <c r="UA1754" s="38"/>
      <c r="UB1754" s="38"/>
      <c r="UC1754" s="38"/>
      <c r="UD1754" s="38"/>
      <c r="UE1754" s="38"/>
      <c r="UF1754" s="38"/>
      <c r="UG1754" s="38"/>
      <c r="UH1754" s="38"/>
      <c r="UI1754" s="38"/>
      <c r="UJ1754" s="38"/>
      <c r="UK1754" s="38"/>
      <c r="UL1754" s="38"/>
      <c r="UM1754" s="38"/>
      <c r="UN1754" s="38"/>
      <c r="UO1754" s="38"/>
      <c r="UP1754" s="38"/>
      <c r="UQ1754" s="38"/>
      <c r="UR1754" s="38"/>
      <c r="US1754" s="38"/>
      <c r="UT1754" s="38"/>
      <c r="UU1754" s="38"/>
      <c r="UV1754" s="38"/>
      <c r="UW1754" s="38"/>
      <c r="UX1754" s="38"/>
      <c r="UY1754" s="38"/>
      <c r="UZ1754" s="38"/>
      <c r="VA1754" s="38"/>
      <c r="VB1754" s="38"/>
      <c r="VC1754" s="38"/>
      <c r="VD1754" s="38"/>
      <c r="VE1754" s="38"/>
      <c r="VF1754" s="38"/>
      <c r="VG1754" s="38"/>
      <c r="VH1754" s="38"/>
      <c r="VI1754" s="38"/>
      <c r="VJ1754" s="38"/>
      <c r="VK1754" s="38"/>
      <c r="VL1754" s="38"/>
      <c r="VM1754" s="38"/>
      <c r="VN1754" s="38"/>
      <c r="VO1754" s="38"/>
      <c r="VP1754" s="38"/>
      <c r="VQ1754" s="38"/>
      <c r="VR1754" s="38"/>
      <c r="VS1754" s="38"/>
      <c r="VT1754" s="38"/>
      <c r="VU1754" s="38"/>
      <c r="VV1754" s="38"/>
      <c r="VW1754" s="38"/>
      <c r="VX1754" s="38"/>
      <c r="VY1754" s="38"/>
      <c r="VZ1754" s="38"/>
      <c r="WA1754" s="38"/>
      <c r="WB1754" s="38"/>
      <c r="WC1754" s="38"/>
      <c r="WD1754" s="38"/>
      <c r="WE1754" s="38"/>
      <c r="WF1754" s="38"/>
      <c r="WG1754" s="38"/>
      <c r="WH1754" s="38"/>
      <c r="WI1754" s="38"/>
      <c r="WJ1754" s="38"/>
      <c r="WK1754" s="38"/>
      <c r="WL1754" s="38"/>
      <c r="WM1754" s="38"/>
      <c r="WN1754" s="38"/>
      <c r="WO1754" s="38"/>
      <c r="WP1754" s="38"/>
      <c r="WQ1754" s="38"/>
      <c r="WR1754" s="38"/>
      <c r="WS1754" s="38"/>
      <c r="WT1754" s="38"/>
      <c r="WU1754" s="38"/>
      <c r="WV1754" s="38"/>
      <c r="WW1754" s="38"/>
      <c r="WX1754" s="38"/>
      <c r="WY1754" s="38"/>
      <c r="WZ1754" s="38"/>
      <c r="XA1754" s="38"/>
      <c r="XB1754" s="38"/>
      <c r="XC1754" s="38"/>
      <c r="XD1754" s="38"/>
      <c r="XE1754" s="38"/>
      <c r="XF1754" s="38"/>
      <c r="XG1754" s="38"/>
      <c r="XH1754" s="38"/>
      <c r="XI1754" s="38"/>
      <c r="XJ1754" s="38"/>
      <c r="XK1754" s="38"/>
      <c r="XL1754" s="38"/>
      <c r="XM1754" s="38"/>
      <c r="XN1754" s="38"/>
      <c r="XO1754" s="38"/>
      <c r="XP1754" s="38"/>
      <c r="XQ1754" s="38"/>
      <c r="XR1754" s="38"/>
      <c r="XS1754" s="38"/>
      <c r="XT1754" s="38"/>
      <c r="XU1754" s="38"/>
      <c r="XV1754" s="38"/>
      <c r="XW1754" s="38"/>
      <c r="XX1754" s="38"/>
      <c r="XY1754" s="38"/>
      <c r="XZ1754" s="38"/>
      <c r="YA1754" s="38"/>
      <c r="YB1754" s="38"/>
      <c r="YC1754" s="38"/>
      <c r="YD1754" s="38"/>
      <c r="YE1754" s="38"/>
      <c r="YF1754" s="38"/>
      <c r="YG1754" s="38"/>
      <c r="YH1754" s="38"/>
      <c r="YI1754" s="38"/>
      <c r="YJ1754" s="38"/>
      <c r="YK1754" s="38"/>
      <c r="YL1754" s="38"/>
      <c r="YM1754" s="38"/>
      <c r="YN1754" s="38"/>
      <c r="YO1754" s="38"/>
      <c r="YP1754" s="38"/>
      <c r="YQ1754" s="38"/>
      <c r="YR1754" s="38"/>
      <c r="YS1754" s="38"/>
      <c r="YT1754" s="38"/>
      <c r="YU1754" s="38"/>
      <c r="YV1754" s="38"/>
      <c r="YW1754" s="38"/>
      <c r="YX1754" s="38"/>
      <c r="YY1754" s="38"/>
      <c r="YZ1754" s="38"/>
      <c r="ZA1754" s="38"/>
      <c r="ZB1754" s="38"/>
      <c r="ZC1754" s="38"/>
      <c r="ZD1754" s="38"/>
      <c r="ZE1754" s="38"/>
      <c r="ZF1754" s="38"/>
      <c r="ZG1754" s="38"/>
      <c r="ZH1754" s="38"/>
      <c r="ZI1754" s="38"/>
      <c r="ZJ1754" s="38"/>
      <c r="ZK1754" s="38"/>
      <c r="ZL1754" s="38"/>
      <c r="ZM1754" s="38"/>
      <c r="ZN1754" s="38"/>
      <c r="ZO1754" s="38"/>
      <c r="ZP1754" s="38"/>
      <c r="ZQ1754" s="38"/>
      <c r="ZR1754" s="38"/>
      <c r="ZS1754" s="38"/>
      <c r="ZT1754" s="38"/>
      <c r="ZU1754" s="38"/>
      <c r="ZV1754" s="38"/>
      <c r="ZW1754" s="38"/>
      <c r="ZX1754" s="38"/>
      <c r="ZY1754" s="38"/>
      <c r="ZZ1754" s="38"/>
      <c r="AAA1754" s="38"/>
      <c r="AAB1754" s="38"/>
      <c r="AAC1754" s="38"/>
      <c r="AAD1754" s="38"/>
      <c r="AAE1754" s="38"/>
      <c r="AAF1754" s="38"/>
      <c r="AAG1754" s="38"/>
      <c r="AAH1754" s="38"/>
      <c r="AAI1754" s="38"/>
      <c r="AAJ1754" s="38"/>
      <c r="AAK1754" s="38"/>
      <c r="AAL1754" s="38"/>
      <c r="AAM1754" s="38"/>
      <c r="AAN1754" s="38"/>
      <c r="AAO1754" s="38"/>
      <c r="AAP1754" s="38"/>
      <c r="AAQ1754" s="38"/>
      <c r="AAR1754" s="38"/>
      <c r="AAS1754" s="38"/>
      <c r="AAT1754" s="38"/>
      <c r="AAU1754" s="38"/>
      <c r="AAV1754" s="38"/>
      <c r="AAW1754" s="38"/>
      <c r="AAX1754" s="38"/>
      <c r="AAY1754" s="38"/>
      <c r="AAZ1754" s="38"/>
      <c r="ABA1754" s="38"/>
      <c r="ABB1754" s="38"/>
      <c r="ABC1754" s="38"/>
      <c r="ABD1754" s="38"/>
      <c r="ABE1754" s="38"/>
      <c r="ABF1754" s="38"/>
      <c r="ABG1754" s="38"/>
      <c r="ABH1754" s="38"/>
      <c r="ABI1754" s="38"/>
      <c r="ABJ1754" s="38"/>
      <c r="ABK1754" s="38"/>
      <c r="ABL1754" s="38"/>
      <c r="ABM1754" s="38"/>
      <c r="ABN1754" s="38"/>
      <c r="ABO1754" s="38"/>
      <c r="ABP1754" s="38"/>
      <c r="ABQ1754" s="38"/>
      <c r="ABR1754" s="38"/>
      <c r="ABS1754" s="38"/>
      <c r="ABT1754" s="38"/>
      <c r="ABU1754" s="38"/>
      <c r="ABV1754" s="38"/>
      <c r="ABW1754" s="38"/>
      <c r="ABX1754" s="38"/>
      <c r="ABY1754" s="38"/>
      <c r="ABZ1754" s="38"/>
      <c r="ACA1754" s="38"/>
      <c r="ACB1754" s="38"/>
      <c r="ACC1754" s="38"/>
      <c r="ACD1754" s="38"/>
      <c r="ACE1754" s="38"/>
      <c r="ACF1754" s="38"/>
      <c r="ACG1754" s="38"/>
      <c r="ACH1754" s="38"/>
      <c r="ACI1754" s="38"/>
      <c r="ACJ1754" s="38"/>
      <c r="ACK1754" s="38"/>
      <c r="ACL1754" s="38"/>
      <c r="ACM1754" s="38"/>
      <c r="ACN1754" s="38"/>
      <c r="ACO1754" s="38"/>
      <c r="ACP1754" s="38"/>
      <c r="ACQ1754" s="38"/>
      <c r="ACR1754" s="38"/>
      <c r="ACS1754" s="38"/>
      <c r="ACT1754" s="38"/>
      <c r="ACU1754" s="38"/>
      <c r="ACV1754" s="38"/>
      <c r="ACW1754" s="38"/>
      <c r="ACX1754" s="38"/>
      <c r="ACY1754" s="38"/>
      <c r="ACZ1754" s="38"/>
      <c r="ADA1754" s="38"/>
      <c r="ADB1754" s="38"/>
      <c r="ADC1754" s="38"/>
      <c r="ADD1754" s="38"/>
      <c r="ADE1754" s="38"/>
      <c r="ADF1754" s="38"/>
      <c r="ADG1754" s="38"/>
      <c r="ADH1754" s="38"/>
      <c r="ADI1754" s="38"/>
      <c r="ADJ1754" s="38"/>
      <c r="ADK1754" s="38"/>
      <c r="ADL1754" s="38"/>
      <c r="ADM1754" s="38"/>
      <c r="ADN1754" s="38"/>
      <c r="ADO1754" s="38"/>
      <c r="ADP1754" s="38"/>
      <c r="ADQ1754" s="38"/>
      <c r="ADR1754" s="38"/>
      <c r="ADS1754" s="38"/>
      <c r="ADT1754" s="38"/>
      <c r="ADU1754" s="38"/>
      <c r="ADV1754" s="38"/>
      <c r="ADW1754" s="38"/>
      <c r="ADX1754" s="38"/>
      <c r="ADY1754" s="38"/>
      <c r="ADZ1754" s="38"/>
      <c r="AEA1754" s="38"/>
      <c r="AEB1754" s="38"/>
      <c r="AEC1754" s="38"/>
      <c r="AED1754" s="38"/>
      <c r="AEE1754" s="38"/>
      <c r="AEF1754" s="38"/>
      <c r="AEG1754" s="38"/>
      <c r="AEH1754" s="38"/>
      <c r="AEI1754" s="38"/>
      <c r="AEJ1754" s="38"/>
      <c r="AEK1754" s="38"/>
      <c r="AEL1754" s="38"/>
      <c r="AEM1754" s="38"/>
      <c r="AEN1754" s="38"/>
      <c r="AEO1754" s="38"/>
      <c r="AEP1754" s="38"/>
      <c r="AEQ1754" s="38"/>
      <c r="AER1754" s="38"/>
      <c r="AES1754" s="38"/>
      <c r="AET1754" s="38"/>
      <c r="AEU1754" s="38"/>
      <c r="AEV1754" s="38"/>
      <c r="AEW1754" s="38"/>
      <c r="AEX1754" s="38"/>
      <c r="AEY1754" s="38"/>
      <c r="AEZ1754" s="38"/>
      <c r="AFA1754" s="38"/>
      <c r="AFB1754" s="38"/>
      <c r="AFC1754" s="38"/>
      <c r="AFD1754" s="38"/>
      <c r="AFE1754" s="38"/>
      <c r="AFF1754" s="38"/>
      <c r="AFG1754" s="38"/>
      <c r="AFH1754" s="38"/>
      <c r="AFI1754" s="38"/>
      <c r="AFJ1754" s="38"/>
      <c r="AFK1754" s="38"/>
      <c r="AFL1754" s="38"/>
      <c r="AFM1754" s="38"/>
      <c r="AFN1754" s="38"/>
      <c r="AFO1754" s="38"/>
      <c r="AFP1754" s="38"/>
      <c r="AFQ1754" s="38"/>
      <c r="AFR1754" s="38"/>
      <c r="AFS1754" s="38"/>
      <c r="AFT1754" s="38"/>
      <c r="AFU1754" s="38"/>
      <c r="AFV1754" s="38"/>
      <c r="AFW1754" s="38"/>
      <c r="AFX1754" s="38"/>
      <c r="AFY1754" s="38"/>
      <c r="AFZ1754" s="38"/>
      <c r="AGA1754" s="38"/>
      <c r="AGB1754" s="38"/>
      <c r="AGC1754" s="38"/>
      <c r="AGD1754" s="38"/>
      <c r="AGE1754" s="38"/>
      <c r="AGF1754" s="38"/>
      <c r="AGG1754" s="38"/>
      <c r="AGH1754" s="38"/>
      <c r="AGI1754" s="38"/>
      <c r="AGJ1754" s="38"/>
      <c r="AGK1754" s="38"/>
      <c r="AGL1754" s="38"/>
      <c r="AGM1754" s="38"/>
      <c r="AGN1754" s="38"/>
      <c r="AGO1754" s="38"/>
      <c r="AGP1754" s="38"/>
      <c r="AGQ1754" s="38"/>
      <c r="AGR1754" s="38"/>
      <c r="AGS1754" s="38"/>
      <c r="AGT1754" s="38"/>
      <c r="AGU1754" s="38"/>
      <c r="AGV1754" s="38"/>
      <c r="AGW1754" s="38"/>
      <c r="AGX1754" s="38"/>
      <c r="AGY1754" s="38"/>
      <c r="AGZ1754" s="38"/>
      <c r="AHA1754" s="38"/>
      <c r="AHB1754" s="38"/>
      <c r="AHC1754" s="38"/>
      <c r="AHD1754" s="38"/>
      <c r="AHE1754" s="38"/>
      <c r="AHF1754" s="38"/>
      <c r="AHG1754" s="38"/>
      <c r="AHH1754" s="38"/>
      <c r="AHI1754" s="38"/>
      <c r="AHJ1754" s="38"/>
      <c r="AHK1754" s="38"/>
      <c r="AHL1754" s="38"/>
      <c r="AHM1754" s="38"/>
      <c r="AHN1754" s="38"/>
      <c r="AHO1754" s="38"/>
      <c r="AHP1754" s="38"/>
      <c r="AHQ1754" s="38"/>
      <c r="AHR1754" s="38"/>
      <c r="AHS1754" s="38"/>
      <c r="AHT1754" s="38"/>
      <c r="AHU1754" s="38"/>
      <c r="AHV1754" s="38"/>
      <c r="AHW1754" s="38"/>
      <c r="AHX1754" s="38"/>
      <c r="AHY1754" s="38"/>
      <c r="AHZ1754" s="38"/>
      <c r="AIA1754" s="38"/>
      <c r="AIB1754" s="38"/>
      <c r="AIC1754" s="38"/>
      <c r="AID1754" s="38"/>
      <c r="AIE1754" s="38"/>
      <c r="AIF1754" s="38"/>
      <c r="AIG1754" s="38"/>
      <c r="AIH1754" s="38"/>
      <c r="AII1754" s="38"/>
      <c r="AIJ1754" s="38"/>
      <c r="AIK1754" s="38"/>
      <c r="AIL1754" s="38"/>
      <c r="AIM1754" s="38"/>
      <c r="AIN1754" s="38"/>
      <c r="AIO1754" s="38"/>
      <c r="AIP1754" s="38"/>
      <c r="AIQ1754" s="38"/>
      <c r="AIR1754" s="38"/>
      <c r="AIS1754" s="38"/>
      <c r="AIT1754" s="38"/>
      <c r="AIU1754" s="38"/>
      <c r="AIV1754" s="38"/>
      <c r="AIW1754" s="38"/>
      <c r="AIX1754" s="38"/>
      <c r="AIY1754" s="38"/>
      <c r="AIZ1754" s="38"/>
      <c r="AJA1754" s="38"/>
      <c r="AJB1754" s="38"/>
      <c r="AJC1754" s="38"/>
      <c r="AJD1754" s="38"/>
      <c r="AJE1754" s="38"/>
      <c r="AJF1754" s="38"/>
      <c r="AJG1754" s="38"/>
      <c r="AJH1754" s="38"/>
      <c r="AJI1754" s="38"/>
      <c r="AJJ1754" s="38"/>
      <c r="AJK1754" s="38"/>
      <c r="AJL1754" s="38"/>
      <c r="AJM1754" s="38"/>
      <c r="AJN1754" s="38"/>
      <c r="AJO1754" s="38"/>
      <c r="AJP1754" s="38"/>
      <c r="AJQ1754" s="38"/>
      <c r="AJR1754" s="38"/>
      <c r="AJS1754" s="38"/>
      <c r="AJT1754" s="38"/>
      <c r="AJU1754" s="38"/>
      <c r="AJV1754" s="38"/>
      <c r="AJW1754" s="38"/>
      <c r="AJX1754" s="38"/>
      <c r="AJY1754" s="38"/>
      <c r="AJZ1754" s="38"/>
      <c r="AKA1754" s="38"/>
      <c r="AKB1754" s="38"/>
      <c r="AKC1754" s="38"/>
      <c r="AKD1754" s="38"/>
      <c r="AKE1754" s="38"/>
      <c r="AKF1754" s="38"/>
      <c r="AKG1754" s="38"/>
      <c r="AKH1754" s="38"/>
      <c r="AKI1754" s="38"/>
      <c r="AKJ1754" s="38"/>
      <c r="AKK1754" s="38"/>
      <c r="AKL1754" s="38"/>
      <c r="AKM1754" s="38"/>
      <c r="AKN1754" s="38"/>
      <c r="AKO1754" s="38"/>
      <c r="AKP1754" s="38"/>
      <c r="AKQ1754" s="38"/>
      <c r="AKR1754" s="38"/>
      <c r="AKS1754" s="38"/>
      <c r="AKT1754" s="38"/>
      <c r="AKU1754" s="38"/>
      <c r="AKV1754" s="38"/>
      <c r="AKW1754" s="38"/>
      <c r="AKX1754" s="38"/>
      <c r="AKY1754" s="38"/>
      <c r="AKZ1754" s="38"/>
      <c r="ALA1754" s="38"/>
      <c r="ALB1754" s="38"/>
      <c r="ALC1754" s="38"/>
      <c r="ALD1754" s="38"/>
      <c r="ALE1754" s="38"/>
      <c r="ALF1754" s="38"/>
      <c r="ALG1754" s="38"/>
      <c r="ALH1754" s="38"/>
      <c r="ALI1754" s="38"/>
      <c r="ALJ1754" s="38"/>
      <c r="ALK1754" s="38"/>
      <c r="ALL1754" s="38"/>
      <c r="ALM1754" s="38"/>
      <c r="ALN1754" s="38"/>
      <c r="ALO1754" s="38"/>
      <c r="ALP1754" s="38"/>
      <c r="ALQ1754" s="38"/>
      <c r="ALR1754" s="38"/>
      <c r="ALS1754" s="38"/>
      <c r="ALT1754" s="38"/>
      <c r="ALU1754" s="38"/>
      <c r="ALV1754" s="38"/>
      <c r="ALW1754" s="38"/>
      <c r="ALX1754" s="38"/>
      <c r="ALY1754" s="38"/>
      <c r="ALZ1754" s="38"/>
      <c r="AMA1754" s="38"/>
      <c r="AMB1754" s="38"/>
      <c r="AMC1754" s="38"/>
      <c r="AMD1754" s="38"/>
      <c r="AME1754" s="38"/>
      <c r="AMF1754" s="38"/>
      <c r="AMG1754" s="38"/>
      <c r="AMH1754" s="38"/>
      <c r="AMI1754" s="38"/>
      <c r="AMJ1754" s="38"/>
      <c r="AMK1754" s="38"/>
      <c r="AML1754" s="38"/>
      <c r="AMM1754" s="38"/>
      <c r="AMN1754" s="38"/>
      <c r="AMO1754" s="38"/>
      <c r="AMP1754" s="38"/>
      <c r="AMQ1754" s="38"/>
      <c r="AMR1754" s="38"/>
      <c r="AMS1754" s="38"/>
      <c r="AMT1754" s="38"/>
      <c r="AMU1754" s="38"/>
      <c r="AMV1754" s="38"/>
      <c r="AMW1754" s="38"/>
      <c r="AMX1754" s="38"/>
      <c r="AMY1754" s="38"/>
      <c r="AMZ1754" s="38"/>
      <c r="ANA1754" s="38"/>
      <c r="ANB1754" s="38"/>
      <c r="ANC1754" s="38"/>
      <c r="AND1754" s="38"/>
      <c r="ANE1754" s="38"/>
      <c r="ANF1754" s="38"/>
      <c r="ANG1754" s="38"/>
      <c r="ANH1754" s="38"/>
      <c r="ANI1754" s="38"/>
      <c r="ANJ1754" s="38"/>
      <c r="ANK1754" s="38"/>
      <c r="ANL1754" s="38"/>
      <c r="ANM1754" s="38"/>
      <c r="ANN1754" s="38"/>
      <c r="ANO1754" s="38"/>
      <c r="ANP1754" s="38"/>
      <c r="ANQ1754" s="38"/>
      <c r="ANR1754" s="38"/>
      <c r="ANS1754" s="38"/>
      <c r="ANT1754" s="38"/>
      <c r="ANU1754" s="38"/>
      <c r="ANV1754" s="38"/>
      <c r="ANW1754" s="38"/>
      <c r="ANX1754" s="38"/>
      <c r="ANY1754" s="38"/>
      <c r="ANZ1754" s="38"/>
      <c r="AOA1754" s="38"/>
      <c r="AOB1754" s="38"/>
      <c r="AOC1754" s="38"/>
      <c r="AOD1754" s="38"/>
      <c r="AOE1754" s="38"/>
      <c r="AOF1754" s="38"/>
      <c r="AOG1754" s="38"/>
      <c r="AOH1754" s="38"/>
      <c r="AOI1754" s="38"/>
      <c r="AOJ1754" s="38"/>
      <c r="AOK1754" s="38"/>
      <c r="AOL1754" s="38"/>
      <c r="AOM1754" s="38"/>
      <c r="AON1754" s="38"/>
      <c r="AOO1754" s="38"/>
      <c r="AOP1754" s="38"/>
      <c r="AOQ1754" s="38"/>
      <c r="AOR1754" s="38"/>
      <c r="AOS1754" s="38"/>
      <c r="AOT1754" s="38"/>
      <c r="AOU1754" s="38"/>
      <c r="AOV1754" s="38"/>
      <c r="AOW1754" s="38"/>
      <c r="AOX1754" s="38"/>
      <c r="AOY1754" s="38"/>
      <c r="AOZ1754" s="38"/>
      <c r="APA1754" s="38"/>
      <c r="APB1754" s="38"/>
      <c r="APC1754" s="38"/>
    </row>
    <row r="1755" spans="1:1095" s="36" customFormat="1" ht="14.25" customHeight="1">
      <c r="A1755" s="3" t="s">
        <v>1722</v>
      </c>
      <c r="B1755" s="36" t="s">
        <v>4018</v>
      </c>
      <c r="C1755" s="10">
        <v>4058075823051</v>
      </c>
      <c r="D1755" s="246"/>
      <c r="E1755" s="249"/>
      <c r="F1755" s="222" t="s">
        <v>3136</v>
      </c>
      <c r="G1755" s="66" t="str">
        <f>HYPERLINK("https://ledvance.com/pt/product-datasheet/246663/243127","Ficha de Produto")</f>
        <v>Ficha de Produto</v>
      </c>
      <c r="H1755" s="217">
        <v>10</v>
      </c>
      <c r="I1755" s="34" t="s">
        <v>6332</v>
      </c>
      <c r="J1755" s="34" t="s">
        <v>1051</v>
      </c>
      <c r="K1755" s="34" t="s">
        <v>788</v>
      </c>
      <c r="L1755" s="34" t="s">
        <v>793</v>
      </c>
      <c r="M1755" s="247">
        <v>13.2</v>
      </c>
      <c r="N1755" s="288" t="s">
        <v>722</v>
      </c>
    </row>
    <row r="1756" spans="1:1095" s="36" customFormat="1" ht="14.25" customHeight="1">
      <c r="A1756" s="3" t="s">
        <v>1722</v>
      </c>
      <c r="B1756" s="36" t="s">
        <v>4019</v>
      </c>
      <c r="C1756" s="10">
        <v>4058075823075</v>
      </c>
      <c r="D1756" s="246"/>
      <c r="E1756" s="249"/>
      <c r="F1756" s="222" t="s">
        <v>3136</v>
      </c>
      <c r="G1756" s="66" t="str">
        <f>HYPERLINK("https://ledvance.com/pt/product-datasheet/246663/243133","Ficha de Produto")</f>
        <v>Ficha de Produto</v>
      </c>
      <c r="H1756" s="217">
        <v>10</v>
      </c>
      <c r="I1756" s="34" t="s">
        <v>1052</v>
      </c>
      <c r="J1756" s="34" t="s">
        <v>1051</v>
      </c>
      <c r="K1756" s="34" t="s">
        <v>788</v>
      </c>
      <c r="L1756" s="34" t="s">
        <v>793</v>
      </c>
      <c r="M1756" s="247">
        <v>13.2</v>
      </c>
      <c r="N1756" s="288" t="s">
        <v>722</v>
      </c>
    </row>
    <row r="1757" spans="1:1095" s="36" customFormat="1" ht="14.25" customHeight="1">
      <c r="A1757" s="3" t="s">
        <v>1722</v>
      </c>
      <c r="B1757" s="36" t="s">
        <v>4020</v>
      </c>
      <c r="C1757" s="214">
        <v>4058075823099</v>
      </c>
      <c r="D1757" s="224">
        <v>4058075558106</v>
      </c>
      <c r="E1757" s="245" t="s">
        <v>1652</v>
      </c>
      <c r="F1757" s="246"/>
      <c r="G1757" s="66" t="str">
        <f>HYPERLINK("https://ledvance.com/pt/product-datasheet/246663/243139","Ficha de Produto")</f>
        <v>Ficha de Produto</v>
      </c>
      <c r="H1757" s="217">
        <v>10</v>
      </c>
      <c r="I1757" s="34" t="s">
        <v>1052</v>
      </c>
      <c r="J1757" s="34" t="s">
        <v>795</v>
      </c>
      <c r="K1757" s="34" t="s">
        <v>788</v>
      </c>
      <c r="L1757" s="34" t="s">
        <v>793</v>
      </c>
      <c r="M1757" s="247">
        <v>14.3</v>
      </c>
      <c r="N1757" s="288" t="s">
        <v>722</v>
      </c>
    </row>
    <row r="1758" spans="1:1095" s="36" customFormat="1" ht="14.25" customHeight="1">
      <c r="A1758" s="3" t="s">
        <v>1722</v>
      </c>
      <c r="B1758" s="36" t="s">
        <v>4021</v>
      </c>
      <c r="C1758" s="214">
        <v>4058075823112</v>
      </c>
      <c r="D1758" s="224">
        <v>4058075558182</v>
      </c>
      <c r="E1758" s="245" t="s">
        <v>1653</v>
      </c>
      <c r="F1758" s="246"/>
      <c r="G1758" s="66" t="str">
        <f>HYPERLINK("https://ledvance.com/pt/product-datasheet/246663/243145","Ficha de Produto")</f>
        <v>Ficha de Produto</v>
      </c>
      <c r="H1758" s="217">
        <v>10</v>
      </c>
      <c r="I1758" s="34" t="s">
        <v>6333</v>
      </c>
      <c r="J1758" s="34" t="s">
        <v>795</v>
      </c>
      <c r="K1758" s="34" t="s">
        <v>788</v>
      </c>
      <c r="L1758" s="34" t="s">
        <v>793</v>
      </c>
      <c r="M1758" s="247">
        <v>14.3</v>
      </c>
      <c r="N1758" s="288" t="s">
        <v>722</v>
      </c>
    </row>
    <row r="1759" spans="1:1095" s="36" customFormat="1" ht="14.25" customHeight="1">
      <c r="A1759" s="3" t="s">
        <v>1722</v>
      </c>
      <c r="B1759" s="36" t="s">
        <v>4022</v>
      </c>
      <c r="C1759" s="214">
        <v>4058075823136</v>
      </c>
      <c r="D1759" s="224">
        <v>4058075558328</v>
      </c>
      <c r="E1759" s="245" t="s">
        <v>1654</v>
      </c>
      <c r="F1759" s="246"/>
      <c r="G1759" s="66" t="str">
        <f>HYPERLINK("https://ledvance.com/pt/product-datasheet/246663/243151","Ficha de Produto")</f>
        <v>Ficha de Produto</v>
      </c>
      <c r="H1759" s="217">
        <v>10</v>
      </c>
      <c r="I1759" s="34" t="s">
        <v>6334</v>
      </c>
      <c r="J1759" s="34" t="s">
        <v>809</v>
      </c>
      <c r="K1759" s="34" t="s">
        <v>788</v>
      </c>
      <c r="L1759" s="34" t="s">
        <v>793</v>
      </c>
      <c r="M1759" s="247">
        <v>14.9</v>
      </c>
      <c r="N1759" s="288" t="s">
        <v>722</v>
      </c>
    </row>
    <row r="1760" spans="1:1095" s="36" customFormat="1" ht="14.25" customHeight="1">
      <c r="A1760" s="3" t="s">
        <v>1722</v>
      </c>
      <c r="B1760" s="36" t="s">
        <v>4023</v>
      </c>
      <c r="C1760" s="214">
        <v>4058075823150</v>
      </c>
      <c r="D1760" s="224">
        <v>4058075558502</v>
      </c>
      <c r="E1760" s="245" t="s">
        <v>1655</v>
      </c>
      <c r="F1760" s="246"/>
      <c r="G1760" s="66" t="str">
        <f>HYPERLINK("https://ledvance.com/pt/product-datasheet/246663/243157","Ficha de Produto")</f>
        <v>Ficha de Produto</v>
      </c>
      <c r="H1760" s="217">
        <v>10</v>
      </c>
      <c r="I1760" s="34" t="s">
        <v>6328</v>
      </c>
      <c r="J1760" s="34" t="s">
        <v>809</v>
      </c>
      <c r="K1760" s="34" t="s">
        <v>788</v>
      </c>
      <c r="L1760" s="34" t="s">
        <v>793</v>
      </c>
      <c r="M1760" s="247">
        <v>14.9</v>
      </c>
      <c r="N1760" s="288" t="s">
        <v>722</v>
      </c>
    </row>
    <row r="1761" spans="1:1095" s="36" customFormat="1" ht="14.25" customHeight="1">
      <c r="A1761" s="3" t="s">
        <v>1722</v>
      </c>
      <c r="B1761" s="36" t="s">
        <v>4024</v>
      </c>
      <c r="C1761" s="214">
        <v>4058075823174</v>
      </c>
      <c r="D1761" s="224">
        <v>4058075558564</v>
      </c>
      <c r="E1761" s="245" t="s">
        <v>1656</v>
      </c>
      <c r="F1761" s="246"/>
      <c r="G1761" s="66" t="str">
        <f>HYPERLINK("https://ledvance.com/pt/product-datasheet/246663/243163","Ficha de Produto")</f>
        <v>Ficha de Produto</v>
      </c>
      <c r="H1761" s="217">
        <v>10</v>
      </c>
      <c r="I1761" s="34" t="s">
        <v>6299</v>
      </c>
      <c r="J1761" s="34" t="s">
        <v>886</v>
      </c>
      <c r="K1761" s="34" t="s">
        <v>788</v>
      </c>
      <c r="L1761" s="34" t="s">
        <v>793</v>
      </c>
      <c r="M1761" s="247">
        <v>16.900000000000002</v>
      </c>
      <c r="N1761" s="288" t="s">
        <v>722</v>
      </c>
    </row>
    <row r="1762" spans="1:1095" s="36" customFormat="1" ht="14.25" customHeight="1">
      <c r="A1762" s="3" t="s">
        <v>1722</v>
      </c>
      <c r="B1762" s="36" t="s">
        <v>4025</v>
      </c>
      <c r="C1762" s="214">
        <v>4058075823198</v>
      </c>
      <c r="D1762" s="224">
        <v>4058075558601</v>
      </c>
      <c r="E1762" s="245" t="s">
        <v>1657</v>
      </c>
      <c r="F1762" s="246"/>
      <c r="G1762" s="66" t="str">
        <f>HYPERLINK("https://ledvance.com/pt/product-datasheet/246663/243169","Ficha de Produto")</f>
        <v>Ficha de Produto</v>
      </c>
      <c r="H1762" s="217">
        <v>10</v>
      </c>
      <c r="I1762" s="34" t="s">
        <v>929</v>
      </c>
      <c r="J1762" s="34" t="s">
        <v>886</v>
      </c>
      <c r="K1762" s="34" t="s">
        <v>788</v>
      </c>
      <c r="L1762" s="34" t="s">
        <v>793</v>
      </c>
      <c r="M1762" s="247">
        <v>16.900000000000002</v>
      </c>
      <c r="N1762" s="288" t="s">
        <v>722</v>
      </c>
    </row>
    <row r="1763" spans="1:1095" s="39" customFormat="1" ht="14.25" customHeight="1">
      <c r="A1763" s="8" t="s">
        <v>1722</v>
      </c>
      <c r="B1763" s="244" t="s">
        <v>2075</v>
      </c>
      <c r="C1763" s="8"/>
      <c r="D1763" s="7"/>
      <c r="E1763" s="230"/>
      <c r="F1763" s="7"/>
      <c r="G1763" s="68" t="s">
        <v>6505</v>
      </c>
      <c r="H1763" s="230"/>
      <c r="I1763" s="230"/>
      <c r="J1763" s="230"/>
      <c r="K1763" s="230"/>
      <c r="L1763" s="230"/>
      <c r="M1763" s="248"/>
      <c r="N1763" s="292"/>
      <c r="O1763" s="38"/>
      <c r="P1763" s="38"/>
      <c r="Q1763" s="38"/>
      <c r="R1763" s="38"/>
      <c r="S1763" s="38"/>
      <c r="T1763" s="38"/>
      <c r="U1763" s="38"/>
      <c r="V1763" s="38"/>
      <c r="W1763" s="38"/>
      <c r="X1763" s="38"/>
      <c r="Y1763" s="38"/>
      <c r="Z1763" s="38"/>
      <c r="AA1763" s="38"/>
      <c r="AB1763" s="38"/>
      <c r="AC1763" s="38"/>
      <c r="AD1763" s="38"/>
      <c r="AE1763" s="38"/>
      <c r="AF1763" s="38"/>
      <c r="AG1763" s="38"/>
      <c r="AH1763" s="38"/>
      <c r="AI1763" s="38"/>
      <c r="AJ1763" s="38"/>
      <c r="AK1763" s="38"/>
      <c r="AL1763" s="38"/>
      <c r="AM1763" s="38"/>
      <c r="AN1763" s="38"/>
      <c r="AO1763" s="38"/>
      <c r="AP1763" s="38"/>
      <c r="AQ1763" s="38"/>
      <c r="AR1763" s="38"/>
      <c r="AS1763" s="38"/>
      <c r="AT1763" s="38"/>
      <c r="AU1763" s="38"/>
      <c r="AV1763" s="38"/>
      <c r="AW1763" s="38"/>
      <c r="AX1763" s="38"/>
      <c r="AY1763" s="38"/>
      <c r="AZ1763" s="38"/>
      <c r="BA1763" s="38"/>
      <c r="BB1763" s="38"/>
      <c r="BC1763" s="38"/>
      <c r="BD1763" s="38"/>
      <c r="BE1763" s="38"/>
      <c r="BF1763" s="38"/>
      <c r="BG1763" s="38"/>
      <c r="BH1763" s="38"/>
      <c r="BI1763" s="38"/>
      <c r="BJ1763" s="38"/>
      <c r="BK1763" s="38"/>
      <c r="BL1763" s="38"/>
      <c r="BM1763" s="38"/>
      <c r="BN1763" s="38"/>
      <c r="BO1763" s="38"/>
      <c r="BP1763" s="38"/>
      <c r="BQ1763" s="38"/>
      <c r="BR1763" s="38"/>
      <c r="BS1763" s="38"/>
      <c r="BT1763" s="38"/>
      <c r="BU1763" s="38"/>
      <c r="BV1763" s="38"/>
      <c r="BW1763" s="38"/>
      <c r="BX1763" s="38"/>
      <c r="BY1763" s="38"/>
      <c r="BZ1763" s="38"/>
      <c r="CA1763" s="38"/>
      <c r="CB1763" s="38"/>
      <c r="CC1763" s="38"/>
      <c r="CD1763" s="38"/>
      <c r="CE1763" s="38"/>
      <c r="CF1763" s="38"/>
      <c r="CG1763" s="38"/>
      <c r="CH1763" s="38"/>
      <c r="CI1763" s="38"/>
      <c r="CJ1763" s="38"/>
      <c r="CK1763" s="38"/>
      <c r="CL1763" s="38"/>
      <c r="CM1763" s="38"/>
      <c r="CN1763" s="38"/>
      <c r="CO1763" s="38"/>
      <c r="CP1763" s="38"/>
      <c r="CQ1763" s="38"/>
      <c r="CR1763" s="38"/>
      <c r="CS1763" s="38"/>
      <c r="CT1763" s="38"/>
      <c r="CU1763" s="38"/>
      <c r="CV1763" s="38"/>
      <c r="CW1763" s="38"/>
      <c r="CX1763" s="38"/>
      <c r="CY1763" s="38"/>
      <c r="CZ1763" s="38"/>
      <c r="DA1763" s="38"/>
      <c r="DB1763" s="38"/>
      <c r="DC1763" s="38"/>
      <c r="DD1763" s="38"/>
      <c r="DE1763" s="38"/>
      <c r="DF1763" s="38"/>
      <c r="DG1763" s="38"/>
      <c r="DH1763" s="38"/>
      <c r="DI1763" s="38"/>
      <c r="DJ1763" s="38"/>
      <c r="DK1763" s="38"/>
      <c r="DL1763" s="38"/>
      <c r="DM1763" s="38"/>
      <c r="DN1763" s="38"/>
      <c r="DO1763" s="38"/>
      <c r="DP1763" s="38"/>
      <c r="DQ1763" s="38"/>
      <c r="DR1763" s="38"/>
      <c r="DS1763" s="38"/>
      <c r="DT1763" s="38"/>
      <c r="DU1763" s="38"/>
      <c r="DV1763" s="38"/>
      <c r="DW1763" s="38"/>
      <c r="DX1763" s="38"/>
      <c r="DY1763" s="38"/>
      <c r="DZ1763" s="38"/>
      <c r="EA1763" s="38"/>
      <c r="EB1763" s="38"/>
      <c r="EC1763" s="38"/>
      <c r="ED1763" s="38"/>
      <c r="EE1763" s="38"/>
      <c r="EF1763" s="38"/>
      <c r="EG1763" s="38"/>
      <c r="EH1763" s="38"/>
      <c r="EI1763" s="38"/>
      <c r="EJ1763" s="38"/>
      <c r="EK1763" s="38"/>
      <c r="EL1763" s="38"/>
      <c r="EM1763" s="38"/>
      <c r="EN1763" s="38"/>
      <c r="EO1763" s="38"/>
      <c r="EP1763" s="38"/>
      <c r="EQ1763" s="38"/>
      <c r="ER1763" s="38"/>
      <c r="ES1763" s="38"/>
      <c r="ET1763" s="38"/>
      <c r="EU1763" s="38"/>
      <c r="EV1763" s="38"/>
      <c r="EW1763" s="38"/>
      <c r="EX1763" s="38"/>
      <c r="EY1763" s="38"/>
      <c r="EZ1763" s="38"/>
      <c r="FA1763" s="38"/>
      <c r="FB1763" s="38"/>
      <c r="FC1763" s="38"/>
      <c r="FD1763" s="38"/>
      <c r="FE1763" s="38"/>
      <c r="FF1763" s="38"/>
      <c r="FG1763" s="38"/>
      <c r="FH1763" s="38"/>
      <c r="FI1763" s="38"/>
      <c r="FJ1763" s="38"/>
      <c r="FK1763" s="38"/>
      <c r="FL1763" s="38"/>
      <c r="FM1763" s="38"/>
      <c r="FN1763" s="38"/>
      <c r="FO1763" s="38"/>
      <c r="FP1763" s="38"/>
      <c r="FQ1763" s="38"/>
      <c r="FR1763" s="38"/>
      <c r="FS1763" s="38"/>
      <c r="FT1763" s="38"/>
      <c r="FU1763" s="38"/>
      <c r="FV1763" s="38"/>
      <c r="FW1763" s="38"/>
      <c r="FX1763" s="38"/>
      <c r="FY1763" s="38"/>
      <c r="FZ1763" s="38"/>
      <c r="GA1763" s="38"/>
      <c r="GB1763" s="38"/>
      <c r="GC1763" s="38"/>
      <c r="GD1763" s="38"/>
      <c r="GE1763" s="38"/>
      <c r="GF1763" s="38"/>
      <c r="GG1763" s="38"/>
      <c r="GH1763" s="38"/>
      <c r="GI1763" s="38"/>
      <c r="GJ1763" s="38"/>
      <c r="GK1763" s="38"/>
      <c r="GL1763" s="38"/>
      <c r="GM1763" s="38"/>
      <c r="GN1763" s="38"/>
      <c r="GO1763" s="38"/>
      <c r="GP1763" s="38"/>
      <c r="GQ1763" s="38"/>
      <c r="GR1763" s="38"/>
      <c r="GS1763" s="38"/>
      <c r="GT1763" s="38"/>
      <c r="GU1763" s="38"/>
      <c r="GV1763" s="38"/>
      <c r="GW1763" s="38"/>
      <c r="GX1763" s="38"/>
      <c r="GY1763" s="38"/>
      <c r="GZ1763" s="38"/>
      <c r="HA1763" s="38"/>
      <c r="HB1763" s="38"/>
      <c r="HC1763" s="38"/>
      <c r="HD1763" s="38"/>
      <c r="HE1763" s="38"/>
      <c r="HF1763" s="38"/>
      <c r="HG1763" s="38"/>
      <c r="HH1763" s="38"/>
      <c r="HI1763" s="38"/>
      <c r="HJ1763" s="38"/>
      <c r="HK1763" s="38"/>
      <c r="HL1763" s="38"/>
      <c r="HM1763" s="38"/>
      <c r="HN1763" s="38"/>
      <c r="HO1763" s="38"/>
      <c r="HP1763" s="38"/>
      <c r="HQ1763" s="38"/>
      <c r="HR1763" s="38"/>
      <c r="HS1763" s="38"/>
      <c r="HT1763" s="38"/>
      <c r="HU1763" s="38"/>
      <c r="HV1763" s="38"/>
      <c r="HW1763" s="38"/>
      <c r="HX1763" s="38"/>
      <c r="HY1763" s="38"/>
      <c r="HZ1763" s="38"/>
      <c r="IA1763" s="38"/>
      <c r="IB1763" s="38"/>
      <c r="IC1763" s="38"/>
      <c r="ID1763" s="38"/>
      <c r="IE1763" s="38"/>
      <c r="IF1763" s="38"/>
      <c r="IG1763" s="38"/>
      <c r="IH1763" s="38"/>
      <c r="II1763" s="38"/>
      <c r="IJ1763" s="38"/>
      <c r="IK1763" s="38"/>
      <c r="IL1763" s="38"/>
      <c r="IM1763" s="38"/>
      <c r="IN1763" s="38"/>
      <c r="IO1763" s="38"/>
      <c r="IP1763" s="38"/>
      <c r="IQ1763" s="38"/>
      <c r="IR1763" s="38"/>
      <c r="IS1763" s="38"/>
      <c r="IT1763" s="38"/>
      <c r="IU1763" s="38"/>
      <c r="IV1763" s="38"/>
      <c r="IW1763" s="38"/>
      <c r="IX1763" s="38"/>
      <c r="IY1763" s="38"/>
      <c r="IZ1763" s="38"/>
      <c r="JA1763" s="38"/>
      <c r="JB1763" s="38"/>
      <c r="JC1763" s="38"/>
      <c r="JD1763" s="38"/>
      <c r="JE1763" s="38"/>
      <c r="JF1763" s="38"/>
      <c r="JG1763" s="38"/>
      <c r="JH1763" s="38"/>
      <c r="JI1763" s="38"/>
      <c r="JJ1763" s="38"/>
      <c r="JK1763" s="38"/>
      <c r="JL1763" s="38"/>
      <c r="JM1763" s="38"/>
      <c r="JN1763" s="38"/>
      <c r="JO1763" s="38"/>
      <c r="JP1763" s="38"/>
      <c r="JQ1763" s="38"/>
      <c r="JR1763" s="38"/>
      <c r="JS1763" s="38"/>
      <c r="JT1763" s="38"/>
      <c r="JU1763" s="38"/>
      <c r="JV1763" s="38"/>
      <c r="JW1763" s="38"/>
      <c r="JX1763" s="38"/>
      <c r="JY1763" s="38"/>
      <c r="JZ1763" s="38"/>
      <c r="KA1763" s="38"/>
      <c r="KB1763" s="38"/>
      <c r="KC1763" s="38"/>
      <c r="KD1763" s="38"/>
      <c r="KE1763" s="38"/>
      <c r="KF1763" s="38"/>
      <c r="KG1763" s="38"/>
      <c r="KH1763" s="38"/>
      <c r="KI1763" s="38"/>
      <c r="KJ1763" s="38"/>
      <c r="KK1763" s="38"/>
      <c r="KL1763" s="38"/>
      <c r="KM1763" s="38"/>
      <c r="KN1763" s="38"/>
      <c r="KO1763" s="38"/>
      <c r="KP1763" s="38"/>
      <c r="KQ1763" s="38"/>
      <c r="KR1763" s="38"/>
      <c r="KS1763" s="38"/>
      <c r="KT1763" s="38"/>
      <c r="KU1763" s="38"/>
      <c r="KV1763" s="38"/>
      <c r="KW1763" s="38"/>
      <c r="KX1763" s="38"/>
      <c r="KY1763" s="38"/>
      <c r="KZ1763" s="38"/>
      <c r="LA1763" s="38"/>
      <c r="LB1763" s="38"/>
      <c r="LC1763" s="38"/>
      <c r="LD1763" s="38"/>
      <c r="LE1763" s="38"/>
      <c r="LF1763" s="38"/>
      <c r="LG1763" s="38"/>
      <c r="LH1763" s="38"/>
      <c r="LI1763" s="38"/>
      <c r="LJ1763" s="38"/>
      <c r="LK1763" s="38"/>
      <c r="LL1763" s="38"/>
      <c r="LM1763" s="38"/>
      <c r="LN1763" s="38"/>
      <c r="LO1763" s="38"/>
      <c r="LP1763" s="38"/>
      <c r="LQ1763" s="38"/>
      <c r="LR1763" s="38"/>
      <c r="LS1763" s="38"/>
      <c r="LT1763" s="38"/>
      <c r="LU1763" s="38"/>
      <c r="LV1763" s="38"/>
      <c r="LW1763" s="38"/>
      <c r="LX1763" s="38"/>
      <c r="LY1763" s="38"/>
      <c r="LZ1763" s="38"/>
      <c r="MA1763" s="38"/>
      <c r="MB1763" s="38"/>
      <c r="MC1763" s="38"/>
      <c r="MD1763" s="38"/>
      <c r="ME1763" s="38"/>
      <c r="MF1763" s="38"/>
      <c r="MG1763" s="38"/>
      <c r="MH1763" s="38"/>
      <c r="MI1763" s="38"/>
      <c r="MJ1763" s="38"/>
      <c r="MK1763" s="38"/>
      <c r="ML1763" s="38"/>
      <c r="MM1763" s="38"/>
      <c r="MN1763" s="38"/>
      <c r="MO1763" s="38"/>
      <c r="MP1763" s="38"/>
      <c r="MQ1763" s="38"/>
      <c r="MR1763" s="38"/>
      <c r="MS1763" s="38"/>
      <c r="MT1763" s="38"/>
      <c r="MU1763" s="38"/>
      <c r="MV1763" s="38"/>
      <c r="MW1763" s="38"/>
      <c r="MX1763" s="38"/>
      <c r="MY1763" s="38"/>
      <c r="MZ1763" s="38"/>
      <c r="NA1763" s="38"/>
      <c r="NB1763" s="38"/>
      <c r="NC1763" s="38"/>
      <c r="ND1763" s="38"/>
      <c r="NE1763" s="38"/>
      <c r="NF1763" s="38"/>
      <c r="NG1763" s="38"/>
      <c r="NH1763" s="38"/>
      <c r="NI1763" s="38"/>
      <c r="NJ1763" s="38"/>
      <c r="NK1763" s="38"/>
      <c r="NL1763" s="38"/>
      <c r="NM1763" s="38"/>
      <c r="NN1763" s="38"/>
      <c r="NO1763" s="38"/>
      <c r="NP1763" s="38"/>
      <c r="NQ1763" s="38"/>
      <c r="NR1763" s="38"/>
      <c r="NS1763" s="38"/>
      <c r="NT1763" s="38"/>
      <c r="NU1763" s="38"/>
      <c r="NV1763" s="38"/>
      <c r="NW1763" s="38"/>
      <c r="NX1763" s="38"/>
      <c r="NY1763" s="38"/>
      <c r="NZ1763" s="38"/>
      <c r="OA1763" s="38"/>
      <c r="OB1763" s="38"/>
      <c r="OC1763" s="38"/>
      <c r="OD1763" s="38"/>
      <c r="OE1763" s="38"/>
      <c r="OF1763" s="38"/>
      <c r="OG1763" s="38"/>
      <c r="OH1763" s="38"/>
      <c r="OI1763" s="38"/>
      <c r="OJ1763" s="38"/>
      <c r="OK1763" s="38"/>
      <c r="OL1763" s="38"/>
      <c r="OM1763" s="38"/>
      <c r="ON1763" s="38"/>
      <c r="OO1763" s="38"/>
      <c r="OP1763" s="38"/>
      <c r="OQ1763" s="38"/>
      <c r="OR1763" s="38"/>
      <c r="OS1763" s="38"/>
      <c r="OT1763" s="38"/>
      <c r="OU1763" s="38"/>
      <c r="OV1763" s="38"/>
      <c r="OW1763" s="38"/>
      <c r="OX1763" s="38"/>
      <c r="OY1763" s="38"/>
      <c r="OZ1763" s="38"/>
      <c r="PA1763" s="38"/>
      <c r="PB1763" s="38"/>
      <c r="PC1763" s="38"/>
      <c r="PD1763" s="38"/>
      <c r="PE1763" s="38"/>
      <c r="PF1763" s="38"/>
      <c r="PG1763" s="38"/>
      <c r="PH1763" s="38"/>
      <c r="PI1763" s="38"/>
      <c r="PJ1763" s="38"/>
      <c r="PK1763" s="38"/>
      <c r="PL1763" s="38"/>
      <c r="PM1763" s="38"/>
      <c r="PN1763" s="38"/>
      <c r="PO1763" s="38"/>
      <c r="PP1763" s="38"/>
      <c r="PQ1763" s="38"/>
      <c r="PR1763" s="38"/>
      <c r="PS1763" s="38"/>
      <c r="PT1763" s="38"/>
      <c r="PU1763" s="38"/>
      <c r="PV1763" s="38"/>
      <c r="PW1763" s="38"/>
      <c r="PX1763" s="38"/>
      <c r="PY1763" s="38"/>
      <c r="PZ1763" s="38"/>
      <c r="QA1763" s="38"/>
      <c r="QB1763" s="38"/>
      <c r="QC1763" s="38"/>
      <c r="QD1763" s="38"/>
      <c r="QE1763" s="38"/>
      <c r="QF1763" s="38"/>
      <c r="QG1763" s="38"/>
      <c r="QH1763" s="38"/>
      <c r="QI1763" s="38"/>
      <c r="QJ1763" s="38"/>
      <c r="QK1763" s="38"/>
      <c r="QL1763" s="38"/>
      <c r="QM1763" s="38"/>
      <c r="QN1763" s="38"/>
      <c r="QO1763" s="38"/>
      <c r="QP1763" s="38"/>
      <c r="QQ1763" s="38"/>
      <c r="QR1763" s="38"/>
      <c r="QS1763" s="38"/>
      <c r="QT1763" s="38"/>
      <c r="QU1763" s="38"/>
      <c r="QV1763" s="38"/>
      <c r="QW1763" s="38"/>
      <c r="QX1763" s="38"/>
      <c r="QY1763" s="38"/>
      <c r="QZ1763" s="38"/>
      <c r="RA1763" s="38"/>
      <c r="RB1763" s="38"/>
      <c r="RC1763" s="38"/>
      <c r="RD1763" s="38"/>
      <c r="RE1763" s="38"/>
      <c r="RF1763" s="38"/>
      <c r="RG1763" s="38"/>
      <c r="RH1763" s="38"/>
      <c r="RI1763" s="38"/>
      <c r="RJ1763" s="38"/>
      <c r="RK1763" s="38"/>
      <c r="RL1763" s="38"/>
      <c r="RM1763" s="38"/>
      <c r="RN1763" s="38"/>
      <c r="RO1763" s="38"/>
      <c r="RP1763" s="38"/>
      <c r="RQ1763" s="38"/>
      <c r="RR1763" s="38"/>
      <c r="RS1763" s="38"/>
      <c r="RT1763" s="38"/>
      <c r="RU1763" s="38"/>
      <c r="RV1763" s="38"/>
      <c r="RW1763" s="38"/>
      <c r="RX1763" s="38"/>
      <c r="RY1763" s="38"/>
      <c r="RZ1763" s="38"/>
      <c r="SA1763" s="38"/>
      <c r="SB1763" s="38"/>
      <c r="SC1763" s="38"/>
      <c r="SD1763" s="38"/>
      <c r="SE1763" s="38"/>
      <c r="SF1763" s="38"/>
      <c r="SG1763" s="38"/>
      <c r="SH1763" s="38"/>
      <c r="SI1763" s="38"/>
      <c r="SJ1763" s="38"/>
      <c r="SK1763" s="38"/>
      <c r="SL1763" s="38"/>
      <c r="SM1763" s="38"/>
      <c r="SN1763" s="38"/>
      <c r="SO1763" s="38"/>
      <c r="SP1763" s="38"/>
      <c r="SQ1763" s="38"/>
      <c r="SR1763" s="38"/>
      <c r="SS1763" s="38"/>
      <c r="ST1763" s="38"/>
      <c r="SU1763" s="38"/>
      <c r="SV1763" s="38"/>
      <c r="SW1763" s="38"/>
      <c r="SX1763" s="38"/>
      <c r="SY1763" s="38"/>
      <c r="SZ1763" s="38"/>
      <c r="TA1763" s="38"/>
      <c r="TB1763" s="38"/>
      <c r="TC1763" s="38"/>
      <c r="TD1763" s="38"/>
      <c r="TE1763" s="38"/>
      <c r="TF1763" s="38"/>
      <c r="TG1763" s="38"/>
      <c r="TH1763" s="38"/>
      <c r="TI1763" s="38"/>
      <c r="TJ1763" s="38"/>
      <c r="TK1763" s="38"/>
      <c r="TL1763" s="38"/>
      <c r="TM1763" s="38"/>
      <c r="TN1763" s="38"/>
      <c r="TO1763" s="38"/>
      <c r="TP1763" s="38"/>
      <c r="TQ1763" s="38"/>
      <c r="TR1763" s="38"/>
      <c r="TS1763" s="38"/>
      <c r="TT1763" s="38"/>
      <c r="TU1763" s="38"/>
      <c r="TV1763" s="38"/>
      <c r="TW1763" s="38"/>
      <c r="TX1763" s="38"/>
      <c r="TY1763" s="38"/>
      <c r="TZ1763" s="38"/>
      <c r="UA1763" s="38"/>
      <c r="UB1763" s="38"/>
      <c r="UC1763" s="38"/>
      <c r="UD1763" s="38"/>
      <c r="UE1763" s="38"/>
      <c r="UF1763" s="38"/>
      <c r="UG1763" s="38"/>
      <c r="UH1763" s="38"/>
      <c r="UI1763" s="38"/>
      <c r="UJ1763" s="38"/>
      <c r="UK1763" s="38"/>
      <c r="UL1763" s="38"/>
      <c r="UM1763" s="38"/>
      <c r="UN1763" s="38"/>
      <c r="UO1763" s="38"/>
      <c r="UP1763" s="38"/>
      <c r="UQ1763" s="38"/>
      <c r="UR1763" s="38"/>
      <c r="US1763" s="38"/>
      <c r="UT1763" s="38"/>
      <c r="UU1763" s="38"/>
      <c r="UV1763" s="38"/>
      <c r="UW1763" s="38"/>
      <c r="UX1763" s="38"/>
      <c r="UY1763" s="38"/>
      <c r="UZ1763" s="38"/>
      <c r="VA1763" s="38"/>
      <c r="VB1763" s="38"/>
      <c r="VC1763" s="38"/>
      <c r="VD1763" s="38"/>
      <c r="VE1763" s="38"/>
      <c r="VF1763" s="38"/>
      <c r="VG1763" s="38"/>
      <c r="VH1763" s="38"/>
      <c r="VI1763" s="38"/>
      <c r="VJ1763" s="38"/>
      <c r="VK1763" s="38"/>
      <c r="VL1763" s="38"/>
      <c r="VM1763" s="38"/>
      <c r="VN1763" s="38"/>
      <c r="VO1763" s="38"/>
      <c r="VP1763" s="38"/>
      <c r="VQ1763" s="38"/>
      <c r="VR1763" s="38"/>
      <c r="VS1763" s="38"/>
      <c r="VT1763" s="38"/>
      <c r="VU1763" s="38"/>
      <c r="VV1763" s="38"/>
      <c r="VW1763" s="38"/>
      <c r="VX1763" s="38"/>
      <c r="VY1763" s="38"/>
      <c r="VZ1763" s="38"/>
      <c r="WA1763" s="38"/>
      <c r="WB1763" s="38"/>
      <c r="WC1763" s="38"/>
      <c r="WD1763" s="38"/>
      <c r="WE1763" s="38"/>
      <c r="WF1763" s="38"/>
      <c r="WG1763" s="38"/>
      <c r="WH1763" s="38"/>
      <c r="WI1763" s="38"/>
      <c r="WJ1763" s="38"/>
      <c r="WK1763" s="38"/>
      <c r="WL1763" s="38"/>
      <c r="WM1763" s="38"/>
      <c r="WN1763" s="38"/>
      <c r="WO1763" s="38"/>
      <c r="WP1763" s="38"/>
      <c r="WQ1763" s="38"/>
      <c r="WR1763" s="38"/>
      <c r="WS1763" s="38"/>
      <c r="WT1763" s="38"/>
      <c r="WU1763" s="38"/>
      <c r="WV1763" s="38"/>
      <c r="WW1763" s="38"/>
      <c r="WX1763" s="38"/>
      <c r="WY1763" s="38"/>
      <c r="WZ1763" s="38"/>
      <c r="XA1763" s="38"/>
      <c r="XB1763" s="38"/>
      <c r="XC1763" s="38"/>
      <c r="XD1763" s="38"/>
      <c r="XE1763" s="38"/>
      <c r="XF1763" s="38"/>
      <c r="XG1763" s="38"/>
      <c r="XH1763" s="38"/>
      <c r="XI1763" s="38"/>
      <c r="XJ1763" s="38"/>
      <c r="XK1763" s="38"/>
      <c r="XL1763" s="38"/>
      <c r="XM1763" s="38"/>
      <c r="XN1763" s="38"/>
      <c r="XO1763" s="38"/>
      <c r="XP1763" s="38"/>
      <c r="XQ1763" s="38"/>
      <c r="XR1763" s="38"/>
      <c r="XS1763" s="38"/>
      <c r="XT1763" s="38"/>
      <c r="XU1763" s="38"/>
      <c r="XV1763" s="38"/>
      <c r="XW1763" s="38"/>
      <c r="XX1763" s="38"/>
      <c r="XY1763" s="38"/>
      <c r="XZ1763" s="38"/>
      <c r="YA1763" s="38"/>
      <c r="YB1763" s="38"/>
      <c r="YC1763" s="38"/>
      <c r="YD1763" s="38"/>
      <c r="YE1763" s="38"/>
      <c r="YF1763" s="38"/>
      <c r="YG1763" s="38"/>
      <c r="YH1763" s="38"/>
      <c r="YI1763" s="38"/>
      <c r="YJ1763" s="38"/>
      <c r="YK1763" s="38"/>
      <c r="YL1763" s="38"/>
      <c r="YM1763" s="38"/>
      <c r="YN1763" s="38"/>
      <c r="YO1763" s="38"/>
      <c r="YP1763" s="38"/>
      <c r="YQ1763" s="38"/>
      <c r="YR1763" s="38"/>
      <c r="YS1763" s="38"/>
      <c r="YT1763" s="38"/>
      <c r="YU1763" s="38"/>
      <c r="YV1763" s="38"/>
      <c r="YW1763" s="38"/>
      <c r="YX1763" s="38"/>
      <c r="YY1763" s="38"/>
      <c r="YZ1763" s="38"/>
      <c r="ZA1763" s="38"/>
      <c r="ZB1763" s="38"/>
      <c r="ZC1763" s="38"/>
      <c r="ZD1763" s="38"/>
      <c r="ZE1763" s="38"/>
      <c r="ZF1763" s="38"/>
      <c r="ZG1763" s="38"/>
      <c r="ZH1763" s="38"/>
      <c r="ZI1763" s="38"/>
      <c r="ZJ1763" s="38"/>
      <c r="ZK1763" s="38"/>
      <c r="ZL1763" s="38"/>
      <c r="ZM1763" s="38"/>
      <c r="ZN1763" s="38"/>
      <c r="ZO1763" s="38"/>
      <c r="ZP1763" s="38"/>
      <c r="ZQ1763" s="38"/>
      <c r="ZR1763" s="38"/>
      <c r="ZS1763" s="38"/>
      <c r="ZT1763" s="38"/>
      <c r="ZU1763" s="38"/>
      <c r="ZV1763" s="38"/>
      <c r="ZW1763" s="38"/>
      <c r="ZX1763" s="38"/>
      <c r="ZY1763" s="38"/>
      <c r="ZZ1763" s="38"/>
      <c r="AAA1763" s="38"/>
      <c r="AAB1763" s="38"/>
      <c r="AAC1763" s="38"/>
      <c r="AAD1763" s="38"/>
      <c r="AAE1763" s="38"/>
      <c r="AAF1763" s="38"/>
      <c r="AAG1763" s="38"/>
      <c r="AAH1763" s="38"/>
      <c r="AAI1763" s="38"/>
      <c r="AAJ1763" s="38"/>
      <c r="AAK1763" s="38"/>
      <c r="AAL1763" s="38"/>
      <c r="AAM1763" s="38"/>
      <c r="AAN1763" s="38"/>
      <c r="AAO1763" s="38"/>
      <c r="AAP1763" s="38"/>
      <c r="AAQ1763" s="38"/>
      <c r="AAR1763" s="38"/>
      <c r="AAS1763" s="38"/>
      <c r="AAT1763" s="38"/>
      <c r="AAU1763" s="38"/>
      <c r="AAV1763" s="38"/>
      <c r="AAW1763" s="38"/>
      <c r="AAX1763" s="38"/>
      <c r="AAY1763" s="38"/>
      <c r="AAZ1763" s="38"/>
      <c r="ABA1763" s="38"/>
      <c r="ABB1763" s="38"/>
      <c r="ABC1763" s="38"/>
      <c r="ABD1763" s="38"/>
      <c r="ABE1763" s="38"/>
      <c r="ABF1763" s="38"/>
      <c r="ABG1763" s="38"/>
      <c r="ABH1763" s="38"/>
      <c r="ABI1763" s="38"/>
      <c r="ABJ1763" s="38"/>
      <c r="ABK1763" s="38"/>
      <c r="ABL1763" s="38"/>
      <c r="ABM1763" s="38"/>
      <c r="ABN1763" s="38"/>
      <c r="ABO1763" s="38"/>
      <c r="ABP1763" s="38"/>
      <c r="ABQ1763" s="38"/>
      <c r="ABR1763" s="38"/>
      <c r="ABS1763" s="38"/>
      <c r="ABT1763" s="38"/>
      <c r="ABU1763" s="38"/>
      <c r="ABV1763" s="38"/>
      <c r="ABW1763" s="38"/>
      <c r="ABX1763" s="38"/>
      <c r="ABY1763" s="38"/>
      <c r="ABZ1763" s="38"/>
      <c r="ACA1763" s="38"/>
      <c r="ACB1763" s="38"/>
      <c r="ACC1763" s="38"/>
      <c r="ACD1763" s="38"/>
      <c r="ACE1763" s="38"/>
      <c r="ACF1763" s="38"/>
      <c r="ACG1763" s="38"/>
      <c r="ACH1763" s="38"/>
      <c r="ACI1763" s="38"/>
      <c r="ACJ1763" s="38"/>
      <c r="ACK1763" s="38"/>
      <c r="ACL1763" s="38"/>
      <c r="ACM1763" s="38"/>
      <c r="ACN1763" s="38"/>
      <c r="ACO1763" s="38"/>
      <c r="ACP1763" s="38"/>
      <c r="ACQ1763" s="38"/>
      <c r="ACR1763" s="38"/>
      <c r="ACS1763" s="38"/>
      <c r="ACT1763" s="38"/>
      <c r="ACU1763" s="38"/>
      <c r="ACV1763" s="38"/>
      <c r="ACW1763" s="38"/>
      <c r="ACX1763" s="38"/>
      <c r="ACY1763" s="38"/>
      <c r="ACZ1763" s="38"/>
      <c r="ADA1763" s="38"/>
      <c r="ADB1763" s="38"/>
      <c r="ADC1763" s="38"/>
      <c r="ADD1763" s="38"/>
      <c r="ADE1763" s="38"/>
      <c r="ADF1763" s="38"/>
      <c r="ADG1763" s="38"/>
      <c r="ADH1763" s="38"/>
      <c r="ADI1763" s="38"/>
      <c r="ADJ1763" s="38"/>
      <c r="ADK1763" s="38"/>
      <c r="ADL1763" s="38"/>
      <c r="ADM1763" s="38"/>
      <c r="ADN1763" s="38"/>
      <c r="ADO1763" s="38"/>
      <c r="ADP1763" s="38"/>
      <c r="ADQ1763" s="38"/>
      <c r="ADR1763" s="38"/>
      <c r="ADS1763" s="38"/>
      <c r="ADT1763" s="38"/>
      <c r="ADU1763" s="38"/>
      <c r="ADV1763" s="38"/>
      <c r="ADW1763" s="38"/>
      <c r="ADX1763" s="38"/>
      <c r="ADY1763" s="38"/>
      <c r="ADZ1763" s="38"/>
      <c r="AEA1763" s="38"/>
      <c r="AEB1763" s="38"/>
      <c r="AEC1763" s="38"/>
      <c r="AED1763" s="38"/>
      <c r="AEE1763" s="38"/>
      <c r="AEF1763" s="38"/>
      <c r="AEG1763" s="38"/>
      <c r="AEH1763" s="38"/>
      <c r="AEI1763" s="38"/>
      <c r="AEJ1763" s="38"/>
      <c r="AEK1763" s="38"/>
      <c r="AEL1763" s="38"/>
      <c r="AEM1763" s="38"/>
      <c r="AEN1763" s="38"/>
      <c r="AEO1763" s="38"/>
      <c r="AEP1763" s="38"/>
      <c r="AEQ1763" s="38"/>
      <c r="AER1763" s="38"/>
      <c r="AES1763" s="38"/>
      <c r="AET1763" s="38"/>
      <c r="AEU1763" s="38"/>
      <c r="AEV1763" s="38"/>
      <c r="AEW1763" s="38"/>
      <c r="AEX1763" s="38"/>
      <c r="AEY1763" s="38"/>
      <c r="AEZ1763" s="38"/>
      <c r="AFA1763" s="38"/>
      <c r="AFB1763" s="38"/>
      <c r="AFC1763" s="38"/>
      <c r="AFD1763" s="38"/>
      <c r="AFE1763" s="38"/>
      <c r="AFF1763" s="38"/>
      <c r="AFG1763" s="38"/>
      <c r="AFH1763" s="38"/>
      <c r="AFI1763" s="38"/>
      <c r="AFJ1763" s="38"/>
      <c r="AFK1763" s="38"/>
      <c r="AFL1763" s="38"/>
      <c r="AFM1763" s="38"/>
      <c r="AFN1763" s="38"/>
      <c r="AFO1763" s="38"/>
      <c r="AFP1763" s="38"/>
      <c r="AFQ1763" s="38"/>
      <c r="AFR1763" s="38"/>
      <c r="AFS1763" s="38"/>
      <c r="AFT1763" s="38"/>
      <c r="AFU1763" s="38"/>
      <c r="AFV1763" s="38"/>
      <c r="AFW1763" s="38"/>
      <c r="AFX1763" s="38"/>
      <c r="AFY1763" s="38"/>
      <c r="AFZ1763" s="38"/>
      <c r="AGA1763" s="38"/>
      <c r="AGB1763" s="38"/>
      <c r="AGC1763" s="38"/>
      <c r="AGD1763" s="38"/>
      <c r="AGE1763" s="38"/>
      <c r="AGF1763" s="38"/>
      <c r="AGG1763" s="38"/>
      <c r="AGH1763" s="38"/>
      <c r="AGI1763" s="38"/>
      <c r="AGJ1763" s="38"/>
      <c r="AGK1763" s="38"/>
      <c r="AGL1763" s="38"/>
      <c r="AGM1763" s="38"/>
      <c r="AGN1763" s="38"/>
      <c r="AGO1763" s="38"/>
      <c r="AGP1763" s="38"/>
      <c r="AGQ1763" s="38"/>
      <c r="AGR1763" s="38"/>
      <c r="AGS1763" s="38"/>
      <c r="AGT1763" s="38"/>
      <c r="AGU1763" s="38"/>
      <c r="AGV1763" s="38"/>
      <c r="AGW1763" s="38"/>
      <c r="AGX1763" s="38"/>
      <c r="AGY1763" s="38"/>
      <c r="AGZ1763" s="38"/>
      <c r="AHA1763" s="38"/>
      <c r="AHB1763" s="38"/>
      <c r="AHC1763" s="38"/>
      <c r="AHD1763" s="38"/>
      <c r="AHE1763" s="38"/>
      <c r="AHF1763" s="38"/>
      <c r="AHG1763" s="38"/>
      <c r="AHH1763" s="38"/>
      <c r="AHI1763" s="38"/>
      <c r="AHJ1763" s="38"/>
      <c r="AHK1763" s="38"/>
      <c r="AHL1763" s="38"/>
      <c r="AHM1763" s="38"/>
      <c r="AHN1763" s="38"/>
      <c r="AHO1763" s="38"/>
      <c r="AHP1763" s="38"/>
      <c r="AHQ1763" s="38"/>
      <c r="AHR1763" s="38"/>
      <c r="AHS1763" s="38"/>
      <c r="AHT1763" s="38"/>
      <c r="AHU1763" s="38"/>
      <c r="AHV1763" s="38"/>
      <c r="AHW1763" s="38"/>
      <c r="AHX1763" s="38"/>
      <c r="AHY1763" s="38"/>
      <c r="AHZ1763" s="38"/>
      <c r="AIA1763" s="38"/>
      <c r="AIB1763" s="38"/>
      <c r="AIC1763" s="38"/>
      <c r="AID1763" s="38"/>
      <c r="AIE1763" s="38"/>
      <c r="AIF1763" s="38"/>
      <c r="AIG1763" s="38"/>
      <c r="AIH1763" s="38"/>
      <c r="AII1763" s="38"/>
      <c r="AIJ1763" s="38"/>
      <c r="AIK1763" s="38"/>
      <c r="AIL1763" s="38"/>
      <c r="AIM1763" s="38"/>
      <c r="AIN1763" s="38"/>
      <c r="AIO1763" s="38"/>
      <c r="AIP1763" s="38"/>
      <c r="AIQ1763" s="38"/>
      <c r="AIR1763" s="38"/>
      <c r="AIS1763" s="38"/>
      <c r="AIT1763" s="38"/>
      <c r="AIU1763" s="38"/>
      <c r="AIV1763" s="38"/>
      <c r="AIW1763" s="38"/>
      <c r="AIX1763" s="38"/>
      <c r="AIY1763" s="38"/>
      <c r="AIZ1763" s="38"/>
      <c r="AJA1763" s="38"/>
      <c r="AJB1763" s="38"/>
      <c r="AJC1763" s="38"/>
      <c r="AJD1763" s="38"/>
      <c r="AJE1763" s="38"/>
      <c r="AJF1763" s="38"/>
      <c r="AJG1763" s="38"/>
      <c r="AJH1763" s="38"/>
      <c r="AJI1763" s="38"/>
      <c r="AJJ1763" s="38"/>
      <c r="AJK1763" s="38"/>
      <c r="AJL1763" s="38"/>
      <c r="AJM1763" s="38"/>
      <c r="AJN1763" s="38"/>
      <c r="AJO1763" s="38"/>
      <c r="AJP1763" s="38"/>
      <c r="AJQ1763" s="38"/>
      <c r="AJR1763" s="38"/>
      <c r="AJS1763" s="38"/>
      <c r="AJT1763" s="38"/>
      <c r="AJU1763" s="38"/>
      <c r="AJV1763" s="38"/>
      <c r="AJW1763" s="38"/>
      <c r="AJX1763" s="38"/>
      <c r="AJY1763" s="38"/>
      <c r="AJZ1763" s="38"/>
      <c r="AKA1763" s="38"/>
      <c r="AKB1763" s="38"/>
      <c r="AKC1763" s="38"/>
      <c r="AKD1763" s="38"/>
      <c r="AKE1763" s="38"/>
      <c r="AKF1763" s="38"/>
      <c r="AKG1763" s="38"/>
      <c r="AKH1763" s="38"/>
      <c r="AKI1763" s="38"/>
      <c r="AKJ1763" s="38"/>
      <c r="AKK1763" s="38"/>
      <c r="AKL1763" s="38"/>
      <c r="AKM1763" s="38"/>
      <c r="AKN1763" s="38"/>
      <c r="AKO1763" s="38"/>
      <c r="AKP1763" s="38"/>
      <c r="AKQ1763" s="38"/>
      <c r="AKR1763" s="38"/>
      <c r="AKS1763" s="38"/>
      <c r="AKT1763" s="38"/>
      <c r="AKU1763" s="38"/>
      <c r="AKV1763" s="38"/>
      <c r="AKW1763" s="38"/>
      <c r="AKX1763" s="38"/>
      <c r="AKY1763" s="38"/>
      <c r="AKZ1763" s="38"/>
      <c r="ALA1763" s="38"/>
      <c r="ALB1763" s="38"/>
      <c r="ALC1763" s="38"/>
      <c r="ALD1763" s="38"/>
      <c r="ALE1763" s="38"/>
      <c r="ALF1763" s="38"/>
      <c r="ALG1763" s="38"/>
      <c r="ALH1763" s="38"/>
      <c r="ALI1763" s="38"/>
      <c r="ALJ1763" s="38"/>
      <c r="ALK1763" s="38"/>
      <c r="ALL1763" s="38"/>
      <c r="ALM1763" s="38"/>
      <c r="ALN1763" s="38"/>
      <c r="ALO1763" s="38"/>
      <c r="ALP1763" s="38"/>
      <c r="ALQ1763" s="38"/>
      <c r="ALR1763" s="38"/>
      <c r="ALS1763" s="38"/>
      <c r="ALT1763" s="38"/>
      <c r="ALU1763" s="38"/>
      <c r="ALV1763" s="38"/>
      <c r="ALW1763" s="38"/>
      <c r="ALX1763" s="38"/>
      <c r="ALY1763" s="38"/>
      <c r="ALZ1763" s="38"/>
      <c r="AMA1763" s="38"/>
      <c r="AMB1763" s="38"/>
      <c r="AMC1763" s="38"/>
      <c r="AMD1763" s="38"/>
      <c r="AME1763" s="38"/>
      <c r="AMF1763" s="38"/>
      <c r="AMG1763" s="38"/>
      <c r="AMH1763" s="38"/>
      <c r="AMI1763" s="38"/>
      <c r="AMJ1763" s="38"/>
      <c r="AMK1763" s="38"/>
      <c r="AML1763" s="38"/>
      <c r="AMM1763" s="38"/>
      <c r="AMN1763" s="38"/>
      <c r="AMO1763" s="38"/>
      <c r="AMP1763" s="38"/>
      <c r="AMQ1763" s="38"/>
      <c r="AMR1763" s="38"/>
      <c r="AMS1763" s="38"/>
      <c r="AMT1763" s="38"/>
      <c r="AMU1763" s="38"/>
      <c r="AMV1763" s="38"/>
      <c r="AMW1763" s="38"/>
      <c r="AMX1763" s="38"/>
      <c r="AMY1763" s="38"/>
      <c r="AMZ1763" s="38"/>
      <c r="ANA1763" s="38"/>
      <c r="ANB1763" s="38"/>
      <c r="ANC1763" s="38"/>
      <c r="AND1763" s="38"/>
      <c r="ANE1763" s="38"/>
      <c r="ANF1763" s="38"/>
      <c r="ANG1763" s="38"/>
      <c r="ANH1763" s="38"/>
      <c r="ANI1763" s="38"/>
      <c r="ANJ1763" s="38"/>
      <c r="ANK1763" s="38"/>
      <c r="ANL1763" s="38"/>
      <c r="ANM1763" s="38"/>
      <c r="ANN1763" s="38"/>
      <c r="ANO1763" s="38"/>
      <c r="ANP1763" s="38"/>
      <c r="ANQ1763" s="38"/>
      <c r="ANR1763" s="38"/>
      <c r="ANS1763" s="38"/>
      <c r="ANT1763" s="38"/>
      <c r="ANU1763" s="38"/>
      <c r="ANV1763" s="38"/>
      <c r="ANW1763" s="38"/>
      <c r="ANX1763" s="38"/>
      <c r="ANY1763" s="38"/>
      <c r="ANZ1763" s="38"/>
      <c r="AOA1763" s="38"/>
      <c r="AOB1763" s="38"/>
      <c r="AOC1763" s="38"/>
      <c r="AOD1763" s="38"/>
      <c r="AOE1763" s="38"/>
      <c r="AOF1763" s="38"/>
      <c r="AOG1763" s="38"/>
      <c r="AOH1763" s="38"/>
      <c r="AOI1763" s="38"/>
      <c r="AOJ1763" s="38"/>
      <c r="AOK1763" s="38"/>
      <c r="AOL1763" s="38"/>
      <c r="AOM1763" s="38"/>
      <c r="AON1763" s="38"/>
      <c r="AOO1763" s="38"/>
      <c r="AOP1763" s="38"/>
      <c r="AOQ1763" s="38"/>
      <c r="AOR1763" s="38"/>
      <c r="AOS1763" s="38"/>
      <c r="AOT1763" s="38"/>
      <c r="AOU1763" s="38"/>
      <c r="AOV1763" s="38"/>
      <c r="AOW1763" s="38"/>
      <c r="AOX1763" s="38"/>
      <c r="AOY1763" s="38"/>
      <c r="AOZ1763" s="38"/>
      <c r="APA1763" s="38"/>
      <c r="APB1763" s="38"/>
      <c r="APC1763" s="38"/>
    </row>
    <row r="1764" spans="1:1095" s="36" customFormat="1" ht="14.25" customHeight="1">
      <c r="A1764" s="3" t="s">
        <v>1722</v>
      </c>
      <c r="B1764" s="36" t="s">
        <v>4026</v>
      </c>
      <c r="C1764" s="214">
        <v>4058075821811</v>
      </c>
      <c r="D1764" s="239"/>
      <c r="E1764" s="239"/>
      <c r="F1764" s="222" t="s">
        <v>3136</v>
      </c>
      <c r="G1764" s="66" t="str">
        <f>HYPERLINK("https://ledvance.com/pt/product-datasheet/246666/243194","Ficha de Produto")</f>
        <v>Ficha de Produto</v>
      </c>
      <c r="H1764" s="217">
        <v>10</v>
      </c>
      <c r="I1764" s="34" t="s">
        <v>1745</v>
      </c>
      <c r="J1764" s="34" t="s">
        <v>6335</v>
      </c>
      <c r="K1764" s="34" t="s">
        <v>788</v>
      </c>
      <c r="L1764" s="34" t="s">
        <v>793</v>
      </c>
      <c r="M1764" s="247">
        <v>19.5</v>
      </c>
      <c r="N1764" s="288" t="s">
        <v>722</v>
      </c>
    </row>
    <row r="1765" spans="1:1095" s="36" customFormat="1" ht="14.25" customHeight="1">
      <c r="A1765" s="3" t="s">
        <v>1722</v>
      </c>
      <c r="B1765" s="36" t="s">
        <v>4027</v>
      </c>
      <c r="C1765" s="214">
        <v>4058075821835</v>
      </c>
      <c r="D1765" s="239"/>
      <c r="E1765" s="239"/>
      <c r="F1765" s="222" t="s">
        <v>3136</v>
      </c>
      <c r="G1765" s="66" t="str">
        <f>HYPERLINK("https://ledvance.com/pt/product-datasheet/246666/243195","Ficha de Produto")</f>
        <v>Ficha de Produto</v>
      </c>
      <c r="H1765" s="217">
        <v>10</v>
      </c>
      <c r="I1765" s="34" t="s">
        <v>6334</v>
      </c>
      <c r="J1765" s="34" t="s">
        <v>6335</v>
      </c>
      <c r="K1765" s="34" t="s">
        <v>788</v>
      </c>
      <c r="L1765" s="34" t="s">
        <v>793</v>
      </c>
      <c r="M1765" s="247">
        <v>19.5</v>
      </c>
      <c r="N1765" s="288" t="s">
        <v>722</v>
      </c>
    </row>
    <row r="1766" spans="1:1095" s="36" customFormat="1" ht="14.25" customHeight="1">
      <c r="A1766" s="3" t="s">
        <v>1722</v>
      </c>
      <c r="B1766" s="36" t="s">
        <v>4028</v>
      </c>
      <c r="C1766" s="214">
        <v>4058075821859</v>
      </c>
      <c r="D1766" s="239"/>
      <c r="E1766" s="239"/>
      <c r="F1766" s="222" t="s">
        <v>3136</v>
      </c>
      <c r="G1766" s="66" t="str">
        <f>HYPERLINK("https://ledvance.com/pt/product-datasheet/246666/243207","Ficha de Produto")</f>
        <v>Ficha de Produto</v>
      </c>
      <c r="H1766" s="217">
        <v>10</v>
      </c>
      <c r="I1766" s="34" t="s">
        <v>6336</v>
      </c>
      <c r="J1766" s="34" t="s">
        <v>6292</v>
      </c>
      <c r="K1766" s="34" t="s">
        <v>788</v>
      </c>
      <c r="L1766" s="34" t="s">
        <v>793</v>
      </c>
      <c r="M1766" s="247">
        <v>20.900000000000002</v>
      </c>
      <c r="N1766" s="288" t="s">
        <v>722</v>
      </c>
    </row>
    <row r="1767" spans="1:1095" s="36" customFormat="1" ht="14.25" customHeight="1">
      <c r="A1767" s="3" t="s">
        <v>1722</v>
      </c>
      <c r="B1767" s="36" t="s">
        <v>4029</v>
      </c>
      <c r="C1767" s="214">
        <v>4058075821873</v>
      </c>
      <c r="D1767" s="239"/>
      <c r="E1767" s="239"/>
      <c r="F1767" s="222" t="s">
        <v>3136</v>
      </c>
      <c r="G1767" s="66" t="str">
        <f>HYPERLINK("https://ledvance.com/pt/product-datasheet/246666/243213","Ficha de Produto")</f>
        <v>Ficha de Produto</v>
      </c>
      <c r="H1767" s="217">
        <v>10</v>
      </c>
      <c r="I1767" s="34" t="s">
        <v>1034</v>
      </c>
      <c r="J1767" s="34" t="s">
        <v>6292</v>
      </c>
      <c r="K1767" s="34" t="s">
        <v>788</v>
      </c>
      <c r="L1767" s="34" t="s">
        <v>793</v>
      </c>
      <c r="M1767" s="247">
        <v>20.900000000000002</v>
      </c>
      <c r="N1767" s="288" t="s">
        <v>722</v>
      </c>
    </row>
    <row r="1768" spans="1:1095" s="36" customFormat="1" ht="14.25" customHeight="1">
      <c r="A1768" s="3" t="s">
        <v>1722</v>
      </c>
      <c r="B1768" s="36" t="s">
        <v>4030</v>
      </c>
      <c r="C1768" s="214">
        <v>4058075821897</v>
      </c>
      <c r="D1768" s="239"/>
      <c r="E1768" s="239"/>
      <c r="F1768" s="222" t="s">
        <v>3136</v>
      </c>
      <c r="G1768" s="66" t="str">
        <f>HYPERLINK("https://ledvance.com/pt/product-datasheet/246666/243219","Ficha de Produto")</f>
        <v>Ficha de Produto</v>
      </c>
      <c r="H1768" s="217">
        <v>10</v>
      </c>
      <c r="I1768" s="34" t="s">
        <v>885</v>
      </c>
      <c r="J1768" s="34" t="s">
        <v>6337</v>
      </c>
      <c r="K1768" s="34" t="s">
        <v>788</v>
      </c>
      <c r="L1768" s="34" t="s">
        <v>793</v>
      </c>
      <c r="M1768" s="247">
        <v>21.900000000000002</v>
      </c>
      <c r="N1768" s="288" t="s">
        <v>722</v>
      </c>
    </row>
    <row r="1769" spans="1:1095" s="36" customFormat="1" ht="14.25" customHeight="1">
      <c r="A1769" s="3" t="s">
        <v>1722</v>
      </c>
      <c r="B1769" s="36" t="s">
        <v>4031</v>
      </c>
      <c r="C1769" s="214">
        <v>4058075821910</v>
      </c>
      <c r="D1769" s="239"/>
      <c r="E1769" s="239"/>
      <c r="F1769" s="222" t="s">
        <v>3136</v>
      </c>
      <c r="G1769" s="66" t="str">
        <f>HYPERLINK("https://ledvance.com/pt/product-datasheet/246666/243225","Ficha de Produto")</f>
        <v>Ficha de Produto</v>
      </c>
      <c r="H1769" s="217">
        <v>10</v>
      </c>
      <c r="I1769" s="34" t="s">
        <v>857</v>
      </c>
      <c r="J1769" s="34" t="s">
        <v>6337</v>
      </c>
      <c r="K1769" s="34" t="s">
        <v>788</v>
      </c>
      <c r="L1769" s="34" t="s">
        <v>793</v>
      </c>
      <c r="M1769" s="247">
        <v>21.900000000000002</v>
      </c>
      <c r="N1769" s="288" t="s">
        <v>722</v>
      </c>
    </row>
    <row r="1770" spans="1:1095" s="39" customFormat="1" ht="14.25" customHeight="1">
      <c r="A1770" s="8" t="s">
        <v>1722</v>
      </c>
      <c r="B1770" s="244" t="s">
        <v>2076</v>
      </c>
      <c r="C1770" s="8"/>
      <c r="D1770" s="7"/>
      <c r="E1770" s="230"/>
      <c r="F1770" s="7"/>
      <c r="G1770" s="68"/>
      <c r="H1770" s="230"/>
      <c r="I1770" s="230"/>
      <c r="J1770" s="230"/>
      <c r="K1770" s="230"/>
      <c r="L1770" s="230"/>
      <c r="M1770" s="248"/>
      <c r="N1770" s="289"/>
      <c r="O1770" s="38"/>
      <c r="P1770" s="38"/>
      <c r="Q1770" s="38"/>
      <c r="R1770" s="38"/>
      <c r="S1770" s="38"/>
      <c r="T1770" s="38"/>
      <c r="U1770" s="38"/>
      <c r="V1770" s="38"/>
      <c r="W1770" s="38"/>
      <c r="X1770" s="38"/>
      <c r="Y1770" s="38"/>
      <c r="Z1770" s="38"/>
      <c r="AA1770" s="38"/>
      <c r="AB1770" s="38"/>
      <c r="AC1770" s="38"/>
      <c r="AD1770" s="38"/>
      <c r="AE1770" s="38"/>
      <c r="AF1770" s="38"/>
      <c r="AG1770" s="38"/>
      <c r="AH1770" s="38"/>
      <c r="AI1770" s="38"/>
      <c r="AJ1770" s="38"/>
      <c r="AK1770" s="38"/>
      <c r="AL1770" s="38"/>
      <c r="AM1770" s="38"/>
      <c r="AN1770" s="38"/>
      <c r="AO1770" s="38"/>
      <c r="AP1770" s="38"/>
      <c r="AQ1770" s="38"/>
      <c r="AR1770" s="38"/>
      <c r="AS1770" s="38"/>
      <c r="AT1770" s="38"/>
      <c r="AU1770" s="38"/>
      <c r="AV1770" s="38"/>
      <c r="AW1770" s="38"/>
      <c r="AX1770" s="38"/>
      <c r="AY1770" s="38"/>
      <c r="AZ1770" s="38"/>
      <c r="BA1770" s="38"/>
      <c r="BB1770" s="38"/>
      <c r="BC1770" s="38"/>
      <c r="BD1770" s="38"/>
      <c r="BE1770" s="38"/>
      <c r="BF1770" s="38"/>
      <c r="BG1770" s="38"/>
      <c r="BH1770" s="38"/>
      <c r="BI1770" s="38"/>
      <c r="BJ1770" s="38"/>
      <c r="BK1770" s="38"/>
      <c r="BL1770" s="38"/>
      <c r="BM1770" s="38"/>
      <c r="BN1770" s="38"/>
      <c r="BO1770" s="38"/>
      <c r="BP1770" s="38"/>
      <c r="BQ1770" s="38"/>
      <c r="BR1770" s="38"/>
      <c r="BS1770" s="38"/>
      <c r="BT1770" s="38"/>
      <c r="BU1770" s="38"/>
      <c r="BV1770" s="38"/>
      <c r="BW1770" s="38"/>
      <c r="BX1770" s="38"/>
      <c r="BY1770" s="38"/>
      <c r="BZ1770" s="38"/>
      <c r="CA1770" s="38"/>
      <c r="CB1770" s="38"/>
      <c r="CC1770" s="38"/>
      <c r="CD1770" s="38"/>
      <c r="CE1770" s="38"/>
      <c r="CF1770" s="38"/>
      <c r="CG1770" s="38"/>
      <c r="CH1770" s="38"/>
      <c r="CI1770" s="38"/>
      <c r="CJ1770" s="38"/>
      <c r="CK1770" s="38"/>
      <c r="CL1770" s="38"/>
      <c r="CM1770" s="38"/>
      <c r="CN1770" s="38"/>
      <c r="CO1770" s="38"/>
      <c r="CP1770" s="38"/>
      <c r="CQ1770" s="38"/>
      <c r="CR1770" s="38"/>
      <c r="CS1770" s="38"/>
      <c r="CT1770" s="38"/>
      <c r="CU1770" s="38"/>
      <c r="CV1770" s="38"/>
      <c r="CW1770" s="38"/>
      <c r="CX1770" s="38"/>
      <c r="CY1770" s="38"/>
      <c r="CZ1770" s="38"/>
      <c r="DA1770" s="38"/>
      <c r="DB1770" s="38"/>
      <c r="DC1770" s="38"/>
      <c r="DD1770" s="38"/>
      <c r="DE1770" s="38"/>
      <c r="DF1770" s="38"/>
      <c r="DG1770" s="38"/>
      <c r="DH1770" s="38"/>
      <c r="DI1770" s="38"/>
      <c r="DJ1770" s="38"/>
      <c r="DK1770" s="38"/>
      <c r="DL1770" s="38"/>
      <c r="DM1770" s="38"/>
      <c r="DN1770" s="38"/>
      <c r="DO1770" s="38"/>
      <c r="DP1770" s="38"/>
      <c r="DQ1770" s="38"/>
      <c r="DR1770" s="38"/>
      <c r="DS1770" s="38"/>
      <c r="DT1770" s="38"/>
      <c r="DU1770" s="38"/>
      <c r="DV1770" s="38"/>
      <c r="DW1770" s="38"/>
      <c r="DX1770" s="38"/>
      <c r="DY1770" s="38"/>
      <c r="DZ1770" s="38"/>
      <c r="EA1770" s="38"/>
      <c r="EB1770" s="38"/>
      <c r="EC1770" s="38"/>
      <c r="ED1770" s="38"/>
      <c r="EE1770" s="38"/>
      <c r="EF1770" s="38"/>
      <c r="EG1770" s="38"/>
      <c r="EH1770" s="38"/>
      <c r="EI1770" s="38"/>
      <c r="EJ1770" s="38"/>
      <c r="EK1770" s="38"/>
      <c r="EL1770" s="38"/>
      <c r="EM1770" s="38"/>
      <c r="EN1770" s="38"/>
      <c r="EO1770" s="38"/>
      <c r="EP1770" s="38"/>
      <c r="EQ1770" s="38"/>
      <c r="ER1770" s="38"/>
      <c r="ES1770" s="38"/>
      <c r="ET1770" s="38"/>
      <c r="EU1770" s="38"/>
      <c r="EV1770" s="38"/>
      <c r="EW1770" s="38"/>
      <c r="EX1770" s="38"/>
      <c r="EY1770" s="38"/>
      <c r="EZ1770" s="38"/>
      <c r="FA1770" s="38"/>
      <c r="FB1770" s="38"/>
      <c r="FC1770" s="38"/>
      <c r="FD1770" s="38"/>
      <c r="FE1770" s="38"/>
      <c r="FF1770" s="38"/>
      <c r="FG1770" s="38"/>
      <c r="FH1770" s="38"/>
      <c r="FI1770" s="38"/>
      <c r="FJ1770" s="38"/>
      <c r="FK1770" s="38"/>
      <c r="FL1770" s="38"/>
      <c r="FM1770" s="38"/>
      <c r="FN1770" s="38"/>
      <c r="FO1770" s="38"/>
      <c r="FP1770" s="38"/>
      <c r="FQ1770" s="38"/>
      <c r="FR1770" s="38"/>
      <c r="FS1770" s="38"/>
      <c r="FT1770" s="38"/>
      <c r="FU1770" s="38"/>
      <c r="FV1770" s="38"/>
      <c r="FW1770" s="38"/>
      <c r="FX1770" s="38"/>
      <c r="FY1770" s="38"/>
      <c r="FZ1770" s="38"/>
      <c r="GA1770" s="38"/>
      <c r="GB1770" s="38"/>
      <c r="GC1770" s="38"/>
      <c r="GD1770" s="38"/>
      <c r="GE1770" s="38"/>
      <c r="GF1770" s="38"/>
      <c r="GG1770" s="38"/>
      <c r="GH1770" s="38"/>
      <c r="GI1770" s="38"/>
      <c r="GJ1770" s="38"/>
      <c r="GK1770" s="38"/>
      <c r="GL1770" s="38"/>
      <c r="GM1770" s="38"/>
      <c r="GN1770" s="38"/>
      <c r="GO1770" s="38"/>
      <c r="GP1770" s="38"/>
      <c r="GQ1770" s="38"/>
      <c r="GR1770" s="38"/>
      <c r="GS1770" s="38"/>
      <c r="GT1770" s="38"/>
      <c r="GU1770" s="38"/>
      <c r="GV1770" s="38"/>
      <c r="GW1770" s="38"/>
      <c r="GX1770" s="38"/>
      <c r="GY1770" s="38"/>
      <c r="GZ1770" s="38"/>
      <c r="HA1770" s="38"/>
      <c r="HB1770" s="38"/>
      <c r="HC1770" s="38"/>
      <c r="HD1770" s="38"/>
      <c r="HE1770" s="38"/>
      <c r="HF1770" s="38"/>
      <c r="HG1770" s="38"/>
      <c r="HH1770" s="38"/>
      <c r="HI1770" s="38"/>
      <c r="HJ1770" s="38"/>
      <c r="HK1770" s="38"/>
      <c r="HL1770" s="38"/>
      <c r="HM1770" s="38"/>
      <c r="HN1770" s="38"/>
      <c r="HO1770" s="38"/>
      <c r="HP1770" s="38"/>
      <c r="HQ1770" s="38"/>
      <c r="HR1770" s="38"/>
      <c r="HS1770" s="38"/>
      <c r="HT1770" s="38"/>
      <c r="HU1770" s="38"/>
      <c r="HV1770" s="38"/>
      <c r="HW1770" s="38"/>
      <c r="HX1770" s="38"/>
      <c r="HY1770" s="38"/>
      <c r="HZ1770" s="38"/>
      <c r="IA1770" s="38"/>
      <c r="IB1770" s="38"/>
      <c r="IC1770" s="38"/>
      <c r="ID1770" s="38"/>
      <c r="IE1770" s="38"/>
      <c r="IF1770" s="38"/>
      <c r="IG1770" s="38"/>
      <c r="IH1770" s="38"/>
      <c r="II1770" s="38"/>
      <c r="IJ1770" s="38"/>
      <c r="IK1770" s="38"/>
      <c r="IL1770" s="38"/>
      <c r="IM1770" s="38"/>
      <c r="IN1770" s="38"/>
      <c r="IO1770" s="38"/>
      <c r="IP1770" s="38"/>
      <c r="IQ1770" s="38"/>
      <c r="IR1770" s="38"/>
      <c r="IS1770" s="38"/>
      <c r="IT1770" s="38"/>
      <c r="IU1770" s="38"/>
      <c r="IV1770" s="38"/>
      <c r="IW1770" s="38"/>
      <c r="IX1770" s="38"/>
      <c r="IY1770" s="38"/>
      <c r="IZ1770" s="38"/>
      <c r="JA1770" s="38"/>
      <c r="JB1770" s="38"/>
      <c r="JC1770" s="38"/>
      <c r="JD1770" s="38"/>
      <c r="JE1770" s="38"/>
      <c r="JF1770" s="38"/>
      <c r="JG1770" s="38"/>
      <c r="JH1770" s="38"/>
      <c r="JI1770" s="38"/>
      <c r="JJ1770" s="38"/>
      <c r="JK1770" s="38"/>
      <c r="JL1770" s="38"/>
      <c r="JM1770" s="38"/>
      <c r="JN1770" s="38"/>
      <c r="JO1770" s="38"/>
      <c r="JP1770" s="38"/>
      <c r="JQ1770" s="38"/>
      <c r="JR1770" s="38"/>
      <c r="JS1770" s="38"/>
      <c r="JT1770" s="38"/>
      <c r="JU1770" s="38"/>
      <c r="JV1770" s="38"/>
      <c r="JW1770" s="38"/>
      <c r="JX1770" s="38"/>
      <c r="JY1770" s="38"/>
      <c r="JZ1770" s="38"/>
      <c r="KA1770" s="38"/>
      <c r="KB1770" s="38"/>
      <c r="KC1770" s="38"/>
      <c r="KD1770" s="38"/>
      <c r="KE1770" s="38"/>
      <c r="KF1770" s="38"/>
      <c r="KG1770" s="38"/>
      <c r="KH1770" s="38"/>
      <c r="KI1770" s="38"/>
      <c r="KJ1770" s="38"/>
      <c r="KK1770" s="38"/>
      <c r="KL1770" s="38"/>
      <c r="KM1770" s="38"/>
      <c r="KN1770" s="38"/>
      <c r="KO1770" s="38"/>
      <c r="KP1770" s="38"/>
      <c r="KQ1770" s="38"/>
      <c r="KR1770" s="38"/>
      <c r="KS1770" s="38"/>
      <c r="KT1770" s="38"/>
      <c r="KU1770" s="38"/>
      <c r="KV1770" s="38"/>
      <c r="KW1770" s="38"/>
      <c r="KX1770" s="38"/>
      <c r="KY1770" s="38"/>
      <c r="KZ1770" s="38"/>
      <c r="LA1770" s="38"/>
      <c r="LB1770" s="38"/>
      <c r="LC1770" s="38"/>
      <c r="LD1770" s="38"/>
      <c r="LE1770" s="38"/>
      <c r="LF1770" s="38"/>
      <c r="LG1770" s="38"/>
      <c r="LH1770" s="38"/>
      <c r="LI1770" s="38"/>
      <c r="LJ1770" s="38"/>
      <c r="LK1770" s="38"/>
      <c r="LL1770" s="38"/>
      <c r="LM1770" s="38"/>
      <c r="LN1770" s="38"/>
      <c r="LO1770" s="38"/>
      <c r="LP1770" s="38"/>
      <c r="LQ1770" s="38"/>
      <c r="LR1770" s="38"/>
      <c r="LS1770" s="38"/>
      <c r="LT1770" s="38"/>
      <c r="LU1770" s="38"/>
      <c r="LV1770" s="38"/>
      <c r="LW1770" s="38"/>
      <c r="LX1770" s="38"/>
      <c r="LY1770" s="38"/>
      <c r="LZ1770" s="38"/>
      <c r="MA1770" s="38"/>
      <c r="MB1770" s="38"/>
      <c r="MC1770" s="38"/>
      <c r="MD1770" s="38"/>
      <c r="ME1770" s="38"/>
      <c r="MF1770" s="38"/>
      <c r="MG1770" s="38"/>
      <c r="MH1770" s="38"/>
      <c r="MI1770" s="38"/>
      <c r="MJ1770" s="38"/>
      <c r="MK1770" s="38"/>
      <c r="ML1770" s="38"/>
      <c r="MM1770" s="38"/>
      <c r="MN1770" s="38"/>
      <c r="MO1770" s="38"/>
      <c r="MP1770" s="38"/>
      <c r="MQ1770" s="38"/>
      <c r="MR1770" s="38"/>
      <c r="MS1770" s="38"/>
      <c r="MT1770" s="38"/>
      <c r="MU1770" s="38"/>
      <c r="MV1770" s="38"/>
      <c r="MW1770" s="38"/>
      <c r="MX1770" s="38"/>
      <c r="MY1770" s="38"/>
      <c r="MZ1770" s="38"/>
      <c r="NA1770" s="38"/>
      <c r="NB1770" s="38"/>
      <c r="NC1770" s="38"/>
      <c r="ND1770" s="38"/>
      <c r="NE1770" s="38"/>
      <c r="NF1770" s="38"/>
      <c r="NG1770" s="38"/>
      <c r="NH1770" s="38"/>
      <c r="NI1770" s="38"/>
      <c r="NJ1770" s="38"/>
      <c r="NK1770" s="38"/>
      <c r="NL1770" s="38"/>
      <c r="NM1770" s="38"/>
      <c r="NN1770" s="38"/>
      <c r="NO1770" s="38"/>
      <c r="NP1770" s="38"/>
      <c r="NQ1770" s="38"/>
      <c r="NR1770" s="38"/>
      <c r="NS1770" s="38"/>
      <c r="NT1770" s="38"/>
      <c r="NU1770" s="38"/>
      <c r="NV1770" s="38"/>
      <c r="NW1770" s="38"/>
      <c r="NX1770" s="38"/>
      <c r="NY1770" s="38"/>
      <c r="NZ1770" s="38"/>
      <c r="OA1770" s="38"/>
      <c r="OB1770" s="38"/>
      <c r="OC1770" s="38"/>
      <c r="OD1770" s="38"/>
      <c r="OE1770" s="38"/>
      <c r="OF1770" s="38"/>
      <c r="OG1770" s="38"/>
      <c r="OH1770" s="38"/>
      <c r="OI1770" s="38"/>
      <c r="OJ1770" s="38"/>
      <c r="OK1770" s="38"/>
      <c r="OL1770" s="38"/>
      <c r="OM1770" s="38"/>
      <c r="ON1770" s="38"/>
      <c r="OO1770" s="38"/>
      <c r="OP1770" s="38"/>
      <c r="OQ1770" s="38"/>
      <c r="OR1770" s="38"/>
      <c r="OS1770" s="38"/>
      <c r="OT1770" s="38"/>
      <c r="OU1770" s="38"/>
      <c r="OV1770" s="38"/>
      <c r="OW1770" s="38"/>
      <c r="OX1770" s="38"/>
      <c r="OY1770" s="38"/>
      <c r="OZ1770" s="38"/>
      <c r="PA1770" s="38"/>
      <c r="PB1770" s="38"/>
      <c r="PC1770" s="38"/>
      <c r="PD1770" s="38"/>
      <c r="PE1770" s="38"/>
      <c r="PF1770" s="38"/>
      <c r="PG1770" s="38"/>
      <c r="PH1770" s="38"/>
      <c r="PI1770" s="38"/>
      <c r="PJ1770" s="38"/>
      <c r="PK1770" s="38"/>
      <c r="PL1770" s="38"/>
      <c r="PM1770" s="38"/>
      <c r="PN1770" s="38"/>
      <c r="PO1770" s="38"/>
      <c r="PP1770" s="38"/>
      <c r="PQ1770" s="38"/>
      <c r="PR1770" s="38"/>
      <c r="PS1770" s="38"/>
      <c r="PT1770" s="38"/>
      <c r="PU1770" s="38"/>
      <c r="PV1770" s="38"/>
      <c r="PW1770" s="38"/>
      <c r="PX1770" s="38"/>
      <c r="PY1770" s="38"/>
      <c r="PZ1770" s="38"/>
      <c r="QA1770" s="38"/>
      <c r="QB1770" s="38"/>
      <c r="QC1770" s="38"/>
      <c r="QD1770" s="38"/>
      <c r="QE1770" s="38"/>
      <c r="QF1770" s="38"/>
      <c r="QG1770" s="38"/>
      <c r="QH1770" s="38"/>
      <c r="QI1770" s="38"/>
      <c r="QJ1770" s="38"/>
      <c r="QK1770" s="38"/>
      <c r="QL1770" s="38"/>
      <c r="QM1770" s="38"/>
      <c r="QN1770" s="38"/>
      <c r="QO1770" s="38"/>
      <c r="QP1770" s="38"/>
      <c r="QQ1770" s="38"/>
      <c r="QR1770" s="38"/>
      <c r="QS1770" s="38"/>
      <c r="QT1770" s="38"/>
      <c r="QU1770" s="38"/>
      <c r="QV1770" s="38"/>
      <c r="QW1770" s="38"/>
      <c r="QX1770" s="38"/>
      <c r="QY1770" s="38"/>
      <c r="QZ1770" s="38"/>
      <c r="RA1770" s="38"/>
      <c r="RB1770" s="38"/>
      <c r="RC1770" s="38"/>
      <c r="RD1770" s="38"/>
      <c r="RE1770" s="38"/>
      <c r="RF1770" s="38"/>
      <c r="RG1770" s="38"/>
      <c r="RH1770" s="38"/>
      <c r="RI1770" s="38"/>
      <c r="RJ1770" s="38"/>
      <c r="RK1770" s="38"/>
      <c r="RL1770" s="38"/>
      <c r="RM1770" s="38"/>
      <c r="RN1770" s="38"/>
      <c r="RO1770" s="38"/>
      <c r="RP1770" s="38"/>
      <c r="RQ1770" s="38"/>
      <c r="RR1770" s="38"/>
      <c r="RS1770" s="38"/>
      <c r="RT1770" s="38"/>
      <c r="RU1770" s="38"/>
      <c r="RV1770" s="38"/>
      <c r="RW1770" s="38"/>
      <c r="RX1770" s="38"/>
      <c r="RY1770" s="38"/>
      <c r="RZ1770" s="38"/>
      <c r="SA1770" s="38"/>
      <c r="SB1770" s="38"/>
      <c r="SC1770" s="38"/>
      <c r="SD1770" s="38"/>
      <c r="SE1770" s="38"/>
      <c r="SF1770" s="38"/>
      <c r="SG1770" s="38"/>
      <c r="SH1770" s="38"/>
      <c r="SI1770" s="38"/>
      <c r="SJ1770" s="38"/>
      <c r="SK1770" s="38"/>
      <c r="SL1770" s="38"/>
      <c r="SM1770" s="38"/>
      <c r="SN1770" s="38"/>
      <c r="SO1770" s="38"/>
      <c r="SP1770" s="38"/>
      <c r="SQ1770" s="38"/>
      <c r="SR1770" s="38"/>
      <c r="SS1770" s="38"/>
      <c r="ST1770" s="38"/>
      <c r="SU1770" s="38"/>
      <c r="SV1770" s="38"/>
      <c r="SW1770" s="38"/>
      <c r="SX1770" s="38"/>
      <c r="SY1770" s="38"/>
      <c r="SZ1770" s="38"/>
      <c r="TA1770" s="38"/>
      <c r="TB1770" s="38"/>
      <c r="TC1770" s="38"/>
      <c r="TD1770" s="38"/>
      <c r="TE1770" s="38"/>
      <c r="TF1770" s="38"/>
      <c r="TG1770" s="38"/>
      <c r="TH1770" s="38"/>
      <c r="TI1770" s="38"/>
      <c r="TJ1770" s="38"/>
      <c r="TK1770" s="38"/>
      <c r="TL1770" s="38"/>
      <c r="TM1770" s="38"/>
      <c r="TN1770" s="38"/>
      <c r="TO1770" s="38"/>
      <c r="TP1770" s="38"/>
      <c r="TQ1770" s="38"/>
      <c r="TR1770" s="38"/>
      <c r="TS1770" s="38"/>
      <c r="TT1770" s="38"/>
      <c r="TU1770" s="38"/>
      <c r="TV1770" s="38"/>
      <c r="TW1770" s="38"/>
      <c r="TX1770" s="38"/>
      <c r="TY1770" s="38"/>
      <c r="TZ1770" s="38"/>
      <c r="UA1770" s="38"/>
      <c r="UB1770" s="38"/>
      <c r="UC1770" s="38"/>
      <c r="UD1770" s="38"/>
      <c r="UE1770" s="38"/>
      <c r="UF1770" s="38"/>
      <c r="UG1770" s="38"/>
      <c r="UH1770" s="38"/>
      <c r="UI1770" s="38"/>
      <c r="UJ1770" s="38"/>
      <c r="UK1770" s="38"/>
      <c r="UL1770" s="38"/>
      <c r="UM1770" s="38"/>
      <c r="UN1770" s="38"/>
      <c r="UO1770" s="38"/>
      <c r="UP1770" s="38"/>
      <c r="UQ1770" s="38"/>
      <c r="UR1770" s="38"/>
      <c r="US1770" s="38"/>
      <c r="UT1770" s="38"/>
      <c r="UU1770" s="38"/>
      <c r="UV1770" s="38"/>
      <c r="UW1770" s="38"/>
      <c r="UX1770" s="38"/>
      <c r="UY1770" s="38"/>
      <c r="UZ1770" s="38"/>
      <c r="VA1770" s="38"/>
      <c r="VB1770" s="38"/>
      <c r="VC1770" s="38"/>
      <c r="VD1770" s="38"/>
      <c r="VE1770" s="38"/>
      <c r="VF1770" s="38"/>
      <c r="VG1770" s="38"/>
      <c r="VH1770" s="38"/>
      <c r="VI1770" s="38"/>
      <c r="VJ1770" s="38"/>
      <c r="VK1770" s="38"/>
      <c r="VL1770" s="38"/>
      <c r="VM1770" s="38"/>
      <c r="VN1770" s="38"/>
      <c r="VO1770" s="38"/>
      <c r="VP1770" s="38"/>
      <c r="VQ1770" s="38"/>
      <c r="VR1770" s="38"/>
      <c r="VS1770" s="38"/>
      <c r="VT1770" s="38"/>
      <c r="VU1770" s="38"/>
      <c r="VV1770" s="38"/>
      <c r="VW1770" s="38"/>
      <c r="VX1770" s="38"/>
      <c r="VY1770" s="38"/>
      <c r="VZ1770" s="38"/>
      <c r="WA1770" s="38"/>
      <c r="WB1770" s="38"/>
      <c r="WC1770" s="38"/>
      <c r="WD1770" s="38"/>
      <c r="WE1770" s="38"/>
      <c r="WF1770" s="38"/>
      <c r="WG1770" s="38"/>
      <c r="WH1770" s="38"/>
      <c r="WI1770" s="38"/>
      <c r="WJ1770" s="38"/>
      <c r="WK1770" s="38"/>
      <c r="WL1770" s="38"/>
      <c r="WM1770" s="38"/>
      <c r="WN1770" s="38"/>
      <c r="WO1770" s="38"/>
      <c r="WP1770" s="38"/>
      <c r="WQ1770" s="38"/>
      <c r="WR1770" s="38"/>
      <c r="WS1770" s="38"/>
      <c r="WT1770" s="38"/>
      <c r="WU1770" s="38"/>
      <c r="WV1770" s="38"/>
      <c r="WW1770" s="38"/>
      <c r="WX1770" s="38"/>
      <c r="WY1770" s="38"/>
      <c r="WZ1770" s="38"/>
      <c r="XA1770" s="38"/>
      <c r="XB1770" s="38"/>
      <c r="XC1770" s="38"/>
      <c r="XD1770" s="38"/>
      <c r="XE1770" s="38"/>
      <c r="XF1770" s="38"/>
      <c r="XG1770" s="38"/>
      <c r="XH1770" s="38"/>
      <c r="XI1770" s="38"/>
      <c r="XJ1770" s="38"/>
      <c r="XK1770" s="38"/>
      <c r="XL1770" s="38"/>
      <c r="XM1770" s="38"/>
      <c r="XN1770" s="38"/>
      <c r="XO1770" s="38"/>
      <c r="XP1770" s="38"/>
      <c r="XQ1770" s="38"/>
      <c r="XR1770" s="38"/>
      <c r="XS1770" s="38"/>
      <c r="XT1770" s="38"/>
      <c r="XU1770" s="38"/>
      <c r="XV1770" s="38"/>
      <c r="XW1770" s="38"/>
      <c r="XX1770" s="38"/>
      <c r="XY1770" s="38"/>
      <c r="XZ1770" s="38"/>
      <c r="YA1770" s="38"/>
      <c r="YB1770" s="38"/>
      <c r="YC1770" s="38"/>
      <c r="YD1770" s="38"/>
      <c r="YE1770" s="38"/>
      <c r="YF1770" s="38"/>
      <c r="YG1770" s="38"/>
      <c r="YH1770" s="38"/>
      <c r="YI1770" s="38"/>
      <c r="YJ1770" s="38"/>
      <c r="YK1770" s="38"/>
      <c r="YL1770" s="38"/>
      <c r="YM1770" s="38"/>
      <c r="YN1770" s="38"/>
      <c r="YO1770" s="38"/>
      <c r="YP1770" s="38"/>
      <c r="YQ1770" s="38"/>
      <c r="YR1770" s="38"/>
      <c r="YS1770" s="38"/>
      <c r="YT1770" s="38"/>
      <c r="YU1770" s="38"/>
      <c r="YV1770" s="38"/>
      <c r="YW1770" s="38"/>
      <c r="YX1770" s="38"/>
      <c r="YY1770" s="38"/>
      <c r="YZ1770" s="38"/>
      <c r="ZA1770" s="38"/>
      <c r="ZB1770" s="38"/>
      <c r="ZC1770" s="38"/>
      <c r="ZD1770" s="38"/>
      <c r="ZE1770" s="38"/>
      <c r="ZF1770" s="38"/>
      <c r="ZG1770" s="38"/>
      <c r="ZH1770" s="38"/>
      <c r="ZI1770" s="38"/>
      <c r="ZJ1770" s="38"/>
      <c r="ZK1770" s="38"/>
      <c r="ZL1770" s="38"/>
      <c r="ZM1770" s="38"/>
      <c r="ZN1770" s="38"/>
      <c r="ZO1770" s="38"/>
      <c r="ZP1770" s="38"/>
      <c r="ZQ1770" s="38"/>
      <c r="ZR1770" s="38"/>
      <c r="ZS1770" s="38"/>
      <c r="ZT1770" s="38"/>
      <c r="ZU1770" s="38"/>
      <c r="ZV1770" s="38"/>
      <c r="ZW1770" s="38"/>
      <c r="ZX1770" s="38"/>
      <c r="ZY1770" s="38"/>
      <c r="ZZ1770" s="38"/>
      <c r="AAA1770" s="38"/>
      <c r="AAB1770" s="38"/>
      <c r="AAC1770" s="38"/>
      <c r="AAD1770" s="38"/>
      <c r="AAE1770" s="38"/>
      <c r="AAF1770" s="38"/>
      <c r="AAG1770" s="38"/>
      <c r="AAH1770" s="38"/>
      <c r="AAI1770" s="38"/>
      <c r="AAJ1770" s="38"/>
      <c r="AAK1770" s="38"/>
      <c r="AAL1770" s="38"/>
      <c r="AAM1770" s="38"/>
      <c r="AAN1770" s="38"/>
      <c r="AAO1770" s="38"/>
      <c r="AAP1770" s="38"/>
      <c r="AAQ1770" s="38"/>
      <c r="AAR1770" s="38"/>
      <c r="AAS1770" s="38"/>
      <c r="AAT1770" s="38"/>
      <c r="AAU1770" s="38"/>
      <c r="AAV1770" s="38"/>
      <c r="AAW1770" s="38"/>
      <c r="AAX1770" s="38"/>
      <c r="AAY1770" s="38"/>
      <c r="AAZ1770" s="38"/>
      <c r="ABA1770" s="38"/>
      <c r="ABB1770" s="38"/>
      <c r="ABC1770" s="38"/>
      <c r="ABD1770" s="38"/>
      <c r="ABE1770" s="38"/>
      <c r="ABF1770" s="38"/>
      <c r="ABG1770" s="38"/>
      <c r="ABH1770" s="38"/>
      <c r="ABI1770" s="38"/>
      <c r="ABJ1770" s="38"/>
      <c r="ABK1770" s="38"/>
      <c r="ABL1770" s="38"/>
      <c r="ABM1770" s="38"/>
      <c r="ABN1770" s="38"/>
      <c r="ABO1770" s="38"/>
      <c r="ABP1770" s="38"/>
      <c r="ABQ1770" s="38"/>
      <c r="ABR1770" s="38"/>
      <c r="ABS1770" s="38"/>
      <c r="ABT1770" s="38"/>
      <c r="ABU1770" s="38"/>
      <c r="ABV1770" s="38"/>
      <c r="ABW1770" s="38"/>
      <c r="ABX1770" s="38"/>
      <c r="ABY1770" s="38"/>
      <c r="ABZ1770" s="38"/>
      <c r="ACA1770" s="38"/>
      <c r="ACB1770" s="38"/>
      <c r="ACC1770" s="38"/>
      <c r="ACD1770" s="38"/>
      <c r="ACE1770" s="38"/>
      <c r="ACF1770" s="38"/>
      <c r="ACG1770" s="38"/>
      <c r="ACH1770" s="38"/>
      <c r="ACI1770" s="38"/>
      <c r="ACJ1770" s="38"/>
      <c r="ACK1770" s="38"/>
      <c r="ACL1770" s="38"/>
      <c r="ACM1770" s="38"/>
      <c r="ACN1770" s="38"/>
      <c r="ACO1770" s="38"/>
      <c r="ACP1770" s="38"/>
      <c r="ACQ1770" s="38"/>
      <c r="ACR1770" s="38"/>
      <c r="ACS1770" s="38"/>
      <c r="ACT1770" s="38"/>
      <c r="ACU1770" s="38"/>
      <c r="ACV1770" s="38"/>
      <c r="ACW1770" s="38"/>
      <c r="ACX1770" s="38"/>
      <c r="ACY1770" s="38"/>
      <c r="ACZ1770" s="38"/>
      <c r="ADA1770" s="38"/>
      <c r="ADB1770" s="38"/>
      <c r="ADC1770" s="38"/>
      <c r="ADD1770" s="38"/>
      <c r="ADE1770" s="38"/>
      <c r="ADF1770" s="38"/>
      <c r="ADG1770" s="38"/>
      <c r="ADH1770" s="38"/>
      <c r="ADI1770" s="38"/>
      <c r="ADJ1770" s="38"/>
      <c r="ADK1770" s="38"/>
      <c r="ADL1770" s="38"/>
      <c r="ADM1770" s="38"/>
      <c r="ADN1770" s="38"/>
      <c r="ADO1770" s="38"/>
      <c r="ADP1770" s="38"/>
      <c r="ADQ1770" s="38"/>
      <c r="ADR1770" s="38"/>
      <c r="ADS1770" s="38"/>
      <c r="ADT1770" s="38"/>
      <c r="ADU1770" s="38"/>
      <c r="ADV1770" s="38"/>
      <c r="ADW1770" s="38"/>
      <c r="ADX1770" s="38"/>
      <c r="ADY1770" s="38"/>
      <c r="ADZ1770" s="38"/>
      <c r="AEA1770" s="38"/>
      <c r="AEB1770" s="38"/>
      <c r="AEC1770" s="38"/>
      <c r="AED1770" s="38"/>
      <c r="AEE1770" s="38"/>
      <c r="AEF1770" s="38"/>
      <c r="AEG1770" s="38"/>
      <c r="AEH1770" s="38"/>
      <c r="AEI1770" s="38"/>
      <c r="AEJ1770" s="38"/>
      <c r="AEK1770" s="38"/>
      <c r="AEL1770" s="38"/>
      <c r="AEM1770" s="38"/>
      <c r="AEN1770" s="38"/>
      <c r="AEO1770" s="38"/>
      <c r="AEP1770" s="38"/>
      <c r="AEQ1770" s="38"/>
      <c r="AER1770" s="38"/>
      <c r="AES1770" s="38"/>
      <c r="AET1770" s="38"/>
      <c r="AEU1770" s="38"/>
      <c r="AEV1770" s="38"/>
      <c r="AEW1770" s="38"/>
      <c r="AEX1770" s="38"/>
      <c r="AEY1770" s="38"/>
      <c r="AEZ1770" s="38"/>
      <c r="AFA1770" s="38"/>
      <c r="AFB1770" s="38"/>
      <c r="AFC1770" s="38"/>
      <c r="AFD1770" s="38"/>
      <c r="AFE1770" s="38"/>
      <c r="AFF1770" s="38"/>
      <c r="AFG1770" s="38"/>
      <c r="AFH1770" s="38"/>
      <c r="AFI1770" s="38"/>
      <c r="AFJ1770" s="38"/>
      <c r="AFK1770" s="38"/>
      <c r="AFL1770" s="38"/>
      <c r="AFM1770" s="38"/>
      <c r="AFN1770" s="38"/>
      <c r="AFO1770" s="38"/>
      <c r="AFP1770" s="38"/>
      <c r="AFQ1770" s="38"/>
      <c r="AFR1770" s="38"/>
      <c r="AFS1770" s="38"/>
      <c r="AFT1770" s="38"/>
      <c r="AFU1770" s="38"/>
      <c r="AFV1770" s="38"/>
      <c r="AFW1770" s="38"/>
      <c r="AFX1770" s="38"/>
      <c r="AFY1770" s="38"/>
      <c r="AFZ1770" s="38"/>
      <c r="AGA1770" s="38"/>
      <c r="AGB1770" s="38"/>
      <c r="AGC1770" s="38"/>
      <c r="AGD1770" s="38"/>
      <c r="AGE1770" s="38"/>
      <c r="AGF1770" s="38"/>
      <c r="AGG1770" s="38"/>
      <c r="AGH1770" s="38"/>
      <c r="AGI1770" s="38"/>
      <c r="AGJ1770" s="38"/>
      <c r="AGK1770" s="38"/>
      <c r="AGL1770" s="38"/>
      <c r="AGM1770" s="38"/>
      <c r="AGN1770" s="38"/>
      <c r="AGO1770" s="38"/>
      <c r="AGP1770" s="38"/>
      <c r="AGQ1770" s="38"/>
      <c r="AGR1770" s="38"/>
      <c r="AGS1770" s="38"/>
      <c r="AGT1770" s="38"/>
      <c r="AGU1770" s="38"/>
      <c r="AGV1770" s="38"/>
      <c r="AGW1770" s="38"/>
      <c r="AGX1770" s="38"/>
      <c r="AGY1770" s="38"/>
      <c r="AGZ1770" s="38"/>
      <c r="AHA1770" s="38"/>
      <c r="AHB1770" s="38"/>
      <c r="AHC1770" s="38"/>
      <c r="AHD1770" s="38"/>
      <c r="AHE1770" s="38"/>
      <c r="AHF1770" s="38"/>
      <c r="AHG1770" s="38"/>
      <c r="AHH1770" s="38"/>
      <c r="AHI1770" s="38"/>
      <c r="AHJ1770" s="38"/>
      <c r="AHK1770" s="38"/>
      <c r="AHL1770" s="38"/>
      <c r="AHM1770" s="38"/>
      <c r="AHN1770" s="38"/>
      <c r="AHO1770" s="38"/>
      <c r="AHP1770" s="38"/>
      <c r="AHQ1770" s="38"/>
      <c r="AHR1770" s="38"/>
      <c r="AHS1770" s="38"/>
      <c r="AHT1770" s="38"/>
      <c r="AHU1770" s="38"/>
      <c r="AHV1770" s="38"/>
      <c r="AHW1770" s="38"/>
      <c r="AHX1770" s="38"/>
      <c r="AHY1770" s="38"/>
      <c r="AHZ1770" s="38"/>
      <c r="AIA1770" s="38"/>
      <c r="AIB1770" s="38"/>
      <c r="AIC1770" s="38"/>
      <c r="AID1770" s="38"/>
      <c r="AIE1770" s="38"/>
      <c r="AIF1770" s="38"/>
      <c r="AIG1770" s="38"/>
      <c r="AIH1770" s="38"/>
      <c r="AII1770" s="38"/>
      <c r="AIJ1770" s="38"/>
      <c r="AIK1770" s="38"/>
      <c r="AIL1770" s="38"/>
      <c r="AIM1770" s="38"/>
      <c r="AIN1770" s="38"/>
      <c r="AIO1770" s="38"/>
      <c r="AIP1770" s="38"/>
      <c r="AIQ1770" s="38"/>
      <c r="AIR1770" s="38"/>
      <c r="AIS1770" s="38"/>
      <c r="AIT1770" s="38"/>
      <c r="AIU1770" s="38"/>
      <c r="AIV1770" s="38"/>
      <c r="AIW1770" s="38"/>
      <c r="AIX1770" s="38"/>
      <c r="AIY1770" s="38"/>
      <c r="AIZ1770" s="38"/>
      <c r="AJA1770" s="38"/>
      <c r="AJB1770" s="38"/>
      <c r="AJC1770" s="38"/>
      <c r="AJD1770" s="38"/>
      <c r="AJE1770" s="38"/>
      <c r="AJF1770" s="38"/>
      <c r="AJG1770" s="38"/>
      <c r="AJH1770" s="38"/>
      <c r="AJI1770" s="38"/>
      <c r="AJJ1770" s="38"/>
      <c r="AJK1770" s="38"/>
      <c r="AJL1770" s="38"/>
      <c r="AJM1770" s="38"/>
      <c r="AJN1770" s="38"/>
      <c r="AJO1770" s="38"/>
      <c r="AJP1770" s="38"/>
      <c r="AJQ1770" s="38"/>
      <c r="AJR1770" s="38"/>
      <c r="AJS1770" s="38"/>
      <c r="AJT1770" s="38"/>
      <c r="AJU1770" s="38"/>
      <c r="AJV1770" s="38"/>
      <c r="AJW1770" s="38"/>
      <c r="AJX1770" s="38"/>
      <c r="AJY1770" s="38"/>
      <c r="AJZ1770" s="38"/>
      <c r="AKA1770" s="38"/>
      <c r="AKB1770" s="38"/>
      <c r="AKC1770" s="38"/>
      <c r="AKD1770" s="38"/>
      <c r="AKE1770" s="38"/>
      <c r="AKF1770" s="38"/>
      <c r="AKG1770" s="38"/>
      <c r="AKH1770" s="38"/>
      <c r="AKI1770" s="38"/>
      <c r="AKJ1770" s="38"/>
      <c r="AKK1770" s="38"/>
      <c r="AKL1770" s="38"/>
      <c r="AKM1770" s="38"/>
      <c r="AKN1770" s="38"/>
      <c r="AKO1770" s="38"/>
      <c r="AKP1770" s="38"/>
      <c r="AKQ1770" s="38"/>
      <c r="AKR1770" s="38"/>
      <c r="AKS1770" s="38"/>
      <c r="AKT1770" s="38"/>
      <c r="AKU1770" s="38"/>
      <c r="AKV1770" s="38"/>
      <c r="AKW1770" s="38"/>
      <c r="AKX1770" s="38"/>
      <c r="AKY1770" s="38"/>
      <c r="AKZ1770" s="38"/>
      <c r="ALA1770" s="38"/>
      <c r="ALB1770" s="38"/>
      <c r="ALC1770" s="38"/>
      <c r="ALD1770" s="38"/>
      <c r="ALE1770" s="38"/>
      <c r="ALF1770" s="38"/>
      <c r="ALG1770" s="38"/>
      <c r="ALH1770" s="38"/>
      <c r="ALI1770" s="38"/>
      <c r="ALJ1770" s="38"/>
      <c r="ALK1770" s="38"/>
      <c r="ALL1770" s="38"/>
      <c r="ALM1770" s="38"/>
      <c r="ALN1770" s="38"/>
      <c r="ALO1770" s="38"/>
      <c r="ALP1770" s="38"/>
      <c r="ALQ1770" s="38"/>
      <c r="ALR1770" s="38"/>
      <c r="ALS1770" s="38"/>
      <c r="ALT1770" s="38"/>
      <c r="ALU1770" s="38"/>
      <c r="ALV1770" s="38"/>
      <c r="ALW1770" s="38"/>
      <c r="ALX1770" s="38"/>
      <c r="ALY1770" s="38"/>
      <c r="ALZ1770" s="38"/>
      <c r="AMA1770" s="38"/>
      <c r="AMB1770" s="38"/>
      <c r="AMC1770" s="38"/>
      <c r="AMD1770" s="38"/>
      <c r="AME1770" s="38"/>
      <c r="AMF1770" s="38"/>
      <c r="AMG1770" s="38"/>
      <c r="AMH1770" s="38"/>
      <c r="AMI1770" s="38"/>
      <c r="AMJ1770" s="38"/>
      <c r="AMK1770" s="38"/>
      <c r="AML1770" s="38"/>
      <c r="AMM1770" s="38"/>
      <c r="AMN1770" s="38"/>
      <c r="AMO1770" s="38"/>
      <c r="AMP1770" s="38"/>
      <c r="AMQ1770" s="38"/>
      <c r="AMR1770" s="38"/>
      <c r="AMS1770" s="38"/>
      <c r="AMT1770" s="38"/>
      <c r="AMU1770" s="38"/>
      <c r="AMV1770" s="38"/>
      <c r="AMW1770" s="38"/>
      <c r="AMX1770" s="38"/>
      <c r="AMY1770" s="38"/>
      <c r="AMZ1770" s="38"/>
      <c r="ANA1770" s="38"/>
      <c r="ANB1770" s="38"/>
      <c r="ANC1770" s="38"/>
      <c r="AND1770" s="38"/>
      <c r="ANE1770" s="38"/>
      <c r="ANF1770" s="38"/>
      <c r="ANG1770" s="38"/>
      <c r="ANH1770" s="38"/>
      <c r="ANI1770" s="38"/>
      <c r="ANJ1770" s="38"/>
      <c r="ANK1770" s="38"/>
      <c r="ANL1770" s="38"/>
      <c r="ANM1770" s="38"/>
      <c r="ANN1770" s="38"/>
      <c r="ANO1770" s="38"/>
      <c r="ANP1770" s="38"/>
      <c r="ANQ1770" s="38"/>
      <c r="ANR1770" s="38"/>
      <c r="ANS1770" s="38"/>
      <c r="ANT1770" s="38"/>
      <c r="ANU1770" s="38"/>
      <c r="ANV1770" s="38"/>
      <c r="ANW1770" s="38"/>
      <c r="ANX1770" s="38"/>
      <c r="ANY1770" s="38"/>
      <c r="ANZ1770" s="38"/>
      <c r="AOA1770" s="38"/>
      <c r="AOB1770" s="38"/>
      <c r="AOC1770" s="38"/>
      <c r="AOD1770" s="38"/>
      <c r="AOE1770" s="38"/>
      <c r="AOF1770" s="38"/>
      <c r="AOG1770" s="38"/>
      <c r="AOH1770" s="38"/>
      <c r="AOI1770" s="38"/>
      <c r="AOJ1770" s="38"/>
      <c r="AOK1770" s="38"/>
      <c r="AOL1770" s="38"/>
      <c r="AOM1770" s="38"/>
      <c r="AON1770" s="38"/>
      <c r="AOO1770" s="38"/>
      <c r="AOP1770" s="38"/>
      <c r="AOQ1770" s="38"/>
      <c r="AOR1770" s="38"/>
      <c r="AOS1770" s="38"/>
      <c r="AOT1770" s="38"/>
      <c r="AOU1770" s="38"/>
      <c r="AOV1770" s="38"/>
      <c r="AOW1770" s="38"/>
      <c r="AOX1770" s="38"/>
      <c r="AOY1770" s="38"/>
      <c r="AOZ1770" s="38"/>
      <c r="APA1770" s="38"/>
      <c r="APB1770" s="38"/>
      <c r="APC1770" s="38"/>
    </row>
    <row r="1771" spans="1:1095" s="36" customFormat="1" ht="14.25" customHeight="1">
      <c r="A1771" s="3" t="s">
        <v>1722</v>
      </c>
      <c r="B1771" s="36" t="s">
        <v>4032</v>
      </c>
      <c r="C1771" s="214">
        <v>4058075821934</v>
      </c>
      <c r="D1771" s="224">
        <v>4058075558663</v>
      </c>
      <c r="E1771" s="245" t="s">
        <v>1658</v>
      </c>
      <c r="F1771" s="246"/>
      <c r="G1771" s="66" t="str">
        <f>HYPERLINK("https://ledvance.com/pt/product-datasheet/246824/243231","Ficha de Produto")</f>
        <v>Ficha de Produto</v>
      </c>
      <c r="H1771" s="217">
        <v>10</v>
      </c>
      <c r="I1771" s="34" t="s">
        <v>1052</v>
      </c>
      <c r="J1771" s="34" t="s">
        <v>795</v>
      </c>
      <c r="K1771" s="34" t="s">
        <v>788</v>
      </c>
      <c r="L1771" s="34" t="s">
        <v>793</v>
      </c>
      <c r="M1771" s="247">
        <v>20.6</v>
      </c>
      <c r="N1771" s="288" t="s">
        <v>722</v>
      </c>
    </row>
    <row r="1772" spans="1:1095" s="36" customFormat="1" ht="14.25" customHeight="1">
      <c r="A1772" s="3" t="s">
        <v>1722</v>
      </c>
      <c r="B1772" s="36" t="s">
        <v>4033</v>
      </c>
      <c r="C1772" s="214">
        <v>4058075821958</v>
      </c>
      <c r="D1772" s="224">
        <v>4058075559103</v>
      </c>
      <c r="E1772" s="245" t="s">
        <v>1659</v>
      </c>
      <c r="F1772" s="246"/>
      <c r="G1772" s="66" t="str">
        <f>HYPERLINK("https://ledvance.com/pt/product-datasheet/246824/243237","Ficha de Produto")</f>
        <v>Ficha de Produto</v>
      </c>
      <c r="H1772" s="217">
        <v>10</v>
      </c>
      <c r="I1772" s="34" t="s">
        <v>6333</v>
      </c>
      <c r="J1772" s="34" t="s">
        <v>795</v>
      </c>
      <c r="K1772" s="34" t="s">
        <v>788</v>
      </c>
      <c r="L1772" s="34" t="s">
        <v>793</v>
      </c>
      <c r="M1772" s="247">
        <v>20.6</v>
      </c>
      <c r="N1772" s="288" t="s">
        <v>722</v>
      </c>
    </row>
    <row r="1773" spans="1:1095" s="36" customFormat="1" ht="14.25" customHeight="1">
      <c r="A1773" s="3" t="s">
        <v>1722</v>
      </c>
      <c r="B1773" s="36" t="s">
        <v>4034</v>
      </c>
      <c r="C1773" s="214">
        <v>4058075821972</v>
      </c>
      <c r="D1773" s="224">
        <v>4058075559127</v>
      </c>
      <c r="E1773" s="245" t="s">
        <v>1660</v>
      </c>
      <c r="F1773" s="246"/>
      <c r="G1773" s="66" t="str">
        <f>HYPERLINK("https://ledvance.com/pt/product-datasheet/246824/243243","Ficha de Produto")</f>
        <v>Ficha de Produto</v>
      </c>
      <c r="H1773" s="217">
        <v>10</v>
      </c>
      <c r="I1773" s="34" t="s">
        <v>6334</v>
      </c>
      <c r="J1773" s="34" t="s">
        <v>809</v>
      </c>
      <c r="K1773" s="34" t="s">
        <v>788</v>
      </c>
      <c r="L1773" s="34" t="s">
        <v>793</v>
      </c>
      <c r="M1773" s="247">
        <v>22.900000000000002</v>
      </c>
      <c r="N1773" s="288" t="s">
        <v>722</v>
      </c>
    </row>
    <row r="1774" spans="1:1095" s="36" customFormat="1" ht="14.25" customHeight="1">
      <c r="A1774" s="3" t="s">
        <v>1722</v>
      </c>
      <c r="B1774" s="36" t="s">
        <v>4035</v>
      </c>
      <c r="C1774" s="214">
        <v>4058075821996</v>
      </c>
      <c r="D1774" s="224">
        <v>4058075559158</v>
      </c>
      <c r="E1774" s="245" t="s">
        <v>1661</v>
      </c>
      <c r="F1774" s="246"/>
      <c r="G1774" s="66" t="str">
        <f>HYPERLINK("https://ledvance.com/pt/product-datasheet/246824/243249","Ficha de Produto")</f>
        <v>Ficha de Produto</v>
      </c>
      <c r="H1774" s="217">
        <v>10</v>
      </c>
      <c r="I1774" s="34" t="s">
        <v>6328</v>
      </c>
      <c r="J1774" s="34" t="s">
        <v>809</v>
      </c>
      <c r="K1774" s="34" t="s">
        <v>788</v>
      </c>
      <c r="L1774" s="34" t="s">
        <v>793</v>
      </c>
      <c r="M1774" s="247">
        <v>22.900000000000002</v>
      </c>
      <c r="N1774" s="288" t="s">
        <v>722</v>
      </c>
    </row>
    <row r="1775" spans="1:1095" s="36" customFormat="1" ht="14.25" customHeight="1">
      <c r="A1775" s="3" t="s">
        <v>1722</v>
      </c>
      <c r="B1775" s="36" t="s">
        <v>4036</v>
      </c>
      <c r="C1775" s="214">
        <v>4058075822016</v>
      </c>
      <c r="D1775" s="224">
        <v>4058075559172</v>
      </c>
      <c r="E1775" s="245" t="s">
        <v>1662</v>
      </c>
      <c r="F1775" s="246"/>
      <c r="G1775" s="66" t="str">
        <f>HYPERLINK("https://ledvance.com/pt/product-datasheet/246824/243255","Ficha de Produto")</f>
        <v>Ficha de Produto</v>
      </c>
      <c r="H1775" s="217">
        <v>10</v>
      </c>
      <c r="I1775" s="34" t="s">
        <v>6299</v>
      </c>
      <c r="J1775" s="34" t="s">
        <v>859</v>
      </c>
      <c r="K1775" s="34" t="s">
        <v>788</v>
      </c>
      <c r="L1775" s="34" t="s">
        <v>793</v>
      </c>
      <c r="M1775" s="247">
        <v>25.700000000000003</v>
      </c>
      <c r="N1775" s="288" t="s">
        <v>722</v>
      </c>
    </row>
    <row r="1776" spans="1:1095" s="36" customFormat="1" ht="14.25" customHeight="1">
      <c r="A1776" s="3" t="s">
        <v>1722</v>
      </c>
      <c r="B1776" s="36" t="s">
        <v>4037</v>
      </c>
      <c r="C1776" s="214">
        <v>4058075822030</v>
      </c>
      <c r="D1776" s="224">
        <v>4058075559196</v>
      </c>
      <c r="E1776" s="245" t="s">
        <v>1663</v>
      </c>
      <c r="F1776" s="246"/>
      <c r="G1776" s="66" t="str">
        <f>HYPERLINK("https://ledvance.com/pt/product-datasheet/246824/243261","Ficha de Produto")</f>
        <v>Ficha de Produto</v>
      </c>
      <c r="H1776" s="217">
        <v>10</v>
      </c>
      <c r="I1776" s="34" t="s">
        <v>929</v>
      </c>
      <c r="J1776" s="34" t="s">
        <v>859</v>
      </c>
      <c r="K1776" s="34" t="s">
        <v>788</v>
      </c>
      <c r="L1776" s="34" t="s">
        <v>793</v>
      </c>
      <c r="M1776" s="247">
        <v>25.700000000000003</v>
      </c>
      <c r="N1776" s="288" t="s">
        <v>722</v>
      </c>
    </row>
    <row r="1777" spans="1:1095" s="39" customFormat="1" ht="14.25" customHeight="1">
      <c r="A1777" s="8" t="s">
        <v>1722</v>
      </c>
      <c r="B1777" s="244" t="s">
        <v>2077</v>
      </c>
      <c r="C1777" s="8"/>
      <c r="D1777" s="7"/>
      <c r="E1777" s="230"/>
      <c r="F1777" s="7"/>
      <c r="G1777" s="68" t="s">
        <v>6505</v>
      </c>
      <c r="H1777" s="230"/>
      <c r="I1777" s="230"/>
      <c r="J1777" s="230"/>
      <c r="K1777" s="230"/>
      <c r="L1777" s="230"/>
      <c r="M1777" s="248"/>
      <c r="N1777" s="292"/>
      <c r="O1777" s="38"/>
      <c r="P1777" s="38"/>
      <c r="Q1777" s="38"/>
      <c r="R1777" s="38"/>
      <c r="S1777" s="38"/>
      <c r="T1777" s="38"/>
      <c r="U1777" s="38"/>
      <c r="V1777" s="38"/>
      <c r="W1777" s="38"/>
      <c r="X1777" s="38"/>
      <c r="Y1777" s="38"/>
      <c r="Z1777" s="38"/>
      <c r="AA1777" s="38"/>
      <c r="AB1777" s="38"/>
      <c r="AC1777" s="38"/>
      <c r="AD1777" s="38"/>
      <c r="AE1777" s="38"/>
      <c r="AF1777" s="38"/>
      <c r="AG1777" s="38"/>
      <c r="AH1777" s="38"/>
      <c r="AI1777" s="38"/>
      <c r="AJ1777" s="38"/>
      <c r="AK1777" s="38"/>
      <c r="AL1777" s="38"/>
      <c r="AM1777" s="38"/>
      <c r="AN1777" s="38"/>
      <c r="AO1777" s="38"/>
      <c r="AP1777" s="38"/>
      <c r="AQ1777" s="38"/>
      <c r="AR1777" s="38"/>
      <c r="AS1777" s="38"/>
      <c r="AT1777" s="38"/>
      <c r="AU1777" s="38"/>
      <c r="AV1777" s="38"/>
      <c r="AW1777" s="38"/>
      <c r="AX1777" s="38"/>
      <c r="AY1777" s="38"/>
      <c r="AZ1777" s="38"/>
      <c r="BA1777" s="38"/>
      <c r="BB1777" s="38"/>
      <c r="BC1777" s="38"/>
      <c r="BD1777" s="38"/>
      <c r="BE1777" s="38"/>
      <c r="BF1777" s="38"/>
      <c r="BG1777" s="38"/>
      <c r="BH1777" s="38"/>
      <c r="BI1777" s="38"/>
      <c r="BJ1777" s="38"/>
      <c r="BK1777" s="38"/>
      <c r="BL1777" s="38"/>
      <c r="BM1777" s="38"/>
      <c r="BN1777" s="38"/>
      <c r="BO1777" s="38"/>
      <c r="BP1777" s="38"/>
      <c r="BQ1777" s="38"/>
      <c r="BR1777" s="38"/>
      <c r="BS1777" s="38"/>
      <c r="BT1777" s="38"/>
      <c r="BU1777" s="38"/>
      <c r="BV1777" s="38"/>
      <c r="BW1777" s="38"/>
      <c r="BX1777" s="38"/>
      <c r="BY1777" s="38"/>
      <c r="BZ1777" s="38"/>
      <c r="CA1777" s="38"/>
      <c r="CB1777" s="38"/>
      <c r="CC1777" s="38"/>
      <c r="CD1777" s="38"/>
      <c r="CE1777" s="38"/>
      <c r="CF1777" s="38"/>
      <c r="CG1777" s="38"/>
      <c r="CH1777" s="38"/>
      <c r="CI1777" s="38"/>
      <c r="CJ1777" s="38"/>
      <c r="CK1777" s="38"/>
      <c r="CL1777" s="38"/>
      <c r="CM1777" s="38"/>
      <c r="CN1777" s="38"/>
      <c r="CO1777" s="38"/>
      <c r="CP1777" s="38"/>
      <c r="CQ1777" s="38"/>
      <c r="CR1777" s="38"/>
      <c r="CS1777" s="38"/>
      <c r="CT1777" s="38"/>
      <c r="CU1777" s="38"/>
      <c r="CV1777" s="38"/>
      <c r="CW1777" s="38"/>
      <c r="CX1777" s="38"/>
      <c r="CY1777" s="38"/>
      <c r="CZ1777" s="38"/>
      <c r="DA1777" s="38"/>
      <c r="DB1777" s="38"/>
      <c r="DC1777" s="38"/>
      <c r="DD1777" s="38"/>
      <c r="DE1777" s="38"/>
      <c r="DF1777" s="38"/>
      <c r="DG1777" s="38"/>
      <c r="DH1777" s="38"/>
      <c r="DI1777" s="38"/>
      <c r="DJ1777" s="38"/>
      <c r="DK1777" s="38"/>
      <c r="DL1777" s="38"/>
      <c r="DM1777" s="38"/>
      <c r="DN1777" s="38"/>
      <c r="DO1777" s="38"/>
      <c r="DP1777" s="38"/>
      <c r="DQ1777" s="38"/>
      <c r="DR1777" s="38"/>
      <c r="DS1777" s="38"/>
      <c r="DT1777" s="38"/>
      <c r="DU1777" s="38"/>
      <c r="DV1777" s="38"/>
      <c r="DW1777" s="38"/>
      <c r="DX1777" s="38"/>
      <c r="DY1777" s="38"/>
      <c r="DZ1777" s="38"/>
      <c r="EA1777" s="38"/>
      <c r="EB1777" s="38"/>
      <c r="EC1777" s="38"/>
      <c r="ED1777" s="38"/>
      <c r="EE1777" s="38"/>
      <c r="EF1777" s="38"/>
      <c r="EG1777" s="38"/>
      <c r="EH1777" s="38"/>
      <c r="EI1777" s="38"/>
      <c r="EJ1777" s="38"/>
      <c r="EK1777" s="38"/>
      <c r="EL1777" s="38"/>
      <c r="EM1777" s="38"/>
      <c r="EN1777" s="38"/>
      <c r="EO1777" s="38"/>
      <c r="EP1777" s="38"/>
      <c r="EQ1777" s="38"/>
      <c r="ER1777" s="38"/>
      <c r="ES1777" s="38"/>
      <c r="ET1777" s="38"/>
      <c r="EU1777" s="38"/>
      <c r="EV1777" s="38"/>
      <c r="EW1777" s="38"/>
      <c r="EX1777" s="38"/>
      <c r="EY1777" s="38"/>
      <c r="EZ1777" s="38"/>
      <c r="FA1777" s="38"/>
      <c r="FB1777" s="38"/>
      <c r="FC1777" s="38"/>
      <c r="FD1777" s="38"/>
      <c r="FE1777" s="38"/>
      <c r="FF1777" s="38"/>
      <c r="FG1777" s="38"/>
      <c r="FH1777" s="38"/>
      <c r="FI1777" s="38"/>
      <c r="FJ1777" s="38"/>
      <c r="FK1777" s="38"/>
      <c r="FL1777" s="38"/>
      <c r="FM1777" s="38"/>
      <c r="FN1777" s="38"/>
      <c r="FO1777" s="38"/>
      <c r="FP1777" s="38"/>
      <c r="FQ1777" s="38"/>
      <c r="FR1777" s="38"/>
      <c r="FS1777" s="38"/>
      <c r="FT1777" s="38"/>
      <c r="FU1777" s="38"/>
      <c r="FV1777" s="38"/>
      <c r="FW1777" s="38"/>
      <c r="FX1777" s="38"/>
      <c r="FY1777" s="38"/>
      <c r="FZ1777" s="38"/>
      <c r="GA1777" s="38"/>
      <c r="GB1777" s="38"/>
      <c r="GC1777" s="38"/>
      <c r="GD1777" s="38"/>
      <c r="GE1777" s="38"/>
      <c r="GF1777" s="38"/>
      <c r="GG1777" s="38"/>
      <c r="GH1777" s="38"/>
      <c r="GI1777" s="38"/>
      <c r="GJ1777" s="38"/>
      <c r="GK1777" s="38"/>
      <c r="GL1777" s="38"/>
      <c r="GM1777" s="38"/>
      <c r="GN1777" s="38"/>
      <c r="GO1777" s="38"/>
      <c r="GP1777" s="38"/>
      <c r="GQ1777" s="38"/>
      <c r="GR1777" s="38"/>
      <c r="GS1777" s="38"/>
      <c r="GT1777" s="38"/>
      <c r="GU1777" s="38"/>
      <c r="GV1777" s="38"/>
      <c r="GW1777" s="38"/>
      <c r="GX1777" s="38"/>
      <c r="GY1777" s="38"/>
      <c r="GZ1777" s="38"/>
      <c r="HA1777" s="38"/>
      <c r="HB1777" s="38"/>
      <c r="HC1777" s="38"/>
      <c r="HD1777" s="38"/>
      <c r="HE1777" s="38"/>
      <c r="HF1777" s="38"/>
      <c r="HG1777" s="38"/>
      <c r="HH1777" s="38"/>
      <c r="HI1777" s="38"/>
      <c r="HJ1777" s="38"/>
      <c r="HK1777" s="38"/>
      <c r="HL1777" s="38"/>
      <c r="HM1777" s="38"/>
      <c r="HN1777" s="38"/>
      <c r="HO1777" s="38"/>
      <c r="HP1777" s="38"/>
      <c r="HQ1777" s="38"/>
      <c r="HR1777" s="38"/>
      <c r="HS1777" s="38"/>
      <c r="HT1777" s="38"/>
      <c r="HU1777" s="38"/>
      <c r="HV1777" s="38"/>
      <c r="HW1777" s="38"/>
      <c r="HX1777" s="38"/>
      <c r="HY1777" s="38"/>
      <c r="HZ1777" s="38"/>
      <c r="IA1777" s="38"/>
      <c r="IB1777" s="38"/>
      <c r="IC1777" s="38"/>
      <c r="ID1777" s="38"/>
      <c r="IE1777" s="38"/>
      <c r="IF1777" s="38"/>
      <c r="IG1777" s="38"/>
      <c r="IH1777" s="38"/>
      <c r="II1777" s="38"/>
      <c r="IJ1777" s="38"/>
      <c r="IK1777" s="38"/>
      <c r="IL1777" s="38"/>
      <c r="IM1777" s="38"/>
      <c r="IN1777" s="38"/>
      <c r="IO1777" s="38"/>
      <c r="IP1777" s="38"/>
      <c r="IQ1777" s="38"/>
      <c r="IR1777" s="38"/>
      <c r="IS1777" s="38"/>
      <c r="IT1777" s="38"/>
      <c r="IU1777" s="38"/>
      <c r="IV1777" s="38"/>
      <c r="IW1777" s="38"/>
      <c r="IX1777" s="38"/>
      <c r="IY1777" s="38"/>
      <c r="IZ1777" s="38"/>
      <c r="JA1777" s="38"/>
      <c r="JB1777" s="38"/>
      <c r="JC1777" s="38"/>
      <c r="JD1777" s="38"/>
      <c r="JE1777" s="38"/>
      <c r="JF1777" s="38"/>
      <c r="JG1777" s="38"/>
      <c r="JH1777" s="38"/>
      <c r="JI1777" s="38"/>
      <c r="JJ1777" s="38"/>
      <c r="JK1777" s="38"/>
      <c r="JL1777" s="38"/>
      <c r="JM1777" s="38"/>
      <c r="JN1777" s="38"/>
      <c r="JO1777" s="38"/>
      <c r="JP1777" s="38"/>
      <c r="JQ1777" s="38"/>
      <c r="JR1777" s="38"/>
      <c r="JS1777" s="38"/>
      <c r="JT1777" s="38"/>
      <c r="JU1777" s="38"/>
      <c r="JV1777" s="38"/>
      <c r="JW1777" s="38"/>
      <c r="JX1777" s="38"/>
      <c r="JY1777" s="38"/>
      <c r="JZ1777" s="38"/>
      <c r="KA1777" s="38"/>
      <c r="KB1777" s="38"/>
      <c r="KC1777" s="38"/>
      <c r="KD1777" s="38"/>
      <c r="KE1777" s="38"/>
      <c r="KF1777" s="38"/>
      <c r="KG1777" s="38"/>
      <c r="KH1777" s="38"/>
      <c r="KI1777" s="38"/>
      <c r="KJ1777" s="38"/>
      <c r="KK1777" s="38"/>
      <c r="KL1777" s="38"/>
      <c r="KM1777" s="38"/>
      <c r="KN1777" s="38"/>
      <c r="KO1777" s="38"/>
      <c r="KP1777" s="38"/>
      <c r="KQ1777" s="38"/>
      <c r="KR1777" s="38"/>
      <c r="KS1777" s="38"/>
      <c r="KT1777" s="38"/>
      <c r="KU1777" s="38"/>
      <c r="KV1777" s="38"/>
      <c r="KW1777" s="38"/>
      <c r="KX1777" s="38"/>
      <c r="KY1777" s="38"/>
      <c r="KZ1777" s="38"/>
      <c r="LA1777" s="38"/>
      <c r="LB1777" s="38"/>
      <c r="LC1777" s="38"/>
      <c r="LD1777" s="38"/>
      <c r="LE1777" s="38"/>
      <c r="LF1777" s="38"/>
      <c r="LG1777" s="38"/>
      <c r="LH1777" s="38"/>
      <c r="LI1777" s="38"/>
      <c r="LJ1777" s="38"/>
      <c r="LK1777" s="38"/>
      <c r="LL1777" s="38"/>
      <c r="LM1777" s="38"/>
      <c r="LN1777" s="38"/>
      <c r="LO1777" s="38"/>
      <c r="LP1777" s="38"/>
      <c r="LQ1777" s="38"/>
      <c r="LR1777" s="38"/>
      <c r="LS1777" s="38"/>
      <c r="LT1777" s="38"/>
      <c r="LU1777" s="38"/>
      <c r="LV1777" s="38"/>
      <c r="LW1777" s="38"/>
      <c r="LX1777" s="38"/>
      <c r="LY1777" s="38"/>
      <c r="LZ1777" s="38"/>
      <c r="MA1777" s="38"/>
      <c r="MB1777" s="38"/>
      <c r="MC1777" s="38"/>
      <c r="MD1777" s="38"/>
      <c r="ME1777" s="38"/>
      <c r="MF1777" s="38"/>
      <c r="MG1777" s="38"/>
      <c r="MH1777" s="38"/>
      <c r="MI1777" s="38"/>
      <c r="MJ1777" s="38"/>
      <c r="MK1777" s="38"/>
      <c r="ML1777" s="38"/>
      <c r="MM1777" s="38"/>
      <c r="MN1777" s="38"/>
      <c r="MO1777" s="38"/>
      <c r="MP1777" s="38"/>
      <c r="MQ1777" s="38"/>
      <c r="MR1777" s="38"/>
      <c r="MS1777" s="38"/>
      <c r="MT1777" s="38"/>
      <c r="MU1777" s="38"/>
      <c r="MV1777" s="38"/>
      <c r="MW1777" s="38"/>
      <c r="MX1777" s="38"/>
      <c r="MY1777" s="38"/>
      <c r="MZ1777" s="38"/>
      <c r="NA1777" s="38"/>
      <c r="NB1777" s="38"/>
      <c r="NC1777" s="38"/>
      <c r="ND1777" s="38"/>
      <c r="NE1777" s="38"/>
      <c r="NF1777" s="38"/>
      <c r="NG1777" s="38"/>
      <c r="NH1777" s="38"/>
      <c r="NI1777" s="38"/>
      <c r="NJ1777" s="38"/>
      <c r="NK1777" s="38"/>
      <c r="NL1777" s="38"/>
      <c r="NM1777" s="38"/>
      <c r="NN1777" s="38"/>
      <c r="NO1777" s="38"/>
      <c r="NP1777" s="38"/>
      <c r="NQ1777" s="38"/>
      <c r="NR1777" s="38"/>
      <c r="NS1777" s="38"/>
      <c r="NT1777" s="38"/>
      <c r="NU1777" s="38"/>
      <c r="NV1777" s="38"/>
      <c r="NW1777" s="38"/>
      <c r="NX1777" s="38"/>
      <c r="NY1777" s="38"/>
      <c r="NZ1777" s="38"/>
      <c r="OA1777" s="38"/>
      <c r="OB1777" s="38"/>
      <c r="OC1777" s="38"/>
      <c r="OD1777" s="38"/>
      <c r="OE1777" s="38"/>
      <c r="OF1777" s="38"/>
      <c r="OG1777" s="38"/>
      <c r="OH1777" s="38"/>
      <c r="OI1777" s="38"/>
      <c r="OJ1777" s="38"/>
      <c r="OK1777" s="38"/>
      <c r="OL1777" s="38"/>
      <c r="OM1777" s="38"/>
      <c r="ON1777" s="38"/>
      <c r="OO1777" s="38"/>
      <c r="OP1777" s="38"/>
      <c r="OQ1777" s="38"/>
      <c r="OR1777" s="38"/>
      <c r="OS1777" s="38"/>
      <c r="OT1777" s="38"/>
      <c r="OU1777" s="38"/>
      <c r="OV1777" s="38"/>
      <c r="OW1777" s="38"/>
      <c r="OX1777" s="38"/>
      <c r="OY1777" s="38"/>
      <c r="OZ1777" s="38"/>
      <c r="PA1777" s="38"/>
      <c r="PB1777" s="38"/>
      <c r="PC1777" s="38"/>
      <c r="PD1777" s="38"/>
      <c r="PE1777" s="38"/>
      <c r="PF1777" s="38"/>
      <c r="PG1777" s="38"/>
      <c r="PH1777" s="38"/>
      <c r="PI1777" s="38"/>
      <c r="PJ1777" s="38"/>
      <c r="PK1777" s="38"/>
      <c r="PL1777" s="38"/>
      <c r="PM1777" s="38"/>
      <c r="PN1777" s="38"/>
      <c r="PO1777" s="38"/>
      <c r="PP1777" s="38"/>
      <c r="PQ1777" s="38"/>
      <c r="PR1777" s="38"/>
      <c r="PS1777" s="38"/>
      <c r="PT1777" s="38"/>
      <c r="PU1777" s="38"/>
      <c r="PV1777" s="38"/>
      <c r="PW1777" s="38"/>
      <c r="PX1777" s="38"/>
      <c r="PY1777" s="38"/>
      <c r="PZ1777" s="38"/>
      <c r="QA1777" s="38"/>
      <c r="QB1777" s="38"/>
      <c r="QC1777" s="38"/>
      <c r="QD1777" s="38"/>
      <c r="QE1777" s="38"/>
      <c r="QF1777" s="38"/>
      <c r="QG1777" s="38"/>
      <c r="QH1777" s="38"/>
      <c r="QI1777" s="38"/>
      <c r="QJ1777" s="38"/>
      <c r="QK1777" s="38"/>
      <c r="QL1777" s="38"/>
      <c r="QM1777" s="38"/>
      <c r="QN1777" s="38"/>
      <c r="QO1777" s="38"/>
      <c r="QP1777" s="38"/>
      <c r="QQ1777" s="38"/>
      <c r="QR1777" s="38"/>
      <c r="QS1777" s="38"/>
      <c r="QT1777" s="38"/>
      <c r="QU1777" s="38"/>
      <c r="QV1777" s="38"/>
      <c r="QW1777" s="38"/>
      <c r="QX1777" s="38"/>
      <c r="QY1777" s="38"/>
      <c r="QZ1777" s="38"/>
      <c r="RA1777" s="38"/>
      <c r="RB1777" s="38"/>
      <c r="RC1777" s="38"/>
      <c r="RD1777" s="38"/>
      <c r="RE1777" s="38"/>
      <c r="RF1777" s="38"/>
      <c r="RG1777" s="38"/>
      <c r="RH1777" s="38"/>
      <c r="RI1777" s="38"/>
      <c r="RJ1777" s="38"/>
      <c r="RK1777" s="38"/>
      <c r="RL1777" s="38"/>
      <c r="RM1777" s="38"/>
      <c r="RN1777" s="38"/>
      <c r="RO1777" s="38"/>
      <c r="RP1777" s="38"/>
      <c r="RQ1777" s="38"/>
      <c r="RR1777" s="38"/>
      <c r="RS1777" s="38"/>
      <c r="RT1777" s="38"/>
      <c r="RU1777" s="38"/>
      <c r="RV1777" s="38"/>
      <c r="RW1777" s="38"/>
      <c r="RX1777" s="38"/>
      <c r="RY1777" s="38"/>
      <c r="RZ1777" s="38"/>
      <c r="SA1777" s="38"/>
      <c r="SB1777" s="38"/>
      <c r="SC1777" s="38"/>
      <c r="SD1777" s="38"/>
      <c r="SE1777" s="38"/>
      <c r="SF1777" s="38"/>
      <c r="SG1777" s="38"/>
      <c r="SH1777" s="38"/>
      <c r="SI1777" s="38"/>
      <c r="SJ1777" s="38"/>
      <c r="SK1777" s="38"/>
      <c r="SL1777" s="38"/>
      <c r="SM1777" s="38"/>
      <c r="SN1777" s="38"/>
      <c r="SO1777" s="38"/>
      <c r="SP1777" s="38"/>
      <c r="SQ1777" s="38"/>
      <c r="SR1777" s="38"/>
      <c r="SS1777" s="38"/>
      <c r="ST1777" s="38"/>
      <c r="SU1777" s="38"/>
      <c r="SV1777" s="38"/>
      <c r="SW1777" s="38"/>
      <c r="SX1777" s="38"/>
      <c r="SY1777" s="38"/>
      <c r="SZ1777" s="38"/>
      <c r="TA1777" s="38"/>
      <c r="TB1777" s="38"/>
      <c r="TC1777" s="38"/>
      <c r="TD1777" s="38"/>
      <c r="TE1777" s="38"/>
      <c r="TF1777" s="38"/>
      <c r="TG1777" s="38"/>
      <c r="TH1777" s="38"/>
      <c r="TI1777" s="38"/>
      <c r="TJ1777" s="38"/>
      <c r="TK1777" s="38"/>
      <c r="TL1777" s="38"/>
      <c r="TM1777" s="38"/>
      <c r="TN1777" s="38"/>
      <c r="TO1777" s="38"/>
      <c r="TP1777" s="38"/>
      <c r="TQ1777" s="38"/>
      <c r="TR1777" s="38"/>
      <c r="TS1777" s="38"/>
      <c r="TT1777" s="38"/>
      <c r="TU1777" s="38"/>
      <c r="TV1777" s="38"/>
      <c r="TW1777" s="38"/>
      <c r="TX1777" s="38"/>
      <c r="TY1777" s="38"/>
      <c r="TZ1777" s="38"/>
      <c r="UA1777" s="38"/>
      <c r="UB1777" s="38"/>
      <c r="UC1777" s="38"/>
      <c r="UD1777" s="38"/>
      <c r="UE1777" s="38"/>
      <c r="UF1777" s="38"/>
      <c r="UG1777" s="38"/>
      <c r="UH1777" s="38"/>
      <c r="UI1777" s="38"/>
      <c r="UJ1777" s="38"/>
      <c r="UK1777" s="38"/>
      <c r="UL1777" s="38"/>
      <c r="UM1777" s="38"/>
      <c r="UN1777" s="38"/>
      <c r="UO1777" s="38"/>
      <c r="UP1777" s="38"/>
      <c r="UQ1777" s="38"/>
      <c r="UR1777" s="38"/>
      <c r="US1777" s="38"/>
      <c r="UT1777" s="38"/>
      <c r="UU1777" s="38"/>
      <c r="UV1777" s="38"/>
      <c r="UW1777" s="38"/>
      <c r="UX1777" s="38"/>
      <c r="UY1777" s="38"/>
      <c r="UZ1777" s="38"/>
      <c r="VA1777" s="38"/>
      <c r="VB1777" s="38"/>
      <c r="VC1777" s="38"/>
      <c r="VD1777" s="38"/>
      <c r="VE1777" s="38"/>
      <c r="VF1777" s="38"/>
      <c r="VG1777" s="38"/>
      <c r="VH1777" s="38"/>
      <c r="VI1777" s="38"/>
      <c r="VJ1777" s="38"/>
      <c r="VK1777" s="38"/>
      <c r="VL1777" s="38"/>
      <c r="VM1777" s="38"/>
      <c r="VN1777" s="38"/>
      <c r="VO1777" s="38"/>
      <c r="VP1777" s="38"/>
      <c r="VQ1777" s="38"/>
      <c r="VR1777" s="38"/>
      <c r="VS1777" s="38"/>
      <c r="VT1777" s="38"/>
      <c r="VU1777" s="38"/>
      <c r="VV1777" s="38"/>
      <c r="VW1777" s="38"/>
      <c r="VX1777" s="38"/>
      <c r="VY1777" s="38"/>
      <c r="VZ1777" s="38"/>
      <c r="WA1777" s="38"/>
      <c r="WB1777" s="38"/>
      <c r="WC1777" s="38"/>
      <c r="WD1777" s="38"/>
      <c r="WE1777" s="38"/>
      <c r="WF1777" s="38"/>
      <c r="WG1777" s="38"/>
      <c r="WH1777" s="38"/>
      <c r="WI1777" s="38"/>
      <c r="WJ1777" s="38"/>
      <c r="WK1777" s="38"/>
      <c r="WL1777" s="38"/>
      <c r="WM1777" s="38"/>
      <c r="WN1777" s="38"/>
      <c r="WO1777" s="38"/>
      <c r="WP1777" s="38"/>
      <c r="WQ1777" s="38"/>
      <c r="WR1777" s="38"/>
      <c r="WS1777" s="38"/>
      <c r="WT1777" s="38"/>
      <c r="WU1777" s="38"/>
      <c r="WV1777" s="38"/>
      <c r="WW1777" s="38"/>
      <c r="WX1777" s="38"/>
      <c r="WY1777" s="38"/>
      <c r="WZ1777" s="38"/>
      <c r="XA1777" s="38"/>
      <c r="XB1777" s="38"/>
      <c r="XC1777" s="38"/>
      <c r="XD1777" s="38"/>
      <c r="XE1777" s="38"/>
      <c r="XF1777" s="38"/>
      <c r="XG1777" s="38"/>
      <c r="XH1777" s="38"/>
      <c r="XI1777" s="38"/>
      <c r="XJ1777" s="38"/>
      <c r="XK1777" s="38"/>
      <c r="XL1777" s="38"/>
      <c r="XM1777" s="38"/>
      <c r="XN1777" s="38"/>
      <c r="XO1777" s="38"/>
      <c r="XP1777" s="38"/>
      <c r="XQ1777" s="38"/>
      <c r="XR1777" s="38"/>
      <c r="XS1777" s="38"/>
      <c r="XT1777" s="38"/>
      <c r="XU1777" s="38"/>
      <c r="XV1777" s="38"/>
      <c r="XW1777" s="38"/>
      <c r="XX1777" s="38"/>
      <c r="XY1777" s="38"/>
      <c r="XZ1777" s="38"/>
      <c r="YA1777" s="38"/>
      <c r="YB1777" s="38"/>
      <c r="YC1777" s="38"/>
      <c r="YD1777" s="38"/>
      <c r="YE1777" s="38"/>
      <c r="YF1777" s="38"/>
      <c r="YG1777" s="38"/>
      <c r="YH1777" s="38"/>
      <c r="YI1777" s="38"/>
      <c r="YJ1777" s="38"/>
      <c r="YK1777" s="38"/>
      <c r="YL1777" s="38"/>
      <c r="YM1777" s="38"/>
      <c r="YN1777" s="38"/>
      <c r="YO1777" s="38"/>
      <c r="YP1777" s="38"/>
      <c r="YQ1777" s="38"/>
      <c r="YR1777" s="38"/>
      <c r="YS1777" s="38"/>
      <c r="YT1777" s="38"/>
      <c r="YU1777" s="38"/>
      <c r="YV1777" s="38"/>
      <c r="YW1777" s="38"/>
      <c r="YX1777" s="38"/>
      <c r="YY1777" s="38"/>
      <c r="YZ1777" s="38"/>
      <c r="ZA1777" s="38"/>
      <c r="ZB1777" s="38"/>
      <c r="ZC1777" s="38"/>
      <c r="ZD1777" s="38"/>
      <c r="ZE1777" s="38"/>
      <c r="ZF1777" s="38"/>
      <c r="ZG1777" s="38"/>
      <c r="ZH1777" s="38"/>
      <c r="ZI1777" s="38"/>
      <c r="ZJ1777" s="38"/>
      <c r="ZK1777" s="38"/>
      <c r="ZL1777" s="38"/>
      <c r="ZM1777" s="38"/>
      <c r="ZN1777" s="38"/>
      <c r="ZO1777" s="38"/>
      <c r="ZP1777" s="38"/>
      <c r="ZQ1777" s="38"/>
      <c r="ZR1777" s="38"/>
      <c r="ZS1777" s="38"/>
      <c r="ZT1777" s="38"/>
      <c r="ZU1777" s="38"/>
      <c r="ZV1777" s="38"/>
      <c r="ZW1777" s="38"/>
      <c r="ZX1777" s="38"/>
      <c r="ZY1777" s="38"/>
      <c r="ZZ1777" s="38"/>
      <c r="AAA1777" s="38"/>
      <c r="AAB1777" s="38"/>
      <c r="AAC1777" s="38"/>
      <c r="AAD1777" s="38"/>
      <c r="AAE1777" s="38"/>
      <c r="AAF1777" s="38"/>
      <c r="AAG1777" s="38"/>
      <c r="AAH1777" s="38"/>
      <c r="AAI1777" s="38"/>
      <c r="AAJ1777" s="38"/>
      <c r="AAK1777" s="38"/>
      <c r="AAL1777" s="38"/>
      <c r="AAM1777" s="38"/>
      <c r="AAN1777" s="38"/>
      <c r="AAO1777" s="38"/>
      <c r="AAP1777" s="38"/>
      <c r="AAQ1777" s="38"/>
      <c r="AAR1777" s="38"/>
      <c r="AAS1777" s="38"/>
      <c r="AAT1777" s="38"/>
      <c r="AAU1777" s="38"/>
      <c r="AAV1777" s="38"/>
      <c r="AAW1777" s="38"/>
      <c r="AAX1777" s="38"/>
      <c r="AAY1777" s="38"/>
      <c r="AAZ1777" s="38"/>
      <c r="ABA1777" s="38"/>
      <c r="ABB1777" s="38"/>
      <c r="ABC1777" s="38"/>
      <c r="ABD1777" s="38"/>
      <c r="ABE1777" s="38"/>
      <c r="ABF1777" s="38"/>
      <c r="ABG1777" s="38"/>
      <c r="ABH1777" s="38"/>
      <c r="ABI1777" s="38"/>
      <c r="ABJ1777" s="38"/>
      <c r="ABK1777" s="38"/>
      <c r="ABL1777" s="38"/>
      <c r="ABM1777" s="38"/>
      <c r="ABN1777" s="38"/>
      <c r="ABO1777" s="38"/>
      <c r="ABP1777" s="38"/>
      <c r="ABQ1777" s="38"/>
      <c r="ABR1777" s="38"/>
      <c r="ABS1777" s="38"/>
      <c r="ABT1777" s="38"/>
      <c r="ABU1777" s="38"/>
      <c r="ABV1777" s="38"/>
      <c r="ABW1777" s="38"/>
      <c r="ABX1777" s="38"/>
      <c r="ABY1777" s="38"/>
      <c r="ABZ1777" s="38"/>
      <c r="ACA1777" s="38"/>
      <c r="ACB1777" s="38"/>
      <c r="ACC1777" s="38"/>
      <c r="ACD1777" s="38"/>
      <c r="ACE1777" s="38"/>
      <c r="ACF1777" s="38"/>
      <c r="ACG1777" s="38"/>
      <c r="ACH1777" s="38"/>
      <c r="ACI1777" s="38"/>
      <c r="ACJ1777" s="38"/>
      <c r="ACK1777" s="38"/>
      <c r="ACL1777" s="38"/>
      <c r="ACM1777" s="38"/>
      <c r="ACN1777" s="38"/>
      <c r="ACO1777" s="38"/>
      <c r="ACP1777" s="38"/>
      <c r="ACQ1777" s="38"/>
      <c r="ACR1777" s="38"/>
      <c r="ACS1777" s="38"/>
      <c r="ACT1777" s="38"/>
      <c r="ACU1777" s="38"/>
      <c r="ACV1777" s="38"/>
      <c r="ACW1777" s="38"/>
      <c r="ACX1777" s="38"/>
      <c r="ACY1777" s="38"/>
      <c r="ACZ1777" s="38"/>
      <c r="ADA1777" s="38"/>
      <c r="ADB1777" s="38"/>
      <c r="ADC1777" s="38"/>
      <c r="ADD1777" s="38"/>
      <c r="ADE1777" s="38"/>
      <c r="ADF1777" s="38"/>
      <c r="ADG1777" s="38"/>
      <c r="ADH1777" s="38"/>
      <c r="ADI1777" s="38"/>
      <c r="ADJ1777" s="38"/>
      <c r="ADK1777" s="38"/>
      <c r="ADL1777" s="38"/>
      <c r="ADM1777" s="38"/>
      <c r="ADN1777" s="38"/>
      <c r="ADO1777" s="38"/>
      <c r="ADP1777" s="38"/>
      <c r="ADQ1777" s="38"/>
      <c r="ADR1777" s="38"/>
      <c r="ADS1777" s="38"/>
      <c r="ADT1777" s="38"/>
      <c r="ADU1777" s="38"/>
      <c r="ADV1777" s="38"/>
      <c r="ADW1777" s="38"/>
      <c r="ADX1777" s="38"/>
      <c r="ADY1777" s="38"/>
      <c r="ADZ1777" s="38"/>
      <c r="AEA1777" s="38"/>
      <c r="AEB1777" s="38"/>
      <c r="AEC1777" s="38"/>
      <c r="AED1777" s="38"/>
      <c r="AEE1777" s="38"/>
      <c r="AEF1777" s="38"/>
      <c r="AEG1777" s="38"/>
      <c r="AEH1777" s="38"/>
      <c r="AEI1777" s="38"/>
      <c r="AEJ1777" s="38"/>
      <c r="AEK1777" s="38"/>
      <c r="AEL1777" s="38"/>
      <c r="AEM1777" s="38"/>
      <c r="AEN1777" s="38"/>
      <c r="AEO1777" s="38"/>
      <c r="AEP1777" s="38"/>
      <c r="AEQ1777" s="38"/>
      <c r="AER1777" s="38"/>
      <c r="AES1777" s="38"/>
      <c r="AET1777" s="38"/>
      <c r="AEU1777" s="38"/>
      <c r="AEV1777" s="38"/>
      <c r="AEW1777" s="38"/>
      <c r="AEX1777" s="38"/>
      <c r="AEY1777" s="38"/>
      <c r="AEZ1777" s="38"/>
      <c r="AFA1777" s="38"/>
      <c r="AFB1777" s="38"/>
      <c r="AFC1777" s="38"/>
      <c r="AFD1777" s="38"/>
      <c r="AFE1777" s="38"/>
      <c r="AFF1777" s="38"/>
      <c r="AFG1777" s="38"/>
      <c r="AFH1777" s="38"/>
      <c r="AFI1777" s="38"/>
      <c r="AFJ1777" s="38"/>
      <c r="AFK1777" s="38"/>
      <c r="AFL1777" s="38"/>
      <c r="AFM1777" s="38"/>
      <c r="AFN1777" s="38"/>
      <c r="AFO1777" s="38"/>
      <c r="AFP1777" s="38"/>
      <c r="AFQ1777" s="38"/>
      <c r="AFR1777" s="38"/>
      <c r="AFS1777" s="38"/>
      <c r="AFT1777" s="38"/>
      <c r="AFU1777" s="38"/>
      <c r="AFV1777" s="38"/>
      <c r="AFW1777" s="38"/>
      <c r="AFX1777" s="38"/>
      <c r="AFY1777" s="38"/>
      <c r="AFZ1777" s="38"/>
      <c r="AGA1777" s="38"/>
      <c r="AGB1777" s="38"/>
      <c r="AGC1777" s="38"/>
      <c r="AGD1777" s="38"/>
      <c r="AGE1777" s="38"/>
      <c r="AGF1777" s="38"/>
      <c r="AGG1777" s="38"/>
      <c r="AGH1777" s="38"/>
      <c r="AGI1777" s="38"/>
      <c r="AGJ1777" s="38"/>
      <c r="AGK1777" s="38"/>
      <c r="AGL1777" s="38"/>
      <c r="AGM1777" s="38"/>
      <c r="AGN1777" s="38"/>
      <c r="AGO1777" s="38"/>
      <c r="AGP1777" s="38"/>
      <c r="AGQ1777" s="38"/>
      <c r="AGR1777" s="38"/>
      <c r="AGS1777" s="38"/>
      <c r="AGT1777" s="38"/>
      <c r="AGU1777" s="38"/>
      <c r="AGV1777" s="38"/>
      <c r="AGW1777" s="38"/>
      <c r="AGX1777" s="38"/>
      <c r="AGY1777" s="38"/>
      <c r="AGZ1777" s="38"/>
      <c r="AHA1777" s="38"/>
      <c r="AHB1777" s="38"/>
      <c r="AHC1777" s="38"/>
      <c r="AHD1777" s="38"/>
      <c r="AHE1777" s="38"/>
      <c r="AHF1777" s="38"/>
      <c r="AHG1777" s="38"/>
      <c r="AHH1777" s="38"/>
      <c r="AHI1777" s="38"/>
      <c r="AHJ1777" s="38"/>
      <c r="AHK1777" s="38"/>
      <c r="AHL1777" s="38"/>
      <c r="AHM1777" s="38"/>
      <c r="AHN1777" s="38"/>
      <c r="AHO1777" s="38"/>
      <c r="AHP1777" s="38"/>
      <c r="AHQ1777" s="38"/>
      <c r="AHR1777" s="38"/>
      <c r="AHS1777" s="38"/>
      <c r="AHT1777" s="38"/>
      <c r="AHU1777" s="38"/>
      <c r="AHV1777" s="38"/>
      <c r="AHW1777" s="38"/>
      <c r="AHX1777" s="38"/>
      <c r="AHY1777" s="38"/>
      <c r="AHZ1777" s="38"/>
      <c r="AIA1777" s="38"/>
      <c r="AIB1777" s="38"/>
      <c r="AIC1777" s="38"/>
      <c r="AID1777" s="38"/>
      <c r="AIE1777" s="38"/>
      <c r="AIF1777" s="38"/>
      <c r="AIG1777" s="38"/>
      <c r="AIH1777" s="38"/>
      <c r="AII1777" s="38"/>
      <c r="AIJ1777" s="38"/>
      <c r="AIK1777" s="38"/>
      <c r="AIL1777" s="38"/>
      <c r="AIM1777" s="38"/>
      <c r="AIN1777" s="38"/>
      <c r="AIO1777" s="38"/>
      <c r="AIP1777" s="38"/>
      <c r="AIQ1777" s="38"/>
      <c r="AIR1777" s="38"/>
      <c r="AIS1777" s="38"/>
      <c r="AIT1777" s="38"/>
      <c r="AIU1777" s="38"/>
      <c r="AIV1777" s="38"/>
      <c r="AIW1777" s="38"/>
      <c r="AIX1777" s="38"/>
      <c r="AIY1777" s="38"/>
      <c r="AIZ1777" s="38"/>
      <c r="AJA1777" s="38"/>
      <c r="AJB1777" s="38"/>
      <c r="AJC1777" s="38"/>
      <c r="AJD1777" s="38"/>
      <c r="AJE1777" s="38"/>
      <c r="AJF1777" s="38"/>
      <c r="AJG1777" s="38"/>
      <c r="AJH1777" s="38"/>
      <c r="AJI1777" s="38"/>
      <c r="AJJ1777" s="38"/>
      <c r="AJK1777" s="38"/>
      <c r="AJL1777" s="38"/>
      <c r="AJM1777" s="38"/>
      <c r="AJN1777" s="38"/>
      <c r="AJO1777" s="38"/>
      <c r="AJP1777" s="38"/>
      <c r="AJQ1777" s="38"/>
      <c r="AJR1777" s="38"/>
      <c r="AJS1777" s="38"/>
      <c r="AJT1777" s="38"/>
      <c r="AJU1777" s="38"/>
      <c r="AJV1777" s="38"/>
      <c r="AJW1777" s="38"/>
      <c r="AJX1777" s="38"/>
      <c r="AJY1777" s="38"/>
      <c r="AJZ1777" s="38"/>
      <c r="AKA1777" s="38"/>
      <c r="AKB1777" s="38"/>
      <c r="AKC1777" s="38"/>
      <c r="AKD1777" s="38"/>
      <c r="AKE1777" s="38"/>
      <c r="AKF1777" s="38"/>
      <c r="AKG1777" s="38"/>
      <c r="AKH1777" s="38"/>
      <c r="AKI1777" s="38"/>
      <c r="AKJ1777" s="38"/>
      <c r="AKK1777" s="38"/>
      <c r="AKL1777" s="38"/>
      <c r="AKM1777" s="38"/>
      <c r="AKN1777" s="38"/>
      <c r="AKO1777" s="38"/>
      <c r="AKP1777" s="38"/>
      <c r="AKQ1777" s="38"/>
      <c r="AKR1777" s="38"/>
      <c r="AKS1777" s="38"/>
      <c r="AKT1777" s="38"/>
      <c r="AKU1777" s="38"/>
      <c r="AKV1777" s="38"/>
      <c r="AKW1777" s="38"/>
      <c r="AKX1777" s="38"/>
      <c r="AKY1777" s="38"/>
      <c r="AKZ1777" s="38"/>
      <c r="ALA1777" s="38"/>
      <c r="ALB1777" s="38"/>
      <c r="ALC1777" s="38"/>
      <c r="ALD1777" s="38"/>
      <c r="ALE1777" s="38"/>
      <c r="ALF1777" s="38"/>
      <c r="ALG1777" s="38"/>
      <c r="ALH1777" s="38"/>
      <c r="ALI1777" s="38"/>
      <c r="ALJ1777" s="38"/>
      <c r="ALK1777" s="38"/>
      <c r="ALL1777" s="38"/>
      <c r="ALM1777" s="38"/>
      <c r="ALN1777" s="38"/>
      <c r="ALO1777" s="38"/>
      <c r="ALP1777" s="38"/>
      <c r="ALQ1777" s="38"/>
      <c r="ALR1777" s="38"/>
      <c r="ALS1777" s="38"/>
      <c r="ALT1777" s="38"/>
      <c r="ALU1777" s="38"/>
      <c r="ALV1777" s="38"/>
      <c r="ALW1777" s="38"/>
      <c r="ALX1777" s="38"/>
      <c r="ALY1777" s="38"/>
      <c r="ALZ1777" s="38"/>
      <c r="AMA1777" s="38"/>
      <c r="AMB1777" s="38"/>
      <c r="AMC1777" s="38"/>
      <c r="AMD1777" s="38"/>
      <c r="AME1777" s="38"/>
      <c r="AMF1777" s="38"/>
      <c r="AMG1777" s="38"/>
      <c r="AMH1777" s="38"/>
      <c r="AMI1777" s="38"/>
      <c r="AMJ1777" s="38"/>
      <c r="AMK1777" s="38"/>
      <c r="AML1777" s="38"/>
      <c r="AMM1777" s="38"/>
      <c r="AMN1777" s="38"/>
      <c r="AMO1777" s="38"/>
      <c r="AMP1777" s="38"/>
      <c r="AMQ1777" s="38"/>
      <c r="AMR1777" s="38"/>
      <c r="AMS1777" s="38"/>
      <c r="AMT1777" s="38"/>
      <c r="AMU1777" s="38"/>
      <c r="AMV1777" s="38"/>
      <c r="AMW1777" s="38"/>
      <c r="AMX1777" s="38"/>
      <c r="AMY1777" s="38"/>
      <c r="AMZ1777" s="38"/>
      <c r="ANA1777" s="38"/>
      <c r="ANB1777" s="38"/>
      <c r="ANC1777" s="38"/>
      <c r="AND1777" s="38"/>
      <c r="ANE1777" s="38"/>
      <c r="ANF1777" s="38"/>
      <c r="ANG1777" s="38"/>
      <c r="ANH1777" s="38"/>
      <c r="ANI1777" s="38"/>
      <c r="ANJ1777" s="38"/>
      <c r="ANK1777" s="38"/>
      <c r="ANL1777" s="38"/>
      <c r="ANM1777" s="38"/>
      <c r="ANN1777" s="38"/>
      <c r="ANO1777" s="38"/>
      <c r="ANP1777" s="38"/>
      <c r="ANQ1777" s="38"/>
      <c r="ANR1777" s="38"/>
      <c r="ANS1777" s="38"/>
      <c r="ANT1777" s="38"/>
      <c r="ANU1777" s="38"/>
      <c r="ANV1777" s="38"/>
      <c r="ANW1777" s="38"/>
      <c r="ANX1777" s="38"/>
      <c r="ANY1777" s="38"/>
      <c r="ANZ1777" s="38"/>
      <c r="AOA1777" s="38"/>
      <c r="AOB1777" s="38"/>
      <c r="AOC1777" s="38"/>
      <c r="AOD1777" s="38"/>
      <c r="AOE1777" s="38"/>
      <c r="AOF1777" s="38"/>
      <c r="AOG1777" s="38"/>
      <c r="AOH1777" s="38"/>
      <c r="AOI1777" s="38"/>
      <c r="AOJ1777" s="38"/>
      <c r="AOK1777" s="38"/>
      <c r="AOL1777" s="38"/>
      <c r="AOM1777" s="38"/>
      <c r="AON1777" s="38"/>
      <c r="AOO1777" s="38"/>
      <c r="AOP1777" s="38"/>
      <c r="AOQ1777" s="38"/>
      <c r="AOR1777" s="38"/>
      <c r="AOS1777" s="38"/>
      <c r="AOT1777" s="38"/>
      <c r="AOU1777" s="38"/>
      <c r="AOV1777" s="38"/>
      <c r="AOW1777" s="38"/>
      <c r="AOX1777" s="38"/>
      <c r="AOY1777" s="38"/>
      <c r="AOZ1777" s="38"/>
      <c r="APA1777" s="38"/>
      <c r="APB1777" s="38"/>
      <c r="APC1777" s="38"/>
    </row>
    <row r="1778" spans="1:1095" s="36" customFormat="1" ht="14.25" customHeight="1">
      <c r="A1778" s="3" t="s">
        <v>1722</v>
      </c>
      <c r="B1778" s="36" t="s">
        <v>4038</v>
      </c>
      <c r="C1778" s="214">
        <v>4058075822931</v>
      </c>
      <c r="D1778" s="239"/>
      <c r="E1778" s="239"/>
      <c r="F1778" s="222" t="s">
        <v>3136</v>
      </c>
      <c r="G1778" s="66" t="str">
        <f>HYPERLINK("https://ledvance.com/pt/product-datasheet/246827/243091","Ficha de Produto")</f>
        <v>Ficha de Produto</v>
      </c>
      <c r="H1778" s="217">
        <v>10</v>
      </c>
      <c r="I1778" s="34" t="s">
        <v>6338</v>
      </c>
      <c r="J1778" s="34" t="s">
        <v>6339</v>
      </c>
      <c r="K1778" s="34" t="s">
        <v>788</v>
      </c>
      <c r="L1778" s="34" t="s">
        <v>793</v>
      </c>
      <c r="M1778" s="247">
        <v>13.2</v>
      </c>
      <c r="N1778" s="288" t="s">
        <v>722</v>
      </c>
    </row>
    <row r="1779" spans="1:1095" s="36" customFormat="1" ht="14.25" customHeight="1">
      <c r="A1779" s="3" t="s">
        <v>1722</v>
      </c>
      <c r="B1779" s="36" t="s">
        <v>4039</v>
      </c>
      <c r="C1779" s="214">
        <v>4058075822955</v>
      </c>
      <c r="D1779" s="239"/>
      <c r="E1779" s="239"/>
      <c r="F1779" s="222" t="s">
        <v>3136</v>
      </c>
      <c r="G1779" s="66" t="str">
        <f>HYPERLINK("https://ledvance.com/pt/product-datasheet/246827/243097","Ficha de Produto")</f>
        <v>Ficha de Produto</v>
      </c>
      <c r="H1779" s="217">
        <v>10</v>
      </c>
      <c r="I1779" s="34" t="s">
        <v>854</v>
      </c>
      <c r="J1779" s="34" t="s">
        <v>6339</v>
      </c>
      <c r="K1779" s="34" t="s">
        <v>788</v>
      </c>
      <c r="L1779" s="34" t="s">
        <v>793</v>
      </c>
      <c r="M1779" s="247">
        <v>13.2</v>
      </c>
      <c r="N1779" s="288" t="s">
        <v>722</v>
      </c>
    </row>
    <row r="1780" spans="1:1095" s="36" customFormat="1" ht="14.25" customHeight="1">
      <c r="A1780" s="3" t="s">
        <v>1722</v>
      </c>
      <c r="B1780" s="36" t="s">
        <v>4040</v>
      </c>
      <c r="C1780" s="214">
        <v>4058075822979</v>
      </c>
      <c r="D1780" s="224">
        <v>4058075557994</v>
      </c>
      <c r="E1780" s="245" t="s">
        <v>1664</v>
      </c>
      <c r="F1780" s="246"/>
      <c r="G1780" s="66" t="str">
        <f>HYPERLINK("https://ledvance.com/pt/product-datasheet/246827/243103","Ficha de Produto")</f>
        <v>Ficha de Produto</v>
      </c>
      <c r="H1780" s="217">
        <v>10</v>
      </c>
      <c r="I1780" s="34" t="s">
        <v>810</v>
      </c>
      <c r="J1780" s="34" t="s">
        <v>855</v>
      </c>
      <c r="K1780" s="34" t="s">
        <v>788</v>
      </c>
      <c r="L1780" s="34" t="s">
        <v>793</v>
      </c>
      <c r="M1780" s="247">
        <v>14.3</v>
      </c>
      <c r="N1780" s="288" t="s">
        <v>722</v>
      </c>
    </row>
    <row r="1781" spans="1:1095" s="36" customFormat="1" ht="14.25" customHeight="1">
      <c r="A1781" s="3" t="s">
        <v>1722</v>
      </c>
      <c r="B1781" s="36" t="s">
        <v>4041</v>
      </c>
      <c r="C1781" s="214">
        <v>4058075822993</v>
      </c>
      <c r="D1781" s="224">
        <v>4058075558045</v>
      </c>
      <c r="E1781" s="245" t="s">
        <v>1665</v>
      </c>
      <c r="F1781" s="246"/>
      <c r="G1781" s="66" t="str">
        <f>HYPERLINK("https://ledvance.com/pt/product-datasheet/246827/243109","Ficha de Produto")</f>
        <v>Ficha de Produto</v>
      </c>
      <c r="H1781" s="217">
        <v>10</v>
      </c>
      <c r="I1781" s="34" t="s">
        <v>6340</v>
      </c>
      <c r="J1781" s="34" t="s">
        <v>855</v>
      </c>
      <c r="K1781" s="34" t="s">
        <v>788</v>
      </c>
      <c r="L1781" s="34" t="s">
        <v>793</v>
      </c>
      <c r="M1781" s="247">
        <v>14.3</v>
      </c>
      <c r="N1781" s="288" t="s">
        <v>722</v>
      </c>
    </row>
    <row r="1782" spans="1:1095" s="36" customFormat="1" ht="14.25" customHeight="1">
      <c r="A1782" s="3" t="s">
        <v>1722</v>
      </c>
      <c r="B1782" s="36" t="s">
        <v>4042</v>
      </c>
      <c r="C1782" s="214">
        <v>4058075823013</v>
      </c>
      <c r="D1782" s="224">
        <v>4058075558069</v>
      </c>
      <c r="E1782" s="245" t="s">
        <v>1666</v>
      </c>
      <c r="F1782" s="246"/>
      <c r="G1782" s="66" t="str">
        <f>HYPERLINK("https://ledvance.com/pt/product-datasheet/246827/243115","Ficha de Produto")</f>
        <v>Ficha de Produto</v>
      </c>
      <c r="H1782" s="217">
        <v>10</v>
      </c>
      <c r="I1782" s="34" t="s">
        <v>6341</v>
      </c>
      <c r="J1782" s="34" t="s">
        <v>795</v>
      </c>
      <c r="K1782" s="34" t="s">
        <v>788</v>
      </c>
      <c r="L1782" s="34" t="s">
        <v>793</v>
      </c>
      <c r="M1782" s="247">
        <v>14.9</v>
      </c>
      <c r="N1782" s="288" t="s">
        <v>722</v>
      </c>
    </row>
    <row r="1783" spans="1:1095" s="36" customFormat="1" ht="14.25" customHeight="1">
      <c r="A1783" s="3" t="s">
        <v>1722</v>
      </c>
      <c r="B1783" s="36" t="s">
        <v>4043</v>
      </c>
      <c r="C1783" s="214">
        <v>4058075823037</v>
      </c>
      <c r="D1783" s="224">
        <v>4058075558083</v>
      </c>
      <c r="E1783" s="245" t="s">
        <v>1667</v>
      </c>
      <c r="F1783" s="246"/>
      <c r="G1783" s="66" t="str">
        <f>HYPERLINK("https://ledvance.com/pt/product-datasheet/246827/243121","Ficha de Produto")</f>
        <v>Ficha de Produto</v>
      </c>
      <c r="H1783" s="217">
        <v>10</v>
      </c>
      <c r="I1783" s="34" t="s">
        <v>6334</v>
      </c>
      <c r="J1783" s="34" t="s">
        <v>795</v>
      </c>
      <c r="K1783" s="34" t="s">
        <v>788</v>
      </c>
      <c r="L1783" s="34" t="s">
        <v>793</v>
      </c>
      <c r="M1783" s="247">
        <v>14.9</v>
      </c>
      <c r="N1783" s="288" t="s">
        <v>722</v>
      </c>
    </row>
    <row r="1784" spans="1:1095" s="39" customFormat="1" ht="14.25" customHeight="1">
      <c r="A1784" s="8" t="s">
        <v>1722</v>
      </c>
      <c r="B1784" s="244" t="s">
        <v>2078</v>
      </c>
      <c r="C1784" s="8"/>
      <c r="D1784" s="7"/>
      <c r="E1784" s="230"/>
      <c r="F1784" s="7"/>
      <c r="G1784" s="68"/>
      <c r="H1784" s="230"/>
      <c r="I1784" s="230"/>
      <c r="J1784" s="230"/>
      <c r="K1784" s="230"/>
      <c r="L1784" s="230"/>
      <c r="M1784" s="248"/>
      <c r="N1784" s="284"/>
      <c r="O1784" s="38"/>
      <c r="P1784" s="38"/>
      <c r="Q1784" s="38"/>
      <c r="R1784" s="38"/>
      <c r="S1784" s="38"/>
      <c r="T1784" s="38"/>
      <c r="U1784" s="38"/>
      <c r="V1784" s="38"/>
      <c r="W1784" s="38"/>
      <c r="X1784" s="38"/>
      <c r="Y1784" s="38"/>
      <c r="Z1784" s="38"/>
      <c r="AA1784" s="38"/>
      <c r="AB1784" s="38"/>
      <c r="AC1784" s="38"/>
      <c r="AD1784" s="38"/>
      <c r="AE1784" s="38"/>
      <c r="AF1784" s="38"/>
      <c r="AG1784" s="38"/>
      <c r="AH1784" s="38"/>
      <c r="AI1784" s="38"/>
      <c r="AJ1784" s="38"/>
      <c r="AK1784" s="38"/>
      <c r="AL1784" s="38"/>
      <c r="AM1784" s="38"/>
      <c r="AN1784" s="38"/>
      <c r="AO1784" s="38"/>
      <c r="AP1784" s="38"/>
      <c r="AQ1784" s="38"/>
      <c r="AR1784" s="38"/>
      <c r="AS1784" s="38"/>
      <c r="AT1784" s="38"/>
      <c r="AU1784" s="38"/>
      <c r="AV1784" s="38"/>
      <c r="AW1784" s="38"/>
      <c r="AX1784" s="38"/>
      <c r="AY1784" s="38"/>
      <c r="AZ1784" s="38"/>
      <c r="BA1784" s="38"/>
      <c r="BB1784" s="38"/>
      <c r="BC1784" s="38"/>
      <c r="BD1784" s="38"/>
      <c r="BE1784" s="38"/>
      <c r="BF1784" s="38"/>
      <c r="BG1784" s="38"/>
      <c r="BH1784" s="38"/>
      <c r="BI1784" s="38"/>
      <c r="BJ1784" s="38"/>
      <c r="BK1784" s="38"/>
      <c r="BL1784" s="38"/>
      <c r="BM1784" s="38"/>
      <c r="BN1784" s="38"/>
      <c r="BO1784" s="38"/>
      <c r="BP1784" s="38"/>
      <c r="BQ1784" s="38"/>
      <c r="BR1784" s="38"/>
      <c r="BS1784" s="38"/>
      <c r="BT1784" s="38"/>
      <c r="BU1784" s="38"/>
      <c r="BV1784" s="38"/>
      <c r="BW1784" s="38"/>
      <c r="BX1784" s="38"/>
      <c r="BY1784" s="38"/>
      <c r="BZ1784" s="38"/>
      <c r="CA1784" s="38"/>
      <c r="CB1784" s="38"/>
      <c r="CC1784" s="38"/>
      <c r="CD1784" s="38"/>
      <c r="CE1784" s="38"/>
      <c r="CF1784" s="38"/>
      <c r="CG1784" s="38"/>
      <c r="CH1784" s="38"/>
      <c r="CI1784" s="38"/>
      <c r="CJ1784" s="38"/>
      <c r="CK1784" s="38"/>
      <c r="CL1784" s="38"/>
      <c r="CM1784" s="38"/>
      <c r="CN1784" s="38"/>
      <c r="CO1784" s="38"/>
      <c r="CP1784" s="38"/>
      <c r="CQ1784" s="38"/>
      <c r="CR1784" s="38"/>
      <c r="CS1784" s="38"/>
      <c r="CT1784" s="38"/>
      <c r="CU1784" s="38"/>
      <c r="CV1784" s="38"/>
      <c r="CW1784" s="38"/>
      <c r="CX1784" s="38"/>
      <c r="CY1784" s="38"/>
      <c r="CZ1784" s="38"/>
      <c r="DA1784" s="38"/>
      <c r="DB1784" s="38"/>
      <c r="DC1784" s="38"/>
      <c r="DD1784" s="38"/>
      <c r="DE1784" s="38"/>
      <c r="DF1784" s="38"/>
      <c r="DG1784" s="38"/>
      <c r="DH1784" s="38"/>
      <c r="DI1784" s="38"/>
      <c r="DJ1784" s="38"/>
      <c r="DK1784" s="38"/>
      <c r="DL1784" s="38"/>
      <c r="DM1784" s="38"/>
      <c r="DN1784" s="38"/>
      <c r="DO1784" s="38"/>
      <c r="DP1784" s="38"/>
      <c r="DQ1784" s="38"/>
      <c r="DR1784" s="38"/>
      <c r="DS1784" s="38"/>
      <c r="DT1784" s="38"/>
      <c r="DU1784" s="38"/>
      <c r="DV1784" s="38"/>
      <c r="DW1784" s="38"/>
      <c r="DX1784" s="38"/>
      <c r="DY1784" s="38"/>
      <c r="DZ1784" s="38"/>
      <c r="EA1784" s="38"/>
      <c r="EB1784" s="38"/>
      <c r="EC1784" s="38"/>
      <c r="ED1784" s="38"/>
      <c r="EE1784" s="38"/>
      <c r="EF1784" s="38"/>
      <c r="EG1784" s="38"/>
      <c r="EH1784" s="38"/>
      <c r="EI1784" s="38"/>
      <c r="EJ1784" s="38"/>
      <c r="EK1784" s="38"/>
      <c r="EL1784" s="38"/>
      <c r="EM1784" s="38"/>
      <c r="EN1784" s="38"/>
      <c r="EO1784" s="38"/>
      <c r="EP1784" s="38"/>
      <c r="EQ1784" s="38"/>
      <c r="ER1784" s="38"/>
      <c r="ES1784" s="38"/>
      <c r="ET1784" s="38"/>
      <c r="EU1784" s="38"/>
      <c r="EV1784" s="38"/>
      <c r="EW1784" s="38"/>
      <c r="EX1784" s="38"/>
      <c r="EY1784" s="38"/>
      <c r="EZ1784" s="38"/>
      <c r="FA1784" s="38"/>
      <c r="FB1784" s="38"/>
      <c r="FC1784" s="38"/>
      <c r="FD1784" s="38"/>
      <c r="FE1784" s="38"/>
      <c r="FF1784" s="38"/>
      <c r="FG1784" s="38"/>
      <c r="FH1784" s="38"/>
      <c r="FI1784" s="38"/>
      <c r="FJ1784" s="38"/>
      <c r="FK1784" s="38"/>
      <c r="FL1784" s="38"/>
      <c r="FM1784" s="38"/>
      <c r="FN1784" s="38"/>
      <c r="FO1784" s="38"/>
      <c r="FP1784" s="38"/>
      <c r="FQ1784" s="38"/>
      <c r="FR1784" s="38"/>
      <c r="FS1784" s="38"/>
      <c r="FT1784" s="38"/>
      <c r="FU1784" s="38"/>
      <c r="FV1784" s="38"/>
      <c r="FW1784" s="38"/>
      <c r="FX1784" s="38"/>
      <c r="FY1784" s="38"/>
      <c r="FZ1784" s="38"/>
      <c r="GA1784" s="38"/>
      <c r="GB1784" s="38"/>
      <c r="GC1784" s="38"/>
      <c r="GD1784" s="38"/>
      <c r="GE1784" s="38"/>
      <c r="GF1784" s="38"/>
      <c r="GG1784" s="38"/>
      <c r="GH1784" s="38"/>
      <c r="GI1784" s="38"/>
      <c r="GJ1784" s="38"/>
      <c r="GK1784" s="38"/>
      <c r="GL1784" s="38"/>
      <c r="GM1784" s="38"/>
      <c r="GN1784" s="38"/>
      <c r="GO1784" s="38"/>
      <c r="GP1784" s="38"/>
      <c r="GQ1784" s="38"/>
      <c r="GR1784" s="38"/>
      <c r="GS1784" s="38"/>
      <c r="GT1784" s="38"/>
      <c r="GU1784" s="38"/>
      <c r="GV1784" s="38"/>
      <c r="GW1784" s="38"/>
      <c r="GX1784" s="38"/>
      <c r="GY1784" s="38"/>
      <c r="GZ1784" s="38"/>
      <c r="HA1784" s="38"/>
      <c r="HB1784" s="38"/>
      <c r="HC1784" s="38"/>
      <c r="HD1784" s="38"/>
      <c r="HE1784" s="38"/>
      <c r="HF1784" s="38"/>
      <c r="HG1784" s="38"/>
      <c r="HH1784" s="38"/>
      <c r="HI1784" s="38"/>
      <c r="HJ1784" s="38"/>
      <c r="HK1784" s="38"/>
      <c r="HL1784" s="38"/>
      <c r="HM1784" s="38"/>
      <c r="HN1784" s="38"/>
      <c r="HO1784" s="38"/>
      <c r="HP1784" s="38"/>
      <c r="HQ1784" s="38"/>
      <c r="HR1784" s="38"/>
      <c r="HS1784" s="38"/>
      <c r="HT1784" s="38"/>
      <c r="HU1784" s="38"/>
      <c r="HV1784" s="38"/>
      <c r="HW1784" s="38"/>
      <c r="HX1784" s="38"/>
      <c r="HY1784" s="38"/>
      <c r="HZ1784" s="38"/>
      <c r="IA1784" s="38"/>
      <c r="IB1784" s="38"/>
      <c r="IC1784" s="38"/>
      <c r="ID1784" s="38"/>
      <c r="IE1784" s="38"/>
      <c r="IF1784" s="38"/>
      <c r="IG1784" s="38"/>
      <c r="IH1784" s="38"/>
      <c r="II1784" s="38"/>
      <c r="IJ1784" s="38"/>
      <c r="IK1784" s="38"/>
      <c r="IL1784" s="38"/>
      <c r="IM1784" s="38"/>
      <c r="IN1784" s="38"/>
      <c r="IO1784" s="38"/>
      <c r="IP1784" s="38"/>
      <c r="IQ1784" s="38"/>
      <c r="IR1784" s="38"/>
      <c r="IS1784" s="38"/>
      <c r="IT1784" s="38"/>
      <c r="IU1784" s="38"/>
      <c r="IV1784" s="38"/>
      <c r="IW1784" s="38"/>
      <c r="IX1784" s="38"/>
      <c r="IY1784" s="38"/>
      <c r="IZ1784" s="38"/>
      <c r="JA1784" s="38"/>
      <c r="JB1784" s="38"/>
      <c r="JC1784" s="38"/>
      <c r="JD1784" s="38"/>
      <c r="JE1784" s="38"/>
      <c r="JF1784" s="38"/>
      <c r="JG1784" s="38"/>
      <c r="JH1784" s="38"/>
      <c r="JI1784" s="38"/>
      <c r="JJ1784" s="38"/>
      <c r="JK1784" s="38"/>
      <c r="JL1784" s="38"/>
      <c r="JM1784" s="38"/>
      <c r="JN1784" s="38"/>
      <c r="JO1784" s="38"/>
      <c r="JP1784" s="38"/>
      <c r="JQ1784" s="38"/>
      <c r="JR1784" s="38"/>
      <c r="JS1784" s="38"/>
      <c r="JT1784" s="38"/>
      <c r="JU1784" s="38"/>
      <c r="JV1784" s="38"/>
      <c r="JW1784" s="38"/>
      <c r="JX1784" s="38"/>
      <c r="JY1784" s="38"/>
      <c r="JZ1784" s="38"/>
      <c r="KA1784" s="38"/>
      <c r="KB1784" s="38"/>
      <c r="KC1784" s="38"/>
      <c r="KD1784" s="38"/>
      <c r="KE1784" s="38"/>
      <c r="KF1784" s="38"/>
      <c r="KG1784" s="38"/>
      <c r="KH1784" s="38"/>
      <c r="KI1784" s="38"/>
      <c r="KJ1784" s="38"/>
      <c r="KK1784" s="38"/>
      <c r="KL1784" s="38"/>
      <c r="KM1784" s="38"/>
      <c r="KN1784" s="38"/>
      <c r="KO1784" s="38"/>
      <c r="KP1784" s="38"/>
      <c r="KQ1784" s="38"/>
      <c r="KR1784" s="38"/>
      <c r="KS1784" s="38"/>
      <c r="KT1784" s="38"/>
      <c r="KU1784" s="38"/>
      <c r="KV1784" s="38"/>
      <c r="KW1784" s="38"/>
      <c r="KX1784" s="38"/>
      <c r="KY1784" s="38"/>
      <c r="KZ1784" s="38"/>
      <c r="LA1784" s="38"/>
      <c r="LB1784" s="38"/>
      <c r="LC1784" s="38"/>
      <c r="LD1784" s="38"/>
      <c r="LE1784" s="38"/>
      <c r="LF1784" s="38"/>
      <c r="LG1784" s="38"/>
      <c r="LH1784" s="38"/>
      <c r="LI1784" s="38"/>
      <c r="LJ1784" s="38"/>
      <c r="LK1784" s="38"/>
      <c r="LL1784" s="38"/>
      <c r="LM1784" s="38"/>
      <c r="LN1784" s="38"/>
      <c r="LO1784" s="38"/>
      <c r="LP1784" s="38"/>
      <c r="LQ1784" s="38"/>
      <c r="LR1784" s="38"/>
      <c r="LS1784" s="38"/>
      <c r="LT1784" s="38"/>
      <c r="LU1784" s="38"/>
      <c r="LV1784" s="38"/>
      <c r="LW1784" s="38"/>
      <c r="LX1784" s="38"/>
      <c r="LY1784" s="38"/>
      <c r="LZ1784" s="38"/>
      <c r="MA1784" s="38"/>
      <c r="MB1784" s="38"/>
      <c r="MC1784" s="38"/>
      <c r="MD1784" s="38"/>
      <c r="ME1784" s="38"/>
      <c r="MF1784" s="38"/>
      <c r="MG1784" s="38"/>
      <c r="MH1784" s="38"/>
      <c r="MI1784" s="38"/>
      <c r="MJ1784" s="38"/>
      <c r="MK1784" s="38"/>
      <c r="ML1784" s="38"/>
      <c r="MM1784" s="38"/>
      <c r="MN1784" s="38"/>
      <c r="MO1784" s="38"/>
      <c r="MP1784" s="38"/>
      <c r="MQ1784" s="38"/>
      <c r="MR1784" s="38"/>
      <c r="MS1784" s="38"/>
      <c r="MT1784" s="38"/>
      <c r="MU1784" s="38"/>
      <c r="MV1784" s="38"/>
      <c r="MW1784" s="38"/>
      <c r="MX1784" s="38"/>
      <c r="MY1784" s="38"/>
      <c r="MZ1784" s="38"/>
      <c r="NA1784" s="38"/>
      <c r="NB1784" s="38"/>
      <c r="NC1784" s="38"/>
      <c r="ND1784" s="38"/>
      <c r="NE1784" s="38"/>
      <c r="NF1784" s="38"/>
      <c r="NG1784" s="38"/>
      <c r="NH1784" s="38"/>
      <c r="NI1784" s="38"/>
      <c r="NJ1784" s="38"/>
      <c r="NK1784" s="38"/>
      <c r="NL1784" s="38"/>
      <c r="NM1784" s="38"/>
      <c r="NN1784" s="38"/>
      <c r="NO1784" s="38"/>
      <c r="NP1784" s="38"/>
      <c r="NQ1784" s="38"/>
      <c r="NR1784" s="38"/>
      <c r="NS1784" s="38"/>
      <c r="NT1784" s="38"/>
      <c r="NU1784" s="38"/>
      <c r="NV1784" s="38"/>
      <c r="NW1784" s="38"/>
      <c r="NX1784" s="38"/>
      <c r="NY1784" s="38"/>
      <c r="NZ1784" s="38"/>
      <c r="OA1784" s="38"/>
      <c r="OB1784" s="38"/>
      <c r="OC1784" s="38"/>
      <c r="OD1784" s="38"/>
      <c r="OE1784" s="38"/>
      <c r="OF1784" s="38"/>
      <c r="OG1784" s="38"/>
      <c r="OH1784" s="38"/>
      <c r="OI1784" s="38"/>
      <c r="OJ1784" s="38"/>
      <c r="OK1784" s="38"/>
      <c r="OL1784" s="38"/>
      <c r="OM1784" s="38"/>
      <c r="ON1784" s="38"/>
      <c r="OO1784" s="38"/>
      <c r="OP1784" s="38"/>
      <c r="OQ1784" s="38"/>
      <c r="OR1784" s="38"/>
      <c r="OS1784" s="38"/>
      <c r="OT1784" s="38"/>
      <c r="OU1784" s="38"/>
      <c r="OV1784" s="38"/>
      <c r="OW1784" s="38"/>
      <c r="OX1784" s="38"/>
      <c r="OY1784" s="38"/>
      <c r="OZ1784" s="38"/>
      <c r="PA1784" s="38"/>
      <c r="PB1784" s="38"/>
      <c r="PC1784" s="38"/>
      <c r="PD1784" s="38"/>
      <c r="PE1784" s="38"/>
      <c r="PF1784" s="38"/>
      <c r="PG1784" s="38"/>
      <c r="PH1784" s="38"/>
      <c r="PI1784" s="38"/>
      <c r="PJ1784" s="38"/>
      <c r="PK1784" s="38"/>
      <c r="PL1784" s="38"/>
      <c r="PM1784" s="38"/>
      <c r="PN1784" s="38"/>
      <c r="PO1784" s="38"/>
      <c r="PP1784" s="38"/>
      <c r="PQ1784" s="38"/>
      <c r="PR1784" s="38"/>
      <c r="PS1784" s="38"/>
      <c r="PT1784" s="38"/>
      <c r="PU1784" s="38"/>
      <c r="PV1784" s="38"/>
      <c r="PW1784" s="38"/>
      <c r="PX1784" s="38"/>
      <c r="PY1784" s="38"/>
      <c r="PZ1784" s="38"/>
      <c r="QA1784" s="38"/>
      <c r="QB1784" s="38"/>
      <c r="QC1784" s="38"/>
      <c r="QD1784" s="38"/>
      <c r="QE1784" s="38"/>
      <c r="QF1784" s="38"/>
      <c r="QG1784" s="38"/>
      <c r="QH1784" s="38"/>
      <c r="QI1784" s="38"/>
      <c r="QJ1784" s="38"/>
      <c r="QK1784" s="38"/>
      <c r="QL1784" s="38"/>
      <c r="QM1784" s="38"/>
      <c r="QN1784" s="38"/>
      <c r="QO1784" s="38"/>
      <c r="QP1784" s="38"/>
      <c r="QQ1784" s="38"/>
      <c r="QR1784" s="38"/>
      <c r="QS1784" s="38"/>
      <c r="QT1784" s="38"/>
      <c r="QU1784" s="38"/>
      <c r="QV1784" s="38"/>
      <c r="QW1784" s="38"/>
      <c r="QX1784" s="38"/>
      <c r="QY1784" s="38"/>
      <c r="QZ1784" s="38"/>
      <c r="RA1784" s="38"/>
      <c r="RB1784" s="38"/>
      <c r="RC1784" s="38"/>
      <c r="RD1784" s="38"/>
      <c r="RE1784" s="38"/>
      <c r="RF1784" s="38"/>
      <c r="RG1784" s="38"/>
      <c r="RH1784" s="38"/>
      <c r="RI1784" s="38"/>
      <c r="RJ1784" s="38"/>
      <c r="RK1784" s="38"/>
      <c r="RL1784" s="38"/>
      <c r="RM1784" s="38"/>
      <c r="RN1784" s="38"/>
      <c r="RO1784" s="38"/>
      <c r="RP1784" s="38"/>
      <c r="RQ1784" s="38"/>
      <c r="RR1784" s="38"/>
      <c r="RS1784" s="38"/>
      <c r="RT1784" s="38"/>
      <c r="RU1784" s="38"/>
      <c r="RV1784" s="38"/>
      <c r="RW1784" s="38"/>
      <c r="RX1784" s="38"/>
      <c r="RY1784" s="38"/>
      <c r="RZ1784" s="38"/>
      <c r="SA1784" s="38"/>
      <c r="SB1784" s="38"/>
      <c r="SC1784" s="38"/>
      <c r="SD1784" s="38"/>
      <c r="SE1784" s="38"/>
      <c r="SF1784" s="38"/>
      <c r="SG1784" s="38"/>
      <c r="SH1784" s="38"/>
      <c r="SI1784" s="38"/>
      <c r="SJ1784" s="38"/>
      <c r="SK1784" s="38"/>
      <c r="SL1784" s="38"/>
      <c r="SM1784" s="38"/>
      <c r="SN1784" s="38"/>
      <c r="SO1784" s="38"/>
      <c r="SP1784" s="38"/>
      <c r="SQ1784" s="38"/>
      <c r="SR1784" s="38"/>
      <c r="SS1784" s="38"/>
      <c r="ST1784" s="38"/>
      <c r="SU1784" s="38"/>
      <c r="SV1784" s="38"/>
      <c r="SW1784" s="38"/>
      <c r="SX1784" s="38"/>
      <c r="SY1784" s="38"/>
      <c r="SZ1784" s="38"/>
      <c r="TA1784" s="38"/>
      <c r="TB1784" s="38"/>
      <c r="TC1784" s="38"/>
      <c r="TD1784" s="38"/>
      <c r="TE1784" s="38"/>
      <c r="TF1784" s="38"/>
      <c r="TG1784" s="38"/>
      <c r="TH1784" s="38"/>
      <c r="TI1784" s="38"/>
      <c r="TJ1784" s="38"/>
      <c r="TK1784" s="38"/>
      <c r="TL1784" s="38"/>
      <c r="TM1784" s="38"/>
      <c r="TN1784" s="38"/>
      <c r="TO1784" s="38"/>
      <c r="TP1784" s="38"/>
      <c r="TQ1784" s="38"/>
      <c r="TR1784" s="38"/>
      <c r="TS1784" s="38"/>
      <c r="TT1784" s="38"/>
      <c r="TU1784" s="38"/>
      <c r="TV1784" s="38"/>
      <c r="TW1784" s="38"/>
      <c r="TX1784" s="38"/>
      <c r="TY1784" s="38"/>
      <c r="TZ1784" s="38"/>
      <c r="UA1784" s="38"/>
      <c r="UB1784" s="38"/>
      <c r="UC1784" s="38"/>
      <c r="UD1784" s="38"/>
      <c r="UE1784" s="38"/>
      <c r="UF1784" s="38"/>
      <c r="UG1784" s="38"/>
      <c r="UH1784" s="38"/>
      <c r="UI1784" s="38"/>
      <c r="UJ1784" s="38"/>
      <c r="UK1784" s="38"/>
      <c r="UL1784" s="38"/>
      <c r="UM1784" s="38"/>
      <c r="UN1784" s="38"/>
      <c r="UO1784" s="38"/>
      <c r="UP1784" s="38"/>
      <c r="UQ1784" s="38"/>
      <c r="UR1784" s="38"/>
      <c r="US1784" s="38"/>
      <c r="UT1784" s="38"/>
      <c r="UU1784" s="38"/>
      <c r="UV1784" s="38"/>
      <c r="UW1784" s="38"/>
      <c r="UX1784" s="38"/>
      <c r="UY1784" s="38"/>
      <c r="UZ1784" s="38"/>
      <c r="VA1784" s="38"/>
      <c r="VB1784" s="38"/>
      <c r="VC1784" s="38"/>
      <c r="VD1784" s="38"/>
      <c r="VE1784" s="38"/>
      <c r="VF1784" s="38"/>
      <c r="VG1784" s="38"/>
      <c r="VH1784" s="38"/>
      <c r="VI1784" s="38"/>
      <c r="VJ1784" s="38"/>
      <c r="VK1784" s="38"/>
      <c r="VL1784" s="38"/>
      <c r="VM1784" s="38"/>
      <c r="VN1784" s="38"/>
      <c r="VO1784" s="38"/>
      <c r="VP1784" s="38"/>
      <c r="VQ1784" s="38"/>
      <c r="VR1784" s="38"/>
      <c r="VS1784" s="38"/>
      <c r="VT1784" s="38"/>
      <c r="VU1784" s="38"/>
      <c r="VV1784" s="38"/>
      <c r="VW1784" s="38"/>
      <c r="VX1784" s="38"/>
      <c r="VY1784" s="38"/>
      <c r="VZ1784" s="38"/>
      <c r="WA1784" s="38"/>
      <c r="WB1784" s="38"/>
      <c r="WC1784" s="38"/>
      <c r="WD1784" s="38"/>
      <c r="WE1784" s="38"/>
      <c r="WF1784" s="38"/>
      <c r="WG1784" s="38"/>
      <c r="WH1784" s="38"/>
      <c r="WI1784" s="38"/>
      <c r="WJ1784" s="38"/>
      <c r="WK1784" s="38"/>
      <c r="WL1784" s="38"/>
      <c r="WM1784" s="38"/>
      <c r="WN1784" s="38"/>
      <c r="WO1784" s="38"/>
      <c r="WP1784" s="38"/>
      <c r="WQ1784" s="38"/>
      <c r="WR1784" s="38"/>
      <c r="WS1784" s="38"/>
      <c r="WT1784" s="38"/>
      <c r="WU1784" s="38"/>
      <c r="WV1784" s="38"/>
      <c r="WW1784" s="38"/>
      <c r="WX1784" s="38"/>
      <c r="WY1784" s="38"/>
      <c r="WZ1784" s="38"/>
      <c r="XA1784" s="38"/>
      <c r="XB1784" s="38"/>
      <c r="XC1784" s="38"/>
      <c r="XD1784" s="38"/>
      <c r="XE1784" s="38"/>
      <c r="XF1784" s="38"/>
      <c r="XG1784" s="38"/>
      <c r="XH1784" s="38"/>
      <c r="XI1784" s="38"/>
      <c r="XJ1784" s="38"/>
      <c r="XK1784" s="38"/>
      <c r="XL1784" s="38"/>
      <c r="XM1784" s="38"/>
      <c r="XN1784" s="38"/>
      <c r="XO1784" s="38"/>
      <c r="XP1784" s="38"/>
      <c r="XQ1784" s="38"/>
      <c r="XR1784" s="38"/>
      <c r="XS1784" s="38"/>
      <c r="XT1784" s="38"/>
      <c r="XU1784" s="38"/>
      <c r="XV1784" s="38"/>
      <c r="XW1784" s="38"/>
      <c r="XX1784" s="38"/>
      <c r="XY1784" s="38"/>
      <c r="XZ1784" s="38"/>
      <c r="YA1784" s="38"/>
      <c r="YB1784" s="38"/>
      <c r="YC1784" s="38"/>
      <c r="YD1784" s="38"/>
      <c r="YE1784" s="38"/>
      <c r="YF1784" s="38"/>
      <c r="YG1784" s="38"/>
      <c r="YH1784" s="38"/>
      <c r="YI1784" s="38"/>
      <c r="YJ1784" s="38"/>
      <c r="YK1784" s="38"/>
      <c r="YL1784" s="38"/>
      <c r="YM1784" s="38"/>
      <c r="YN1784" s="38"/>
      <c r="YO1784" s="38"/>
      <c r="YP1784" s="38"/>
      <c r="YQ1784" s="38"/>
      <c r="YR1784" s="38"/>
      <c r="YS1784" s="38"/>
      <c r="YT1784" s="38"/>
      <c r="YU1784" s="38"/>
      <c r="YV1784" s="38"/>
      <c r="YW1784" s="38"/>
      <c r="YX1784" s="38"/>
      <c r="YY1784" s="38"/>
      <c r="YZ1784" s="38"/>
      <c r="ZA1784" s="38"/>
      <c r="ZB1784" s="38"/>
      <c r="ZC1784" s="38"/>
      <c r="ZD1784" s="38"/>
      <c r="ZE1784" s="38"/>
      <c r="ZF1784" s="38"/>
      <c r="ZG1784" s="38"/>
      <c r="ZH1784" s="38"/>
      <c r="ZI1784" s="38"/>
      <c r="ZJ1784" s="38"/>
      <c r="ZK1784" s="38"/>
      <c r="ZL1784" s="38"/>
      <c r="ZM1784" s="38"/>
      <c r="ZN1784" s="38"/>
      <c r="ZO1784" s="38"/>
      <c r="ZP1784" s="38"/>
      <c r="ZQ1784" s="38"/>
      <c r="ZR1784" s="38"/>
      <c r="ZS1784" s="38"/>
      <c r="ZT1784" s="38"/>
      <c r="ZU1784" s="38"/>
      <c r="ZV1784" s="38"/>
      <c r="ZW1784" s="38"/>
      <c r="ZX1784" s="38"/>
      <c r="ZY1784" s="38"/>
      <c r="ZZ1784" s="38"/>
      <c r="AAA1784" s="38"/>
      <c r="AAB1784" s="38"/>
      <c r="AAC1784" s="38"/>
      <c r="AAD1784" s="38"/>
      <c r="AAE1784" s="38"/>
      <c r="AAF1784" s="38"/>
      <c r="AAG1784" s="38"/>
      <c r="AAH1784" s="38"/>
      <c r="AAI1784" s="38"/>
      <c r="AAJ1784" s="38"/>
      <c r="AAK1784" s="38"/>
      <c r="AAL1784" s="38"/>
      <c r="AAM1784" s="38"/>
      <c r="AAN1784" s="38"/>
      <c r="AAO1784" s="38"/>
      <c r="AAP1784" s="38"/>
      <c r="AAQ1784" s="38"/>
      <c r="AAR1784" s="38"/>
      <c r="AAS1784" s="38"/>
      <c r="AAT1784" s="38"/>
      <c r="AAU1784" s="38"/>
      <c r="AAV1784" s="38"/>
      <c r="AAW1784" s="38"/>
      <c r="AAX1784" s="38"/>
      <c r="AAY1784" s="38"/>
      <c r="AAZ1784" s="38"/>
      <c r="ABA1784" s="38"/>
      <c r="ABB1784" s="38"/>
      <c r="ABC1784" s="38"/>
      <c r="ABD1784" s="38"/>
      <c r="ABE1784" s="38"/>
      <c r="ABF1784" s="38"/>
      <c r="ABG1784" s="38"/>
      <c r="ABH1784" s="38"/>
      <c r="ABI1784" s="38"/>
      <c r="ABJ1784" s="38"/>
      <c r="ABK1784" s="38"/>
      <c r="ABL1784" s="38"/>
      <c r="ABM1784" s="38"/>
      <c r="ABN1784" s="38"/>
      <c r="ABO1784" s="38"/>
      <c r="ABP1784" s="38"/>
      <c r="ABQ1784" s="38"/>
      <c r="ABR1784" s="38"/>
      <c r="ABS1784" s="38"/>
      <c r="ABT1784" s="38"/>
      <c r="ABU1784" s="38"/>
      <c r="ABV1784" s="38"/>
      <c r="ABW1784" s="38"/>
      <c r="ABX1784" s="38"/>
      <c r="ABY1784" s="38"/>
      <c r="ABZ1784" s="38"/>
      <c r="ACA1784" s="38"/>
      <c r="ACB1784" s="38"/>
      <c r="ACC1784" s="38"/>
      <c r="ACD1784" s="38"/>
      <c r="ACE1784" s="38"/>
      <c r="ACF1784" s="38"/>
      <c r="ACG1784" s="38"/>
      <c r="ACH1784" s="38"/>
      <c r="ACI1784" s="38"/>
      <c r="ACJ1784" s="38"/>
      <c r="ACK1784" s="38"/>
      <c r="ACL1784" s="38"/>
      <c r="ACM1784" s="38"/>
      <c r="ACN1784" s="38"/>
      <c r="ACO1784" s="38"/>
      <c r="ACP1784" s="38"/>
      <c r="ACQ1784" s="38"/>
      <c r="ACR1784" s="38"/>
      <c r="ACS1784" s="38"/>
      <c r="ACT1784" s="38"/>
      <c r="ACU1784" s="38"/>
      <c r="ACV1784" s="38"/>
      <c r="ACW1784" s="38"/>
      <c r="ACX1784" s="38"/>
      <c r="ACY1784" s="38"/>
      <c r="ACZ1784" s="38"/>
      <c r="ADA1784" s="38"/>
      <c r="ADB1784" s="38"/>
      <c r="ADC1784" s="38"/>
      <c r="ADD1784" s="38"/>
      <c r="ADE1784" s="38"/>
      <c r="ADF1784" s="38"/>
      <c r="ADG1784" s="38"/>
      <c r="ADH1784" s="38"/>
      <c r="ADI1784" s="38"/>
      <c r="ADJ1784" s="38"/>
      <c r="ADK1784" s="38"/>
      <c r="ADL1784" s="38"/>
      <c r="ADM1784" s="38"/>
      <c r="ADN1784" s="38"/>
      <c r="ADO1784" s="38"/>
      <c r="ADP1784" s="38"/>
      <c r="ADQ1784" s="38"/>
      <c r="ADR1784" s="38"/>
      <c r="ADS1784" s="38"/>
      <c r="ADT1784" s="38"/>
      <c r="ADU1784" s="38"/>
      <c r="ADV1784" s="38"/>
      <c r="ADW1784" s="38"/>
      <c r="ADX1784" s="38"/>
      <c r="ADY1784" s="38"/>
      <c r="ADZ1784" s="38"/>
      <c r="AEA1784" s="38"/>
      <c r="AEB1784" s="38"/>
      <c r="AEC1784" s="38"/>
      <c r="AED1784" s="38"/>
      <c r="AEE1784" s="38"/>
      <c r="AEF1784" s="38"/>
      <c r="AEG1784" s="38"/>
      <c r="AEH1784" s="38"/>
      <c r="AEI1784" s="38"/>
      <c r="AEJ1784" s="38"/>
      <c r="AEK1784" s="38"/>
      <c r="AEL1784" s="38"/>
      <c r="AEM1784" s="38"/>
      <c r="AEN1784" s="38"/>
      <c r="AEO1784" s="38"/>
      <c r="AEP1784" s="38"/>
      <c r="AEQ1784" s="38"/>
      <c r="AER1784" s="38"/>
      <c r="AES1784" s="38"/>
      <c r="AET1784" s="38"/>
      <c r="AEU1784" s="38"/>
      <c r="AEV1784" s="38"/>
      <c r="AEW1784" s="38"/>
      <c r="AEX1784" s="38"/>
      <c r="AEY1784" s="38"/>
      <c r="AEZ1784" s="38"/>
      <c r="AFA1784" s="38"/>
      <c r="AFB1784" s="38"/>
      <c r="AFC1784" s="38"/>
      <c r="AFD1784" s="38"/>
      <c r="AFE1784" s="38"/>
      <c r="AFF1784" s="38"/>
      <c r="AFG1784" s="38"/>
      <c r="AFH1784" s="38"/>
      <c r="AFI1784" s="38"/>
      <c r="AFJ1784" s="38"/>
      <c r="AFK1784" s="38"/>
      <c r="AFL1784" s="38"/>
      <c r="AFM1784" s="38"/>
      <c r="AFN1784" s="38"/>
      <c r="AFO1784" s="38"/>
      <c r="AFP1784" s="38"/>
      <c r="AFQ1784" s="38"/>
      <c r="AFR1784" s="38"/>
      <c r="AFS1784" s="38"/>
      <c r="AFT1784" s="38"/>
      <c r="AFU1784" s="38"/>
      <c r="AFV1784" s="38"/>
      <c r="AFW1784" s="38"/>
      <c r="AFX1784" s="38"/>
      <c r="AFY1784" s="38"/>
      <c r="AFZ1784" s="38"/>
      <c r="AGA1784" s="38"/>
      <c r="AGB1784" s="38"/>
      <c r="AGC1784" s="38"/>
      <c r="AGD1784" s="38"/>
      <c r="AGE1784" s="38"/>
      <c r="AGF1784" s="38"/>
      <c r="AGG1784" s="38"/>
      <c r="AGH1784" s="38"/>
      <c r="AGI1784" s="38"/>
      <c r="AGJ1784" s="38"/>
      <c r="AGK1784" s="38"/>
      <c r="AGL1784" s="38"/>
      <c r="AGM1784" s="38"/>
      <c r="AGN1784" s="38"/>
      <c r="AGO1784" s="38"/>
      <c r="AGP1784" s="38"/>
      <c r="AGQ1784" s="38"/>
      <c r="AGR1784" s="38"/>
      <c r="AGS1784" s="38"/>
      <c r="AGT1784" s="38"/>
      <c r="AGU1784" s="38"/>
      <c r="AGV1784" s="38"/>
      <c r="AGW1784" s="38"/>
      <c r="AGX1784" s="38"/>
      <c r="AGY1784" s="38"/>
      <c r="AGZ1784" s="38"/>
      <c r="AHA1784" s="38"/>
      <c r="AHB1784" s="38"/>
      <c r="AHC1784" s="38"/>
      <c r="AHD1784" s="38"/>
      <c r="AHE1784" s="38"/>
      <c r="AHF1784" s="38"/>
      <c r="AHG1784" s="38"/>
      <c r="AHH1784" s="38"/>
      <c r="AHI1784" s="38"/>
      <c r="AHJ1784" s="38"/>
      <c r="AHK1784" s="38"/>
      <c r="AHL1784" s="38"/>
      <c r="AHM1784" s="38"/>
      <c r="AHN1784" s="38"/>
      <c r="AHO1784" s="38"/>
      <c r="AHP1784" s="38"/>
      <c r="AHQ1784" s="38"/>
      <c r="AHR1784" s="38"/>
      <c r="AHS1784" s="38"/>
      <c r="AHT1784" s="38"/>
      <c r="AHU1784" s="38"/>
      <c r="AHV1784" s="38"/>
      <c r="AHW1784" s="38"/>
      <c r="AHX1784" s="38"/>
      <c r="AHY1784" s="38"/>
      <c r="AHZ1784" s="38"/>
      <c r="AIA1784" s="38"/>
      <c r="AIB1784" s="38"/>
      <c r="AIC1784" s="38"/>
      <c r="AID1784" s="38"/>
      <c r="AIE1784" s="38"/>
      <c r="AIF1784" s="38"/>
      <c r="AIG1784" s="38"/>
      <c r="AIH1784" s="38"/>
      <c r="AII1784" s="38"/>
      <c r="AIJ1784" s="38"/>
      <c r="AIK1784" s="38"/>
      <c r="AIL1784" s="38"/>
      <c r="AIM1784" s="38"/>
      <c r="AIN1784" s="38"/>
      <c r="AIO1784" s="38"/>
      <c r="AIP1784" s="38"/>
      <c r="AIQ1784" s="38"/>
      <c r="AIR1784" s="38"/>
      <c r="AIS1784" s="38"/>
      <c r="AIT1784" s="38"/>
      <c r="AIU1784" s="38"/>
      <c r="AIV1784" s="38"/>
      <c r="AIW1784" s="38"/>
      <c r="AIX1784" s="38"/>
      <c r="AIY1784" s="38"/>
      <c r="AIZ1784" s="38"/>
      <c r="AJA1784" s="38"/>
      <c r="AJB1784" s="38"/>
      <c r="AJC1784" s="38"/>
      <c r="AJD1784" s="38"/>
      <c r="AJE1784" s="38"/>
      <c r="AJF1784" s="38"/>
      <c r="AJG1784" s="38"/>
      <c r="AJH1784" s="38"/>
      <c r="AJI1784" s="38"/>
      <c r="AJJ1784" s="38"/>
      <c r="AJK1784" s="38"/>
      <c r="AJL1784" s="38"/>
      <c r="AJM1784" s="38"/>
      <c r="AJN1784" s="38"/>
      <c r="AJO1784" s="38"/>
      <c r="AJP1784" s="38"/>
      <c r="AJQ1784" s="38"/>
      <c r="AJR1784" s="38"/>
      <c r="AJS1784" s="38"/>
      <c r="AJT1784" s="38"/>
      <c r="AJU1784" s="38"/>
      <c r="AJV1784" s="38"/>
      <c r="AJW1784" s="38"/>
      <c r="AJX1784" s="38"/>
      <c r="AJY1784" s="38"/>
      <c r="AJZ1784" s="38"/>
      <c r="AKA1784" s="38"/>
      <c r="AKB1784" s="38"/>
      <c r="AKC1784" s="38"/>
      <c r="AKD1784" s="38"/>
      <c r="AKE1784" s="38"/>
      <c r="AKF1784" s="38"/>
      <c r="AKG1784" s="38"/>
      <c r="AKH1784" s="38"/>
      <c r="AKI1784" s="38"/>
      <c r="AKJ1784" s="38"/>
      <c r="AKK1784" s="38"/>
      <c r="AKL1784" s="38"/>
      <c r="AKM1784" s="38"/>
      <c r="AKN1784" s="38"/>
      <c r="AKO1784" s="38"/>
      <c r="AKP1784" s="38"/>
      <c r="AKQ1784" s="38"/>
      <c r="AKR1784" s="38"/>
      <c r="AKS1784" s="38"/>
      <c r="AKT1784" s="38"/>
      <c r="AKU1784" s="38"/>
      <c r="AKV1784" s="38"/>
      <c r="AKW1784" s="38"/>
      <c r="AKX1784" s="38"/>
      <c r="AKY1784" s="38"/>
      <c r="AKZ1784" s="38"/>
      <c r="ALA1784" s="38"/>
      <c r="ALB1784" s="38"/>
      <c r="ALC1784" s="38"/>
      <c r="ALD1784" s="38"/>
      <c r="ALE1784" s="38"/>
      <c r="ALF1784" s="38"/>
      <c r="ALG1784" s="38"/>
      <c r="ALH1784" s="38"/>
      <c r="ALI1784" s="38"/>
      <c r="ALJ1784" s="38"/>
      <c r="ALK1784" s="38"/>
      <c r="ALL1784" s="38"/>
      <c r="ALM1784" s="38"/>
      <c r="ALN1784" s="38"/>
      <c r="ALO1784" s="38"/>
      <c r="ALP1784" s="38"/>
      <c r="ALQ1784" s="38"/>
      <c r="ALR1784" s="38"/>
      <c r="ALS1784" s="38"/>
      <c r="ALT1784" s="38"/>
      <c r="ALU1784" s="38"/>
      <c r="ALV1784" s="38"/>
      <c r="ALW1784" s="38"/>
      <c r="ALX1784" s="38"/>
      <c r="ALY1784" s="38"/>
      <c r="ALZ1784" s="38"/>
      <c r="AMA1784" s="38"/>
      <c r="AMB1784" s="38"/>
      <c r="AMC1784" s="38"/>
      <c r="AMD1784" s="38"/>
      <c r="AME1784" s="38"/>
      <c r="AMF1784" s="38"/>
      <c r="AMG1784" s="38"/>
      <c r="AMH1784" s="38"/>
      <c r="AMI1784" s="38"/>
      <c r="AMJ1784" s="38"/>
      <c r="AMK1784" s="38"/>
      <c r="AML1784" s="38"/>
      <c r="AMM1784" s="38"/>
      <c r="AMN1784" s="38"/>
      <c r="AMO1784" s="38"/>
      <c r="AMP1784" s="38"/>
      <c r="AMQ1784" s="38"/>
      <c r="AMR1784" s="38"/>
      <c r="AMS1784" s="38"/>
      <c r="AMT1784" s="38"/>
      <c r="AMU1784" s="38"/>
      <c r="AMV1784" s="38"/>
      <c r="AMW1784" s="38"/>
      <c r="AMX1784" s="38"/>
      <c r="AMY1784" s="38"/>
      <c r="AMZ1784" s="38"/>
      <c r="ANA1784" s="38"/>
      <c r="ANB1784" s="38"/>
      <c r="ANC1784" s="38"/>
      <c r="AND1784" s="38"/>
      <c r="ANE1784" s="38"/>
      <c r="ANF1784" s="38"/>
      <c r="ANG1784" s="38"/>
      <c r="ANH1784" s="38"/>
      <c r="ANI1784" s="38"/>
      <c r="ANJ1784" s="38"/>
      <c r="ANK1784" s="38"/>
      <c r="ANL1784" s="38"/>
      <c r="ANM1784" s="38"/>
      <c r="ANN1784" s="38"/>
      <c r="ANO1784" s="38"/>
      <c r="ANP1784" s="38"/>
      <c r="ANQ1784" s="38"/>
      <c r="ANR1784" s="38"/>
      <c r="ANS1784" s="38"/>
      <c r="ANT1784" s="38"/>
      <c r="ANU1784" s="38"/>
      <c r="ANV1784" s="38"/>
      <c r="ANW1784" s="38"/>
      <c r="ANX1784" s="38"/>
      <c r="ANY1784" s="38"/>
      <c r="ANZ1784" s="38"/>
      <c r="AOA1784" s="38"/>
      <c r="AOB1784" s="38"/>
      <c r="AOC1784" s="38"/>
      <c r="AOD1784" s="38"/>
      <c r="AOE1784" s="38"/>
      <c r="AOF1784" s="38"/>
      <c r="AOG1784" s="38"/>
      <c r="AOH1784" s="38"/>
      <c r="AOI1784" s="38"/>
      <c r="AOJ1784" s="38"/>
      <c r="AOK1784" s="38"/>
      <c r="AOL1784" s="38"/>
      <c r="AOM1784" s="38"/>
      <c r="AON1784" s="38"/>
      <c r="AOO1784" s="38"/>
      <c r="AOP1784" s="38"/>
      <c r="AOQ1784" s="38"/>
      <c r="AOR1784" s="38"/>
      <c r="AOS1784" s="38"/>
      <c r="AOT1784" s="38"/>
      <c r="AOU1784" s="38"/>
      <c r="AOV1784" s="38"/>
      <c r="AOW1784" s="38"/>
      <c r="AOX1784" s="38"/>
      <c r="AOY1784" s="38"/>
      <c r="AOZ1784" s="38"/>
      <c r="APA1784" s="38"/>
      <c r="APB1784" s="38"/>
      <c r="APC1784" s="38"/>
    </row>
    <row r="1785" spans="1:1095" s="36" customFormat="1" ht="14.25" customHeight="1">
      <c r="A1785" s="3" t="s">
        <v>1722</v>
      </c>
      <c r="B1785" s="36" t="s">
        <v>4044</v>
      </c>
      <c r="C1785" s="214">
        <v>4058075822054</v>
      </c>
      <c r="D1785" s="224">
        <v>4058075557390</v>
      </c>
      <c r="E1785" s="245" t="s">
        <v>1668</v>
      </c>
      <c r="F1785" s="246"/>
      <c r="G1785" s="66" t="str">
        <f>HYPERLINK("https://ledvance.com/pt/product-datasheet/246839/243267","Ficha de Produto")</f>
        <v>Ficha de Produto</v>
      </c>
      <c r="H1785" s="217">
        <v>10</v>
      </c>
      <c r="I1785" s="34" t="s">
        <v>1042</v>
      </c>
      <c r="J1785" s="34" t="s">
        <v>807</v>
      </c>
      <c r="K1785" s="34" t="s">
        <v>788</v>
      </c>
      <c r="L1785" s="34" t="s">
        <v>793</v>
      </c>
      <c r="M1785" s="247">
        <v>37.800000000000004</v>
      </c>
      <c r="N1785" s="288" t="s">
        <v>722</v>
      </c>
    </row>
    <row r="1786" spans="1:1095" s="36" customFormat="1" ht="14.25" customHeight="1">
      <c r="A1786" s="3" t="s">
        <v>1722</v>
      </c>
      <c r="B1786" s="36" t="s">
        <v>4045</v>
      </c>
      <c r="C1786" s="214">
        <v>4058075822078</v>
      </c>
      <c r="D1786" s="224">
        <v>4058075557499</v>
      </c>
      <c r="E1786" s="245" t="s">
        <v>1669</v>
      </c>
      <c r="F1786" s="246"/>
      <c r="G1786" s="66" t="str">
        <f>HYPERLINK("https://ledvance.com/pt/product-datasheet/246839/243273","Ficha de Produto")</f>
        <v>Ficha de Produto</v>
      </c>
      <c r="H1786" s="217">
        <v>10</v>
      </c>
      <c r="I1786" s="34" t="s">
        <v>858</v>
      </c>
      <c r="J1786" s="34" t="s">
        <v>807</v>
      </c>
      <c r="K1786" s="34" t="s">
        <v>788</v>
      </c>
      <c r="L1786" s="34" t="s">
        <v>793</v>
      </c>
      <c r="M1786" s="247">
        <v>37.800000000000004</v>
      </c>
      <c r="N1786" s="288" t="s">
        <v>722</v>
      </c>
    </row>
    <row r="1787" spans="1:1095" s="36" customFormat="1" ht="14.25" customHeight="1">
      <c r="A1787" s="3" t="s">
        <v>1722</v>
      </c>
      <c r="B1787" s="36" t="s">
        <v>4046</v>
      </c>
      <c r="C1787" s="214">
        <v>4058075822092</v>
      </c>
      <c r="D1787" s="224">
        <v>4058075559219</v>
      </c>
      <c r="E1787" s="245" t="s">
        <v>1670</v>
      </c>
      <c r="F1787" s="246"/>
      <c r="G1787" s="66" t="str">
        <f>HYPERLINK("https://ledvance.com/pt/product-datasheet/246839/243279","Ficha de Produto")</f>
        <v>Ficha de Produto</v>
      </c>
      <c r="H1787" s="217">
        <v>10</v>
      </c>
      <c r="I1787" s="34" t="s">
        <v>786</v>
      </c>
      <c r="J1787" s="34" t="s">
        <v>798</v>
      </c>
      <c r="K1787" s="34" t="s">
        <v>788</v>
      </c>
      <c r="L1787" s="34" t="s">
        <v>793</v>
      </c>
      <c r="M1787" s="247">
        <v>40.5</v>
      </c>
      <c r="N1787" s="288" t="s">
        <v>722</v>
      </c>
    </row>
    <row r="1788" spans="1:1095" s="36" customFormat="1" ht="14.25" customHeight="1">
      <c r="A1788" s="3" t="s">
        <v>1722</v>
      </c>
      <c r="B1788" s="36" t="s">
        <v>4047</v>
      </c>
      <c r="C1788" s="214">
        <v>4058075822115</v>
      </c>
      <c r="D1788" s="224">
        <v>4058075559233</v>
      </c>
      <c r="E1788" s="245" t="s">
        <v>1671</v>
      </c>
      <c r="F1788" s="246"/>
      <c r="G1788" s="66" t="str">
        <f>HYPERLINK("https://ledvance.com/pt/product-datasheet/246839/243285","Ficha de Produto")</f>
        <v>Ficha de Produto</v>
      </c>
      <c r="H1788" s="217">
        <v>10</v>
      </c>
      <c r="I1788" s="34" t="s">
        <v>762</v>
      </c>
      <c r="J1788" s="34" t="s">
        <v>798</v>
      </c>
      <c r="K1788" s="34" t="s">
        <v>788</v>
      </c>
      <c r="L1788" s="34" t="s">
        <v>793</v>
      </c>
      <c r="M1788" s="247">
        <v>40.5</v>
      </c>
      <c r="N1788" s="288" t="s">
        <v>722</v>
      </c>
    </row>
    <row r="1789" spans="1:1095" s="36" customFormat="1" ht="14.25" customHeight="1">
      <c r="A1789" s="3" t="s">
        <v>1722</v>
      </c>
      <c r="B1789" s="36" t="s">
        <v>4048</v>
      </c>
      <c r="C1789" s="214">
        <v>4058075822139</v>
      </c>
      <c r="D1789" s="224">
        <v>4058075557772</v>
      </c>
      <c r="E1789" s="245" t="s">
        <v>1672</v>
      </c>
      <c r="F1789" s="246"/>
      <c r="G1789" s="66" t="str">
        <f>HYPERLINK("https://ledvance.com/pt/product-datasheet/246839/243291","Ficha de Produto")</f>
        <v>Ficha de Produto</v>
      </c>
      <c r="H1789" s="217">
        <v>10</v>
      </c>
      <c r="I1789" s="34" t="s">
        <v>6342</v>
      </c>
      <c r="J1789" s="34" t="s">
        <v>773</v>
      </c>
      <c r="K1789" s="34" t="s">
        <v>788</v>
      </c>
      <c r="L1789" s="34" t="s">
        <v>793</v>
      </c>
      <c r="M1789" s="247">
        <v>43.2</v>
      </c>
      <c r="N1789" s="288" t="s">
        <v>722</v>
      </c>
    </row>
    <row r="1790" spans="1:1095" s="36" customFormat="1" ht="14.25" customHeight="1">
      <c r="A1790" s="3" t="s">
        <v>1722</v>
      </c>
      <c r="B1790" s="36" t="s">
        <v>4049</v>
      </c>
      <c r="C1790" s="214">
        <v>4058075822153</v>
      </c>
      <c r="D1790" s="224">
        <v>4058075557833</v>
      </c>
      <c r="E1790" s="245" t="s">
        <v>1673</v>
      </c>
      <c r="F1790" s="246"/>
      <c r="G1790" s="66" t="str">
        <f>HYPERLINK("https://ledvance.com/pt/product-datasheet/246839/243297","Ficha de Produto")</f>
        <v>Ficha de Produto</v>
      </c>
      <c r="H1790" s="217">
        <v>10</v>
      </c>
      <c r="I1790" s="34" t="s">
        <v>6280</v>
      </c>
      <c r="J1790" s="34" t="s">
        <v>773</v>
      </c>
      <c r="K1790" s="34" t="s">
        <v>788</v>
      </c>
      <c r="L1790" s="34" t="s">
        <v>793</v>
      </c>
      <c r="M1790" s="247">
        <v>43.2</v>
      </c>
      <c r="N1790" s="288" t="s">
        <v>722</v>
      </c>
    </row>
    <row r="1791" spans="1:1095" s="36" customFormat="1" ht="14.25" customHeight="1">
      <c r="A1791" s="3" t="s">
        <v>1722</v>
      </c>
      <c r="B1791" s="36" t="s">
        <v>4050</v>
      </c>
      <c r="C1791" s="214">
        <v>4058075822177</v>
      </c>
      <c r="D1791" s="224">
        <v>4058075559257</v>
      </c>
      <c r="E1791" s="245" t="s">
        <v>1674</v>
      </c>
      <c r="F1791" s="246"/>
      <c r="G1791" s="66" t="str">
        <f>HYPERLINK("https://ledvance.com/pt/product-datasheet/246839/243303","Ficha de Produto")</f>
        <v>Ficha de Produto</v>
      </c>
      <c r="H1791" s="217">
        <v>10</v>
      </c>
      <c r="I1791" s="34" t="s">
        <v>846</v>
      </c>
      <c r="J1791" s="34" t="s">
        <v>781</v>
      </c>
      <c r="K1791" s="34" t="s">
        <v>788</v>
      </c>
      <c r="L1791" s="34" t="s">
        <v>793</v>
      </c>
      <c r="M1791" s="247">
        <v>48.6</v>
      </c>
      <c r="N1791" s="288" t="s">
        <v>722</v>
      </c>
    </row>
    <row r="1792" spans="1:1095" s="36" customFormat="1" ht="14.25" customHeight="1">
      <c r="A1792" s="3" t="s">
        <v>1722</v>
      </c>
      <c r="B1792" s="36" t="s">
        <v>4051</v>
      </c>
      <c r="C1792" s="214">
        <v>4058075822191</v>
      </c>
      <c r="D1792" s="224">
        <v>4058075559271</v>
      </c>
      <c r="E1792" s="245" t="s">
        <v>1675</v>
      </c>
      <c r="F1792" s="246"/>
      <c r="G1792" s="66" t="str">
        <f>HYPERLINK("https://ledvance.com/pt/product-datasheet/246839/243306","Ficha de Produto")</f>
        <v>Ficha de Produto</v>
      </c>
      <c r="H1792" s="217">
        <v>10</v>
      </c>
      <c r="I1792" s="34" t="s">
        <v>959</v>
      </c>
      <c r="J1792" s="34" t="s">
        <v>781</v>
      </c>
      <c r="K1792" s="34" t="s">
        <v>788</v>
      </c>
      <c r="L1792" s="34" t="s">
        <v>793</v>
      </c>
      <c r="M1792" s="247">
        <v>48.6</v>
      </c>
      <c r="N1792" s="288" t="s">
        <v>722</v>
      </c>
    </row>
    <row r="1793" spans="1:1095" s="39" customFormat="1" ht="14.25" customHeight="1">
      <c r="A1793" s="8" t="s">
        <v>1722</v>
      </c>
      <c r="B1793" s="244" t="s">
        <v>2079</v>
      </c>
      <c r="C1793" s="8"/>
      <c r="D1793" s="7"/>
      <c r="E1793" s="230"/>
      <c r="F1793" s="7"/>
      <c r="G1793" s="68"/>
      <c r="H1793" s="230"/>
      <c r="I1793" s="230"/>
      <c r="J1793" s="230"/>
      <c r="K1793" s="230"/>
      <c r="L1793" s="230"/>
      <c r="M1793" s="248"/>
      <c r="N1793" s="292"/>
      <c r="O1793" s="38"/>
      <c r="P1793" s="38"/>
      <c r="Q1793" s="38"/>
      <c r="R1793" s="38"/>
      <c r="S1793" s="38"/>
      <c r="T1793" s="38"/>
      <c r="U1793" s="38"/>
      <c r="V1793" s="38"/>
      <c r="W1793" s="38"/>
      <c r="X1793" s="38"/>
      <c r="Y1793" s="38"/>
      <c r="Z1793" s="38"/>
      <c r="AA1793" s="38"/>
      <c r="AB1793" s="38"/>
      <c r="AC1793" s="38"/>
      <c r="AD1793" s="38"/>
      <c r="AE1793" s="38"/>
      <c r="AF1793" s="38"/>
      <c r="AG1793" s="38"/>
      <c r="AH1793" s="38"/>
      <c r="AI1793" s="38"/>
      <c r="AJ1793" s="38"/>
      <c r="AK1793" s="38"/>
      <c r="AL1793" s="38"/>
      <c r="AM1793" s="38"/>
      <c r="AN1793" s="38"/>
      <c r="AO1793" s="38"/>
      <c r="AP1793" s="38"/>
      <c r="AQ1793" s="38"/>
      <c r="AR1793" s="38"/>
      <c r="AS1793" s="38"/>
      <c r="AT1793" s="38"/>
      <c r="AU1793" s="38"/>
      <c r="AV1793" s="38"/>
      <c r="AW1793" s="38"/>
      <c r="AX1793" s="38"/>
      <c r="AY1793" s="38"/>
      <c r="AZ1793" s="38"/>
      <c r="BA1793" s="38"/>
      <c r="BB1793" s="38"/>
      <c r="BC1793" s="38"/>
      <c r="BD1793" s="38"/>
      <c r="BE1793" s="38"/>
      <c r="BF1793" s="38"/>
      <c r="BG1793" s="38"/>
      <c r="BH1793" s="38"/>
      <c r="BI1793" s="38"/>
      <c r="BJ1793" s="38"/>
      <c r="BK1793" s="38"/>
      <c r="BL1793" s="38"/>
      <c r="BM1793" s="38"/>
      <c r="BN1793" s="38"/>
      <c r="BO1793" s="38"/>
      <c r="BP1793" s="38"/>
      <c r="BQ1793" s="38"/>
      <c r="BR1793" s="38"/>
      <c r="BS1793" s="38"/>
      <c r="BT1793" s="38"/>
      <c r="BU1793" s="38"/>
      <c r="BV1793" s="38"/>
      <c r="BW1793" s="38"/>
      <c r="BX1793" s="38"/>
      <c r="BY1793" s="38"/>
      <c r="BZ1793" s="38"/>
      <c r="CA1793" s="38"/>
      <c r="CB1793" s="38"/>
      <c r="CC1793" s="38"/>
      <c r="CD1793" s="38"/>
      <c r="CE1793" s="38"/>
      <c r="CF1793" s="38"/>
      <c r="CG1793" s="38"/>
      <c r="CH1793" s="38"/>
      <c r="CI1793" s="38"/>
      <c r="CJ1793" s="38"/>
      <c r="CK1793" s="38"/>
      <c r="CL1793" s="38"/>
      <c r="CM1793" s="38"/>
      <c r="CN1793" s="38"/>
      <c r="CO1793" s="38"/>
      <c r="CP1793" s="38"/>
      <c r="CQ1793" s="38"/>
      <c r="CR1793" s="38"/>
      <c r="CS1793" s="38"/>
      <c r="CT1793" s="38"/>
      <c r="CU1793" s="38"/>
      <c r="CV1793" s="38"/>
      <c r="CW1793" s="38"/>
      <c r="CX1793" s="38"/>
      <c r="CY1793" s="38"/>
      <c r="CZ1793" s="38"/>
      <c r="DA1793" s="38"/>
      <c r="DB1793" s="38"/>
      <c r="DC1793" s="38"/>
      <c r="DD1793" s="38"/>
      <c r="DE1793" s="38"/>
      <c r="DF1793" s="38"/>
      <c r="DG1793" s="38"/>
      <c r="DH1793" s="38"/>
      <c r="DI1793" s="38"/>
      <c r="DJ1793" s="38"/>
      <c r="DK1793" s="38"/>
      <c r="DL1793" s="38"/>
      <c r="DM1793" s="38"/>
      <c r="DN1793" s="38"/>
      <c r="DO1793" s="38"/>
      <c r="DP1793" s="38"/>
      <c r="DQ1793" s="38"/>
      <c r="DR1793" s="38"/>
      <c r="DS1793" s="38"/>
      <c r="DT1793" s="38"/>
      <c r="DU1793" s="38"/>
      <c r="DV1793" s="38"/>
      <c r="DW1793" s="38"/>
      <c r="DX1793" s="38"/>
      <c r="DY1793" s="38"/>
      <c r="DZ1793" s="38"/>
      <c r="EA1793" s="38"/>
      <c r="EB1793" s="38"/>
      <c r="EC1793" s="38"/>
      <c r="ED1793" s="38"/>
      <c r="EE1793" s="38"/>
      <c r="EF1793" s="38"/>
      <c r="EG1793" s="38"/>
      <c r="EH1793" s="38"/>
      <c r="EI1793" s="38"/>
      <c r="EJ1793" s="38"/>
      <c r="EK1793" s="38"/>
      <c r="EL1793" s="38"/>
      <c r="EM1793" s="38"/>
      <c r="EN1793" s="38"/>
      <c r="EO1793" s="38"/>
      <c r="EP1793" s="38"/>
      <c r="EQ1793" s="38"/>
      <c r="ER1793" s="38"/>
      <c r="ES1793" s="38"/>
      <c r="ET1793" s="38"/>
      <c r="EU1793" s="38"/>
      <c r="EV1793" s="38"/>
      <c r="EW1793" s="38"/>
      <c r="EX1793" s="38"/>
      <c r="EY1793" s="38"/>
      <c r="EZ1793" s="38"/>
      <c r="FA1793" s="38"/>
      <c r="FB1793" s="38"/>
      <c r="FC1793" s="38"/>
      <c r="FD1793" s="38"/>
      <c r="FE1793" s="38"/>
      <c r="FF1793" s="38"/>
      <c r="FG1793" s="38"/>
      <c r="FH1793" s="38"/>
      <c r="FI1793" s="38"/>
      <c r="FJ1793" s="38"/>
      <c r="FK1793" s="38"/>
      <c r="FL1793" s="38"/>
      <c r="FM1793" s="38"/>
      <c r="FN1793" s="38"/>
      <c r="FO1793" s="38"/>
      <c r="FP1793" s="38"/>
      <c r="FQ1793" s="38"/>
      <c r="FR1793" s="38"/>
      <c r="FS1793" s="38"/>
      <c r="FT1793" s="38"/>
      <c r="FU1793" s="38"/>
      <c r="FV1793" s="38"/>
      <c r="FW1793" s="38"/>
      <c r="FX1793" s="38"/>
      <c r="FY1793" s="38"/>
      <c r="FZ1793" s="38"/>
      <c r="GA1793" s="38"/>
      <c r="GB1793" s="38"/>
      <c r="GC1793" s="38"/>
      <c r="GD1793" s="38"/>
      <c r="GE1793" s="38"/>
      <c r="GF1793" s="38"/>
      <c r="GG1793" s="38"/>
      <c r="GH1793" s="38"/>
      <c r="GI1793" s="38"/>
      <c r="GJ1793" s="38"/>
      <c r="GK1793" s="38"/>
      <c r="GL1793" s="38"/>
      <c r="GM1793" s="38"/>
      <c r="GN1793" s="38"/>
      <c r="GO1793" s="38"/>
      <c r="GP1793" s="38"/>
      <c r="GQ1793" s="38"/>
      <c r="GR1793" s="38"/>
      <c r="GS1793" s="38"/>
      <c r="GT1793" s="38"/>
      <c r="GU1793" s="38"/>
      <c r="GV1793" s="38"/>
      <c r="GW1793" s="38"/>
      <c r="GX1793" s="38"/>
      <c r="GY1793" s="38"/>
      <c r="GZ1793" s="38"/>
      <c r="HA1793" s="38"/>
      <c r="HB1793" s="38"/>
      <c r="HC1793" s="38"/>
      <c r="HD1793" s="38"/>
      <c r="HE1793" s="38"/>
      <c r="HF1793" s="38"/>
      <c r="HG1793" s="38"/>
      <c r="HH1793" s="38"/>
      <c r="HI1793" s="38"/>
      <c r="HJ1793" s="38"/>
      <c r="HK1793" s="38"/>
      <c r="HL1793" s="38"/>
      <c r="HM1793" s="38"/>
      <c r="HN1793" s="38"/>
      <c r="HO1793" s="38"/>
      <c r="HP1793" s="38"/>
      <c r="HQ1793" s="38"/>
      <c r="HR1793" s="38"/>
      <c r="HS1793" s="38"/>
      <c r="HT1793" s="38"/>
      <c r="HU1793" s="38"/>
      <c r="HV1793" s="38"/>
      <c r="HW1793" s="38"/>
      <c r="HX1793" s="38"/>
      <c r="HY1793" s="38"/>
      <c r="HZ1793" s="38"/>
      <c r="IA1793" s="38"/>
      <c r="IB1793" s="38"/>
      <c r="IC1793" s="38"/>
      <c r="ID1793" s="38"/>
      <c r="IE1793" s="38"/>
      <c r="IF1793" s="38"/>
      <c r="IG1793" s="38"/>
      <c r="IH1793" s="38"/>
      <c r="II1793" s="38"/>
      <c r="IJ1793" s="38"/>
      <c r="IK1793" s="38"/>
      <c r="IL1793" s="38"/>
      <c r="IM1793" s="38"/>
      <c r="IN1793" s="38"/>
      <c r="IO1793" s="38"/>
      <c r="IP1793" s="38"/>
      <c r="IQ1793" s="38"/>
      <c r="IR1793" s="38"/>
      <c r="IS1793" s="38"/>
      <c r="IT1793" s="38"/>
      <c r="IU1793" s="38"/>
      <c r="IV1793" s="38"/>
      <c r="IW1793" s="38"/>
      <c r="IX1793" s="38"/>
      <c r="IY1793" s="38"/>
      <c r="IZ1793" s="38"/>
      <c r="JA1793" s="38"/>
      <c r="JB1793" s="38"/>
      <c r="JC1793" s="38"/>
      <c r="JD1793" s="38"/>
      <c r="JE1793" s="38"/>
      <c r="JF1793" s="38"/>
      <c r="JG1793" s="38"/>
      <c r="JH1793" s="38"/>
      <c r="JI1793" s="38"/>
      <c r="JJ1793" s="38"/>
      <c r="JK1793" s="38"/>
      <c r="JL1793" s="38"/>
      <c r="JM1793" s="38"/>
      <c r="JN1793" s="38"/>
      <c r="JO1793" s="38"/>
      <c r="JP1793" s="38"/>
      <c r="JQ1793" s="38"/>
      <c r="JR1793" s="38"/>
      <c r="JS1793" s="38"/>
      <c r="JT1793" s="38"/>
      <c r="JU1793" s="38"/>
      <c r="JV1793" s="38"/>
      <c r="JW1793" s="38"/>
      <c r="JX1793" s="38"/>
      <c r="JY1793" s="38"/>
      <c r="JZ1793" s="38"/>
      <c r="KA1793" s="38"/>
      <c r="KB1793" s="38"/>
      <c r="KC1793" s="38"/>
      <c r="KD1793" s="38"/>
      <c r="KE1793" s="38"/>
      <c r="KF1793" s="38"/>
      <c r="KG1793" s="38"/>
      <c r="KH1793" s="38"/>
      <c r="KI1793" s="38"/>
      <c r="KJ1793" s="38"/>
      <c r="KK1793" s="38"/>
      <c r="KL1793" s="38"/>
      <c r="KM1793" s="38"/>
      <c r="KN1793" s="38"/>
      <c r="KO1793" s="38"/>
      <c r="KP1793" s="38"/>
      <c r="KQ1793" s="38"/>
      <c r="KR1793" s="38"/>
      <c r="KS1793" s="38"/>
      <c r="KT1793" s="38"/>
      <c r="KU1793" s="38"/>
      <c r="KV1793" s="38"/>
      <c r="KW1793" s="38"/>
      <c r="KX1793" s="38"/>
      <c r="KY1793" s="38"/>
      <c r="KZ1793" s="38"/>
      <c r="LA1793" s="38"/>
      <c r="LB1793" s="38"/>
      <c r="LC1793" s="38"/>
      <c r="LD1793" s="38"/>
      <c r="LE1793" s="38"/>
      <c r="LF1793" s="38"/>
      <c r="LG1793" s="38"/>
      <c r="LH1793" s="38"/>
      <c r="LI1793" s="38"/>
      <c r="LJ1793" s="38"/>
      <c r="LK1793" s="38"/>
      <c r="LL1793" s="38"/>
      <c r="LM1793" s="38"/>
      <c r="LN1793" s="38"/>
      <c r="LO1793" s="38"/>
      <c r="LP1793" s="38"/>
      <c r="LQ1793" s="38"/>
      <c r="LR1793" s="38"/>
      <c r="LS1793" s="38"/>
      <c r="LT1793" s="38"/>
      <c r="LU1793" s="38"/>
      <c r="LV1793" s="38"/>
      <c r="LW1793" s="38"/>
      <c r="LX1793" s="38"/>
      <c r="LY1793" s="38"/>
      <c r="LZ1793" s="38"/>
      <c r="MA1793" s="38"/>
      <c r="MB1793" s="38"/>
      <c r="MC1793" s="38"/>
      <c r="MD1793" s="38"/>
      <c r="ME1793" s="38"/>
      <c r="MF1793" s="38"/>
      <c r="MG1793" s="38"/>
      <c r="MH1793" s="38"/>
      <c r="MI1793" s="38"/>
      <c r="MJ1793" s="38"/>
      <c r="MK1793" s="38"/>
      <c r="ML1793" s="38"/>
      <c r="MM1793" s="38"/>
      <c r="MN1793" s="38"/>
      <c r="MO1793" s="38"/>
      <c r="MP1793" s="38"/>
      <c r="MQ1793" s="38"/>
      <c r="MR1793" s="38"/>
      <c r="MS1793" s="38"/>
      <c r="MT1793" s="38"/>
      <c r="MU1793" s="38"/>
      <c r="MV1793" s="38"/>
      <c r="MW1793" s="38"/>
      <c r="MX1793" s="38"/>
      <c r="MY1793" s="38"/>
      <c r="MZ1793" s="38"/>
      <c r="NA1793" s="38"/>
      <c r="NB1793" s="38"/>
      <c r="NC1793" s="38"/>
      <c r="ND1793" s="38"/>
      <c r="NE1793" s="38"/>
      <c r="NF1793" s="38"/>
      <c r="NG1793" s="38"/>
      <c r="NH1793" s="38"/>
      <c r="NI1793" s="38"/>
      <c r="NJ1793" s="38"/>
      <c r="NK1793" s="38"/>
      <c r="NL1793" s="38"/>
      <c r="NM1793" s="38"/>
      <c r="NN1793" s="38"/>
      <c r="NO1793" s="38"/>
      <c r="NP1793" s="38"/>
      <c r="NQ1793" s="38"/>
      <c r="NR1793" s="38"/>
      <c r="NS1793" s="38"/>
      <c r="NT1793" s="38"/>
      <c r="NU1793" s="38"/>
      <c r="NV1793" s="38"/>
      <c r="NW1793" s="38"/>
      <c r="NX1793" s="38"/>
      <c r="NY1793" s="38"/>
      <c r="NZ1793" s="38"/>
      <c r="OA1793" s="38"/>
      <c r="OB1793" s="38"/>
      <c r="OC1793" s="38"/>
      <c r="OD1793" s="38"/>
      <c r="OE1793" s="38"/>
      <c r="OF1793" s="38"/>
      <c r="OG1793" s="38"/>
      <c r="OH1793" s="38"/>
      <c r="OI1793" s="38"/>
      <c r="OJ1793" s="38"/>
      <c r="OK1793" s="38"/>
      <c r="OL1793" s="38"/>
      <c r="OM1793" s="38"/>
      <c r="ON1793" s="38"/>
      <c r="OO1793" s="38"/>
      <c r="OP1793" s="38"/>
      <c r="OQ1793" s="38"/>
      <c r="OR1793" s="38"/>
      <c r="OS1793" s="38"/>
      <c r="OT1793" s="38"/>
      <c r="OU1793" s="38"/>
      <c r="OV1793" s="38"/>
      <c r="OW1793" s="38"/>
      <c r="OX1793" s="38"/>
      <c r="OY1793" s="38"/>
      <c r="OZ1793" s="38"/>
      <c r="PA1793" s="38"/>
      <c r="PB1793" s="38"/>
      <c r="PC1793" s="38"/>
      <c r="PD1793" s="38"/>
      <c r="PE1793" s="38"/>
      <c r="PF1793" s="38"/>
      <c r="PG1793" s="38"/>
      <c r="PH1793" s="38"/>
      <c r="PI1793" s="38"/>
      <c r="PJ1793" s="38"/>
      <c r="PK1793" s="38"/>
      <c r="PL1793" s="38"/>
      <c r="PM1793" s="38"/>
      <c r="PN1793" s="38"/>
      <c r="PO1793" s="38"/>
      <c r="PP1793" s="38"/>
      <c r="PQ1793" s="38"/>
      <c r="PR1793" s="38"/>
      <c r="PS1793" s="38"/>
      <c r="PT1793" s="38"/>
      <c r="PU1793" s="38"/>
      <c r="PV1793" s="38"/>
      <c r="PW1793" s="38"/>
      <c r="PX1793" s="38"/>
      <c r="PY1793" s="38"/>
      <c r="PZ1793" s="38"/>
      <c r="QA1793" s="38"/>
      <c r="QB1793" s="38"/>
      <c r="QC1793" s="38"/>
      <c r="QD1793" s="38"/>
      <c r="QE1793" s="38"/>
      <c r="QF1793" s="38"/>
      <c r="QG1793" s="38"/>
      <c r="QH1793" s="38"/>
      <c r="QI1793" s="38"/>
      <c r="QJ1793" s="38"/>
      <c r="QK1793" s="38"/>
      <c r="QL1793" s="38"/>
      <c r="QM1793" s="38"/>
      <c r="QN1793" s="38"/>
      <c r="QO1793" s="38"/>
      <c r="QP1793" s="38"/>
      <c r="QQ1793" s="38"/>
      <c r="QR1793" s="38"/>
      <c r="QS1793" s="38"/>
      <c r="QT1793" s="38"/>
      <c r="QU1793" s="38"/>
      <c r="QV1793" s="38"/>
      <c r="QW1793" s="38"/>
      <c r="QX1793" s="38"/>
      <c r="QY1793" s="38"/>
      <c r="QZ1793" s="38"/>
      <c r="RA1793" s="38"/>
      <c r="RB1793" s="38"/>
      <c r="RC1793" s="38"/>
      <c r="RD1793" s="38"/>
      <c r="RE1793" s="38"/>
      <c r="RF1793" s="38"/>
      <c r="RG1793" s="38"/>
      <c r="RH1793" s="38"/>
      <c r="RI1793" s="38"/>
      <c r="RJ1793" s="38"/>
      <c r="RK1793" s="38"/>
      <c r="RL1793" s="38"/>
      <c r="RM1793" s="38"/>
      <c r="RN1793" s="38"/>
      <c r="RO1793" s="38"/>
      <c r="RP1793" s="38"/>
      <c r="RQ1793" s="38"/>
      <c r="RR1793" s="38"/>
      <c r="RS1793" s="38"/>
      <c r="RT1793" s="38"/>
      <c r="RU1793" s="38"/>
      <c r="RV1793" s="38"/>
      <c r="RW1793" s="38"/>
      <c r="RX1793" s="38"/>
      <c r="RY1793" s="38"/>
      <c r="RZ1793" s="38"/>
      <c r="SA1793" s="38"/>
      <c r="SB1793" s="38"/>
      <c r="SC1793" s="38"/>
      <c r="SD1793" s="38"/>
      <c r="SE1793" s="38"/>
      <c r="SF1793" s="38"/>
      <c r="SG1793" s="38"/>
      <c r="SH1793" s="38"/>
      <c r="SI1793" s="38"/>
      <c r="SJ1793" s="38"/>
      <c r="SK1793" s="38"/>
      <c r="SL1793" s="38"/>
      <c r="SM1793" s="38"/>
      <c r="SN1793" s="38"/>
      <c r="SO1793" s="38"/>
      <c r="SP1793" s="38"/>
      <c r="SQ1793" s="38"/>
      <c r="SR1793" s="38"/>
      <c r="SS1793" s="38"/>
      <c r="ST1793" s="38"/>
      <c r="SU1793" s="38"/>
      <c r="SV1793" s="38"/>
      <c r="SW1793" s="38"/>
      <c r="SX1793" s="38"/>
      <c r="SY1793" s="38"/>
      <c r="SZ1793" s="38"/>
      <c r="TA1793" s="38"/>
      <c r="TB1793" s="38"/>
      <c r="TC1793" s="38"/>
      <c r="TD1793" s="38"/>
      <c r="TE1793" s="38"/>
      <c r="TF1793" s="38"/>
      <c r="TG1793" s="38"/>
      <c r="TH1793" s="38"/>
      <c r="TI1793" s="38"/>
      <c r="TJ1793" s="38"/>
      <c r="TK1793" s="38"/>
      <c r="TL1793" s="38"/>
      <c r="TM1793" s="38"/>
      <c r="TN1793" s="38"/>
      <c r="TO1793" s="38"/>
      <c r="TP1793" s="38"/>
      <c r="TQ1793" s="38"/>
      <c r="TR1793" s="38"/>
      <c r="TS1793" s="38"/>
      <c r="TT1793" s="38"/>
      <c r="TU1793" s="38"/>
      <c r="TV1793" s="38"/>
      <c r="TW1793" s="38"/>
      <c r="TX1793" s="38"/>
      <c r="TY1793" s="38"/>
      <c r="TZ1793" s="38"/>
      <c r="UA1793" s="38"/>
      <c r="UB1793" s="38"/>
      <c r="UC1793" s="38"/>
      <c r="UD1793" s="38"/>
      <c r="UE1793" s="38"/>
      <c r="UF1793" s="38"/>
      <c r="UG1793" s="38"/>
      <c r="UH1793" s="38"/>
      <c r="UI1793" s="38"/>
      <c r="UJ1793" s="38"/>
      <c r="UK1793" s="38"/>
      <c r="UL1793" s="38"/>
      <c r="UM1793" s="38"/>
      <c r="UN1793" s="38"/>
      <c r="UO1793" s="38"/>
      <c r="UP1793" s="38"/>
      <c r="UQ1793" s="38"/>
      <c r="UR1793" s="38"/>
      <c r="US1793" s="38"/>
      <c r="UT1793" s="38"/>
      <c r="UU1793" s="38"/>
      <c r="UV1793" s="38"/>
      <c r="UW1793" s="38"/>
      <c r="UX1793" s="38"/>
      <c r="UY1793" s="38"/>
      <c r="UZ1793" s="38"/>
      <c r="VA1793" s="38"/>
      <c r="VB1793" s="38"/>
      <c r="VC1793" s="38"/>
      <c r="VD1793" s="38"/>
      <c r="VE1793" s="38"/>
      <c r="VF1793" s="38"/>
      <c r="VG1793" s="38"/>
      <c r="VH1793" s="38"/>
      <c r="VI1793" s="38"/>
      <c r="VJ1793" s="38"/>
      <c r="VK1793" s="38"/>
      <c r="VL1793" s="38"/>
      <c r="VM1793" s="38"/>
      <c r="VN1793" s="38"/>
      <c r="VO1793" s="38"/>
      <c r="VP1793" s="38"/>
      <c r="VQ1793" s="38"/>
      <c r="VR1793" s="38"/>
      <c r="VS1793" s="38"/>
      <c r="VT1793" s="38"/>
      <c r="VU1793" s="38"/>
      <c r="VV1793" s="38"/>
      <c r="VW1793" s="38"/>
      <c r="VX1793" s="38"/>
      <c r="VY1793" s="38"/>
      <c r="VZ1793" s="38"/>
      <c r="WA1793" s="38"/>
      <c r="WB1793" s="38"/>
      <c r="WC1793" s="38"/>
      <c r="WD1793" s="38"/>
      <c r="WE1793" s="38"/>
      <c r="WF1793" s="38"/>
      <c r="WG1793" s="38"/>
      <c r="WH1793" s="38"/>
      <c r="WI1793" s="38"/>
      <c r="WJ1793" s="38"/>
      <c r="WK1793" s="38"/>
      <c r="WL1793" s="38"/>
      <c r="WM1793" s="38"/>
      <c r="WN1793" s="38"/>
      <c r="WO1793" s="38"/>
      <c r="WP1793" s="38"/>
      <c r="WQ1793" s="38"/>
      <c r="WR1793" s="38"/>
      <c r="WS1793" s="38"/>
      <c r="WT1793" s="38"/>
      <c r="WU1793" s="38"/>
      <c r="WV1793" s="38"/>
      <c r="WW1793" s="38"/>
      <c r="WX1793" s="38"/>
      <c r="WY1793" s="38"/>
      <c r="WZ1793" s="38"/>
      <c r="XA1793" s="38"/>
      <c r="XB1793" s="38"/>
      <c r="XC1793" s="38"/>
      <c r="XD1793" s="38"/>
      <c r="XE1793" s="38"/>
      <c r="XF1793" s="38"/>
      <c r="XG1793" s="38"/>
      <c r="XH1793" s="38"/>
      <c r="XI1793" s="38"/>
      <c r="XJ1793" s="38"/>
      <c r="XK1793" s="38"/>
      <c r="XL1793" s="38"/>
      <c r="XM1793" s="38"/>
      <c r="XN1793" s="38"/>
      <c r="XO1793" s="38"/>
      <c r="XP1793" s="38"/>
      <c r="XQ1793" s="38"/>
      <c r="XR1793" s="38"/>
      <c r="XS1793" s="38"/>
      <c r="XT1793" s="38"/>
      <c r="XU1793" s="38"/>
      <c r="XV1793" s="38"/>
      <c r="XW1793" s="38"/>
      <c r="XX1793" s="38"/>
      <c r="XY1793" s="38"/>
      <c r="XZ1793" s="38"/>
      <c r="YA1793" s="38"/>
      <c r="YB1793" s="38"/>
      <c r="YC1793" s="38"/>
      <c r="YD1793" s="38"/>
      <c r="YE1793" s="38"/>
      <c r="YF1793" s="38"/>
      <c r="YG1793" s="38"/>
      <c r="YH1793" s="38"/>
      <c r="YI1793" s="38"/>
      <c r="YJ1793" s="38"/>
      <c r="YK1793" s="38"/>
      <c r="YL1793" s="38"/>
      <c r="YM1793" s="38"/>
      <c r="YN1793" s="38"/>
      <c r="YO1793" s="38"/>
      <c r="YP1793" s="38"/>
      <c r="YQ1793" s="38"/>
      <c r="YR1793" s="38"/>
      <c r="YS1793" s="38"/>
      <c r="YT1793" s="38"/>
      <c r="YU1793" s="38"/>
      <c r="YV1793" s="38"/>
      <c r="YW1793" s="38"/>
      <c r="YX1793" s="38"/>
      <c r="YY1793" s="38"/>
      <c r="YZ1793" s="38"/>
      <c r="ZA1793" s="38"/>
      <c r="ZB1793" s="38"/>
      <c r="ZC1793" s="38"/>
      <c r="ZD1793" s="38"/>
      <c r="ZE1793" s="38"/>
      <c r="ZF1793" s="38"/>
      <c r="ZG1793" s="38"/>
      <c r="ZH1793" s="38"/>
      <c r="ZI1793" s="38"/>
      <c r="ZJ1793" s="38"/>
      <c r="ZK1793" s="38"/>
      <c r="ZL1793" s="38"/>
      <c r="ZM1793" s="38"/>
      <c r="ZN1793" s="38"/>
      <c r="ZO1793" s="38"/>
      <c r="ZP1793" s="38"/>
      <c r="ZQ1793" s="38"/>
      <c r="ZR1793" s="38"/>
      <c r="ZS1793" s="38"/>
      <c r="ZT1793" s="38"/>
      <c r="ZU1793" s="38"/>
      <c r="ZV1793" s="38"/>
      <c r="ZW1793" s="38"/>
      <c r="ZX1793" s="38"/>
      <c r="ZY1793" s="38"/>
      <c r="ZZ1793" s="38"/>
      <c r="AAA1793" s="38"/>
      <c r="AAB1793" s="38"/>
      <c r="AAC1793" s="38"/>
      <c r="AAD1793" s="38"/>
      <c r="AAE1793" s="38"/>
      <c r="AAF1793" s="38"/>
      <c r="AAG1793" s="38"/>
      <c r="AAH1793" s="38"/>
      <c r="AAI1793" s="38"/>
      <c r="AAJ1793" s="38"/>
      <c r="AAK1793" s="38"/>
      <c r="AAL1793" s="38"/>
      <c r="AAM1793" s="38"/>
      <c r="AAN1793" s="38"/>
      <c r="AAO1793" s="38"/>
      <c r="AAP1793" s="38"/>
      <c r="AAQ1793" s="38"/>
      <c r="AAR1793" s="38"/>
      <c r="AAS1793" s="38"/>
      <c r="AAT1793" s="38"/>
      <c r="AAU1793" s="38"/>
      <c r="AAV1793" s="38"/>
      <c r="AAW1793" s="38"/>
      <c r="AAX1793" s="38"/>
      <c r="AAY1793" s="38"/>
      <c r="AAZ1793" s="38"/>
      <c r="ABA1793" s="38"/>
      <c r="ABB1793" s="38"/>
      <c r="ABC1793" s="38"/>
      <c r="ABD1793" s="38"/>
      <c r="ABE1793" s="38"/>
      <c r="ABF1793" s="38"/>
      <c r="ABG1793" s="38"/>
      <c r="ABH1793" s="38"/>
      <c r="ABI1793" s="38"/>
      <c r="ABJ1793" s="38"/>
      <c r="ABK1793" s="38"/>
      <c r="ABL1793" s="38"/>
      <c r="ABM1793" s="38"/>
      <c r="ABN1793" s="38"/>
      <c r="ABO1793" s="38"/>
      <c r="ABP1793" s="38"/>
      <c r="ABQ1793" s="38"/>
      <c r="ABR1793" s="38"/>
      <c r="ABS1793" s="38"/>
      <c r="ABT1793" s="38"/>
      <c r="ABU1793" s="38"/>
      <c r="ABV1793" s="38"/>
      <c r="ABW1793" s="38"/>
      <c r="ABX1793" s="38"/>
      <c r="ABY1793" s="38"/>
      <c r="ABZ1793" s="38"/>
      <c r="ACA1793" s="38"/>
      <c r="ACB1793" s="38"/>
      <c r="ACC1793" s="38"/>
      <c r="ACD1793" s="38"/>
      <c r="ACE1793" s="38"/>
      <c r="ACF1793" s="38"/>
      <c r="ACG1793" s="38"/>
      <c r="ACH1793" s="38"/>
      <c r="ACI1793" s="38"/>
      <c r="ACJ1793" s="38"/>
      <c r="ACK1793" s="38"/>
      <c r="ACL1793" s="38"/>
      <c r="ACM1793" s="38"/>
      <c r="ACN1793" s="38"/>
      <c r="ACO1793" s="38"/>
      <c r="ACP1793" s="38"/>
      <c r="ACQ1793" s="38"/>
      <c r="ACR1793" s="38"/>
      <c r="ACS1793" s="38"/>
      <c r="ACT1793" s="38"/>
      <c r="ACU1793" s="38"/>
      <c r="ACV1793" s="38"/>
      <c r="ACW1793" s="38"/>
      <c r="ACX1793" s="38"/>
      <c r="ACY1793" s="38"/>
      <c r="ACZ1793" s="38"/>
      <c r="ADA1793" s="38"/>
      <c r="ADB1793" s="38"/>
      <c r="ADC1793" s="38"/>
      <c r="ADD1793" s="38"/>
      <c r="ADE1793" s="38"/>
      <c r="ADF1793" s="38"/>
      <c r="ADG1793" s="38"/>
      <c r="ADH1793" s="38"/>
      <c r="ADI1793" s="38"/>
      <c r="ADJ1793" s="38"/>
      <c r="ADK1793" s="38"/>
      <c r="ADL1793" s="38"/>
      <c r="ADM1793" s="38"/>
      <c r="ADN1793" s="38"/>
      <c r="ADO1793" s="38"/>
      <c r="ADP1793" s="38"/>
      <c r="ADQ1793" s="38"/>
      <c r="ADR1793" s="38"/>
      <c r="ADS1793" s="38"/>
      <c r="ADT1793" s="38"/>
      <c r="ADU1793" s="38"/>
      <c r="ADV1793" s="38"/>
      <c r="ADW1793" s="38"/>
      <c r="ADX1793" s="38"/>
      <c r="ADY1793" s="38"/>
      <c r="ADZ1793" s="38"/>
      <c r="AEA1793" s="38"/>
      <c r="AEB1793" s="38"/>
      <c r="AEC1793" s="38"/>
      <c r="AED1793" s="38"/>
      <c r="AEE1793" s="38"/>
      <c r="AEF1793" s="38"/>
      <c r="AEG1793" s="38"/>
      <c r="AEH1793" s="38"/>
      <c r="AEI1793" s="38"/>
      <c r="AEJ1793" s="38"/>
      <c r="AEK1793" s="38"/>
      <c r="AEL1793" s="38"/>
      <c r="AEM1793" s="38"/>
      <c r="AEN1793" s="38"/>
      <c r="AEO1793" s="38"/>
      <c r="AEP1793" s="38"/>
      <c r="AEQ1793" s="38"/>
      <c r="AER1793" s="38"/>
      <c r="AES1793" s="38"/>
      <c r="AET1793" s="38"/>
      <c r="AEU1793" s="38"/>
      <c r="AEV1793" s="38"/>
      <c r="AEW1793" s="38"/>
      <c r="AEX1793" s="38"/>
      <c r="AEY1793" s="38"/>
      <c r="AEZ1793" s="38"/>
      <c r="AFA1793" s="38"/>
      <c r="AFB1793" s="38"/>
      <c r="AFC1793" s="38"/>
      <c r="AFD1793" s="38"/>
      <c r="AFE1793" s="38"/>
      <c r="AFF1793" s="38"/>
      <c r="AFG1793" s="38"/>
      <c r="AFH1793" s="38"/>
      <c r="AFI1793" s="38"/>
      <c r="AFJ1793" s="38"/>
      <c r="AFK1793" s="38"/>
      <c r="AFL1793" s="38"/>
      <c r="AFM1793" s="38"/>
      <c r="AFN1793" s="38"/>
      <c r="AFO1793" s="38"/>
      <c r="AFP1793" s="38"/>
      <c r="AFQ1793" s="38"/>
      <c r="AFR1793" s="38"/>
      <c r="AFS1793" s="38"/>
      <c r="AFT1793" s="38"/>
      <c r="AFU1793" s="38"/>
      <c r="AFV1793" s="38"/>
      <c r="AFW1793" s="38"/>
      <c r="AFX1793" s="38"/>
      <c r="AFY1793" s="38"/>
      <c r="AFZ1793" s="38"/>
      <c r="AGA1793" s="38"/>
      <c r="AGB1793" s="38"/>
      <c r="AGC1793" s="38"/>
      <c r="AGD1793" s="38"/>
      <c r="AGE1793" s="38"/>
      <c r="AGF1793" s="38"/>
      <c r="AGG1793" s="38"/>
      <c r="AGH1793" s="38"/>
      <c r="AGI1793" s="38"/>
      <c r="AGJ1793" s="38"/>
      <c r="AGK1793" s="38"/>
      <c r="AGL1793" s="38"/>
      <c r="AGM1793" s="38"/>
      <c r="AGN1793" s="38"/>
      <c r="AGO1793" s="38"/>
      <c r="AGP1793" s="38"/>
      <c r="AGQ1793" s="38"/>
      <c r="AGR1793" s="38"/>
      <c r="AGS1793" s="38"/>
      <c r="AGT1793" s="38"/>
      <c r="AGU1793" s="38"/>
      <c r="AGV1793" s="38"/>
      <c r="AGW1793" s="38"/>
      <c r="AGX1793" s="38"/>
      <c r="AGY1793" s="38"/>
      <c r="AGZ1793" s="38"/>
      <c r="AHA1793" s="38"/>
      <c r="AHB1793" s="38"/>
      <c r="AHC1793" s="38"/>
      <c r="AHD1793" s="38"/>
      <c r="AHE1793" s="38"/>
      <c r="AHF1793" s="38"/>
      <c r="AHG1793" s="38"/>
      <c r="AHH1793" s="38"/>
      <c r="AHI1793" s="38"/>
      <c r="AHJ1793" s="38"/>
      <c r="AHK1793" s="38"/>
      <c r="AHL1793" s="38"/>
      <c r="AHM1793" s="38"/>
      <c r="AHN1793" s="38"/>
      <c r="AHO1793" s="38"/>
      <c r="AHP1793" s="38"/>
      <c r="AHQ1793" s="38"/>
      <c r="AHR1793" s="38"/>
      <c r="AHS1793" s="38"/>
      <c r="AHT1793" s="38"/>
      <c r="AHU1793" s="38"/>
      <c r="AHV1793" s="38"/>
      <c r="AHW1793" s="38"/>
      <c r="AHX1793" s="38"/>
      <c r="AHY1793" s="38"/>
      <c r="AHZ1793" s="38"/>
      <c r="AIA1793" s="38"/>
      <c r="AIB1793" s="38"/>
      <c r="AIC1793" s="38"/>
      <c r="AID1793" s="38"/>
      <c r="AIE1793" s="38"/>
      <c r="AIF1793" s="38"/>
      <c r="AIG1793" s="38"/>
      <c r="AIH1793" s="38"/>
      <c r="AII1793" s="38"/>
      <c r="AIJ1793" s="38"/>
      <c r="AIK1793" s="38"/>
      <c r="AIL1793" s="38"/>
      <c r="AIM1793" s="38"/>
      <c r="AIN1793" s="38"/>
      <c r="AIO1793" s="38"/>
      <c r="AIP1793" s="38"/>
      <c r="AIQ1793" s="38"/>
      <c r="AIR1793" s="38"/>
      <c r="AIS1793" s="38"/>
      <c r="AIT1793" s="38"/>
      <c r="AIU1793" s="38"/>
      <c r="AIV1793" s="38"/>
      <c r="AIW1793" s="38"/>
      <c r="AIX1793" s="38"/>
      <c r="AIY1793" s="38"/>
      <c r="AIZ1793" s="38"/>
      <c r="AJA1793" s="38"/>
      <c r="AJB1793" s="38"/>
      <c r="AJC1793" s="38"/>
      <c r="AJD1793" s="38"/>
      <c r="AJE1793" s="38"/>
      <c r="AJF1793" s="38"/>
      <c r="AJG1793" s="38"/>
      <c r="AJH1793" s="38"/>
      <c r="AJI1793" s="38"/>
      <c r="AJJ1793" s="38"/>
      <c r="AJK1793" s="38"/>
      <c r="AJL1793" s="38"/>
      <c r="AJM1793" s="38"/>
      <c r="AJN1793" s="38"/>
      <c r="AJO1793" s="38"/>
      <c r="AJP1793" s="38"/>
      <c r="AJQ1793" s="38"/>
      <c r="AJR1793" s="38"/>
      <c r="AJS1793" s="38"/>
      <c r="AJT1793" s="38"/>
      <c r="AJU1793" s="38"/>
      <c r="AJV1793" s="38"/>
      <c r="AJW1793" s="38"/>
      <c r="AJX1793" s="38"/>
      <c r="AJY1793" s="38"/>
      <c r="AJZ1793" s="38"/>
      <c r="AKA1793" s="38"/>
      <c r="AKB1793" s="38"/>
      <c r="AKC1793" s="38"/>
      <c r="AKD1793" s="38"/>
      <c r="AKE1793" s="38"/>
      <c r="AKF1793" s="38"/>
      <c r="AKG1793" s="38"/>
      <c r="AKH1793" s="38"/>
      <c r="AKI1793" s="38"/>
      <c r="AKJ1793" s="38"/>
      <c r="AKK1793" s="38"/>
      <c r="AKL1793" s="38"/>
      <c r="AKM1793" s="38"/>
      <c r="AKN1793" s="38"/>
      <c r="AKO1793" s="38"/>
      <c r="AKP1793" s="38"/>
      <c r="AKQ1793" s="38"/>
      <c r="AKR1793" s="38"/>
      <c r="AKS1793" s="38"/>
      <c r="AKT1793" s="38"/>
      <c r="AKU1793" s="38"/>
      <c r="AKV1793" s="38"/>
      <c r="AKW1793" s="38"/>
      <c r="AKX1793" s="38"/>
      <c r="AKY1793" s="38"/>
      <c r="AKZ1793" s="38"/>
      <c r="ALA1793" s="38"/>
      <c r="ALB1793" s="38"/>
      <c r="ALC1793" s="38"/>
      <c r="ALD1793" s="38"/>
      <c r="ALE1793" s="38"/>
      <c r="ALF1793" s="38"/>
      <c r="ALG1793" s="38"/>
      <c r="ALH1793" s="38"/>
      <c r="ALI1793" s="38"/>
      <c r="ALJ1793" s="38"/>
      <c r="ALK1793" s="38"/>
      <c r="ALL1793" s="38"/>
      <c r="ALM1793" s="38"/>
      <c r="ALN1793" s="38"/>
      <c r="ALO1793" s="38"/>
      <c r="ALP1793" s="38"/>
      <c r="ALQ1793" s="38"/>
      <c r="ALR1793" s="38"/>
      <c r="ALS1793" s="38"/>
      <c r="ALT1793" s="38"/>
      <c r="ALU1793" s="38"/>
      <c r="ALV1793" s="38"/>
      <c r="ALW1793" s="38"/>
      <c r="ALX1793" s="38"/>
      <c r="ALY1793" s="38"/>
      <c r="ALZ1793" s="38"/>
      <c r="AMA1793" s="38"/>
      <c r="AMB1793" s="38"/>
      <c r="AMC1793" s="38"/>
      <c r="AMD1793" s="38"/>
      <c r="AME1793" s="38"/>
      <c r="AMF1793" s="38"/>
      <c r="AMG1793" s="38"/>
      <c r="AMH1793" s="38"/>
      <c r="AMI1793" s="38"/>
      <c r="AMJ1793" s="38"/>
      <c r="AMK1793" s="38"/>
      <c r="AML1793" s="38"/>
      <c r="AMM1793" s="38"/>
      <c r="AMN1793" s="38"/>
      <c r="AMO1793" s="38"/>
      <c r="AMP1793" s="38"/>
      <c r="AMQ1793" s="38"/>
      <c r="AMR1793" s="38"/>
      <c r="AMS1793" s="38"/>
      <c r="AMT1793" s="38"/>
      <c r="AMU1793" s="38"/>
      <c r="AMV1793" s="38"/>
      <c r="AMW1793" s="38"/>
      <c r="AMX1793" s="38"/>
      <c r="AMY1793" s="38"/>
      <c r="AMZ1793" s="38"/>
      <c r="ANA1793" s="38"/>
      <c r="ANB1793" s="38"/>
      <c r="ANC1793" s="38"/>
      <c r="AND1793" s="38"/>
      <c r="ANE1793" s="38"/>
      <c r="ANF1793" s="38"/>
      <c r="ANG1793" s="38"/>
      <c r="ANH1793" s="38"/>
      <c r="ANI1793" s="38"/>
      <c r="ANJ1793" s="38"/>
      <c r="ANK1793" s="38"/>
      <c r="ANL1793" s="38"/>
      <c r="ANM1793" s="38"/>
      <c r="ANN1793" s="38"/>
      <c r="ANO1793" s="38"/>
      <c r="ANP1793" s="38"/>
      <c r="ANQ1793" s="38"/>
      <c r="ANR1793" s="38"/>
      <c r="ANS1793" s="38"/>
      <c r="ANT1793" s="38"/>
      <c r="ANU1793" s="38"/>
      <c r="ANV1793" s="38"/>
      <c r="ANW1793" s="38"/>
      <c r="ANX1793" s="38"/>
      <c r="ANY1793" s="38"/>
      <c r="ANZ1793" s="38"/>
      <c r="AOA1793" s="38"/>
      <c r="AOB1793" s="38"/>
      <c r="AOC1793" s="38"/>
      <c r="AOD1793" s="38"/>
      <c r="AOE1793" s="38"/>
      <c r="AOF1793" s="38"/>
      <c r="AOG1793" s="38"/>
      <c r="AOH1793" s="38"/>
      <c r="AOI1793" s="38"/>
      <c r="AOJ1793" s="38"/>
      <c r="AOK1793" s="38"/>
      <c r="AOL1793" s="38"/>
      <c r="AOM1793" s="38"/>
      <c r="AON1793" s="38"/>
      <c r="AOO1793" s="38"/>
      <c r="AOP1793" s="38"/>
      <c r="AOQ1793" s="38"/>
      <c r="AOR1793" s="38"/>
      <c r="AOS1793" s="38"/>
      <c r="AOT1793" s="38"/>
      <c r="AOU1793" s="38"/>
      <c r="AOV1793" s="38"/>
      <c r="AOW1793" s="38"/>
      <c r="AOX1793" s="38"/>
      <c r="AOY1793" s="38"/>
      <c r="AOZ1793" s="38"/>
      <c r="APA1793" s="38"/>
      <c r="APB1793" s="38"/>
      <c r="APC1793" s="38"/>
    </row>
    <row r="1794" spans="1:1095" s="36" customFormat="1" ht="14.25" customHeight="1">
      <c r="A1794" s="3" t="s">
        <v>1722</v>
      </c>
      <c r="B1794" s="36" t="s">
        <v>4052</v>
      </c>
      <c r="C1794" s="214">
        <v>4058075822412</v>
      </c>
      <c r="D1794" s="239"/>
      <c r="E1794" s="239"/>
      <c r="F1794" s="222" t="s">
        <v>3136</v>
      </c>
      <c r="G1794" s="66" t="str">
        <f>HYPERLINK("https://ledvance.com/pt/product-datasheet/246834/243339","Ficha de Produto")</f>
        <v>Ficha de Produto</v>
      </c>
      <c r="H1794" s="217">
        <v>10</v>
      </c>
      <c r="I1794" s="34" t="s">
        <v>1042</v>
      </c>
      <c r="J1794" s="34" t="s">
        <v>807</v>
      </c>
      <c r="K1794" s="34" t="s">
        <v>788</v>
      </c>
      <c r="L1794" s="34" t="s">
        <v>793</v>
      </c>
      <c r="M1794" s="247">
        <v>30.700000000000003</v>
      </c>
      <c r="N1794" s="288" t="s">
        <v>722</v>
      </c>
    </row>
    <row r="1795" spans="1:1095" s="36" customFormat="1" ht="14.25" customHeight="1">
      <c r="A1795" s="3" t="s">
        <v>1722</v>
      </c>
      <c r="B1795" s="36" t="s">
        <v>4053</v>
      </c>
      <c r="C1795" s="214">
        <v>4058075822436</v>
      </c>
      <c r="D1795" s="239"/>
      <c r="E1795" s="239"/>
      <c r="F1795" s="222" t="s">
        <v>3136</v>
      </c>
      <c r="G1795" s="66" t="str">
        <f>HYPERLINK("https://ledvance.com/pt/product-datasheet/246834/243342","Ficha de Produto")</f>
        <v>Ficha de Produto</v>
      </c>
      <c r="H1795" s="217">
        <v>10</v>
      </c>
      <c r="I1795" s="34" t="s">
        <v>858</v>
      </c>
      <c r="J1795" s="34" t="s">
        <v>807</v>
      </c>
      <c r="K1795" s="34" t="s">
        <v>788</v>
      </c>
      <c r="L1795" s="34" t="s">
        <v>793</v>
      </c>
      <c r="M1795" s="247">
        <v>30.700000000000003</v>
      </c>
      <c r="N1795" s="288" t="s">
        <v>722</v>
      </c>
    </row>
    <row r="1796" spans="1:1095" s="36" customFormat="1" ht="14.25" customHeight="1">
      <c r="A1796" s="3" t="s">
        <v>1722</v>
      </c>
      <c r="B1796" s="36" t="s">
        <v>4054</v>
      </c>
      <c r="C1796" s="214">
        <v>4058075822450</v>
      </c>
      <c r="D1796" s="239"/>
      <c r="E1796" s="239"/>
      <c r="F1796" s="222" t="s">
        <v>3136</v>
      </c>
      <c r="G1796" s="66" t="str">
        <f>HYPERLINK("https://ledvance.com/pt/product-datasheet/246834/243345","Ficha de Produto")</f>
        <v>Ficha de Produto</v>
      </c>
      <c r="H1796" s="217">
        <v>10</v>
      </c>
      <c r="I1796" s="34" t="s">
        <v>786</v>
      </c>
      <c r="J1796" s="34" t="s">
        <v>798</v>
      </c>
      <c r="K1796" s="34" t="s">
        <v>788</v>
      </c>
      <c r="L1796" s="34" t="s">
        <v>793</v>
      </c>
      <c r="M1796" s="247">
        <v>31.200000000000003</v>
      </c>
      <c r="N1796" s="288" t="s">
        <v>722</v>
      </c>
    </row>
    <row r="1797" spans="1:1095" s="36" customFormat="1" ht="14.25" customHeight="1">
      <c r="A1797" s="3" t="s">
        <v>1722</v>
      </c>
      <c r="B1797" s="36" t="s">
        <v>4055</v>
      </c>
      <c r="C1797" s="214">
        <v>4058075822474</v>
      </c>
      <c r="D1797" s="239"/>
      <c r="E1797" s="239"/>
      <c r="F1797" s="222" t="s">
        <v>3136</v>
      </c>
      <c r="G1797" s="66" t="str">
        <f>HYPERLINK("https://ledvance.com/pt/product-datasheet/246834/243351","Ficha de Produto")</f>
        <v>Ficha de Produto</v>
      </c>
      <c r="H1797" s="217">
        <v>10</v>
      </c>
      <c r="I1797" s="34" t="s">
        <v>762</v>
      </c>
      <c r="J1797" s="34" t="s">
        <v>798</v>
      </c>
      <c r="K1797" s="34" t="s">
        <v>788</v>
      </c>
      <c r="L1797" s="34" t="s">
        <v>793</v>
      </c>
      <c r="M1797" s="247">
        <v>31.200000000000003</v>
      </c>
      <c r="N1797" s="288" t="s">
        <v>722</v>
      </c>
    </row>
    <row r="1798" spans="1:1095" s="36" customFormat="1" ht="14.25" customHeight="1">
      <c r="A1798" s="3" t="s">
        <v>1722</v>
      </c>
      <c r="B1798" s="36" t="s">
        <v>4056</v>
      </c>
      <c r="C1798" s="214">
        <v>4058075822498</v>
      </c>
      <c r="D1798" s="224">
        <v>4058075559295</v>
      </c>
      <c r="E1798" s="245" t="s">
        <v>1676</v>
      </c>
      <c r="F1798" s="246"/>
      <c r="G1798" s="66" t="str">
        <f>HYPERLINK("https://ledvance.com/pt/product-datasheet/246834/243357","Ficha de Produto")</f>
        <v>Ficha de Produto</v>
      </c>
      <c r="H1798" s="217">
        <v>10</v>
      </c>
      <c r="I1798" s="34" t="s">
        <v>780</v>
      </c>
      <c r="J1798" s="34" t="s">
        <v>775</v>
      </c>
      <c r="K1798" s="34" t="s">
        <v>788</v>
      </c>
      <c r="L1798" s="34" t="s">
        <v>793</v>
      </c>
      <c r="M1798" s="247">
        <v>35.6</v>
      </c>
      <c r="N1798" s="288" t="s">
        <v>722</v>
      </c>
    </row>
    <row r="1799" spans="1:1095" s="36" customFormat="1" ht="14.25" customHeight="1">
      <c r="A1799" s="3" t="s">
        <v>1722</v>
      </c>
      <c r="B1799" s="36" t="s">
        <v>4057</v>
      </c>
      <c r="C1799" s="214">
        <v>4058075822511</v>
      </c>
      <c r="D1799" s="224">
        <v>4058075559318</v>
      </c>
      <c r="E1799" s="245" t="s">
        <v>1677</v>
      </c>
      <c r="F1799" s="246"/>
      <c r="G1799" s="66" t="str">
        <f>HYPERLINK("https://ledvance.com/pt/product-datasheet/246834/243363","Ficha de Produto")</f>
        <v>Ficha de Produto</v>
      </c>
      <c r="H1799" s="217">
        <v>10</v>
      </c>
      <c r="I1799" s="34" t="s">
        <v>862</v>
      </c>
      <c r="J1799" s="34" t="s">
        <v>775</v>
      </c>
      <c r="K1799" s="34" t="s">
        <v>788</v>
      </c>
      <c r="L1799" s="34" t="s">
        <v>793</v>
      </c>
      <c r="M1799" s="247">
        <v>35.6</v>
      </c>
      <c r="N1799" s="288" t="s">
        <v>722</v>
      </c>
    </row>
    <row r="1800" spans="1:1095" s="39" customFormat="1" ht="14.25" customHeight="1">
      <c r="A1800" s="8" t="s">
        <v>1722</v>
      </c>
      <c r="B1800" s="244" t="s">
        <v>2080</v>
      </c>
      <c r="C1800" s="8"/>
      <c r="D1800" s="7"/>
      <c r="E1800" s="230"/>
      <c r="F1800" s="7"/>
      <c r="G1800" s="68"/>
      <c r="H1800" s="230"/>
      <c r="I1800" s="230"/>
      <c r="J1800" s="230"/>
      <c r="K1800" s="230"/>
      <c r="L1800" s="230"/>
      <c r="M1800" s="248"/>
      <c r="N1800" s="292"/>
      <c r="O1800" s="38"/>
      <c r="P1800" s="38"/>
      <c r="Q1800" s="38"/>
      <c r="R1800" s="38"/>
      <c r="S1800" s="38"/>
      <c r="T1800" s="38"/>
      <c r="U1800" s="38"/>
      <c r="V1800" s="38"/>
      <c r="W1800" s="38"/>
      <c r="X1800" s="38"/>
      <c r="Y1800" s="38"/>
      <c r="Z1800" s="38"/>
      <c r="AA1800" s="38"/>
      <c r="AB1800" s="38"/>
      <c r="AC1800" s="38"/>
      <c r="AD1800" s="38"/>
      <c r="AE1800" s="38"/>
      <c r="AF1800" s="38"/>
      <c r="AG1800" s="38"/>
      <c r="AH1800" s="38"/>
      <c r="AI1800" s="38"/>
      <c r="AJ1800" s="38"/>
      <c r="AK1800" s="38"/>
      <c r="AL1800" s="38"/>
      <c r="AM1800" s="38"/>
      <c r="AN1800" s="38"/>
      <c r="AO1800" s="38"/>
      <c r="AP1800" s="38"/>
      <c r="AQ1800" s="38"/>
      <c r="AR1800" s="38"/>
      <c r="AS1800" s="38"/>
      <c r="AT1800" s="38"/>
      <c r="AU1800" s="38"/>
      <c r="AV1800" s="38"/>
      <c r="AW1800" s="38"/>
      <c r="AX1800" s="38"/>
      <c r="AY1800" s="38"/>
      <c r="AZ1800" s="38"/>
      <c r="BA1800" s="38"/>
      <c r="BB1800" s="38"/>
      <c r="BC1800" s="38"/>
      <c r="BD1800" s="38"/>
      <c r="BE1800" s="38"/>
      <c r="BF1800" s="38"/>
      <c r="BG1800" s="38"/>
      <c r="BH1800" s="38"/>
      <c r="BI1800" s="38"/>
      <c r="BJ1800" s="38"/>
      <c r="BK1800" s="38"/>
      <c r="BL1800" s="38"/>
      <c r="BM1800" s="38"/>
      <c r="BN1800" s="38"/>
      <c r="BO1800" s="38"/>
      <c r="BP1800" s="38"/>
      <c r="BQ1800" s="38"/>
      <c r="BR1800" s="38"/>
      <c r="BS1800" s="38"/>
      <c r="BT1800" s="38"/>
      <c r="BU1800" s="38"/>
      <c r="BV1800" s="38"/>
      <c r="BW1800" s="38"/>
      <c r="BX1800" s="38"/>
      <c r="BY1800" s="38"/>
      <c r="BZ1800" s="38"/>
      <c r="CA1800" s="38"/>
      <c r="CB1800" s="38"/>
      <c r="CC1800" s="38"/>
      <c r="CD1800" s="38"/>
      <c r="CE1800" s="38"/>
      <c r="CF1800" s="38"/>
      <c r="CG1800" s="38"/>
      <c r="CH1800" s="38"/>
      <c r="CI1800" s="38"/>
      <c r="CJ1800" s="38"/>
      <c r="CK1800" s="38"/>
      <c r="CL1800" s="38"/>
      <c r="CM1800" s="38"/>
      <c r="CN1800" s="38"/>
      <c r="CO1800" s="38"/>
      <c r="CP1800" s="38"/>
      <c r="CQ1800" s="38"/>
      <c r="CR1800" s="38"/>
      <c r="CS1800" s="38"/>
      <c r="CT1800" s="38"/>
      <c r="CU1800" s="38"/>
      <c r="CV1800" s="38"/>
      <c r="CW1800" s="38"/>
      <c r="CX1800" s="38"/>
      <c r="CY1800" s="38"/>
      <c r="CZ1800" s="38"/>
      <c r="DA1800" s="38"/>
      <c r="DB1800" s="38"/>
      <c r="DC1800" s="38"/>
      <c r="DD1800" s="38"/>
      <c r="DE1800" s="38"/>
      <c r="DF1800" s="38"/>
      <c r="DG1800" s="38"/>
      <c r="DH1800" s="38"/>
      <c r="DI1800" s="38"/>
      <c r="DJ1800" s="38"/>
      <c r="DK1800" s="38"/>
      <c r="DL1800" s="38"/>
      <c r="DM1800" s="38"/>
      <c r="DN1800" s="38"/>
      <c r="DO1800" s="38"/>
      <c r="DP1800" s="38"/>
      <c r="DQ1800" s="38"/>
      <c r="DR1800" s="38"/>
      <c r="DS1800" s="38"/>
      <c r="DT1800" s="38"/>
      <c r="DU1800" s="38"/>
      <c r="DV1800" s="38"/>
      <c r="DW1800" s="38"/>
      <c r="DX1800" s="38"/>
      <c r="DY1800" s="38"/>
      <c r="DZ1800" s="38"/>
      <c r="EA1800" s="38"/>
      <c r="EB1800" s="38"/>
      <c r="EC1800" s="38"/>
      <c r="ED1800" s="38"/>
      <c r="EE1800" s="38"/>
      <c r="EF1800" s="38"/>
      <c r="EG1800" s="38"/>
      <c r="EH1800" s="38"/>
      <c r="EI1800" s="38"/>
      <c r="EJ1800" s="38"/>
      <c r="EK1800" s="38"/>
      <c r="EL1800" s="38"/>
      <c r="EM1800" s="38"/>
      <c r="EN1800" s="38"/>
      <c r="EO1800" s="38"/>
      <c r="EP1800" s="38"/>
      <c r="EQ1800" s="38"/>
      <c r="ER1800" s="38"/>
      <c r="ES1800" s="38"/>
      <c r="ET1800" s="38"/>
      <c r="EU1800" s="38"/>
      <c r="EV1800" s="38"/>
      <c r="EW1800" s="38"/>
      <c r="EX1800" s="38"/>
      <c r="EY1800" s="38"/>
      <c r="EZ1800" s="38"/>
      <c r="FA1800" s="38"/>
      <c r="FB1800" s="38"/>
      <c r="FC1800" s="38"/>
      <c r="FD1800" s="38"/>
      <c r="FE1800" s="38"/>
      <c r="FF1800" s="38"/>
      <c r="FG1800" s="38"/>
      <c r="FH1800" s="38"/>
      <c r="FI1800" s="38"/>
      <c r="FJ1800" s="38"/>
      <c r="FK1800" s="38"/>
      <c r="FL1800" s="38"/>
      <c r="FM1800" s="38"/>
      <c r="FN1800" s="38"/>
      <c r="FO1800" s="38"/>
      <c r="FP1800" s="38"/>
      <c r="FQ1800" s="38"/>
      <c r="FR1800" s="38"/>
      <c r="FS1800" s="38"/>
      <c r="FT1800" s="38"/>
      <c r="FU1800" s="38"/>
      <c r="FV1800" s="38"/>
      <c r="FW1800" s="38"/>
      <c r="FX1800" s="38"/>
      <c r="FY1800" s="38"/>
      <c r="FZ1800" s="38"/>
      <c r="GA1800" s="38"/>
      <c r="GB1800" s="38"/>
      <c r="GC1800" s="38"/>
      <c r="GD1800" s="38"/>
      <c r="GE1800" s="38"/>
      <c r="GF1800" s="38"/>
      <c r="GG1800" s="38"/>
      <c r="GH1800" s="38"/>
      <c r="GI1800" s="38"/>
      <c r="GJ1800" s="38"/>
      <c r="GK1800" s="38"/>
      <c r="GL1800" s="38"/>
      <c r="GM1800" s="38"/>
      <c r="GN1800" s="38"/>
      <c r="GO1800" s="38"/>
      <c r="GP1800" s="38"/>
      <c r="GQ1800" s="38"/>
      <c r="GR1800" s="38"/>
      <c r="GS1800" s="38"/>
      <c r="GT1800" s="38"/>
      <c r="GU1800" s="38"/>
      <c r="GV1800" s="38"/>
      <c r="GW1800" s="38"/>
      <c r="GX1800" s="38"/>
      <c r="GY1800" s="38"/>
      <c r="GZ1800" s="38"/>
      <c r="HA1800" s="38"/>
      <c r="HB1800" s="38"/>
      <c r="HC1800" s="38"/>
      <c r="HD1800" s="38"/>
      <c r="HE1800" s="38"/>
      <c r="HF1800" s="38"/>
      <c r="HG1800" s="38"/>
      <c r="HH1800" s="38"/>
      <c r="HI1800" s="38"/>
      <c r="HJ1800" s="38"/>
      <c r="HK1800" s="38"/>
      <c r="HL1800" s="38"/>
      <c r="HM1800" s="38"/>
      <c r="HN1800" s="38"/>
      <c r="HO1800" s="38"/>
      <c r="HP1800" s="38"/>
      <c r="HQ1800" s="38"/>
      <c r="HR1800" s="38"/>
      <c r="HS1800" s="38"/>
      <c r="HT1800" s="38"/>
      <c r="HU1800" s="38"/>
      <c r="HV1800" s="38"/>
      <c r="HW1800" s="38"/>
      <c r="HX1800" s="38"/>
      <c r="HY1800" s="38"/>
      <c r="HZ1800" s="38"/>
      <c r="IA1800" s="38"/>
      <c r="IB1800" s="38"/>
      <c r="IC1800" s="38"/>
      <c r="ID1800" s="38"/>
      <c r="IE1800" s="38"/>
      <c r="IF1800" s="38"/>
      <c r="IG1800" s="38"/>
      <c r="IH1800" s="38"/>
      <c r="II1800" s="38"/>
      <c r="IJ1800" s="38"/>
      <c r="IK1800" s="38"/>
      <c r="IL1800" s="38"/>
      <c r="IM1800" s="38"/>
      <c r="IN1800" s="38"/>
      <c r="IO1800" s="38"/>
      <c r="IP1800" s="38"/>
      <c r="IQ1800" s="38"/>
      <c r="IR1800" s="38"/>
      <c r="IS1800" s="38"/>
      <c r="IT1800" s="38"/>
      <c r="IU1800" s="38"/>
      <c r="IV1800" s="38"/>
      <c r="IW1800" s="38"/>
      <c r="IX1800" s="38"/>
      <c r="IY1800" s="38"/>
      <c r="IZ1800" s="38"/>
      <c r="JA1800" s="38"/>
      <c r="JB1800" s="38"/>
      <c r="JC1800" s="38"/>
      <c r="JD1800" s="38"/>
      <c r="JE1800" s="38"/>
      <c r="JF1800" s="38"/>
      <c r="JG1800" s="38"/>
      <c r="JH1800" s="38"/>
      <c r="JI1800" s="38"/>
      <c r="JJ1800" s="38"/>
      <c r="JK1800" s="38"/>
      <c r="JL1800" s="38"/>
      <c r="JM1800" s="38"/>
      <c r="JN1800" s="38"/>
      <c r="JO1800" s="38"/>
      <c r="JP1800" s="38"/>
      <c r="JQ1800" s="38"/>
      <c r="JR1800" s="38"/>
      <c r="JS1800" s="38"/>
      <c r="JT1800" s="38"/>
      <c r="JU1800" s="38"/>
      <c r="JV1800" s="38"/>
      <c r="JW1800" s="38"/>
      <c r="JX1800" s="38"/>
      <c r="JY1800" s="38"/>
      <c r="JZ1800" s="38"/>
      <c r="KA1800" s="38"/>
      <c r="KB1800" s="38"/>
      <c r="KC1800" s="38"/>
      <c r="KD1800" s="38"/>
      <c r="KE1800" s="38"/>
      <c r="KF1800" s="38"/>
      <c r="KG1800" s="38"/>
      <c r="KH1800" s="38"/>
      <c r="KI1800" s="38"/>
      <c r="KJ1800" s="38"/>
      <c r="KK1800" s="38"/>
      <c r="KL1800" s="38"/>
      <c r="KM1800" s="38"/>
      <c r="KN1800" s="38"/>
      <c r="KO1800" s="38"/>
      <c r="KP1800" s="38"/>
      <c r="KQ1800" s="38"/>
      <c r="KR1800" s="38"/>
      <c r="KS1800" s="38"/>
      <c r="KT1800" s="38"/>
      <c r="KU1800" s="38"/>
      <c r="KV1800" s="38"/>
      <c r="KW1800" s="38"/>
      <c r="KX1800" s="38"/>
      <c r="KY1800" s="38"/>
      <c r="KZ1800" s="38"/>
      <c r="LA1800" s="38"/>
      <c r="LB1800" s="38"/>
      <c r="LC1800" s="38"/>
      <c r="LD1800" s="38"/>
      <c r="LE1800" s="38"/>
      <c r="LF1800" s="38"/>
      <c r="LG1800" s="38"/>
      <c r="LH1800" s="38"/>
      <c r="LI1800" s="38"/>
      <c r="LJ1800" s="38"/>
      <c r="LK1800" s="38"/>
      <c r="LL1800" s="38"/>
      <c r="LM1800" s="38"/>
      <c r="LN1800" s="38"/>
      <c r="LO1800" s="38"/>
      <c r="LP1800" s="38"/>
      <c r="LQ1800" s="38"/>
      <c r="LR1800" s="38"/>
      <c r="LS1800" s="38"/>
      <c r="LT1800" s="38"/>
      <c r="LU1800" s="38"/>
      <c r="LV1800" s="38"/>
      <c r="LW1800" s="38"/>
      <c r="LX1800" s="38"/>
      <c r="LY1800" s="38"/>
      <c r="LZ1800" s="38"/>
      <c r="MA1800" s="38"/>
      <c r="MB1800" s="38"/>
      <c r="MC1800" s="38"/>
      <c r="MD1800" s="38"/>
      <c r="ME1800" s="38"/>
      <c r="MF1800" s="38"/>
      <c r="MG1800" s="38"/>
      <c r="MH1800" s="38"/>
      <c r="MI1800" s="38"/>
      <c r="MJ1800" s="38"/>
      <c r="MK1800" s="38"/>
      <c r="ML1800" s="38"/>
      <c r="MM1800" s="38"/>
      <c r="MN1800" s="38"/>
      <c r="MO1800" s="38"/>
      <c r="MP1800" s="38"/>
      <c r="MQ1800" s="38"/>
      <c r="MR1800" s="38"/>
      <c r="MS1800" s="38"/>
      <c r="MT1800" s="38"/>
      <c r="MU1800" s="38"/>
      <c r="MV1800" s="38"/>
      <c r="MW1800" s="38"/>
      <c r="MX1800" s="38"/>
      <c r="MY1800" s="38"/>
      <c r="MZ1800" s="38"/>
      <c r="NA1800" s="38"/>
      <c r="NB1800" s="38"/>
      <c r="NC1800" s="38"/>
      <c r="ND1800" s="38"/>
      <c r="NE1800" s="38"/>
      <c r="NF1800" s="38"/>
      <c r="NG1800" s="38"/>
      <c r="NH1800" s="38"/>
      <c r="NI1800" s="38"/>
      <c r="NJ1800" s="38"/>
      <c r="NK1800" s="38"/>
      <c r="NL1800" s="38"/>
      <c r="NM1800" s="38"/>
      <c r="NN1800" s="38"/>
      <c r="NO1800" s="38"/>
      <c r="NP1800" s="38"/>
      <c r="NQ1800" s="38"/>
      <c r="NR1800" s="38"/>
      <c r="NS1800" s="38"/>
      <c r="NT1800" s="38"/>
      <c r="NU1800" s="38"/>
      <c r="NV1800" s="38"/>
      <c r="NW1800" s="38"/>
      <c r="NX1800" s="38"/>
      <c r="NY1800" s="38"/>
      <c r="NZ1800" s="38"/>
      <c r="OA1800" s="38"/>
      <c r="OB1800" s="38"/>
      <c r="OC1800" s="38"/>
      <c r="OD1800" s="38"/>
      <c r="OE1800" s="38"/>
      <c r="OF1800" s="38"/>
      <c r="OG1800" s="38"/>
      <c r="OH1800" s="38"/>
      <c r="OI1800" s="38"/>
      <c r="OJ1800" s="38"/>
      <c r="OK1800" s="38"/>
      <c r="OL1800" s="38"/>
      <c r="OM1800" s="38"/>
      <c r="ON1800" s="38"/>
      <c r="OO1800" s="38"/>
      <c r="OP1800" s="38"/>
      <c r="OQ1800" s="38"/>
      <c r="OR1800" s="38"/>
      <c r="OS1800" s="38"/>
      <c r="OT1800" s="38"/>
      <c r="OU1800" s="38"/>
      <c r="OV1800" s="38"/>
      <c r="OW1800" s="38"/>
      <c r="OX1800" s="38"/>
      <c r="OY1800" s="38"/>
      <c r="OZ1800" s="38"/>
      <c r="PA1800" s="38"/>
      <c r="PB1800" s="38"/>
      <c r="PC1800" s="38"/>
      <c r="PD1800" s="38"/>
      <c r="PE1800" s="38"/>
      <c r="PF1800" s="38"/>
      <c r="PG1800" s="38"/>
      <c r="PH1800" s="38"/>
      <c r="PI1800" s="38"/>
      <c r="PJ1800" s="38"/>
      <c r="PK1800" s="38"/>
      <c r="PL1800" s="38"/>
      <c r="PM1800" s="38"/>
      <c r="PN1800" s="38"/>
      <c r="PO1800" s="38"/>
      <c r="PP1800" s="38"/>
      <c r="PQ1800" s="38"/>
      <c r="PR1800" s="38"/>
      <c r="PS1800" s="38"/>
      <c r="PT1800" s="38"/>
      <c r="PU1800" s="38"/>
      <c r="PV1800" s="38"/>
      <c r="PW1800" s="38"/>
      <c r="PX1800" s="38"/>
      <c r="PY1800" s="38"/>
      <c r="PZ1800" s="38"/>
      <c r="QA1800" s="38"/>
      <c r="QB1800" s="38"/>
      <c r="QC1800" s="38"/>
      <c r="QD1800" s="38"/>
      <c r="QE1800" s="38"/>
      <c r="QF1800" s="38"/>
      <c r="QG1800" s="38"/>
      <c r="QH1800" s="38"/>
      <c r="QI1800" s="38"/>
      <c r="QJ1800" s="38"/>
      <c r="QK1800" s="38"/>
      <c r="QL1800" s="38"/>
      <c r="QM1800" s="38"/>
      <c r="QN1800" s="38"/>
      <c r="QO1800" s="38"/>
      <c r="QP1800" s="38"/>
      <c r="QQ1800" s="38"/>
      <c r="QR1800" s="38"/>
      <c r="QS1800" s="38"/>
      <c r="QT1800" s="38"/>
      <c r="QU1800" s="38"/>
      <c r="QV1800" s="38"/>
      <c r="QW1800" s="38"/>
      <c r="QX1800" s="38"/>
      <c r="QY1800" s="38"/>
      <c r="QZ1800" s="38"/>
      <c r="RA1800" s="38"/>
      <c r="RB1800" s="38"/>
      <c r="RC1800" s="38"/>
      <c r="RD1800" s="38"/>
      <c r="RE1800" s="38"/>
      <c r="RF1800" s="38"/>
      <c r="RG1800" s="38"/>
      <c r="RH1800" s="38"/>
      <c r="RI1800" s="38"/>
      <c r="RJ1800" s="38"/>
      <c r="RK1800" s="38"/>
      <c r="RL1800" s="38"/>
      <c r="RM1800" s="38"/>
      <c r="RN1800" s="38"/>
      <c r="RO1800" s="38"/>
      <c r="RP1800" s="38"/>
      <c r="RQ1800" s="38"/>
      <c r="RR1800" s="38"/>
      <c r="RS1800" s="38"/>
      <c r="RT1800" s="38"/>
      <c r="RU1800" s="38"/>
      <c r="RV1800" s="38"/>
      <c r="RW1800" s="38"/>
      <c r="RX1800" s="38"/>
      <c r="RY1800" s="38"/>
      <c r="RZ1800" s="38"/>
      <c r="SA1800" s="38"/>
      <c r="SB1800" s="38"/>
      <c r="SC1800" s="38"/>
      <c r="SD1800" s="38"/>
      <c r="SE1800" s="38"/>
      <c r="SF1800" s="38"/>
      <c r="SG1800" s="38"/>
      <c r="SH1800" s="38"/>
      <c r="SI1800" s="38"/>
      <c r="SJ1800" s="38"/>
      <c r="SK1800" s="38"/>
      <c r="SL1800" s="38"/>
      <c r="SM1800" s="38"/>
      <c r="SN1800" s="38"/>
      <c r="SO1800" s="38"/>
      <c r="SP1800" s="38"/>
      <c r="SQ1800" s="38"/>
      <c r="SR1800" s="38"/>
      <c r="SS1800" s="38"/>
      <c r="ST1800" s="38"/>
      <c r="SU1800" s="38"/>
      <c r="SV1800" s="38"/>
      <c r="SW1800" s="38"/>
      <c r="SX1800" s="38"/>
      <c r="SY1800" s="38"/>
      <c r="SZ1800" s="38"/>
      <c r="TA1800" s="38"/>
      <c r="TB1800" s="38"/>
      <c r="TC1800" s="38"/>
      <c r="TD1800" s="38"/>
      <c r="TE1800" s="38"/>
      <c r="TF1800" s="38"/>
      <c r="TG1800" s="38"/>
      <c r="TH1800" s="38"/>
      <c r="TI1800" s="38"/>
      <c r="TJ1800" s="38"/>
      <c r="TK1800" s="38"/>
      <c r="TL1800" s="38"/>
      <c r="TM1800" s="38"/>
      <c r="TN1800" s="38"/>
      <c r="TO1800" s="38"/>
      <c r="TP1800" s="38"/>
      <c r="TQ1800" s="38"/>
      <c r="TR1800" s="38"/>
      <c r="TS1800" s="38"/>
      <c r="TT1800" s="38"/>
      <c r="TU1800" s="38"/>
      <c r="TV1800" s="38"/>
      <c r="TW1800" s="38"/>
      <c r="TX1800" s="38"/>
      <c r="TY1800" s="38"/>
      <c r="TZ1800" s="38"/>
      <c r="UA1800" s="38"/>
      <c r="UB1800" s="38"/>
      <c r="UC1800" s="38"/>
      <c r="UD1800" s="38"/>
      <c r="UE1800" s="38"/>
      <c r="UF1800" s="38"/>
      <c r="UG1800" s="38"/>
      <c r="UH1800" s="38"/>
      <c r="UI1800" s="38"/>
      <c r="UJ1800" s="38"/>
      <c r="UK1800" s="38"/>
      <c r="UL1800" s="38"/>
      <c r="UM1800" s="38"/>
      <c r="UN1800" s="38"/>
      <c r="UO1800" s="38"/>
      <c r="UP1800" s="38"/>
      <c r="UQ1800" s="38"/>
      <c r="UR1800" s="38"/>
      <c r="US1800" s="38"/>
      <c r="UT1800" s="38"/>
      <c r="UU1800" s="38"/>
      <c r="UV1800" s="38"/>
      <c r="UW1800" s="38"/>
      <c r="UX1800" s="38"/>
      <c r="UY1800" s="38"/>
      <c r="UZ1800" s="38"/>
      <c r="VA1800" s="38"/>
      <c r="VB1800" s="38"/>
      <c r="VC1800" s="38"/>
      <c r="VD1800" s="38"/>
      <c r="VE1800" s="38"/>
      <c r="VF1800" s="38"/>
      <c r="VG1800" s="38"/>
      <c r="VH1800" s="38"/>
      <c r="VI1800" s="38"/>
      <c r="VJ1800" s="38"/>
      <c r="VK1800" s="38"/>
      <c r="VL1800" s="38"/>
      <c r="VM1800" s="38"/>
      <c r="VN1800" s="38"/>
      <c r="VO1800" s="38"/>
      <c r="VP1800" s="38"/>
      <c r="VQ1800" s="38"/>
      <c r="VR1800" s="38"/>
      <c r="VS1800" s="38"/>
      <c r="VT1800" s="38"/>
      <c r="VU1800" s="38"/>
      <c r="VV1800" s="38"/>
      <c r="VW1800" s="38"/>
      <c r="VX1800" s="38"/>
      <c r="VY1800" s="38"/>
      <c r="VZ1800" s="38"/>
      <c r="WA1800" s="38"/>
      <c r="WB1800" s="38"/>
      <c r="WC1800" s="38"/>
      <c r="WD1800" s="38"/>
      <c r="WE1800" s="38"/>
      <c r="WF1800" s="38"/>
      <c r="WG1800" s="38"/>
      <c r="WH1800" s="38"/>
      <c r="WI1800" s="38"/>
      <c r="WJ1800" s="38"/>
      <c r="WK1800" s="38"/>
      <c r="WL1800" s="38"/>
      <c r="WM1800" s="38"/>
      <c r="WN1800" s="38"/>
      <c r="WO1800" s="38"/>
      <c r="WP1800" s="38"/>
      <c r="WQ1800" s="38"/>
      <c r="WR1800" s="38"/>
      <c r="WS1800" s="38"/>
      <c r="WT1800" s="38"/>
      <c r="WU1800" s="38"/>
      <c r="WV1800" s="38"/>
      <c r="WW1800" s="38"/>
      <c r="WX1800" s="38"/>
      <c r="WY1800" s="38"/>
      <c r="WZ1800" s="38"/>
      <c r="XA1800" s="38"/>
      <c r="XB1800" s="38"/>
      <c r="XC1800" s="38"/>
      <c r="XD1800" s="38"/>
      <c r="XE1800" s="38"/>
      <c r="XF1800" s="38"/>
      <c r="XG1800" s="38"/>
      <c r="XH1800" s="38"/>
      <c r="XI1800" s="38"/>
      <c r="XJ1800" s="38"/>
      <c r="XK1800" s="38"/>
      <c r="XL1800" s="38"/>
      <c r="XM1800" s="38"/>
      <c r="XN1800" s="38"/>
      <c r="XO1800" s="38"/>
      <c r="XP1800" s="38"/>
      <c r="XQ1800" s="38"/>
      <c r="XR1800" s="38"/>
      <c r="XS1800" s="38"/>
      <c r="XT1800" s="38"/>
      <c r="XU1800" s="38"/>
      <c r="XV1800" s="38"/>
      <c r="XW1800" s="38"/>
      <c r="XX1800" s="38"/>
      <c r="XY1800" s="38"/>
      <c r="XZ1800" s="38"/>
      <c r="YA1800" s="38"/>
      <c r="YB1800" s="38"/>
      <c r="YC1800" s="38"/>
      <c r="YD1800" s="38"/>
      <c r="YE1800" s="38"/>
      <c r="YF1800" s="38"/>
      <c r="YG1800" s="38"/>
      <c r="YH1800" s="38"/>
      <c r="YI1800" s="38"/>
      <c r="YJ1800" s="38"/>
      <c r="YK1800" s="38"/>
      <c r="YL1800" s="38"/>
      <c r="YM1800" s="38"/>
      <c r="YN1800" s="38"/>
      <c r="YO1800" s="38"/>
      <c r="YP1800" s="38"/>
      <c r="YQ1800" s="38"/>
      <c r="YR1800" s="38"/>
      <c r="YS1800" s="38"/>
      <c r="YT1800" s="38"/>
      <c r="YU1800" s="38"/>
      <c r="YV1800" s="38"/>
      <c r="YW1800" s="38"/>
      <c r="YX1800" s="38"/>
      <c r="YY1800" s="38"/>
      <c r="YZ1800" s="38"/>
      <c r="ZA1800" s="38"/>
      <c r="ZB1800" s="38"/>
      <c r="ZC1800" s="38"/>
      <c r="ZD1800" s="38"/>
      <c r="ZE1800" s="38"/>
      <c r="ZF1800" s="38"/>
      <c r="ZG1800" s="38"/>
      <c r="ZH1800" s="38"/>
      <c r="ZI1800" s="38"/>
      <c r="ZJ1800" s="38"/>
      <c r="ZK1800" s="38"/>
      <c r="ZL1800" s="38"/>
      <c r="ZM1800" s="38"/>
      <c r="ZN1800" s="38"/>
      <c r="ZO1800" s="38"/>
      <c r="ZP1800" s="38"/>
      <c r="ZQ1800" s="38"/>
      <c r="ZR1800" s="38"/>
      <c r="ZS1800" s="38"/>
      <c r="ZT1800" s="38"/>
      <c r="ZU1800" s="38"/>
      <c r="ZV1800" s="38"/>
      <c r="ZW1800" s="38"/>
      <c r="ZX1800" s="38"/>
      <c r="ZY1800" s="38"/>
      <c r="ZZ1800" s="38"/>
      <c r="AAA1800" s="38"/>
      <c r="AAB1800" s="38"/>
      <c r="AAC1800" s="38"/>
      <c r="AAD1800" s="38"/>
      <c r="AAE1800" s="38"/>
      <c r="AAF1800" s="38"/>
      <c r="AAG1800" s="38"/>
      <c r="AAH1800" s="38"/>
      <c r="AAI1800" s="38"/>
      <c r="AAJ1800" s="38"/>
      <c r="AAK1800" s="38"/>
      <c r="AAL1800" s="38"/>
      <c r="AAM1800" s="38"/>
      <c r="AAN1800" s="38"/>
      <c r="AAO1800" s="38"/>
      <c r="AAP1800" s="38"/>
      <c r="AAQ1800" s="38"/>
      <c r="AAR1800" s="38"/>
      <c r="AAS1800" s="38"/>
      <c r="AAT1800" s="38"/>
      <c r="AAU1800" s="38"/>
      <c r="AAV1800" s="38"/>
      <c r="AAW1800" s="38"/>
      <c r="AAX1800" s="38"/>
      <c r="AAY1800" s="38"/>
      <c r="AAZ1800" s="38"/>
      <c r="ABA1800" s="38"/>
      <c r="ABB1800" s="38"/>
      <c r="ABC1800" s="38"/>
      <c r="ABD1800" s="38"/>
      <c r="ABE1800" s="38"/>
      <c r="ABF1800" s="38"/>
      <c r="ABG1800" s="38"/>
      <c r="ABH1800" s="38"/>
      <c r="ABI1800" s="38"/>
      <c r="ABJ1800" s="38"/>
      <c r="ABK1800" s="38"/>
      <c r="ABL1800" s="38"/>
      <c r="ABM1800" s="38"/>
      <c r="ABN1800" s="38"/>
      <c r="ABO1800" s="38"/>
      <c r="ABP1800" s="38"/>
      <c r="ABQ1800" s="38"/>
      <c r="ABR1800" s="38"/>
      <c r="ABS1800" s="38"/>
      <c r="ABT1800" s="38"/>
      <c r="ABU1800" s="38"/>
      <c r="ABV1800" s="38"/>
      <c r="ABW1800" s="38"/>
      <c r="ABX1800" s="38"/>
      <c r="ABY1800" s="38"/>
      <c r="ABZ1800" s="38"/>
      <c r="ACA1800" s="38"/>
      <c r="ACB1800" s="38"/>
      <c r="ACC1800" s="38"/>
      <c r="ACD1800" s="38"/>
      <c r="ACE1800" s="38"/>
      <c r="ACF1800" s="38"/>
      <c r="ACG1800" s="38"/>
      <c r="ACH1800" s="38"/>
      <c r="ACI1800" s="38"/>
      <c r="ACJ1800" s="38"/>
      <c r="ACK1800" s="38"/>
      <c r="ACL1800" s="38"/>
      <c r="ACM1800" s="38"/>
      <c r="ACN1800" s="38"/>
      <c r="ACO1800" s="38"/>
      <c r="ACP1800" s="38"/>
      <c r="ACQ1800" s="38"/>
      <c r="ACR1800" s="38"/>
      <c r="ACS1800" s="38"/>
      <c r="ACT1800" s="38"/>
      <c r="ACU1800" s="38"/>
      <c r="ACV1800" s="38"/>
      <c r="ACW1800" s="38"/>
      <c r="ACX1800" s="38"/>
      <c r="ACY1800" s="38"/>
      <c r="ACZ1800" s="38"/>
      <c r="ADA1800" s="38"/>
      <c r="ADB1800" s="38"/>
      <c r="ADC1800" s="38"/>
      <c r="ADD1800" s="38"/>
      <c r="ADE1800" s="38"/>
      <c r="ADF1800" s="38"/>
      <c r="ADG1800" s="38"/>
      <c r="ADH1800" s="38"/>
      <c r="ADI1800" s="38"/>
      <c r="ADJ1800" s="38"/>
      <c r="ADK1800" s="38"/>
      <c r="ADL1800" s="38"/>
      <c r="ADM1800" s="38"/>
      <c r="ADN1800" s="38"/>
      <c r="ADO1800" s="38"/>
      <c r="ADP1800" s="38"/>
      <c r="ADQ1800" s="38"/>
      <c r="ADR1800" s="38"/>
      <c r="ADS1800" s="38"/>
      <c r="ADT1800" s="38"/>
      <c r="ADU1800" s="38"/>
      <c r="ADV1800" s="38"/>
      <c r="ADW1800" s="38"/>
      <c r="ADX1800" s="38"/>
      <c r="ADY1800" s="38"/>
      <c r="ADZ1800" s="38"/>
      <c r="AEA1800" s="38"/>
      <c r="AEB1800" s="38"/>
      <c r="AEC1800" s="38"/>
      <c r="AED1800" s="38"/>
      <c r="AEE1800" s="38"/>
      <c r="AEF1800" s="38"/>
      <c r="AEG1800" s="38"/>
      <c r="AEH1800" s="38"/>
      <c r="AEI1800" s="38"/>
      <c r="AEJ1800" s="38"/>
      <c r="AEK1800" s="38"/>
      <c r="AEL1800" s="38"/>
      <c r="AEM1800" s="38"/>
      <c r="AEN1800" s="38"/>
      <c r="AEO1800" s="38"/>
      <c r="AEP1800" s="38"/>
      <c r="AEQ1800" s="38"/>
      <c r="AER1800" s="38"/>
      <c r="AES1800" s="38"/>
      <c r="AET1800" s="38"/>
      <c r="AEU1800" s="38"/>
      <c r="AEV1800" s="38"/>
      <c r="AEW1800" s="38"/>
      <c r="AEX1800" s="38"/>
      <c r="AEY1800" s="38"/>
      <c r="AEZ1800" s="38"/>
      <c r="AFA1800" s="38"/>
      <c r="AFB1800" s="38"/>
      <c r="AFC1800" s="38"/>
      <c r="AFD1800" s="38"/>
      <c r="AFE1800" s="38"/>
      <c r="AFF1800" s="38"/>
      <c r="AFG1800" s="38"/>
      <c r="AFH1800" s="38"/>
      <c r="AFI1800" s="38"/>
      <c r="AFJ1800" s="38"/>
      <c r="AFK1800" s="38"/>
      <c r="AFL1800" s="38"/>
      <c r="AFM1800" s="38"/>
      <c r="AFN1800" s="38"/>
      <c r="AFO1800" s="38"/>
      <c r="AFP1800" s="38"/>
      <c r="AFQ1800" s="38"/>
      <c r="AFR1800" s="38"/>
      <c r="AFS1800" s="38"/>
      <c r="AFT1800" s="38"/>
      <c r="AFU1800" s="38"/>
      <c r="AFV1800" s="38"/>
      <c r="AFW1800" s="38"/>
      <c r="AFX1800" s="38"/>
      <c r="AFY1800" s="38"/>
      <c r="AFZ1800" s="38"/>
      <c r="AGA1800" s="38"/>
      <c r="AGB1800" s="38"/>
      <c r="AGC1800" s="38"/>
      <c r="AGD1800" s="38"/>
      <c r="AGE1800" s="38"/>
      <c r="AGF1800" s="38"/>
      <c r="AGG1800" s="38"/>
      <c r="AGH1800" s="38"/>
      <c r="AGI1800" s="38"/>
      <c r="AGJ1800" s="38"/>
      <c r="AGK1800" s="38"/>
      <c r="AGL1800" s="38"/>
      <c r="AGM1800" s="38"/>
      <c r="AGN1800" s="38"/>
      <c r="AGO1800" s="38"/>
      <c r="AGP1800" s="38"/>
      <c r="AGQ1800" s="38"/>
      <c r="AGR1800" s="38"/>
      <c r="AGS1800" s="38"/>
      <c r="AGT1800" s="38"/>
      <c r="AGU1800" s="38"/>
      <c r="AGV1800" s="38"/>
      <c r="AGW1800" s="38"/>
      <c r="AGX1800" s="38"/>
      <c r="AGY1800" s="38"/>
      <c r="AGZ1800" s="38"/>
      <c r="AHA1800" s="38"/>
      <c r="AHB1800" s="38"/>
      <c r="AHC1800" s="38"/>
      <c r="AHD1800" s="38"/>
      <c r="AHE1800" s="38"/>
      <c r="AHF1800" s="38"/>
      <c r="AHG1800" s="38"/>
      <c r="AHH1800" s="38"/>
      <c r="AHI1800" s="38"/>
      <c r="AHJ1800" s="38"/>
      <c r="AHK1800" s="38"/>
      <c r="AHL1800" s="38"/>
      <c r="AHM1800" s="38"/>
      <c r="AHN1800" s="38"/>
      <c r="AHO1800" s="38"/>
      <c r="AHP1800" s="38"/>
      <c r="AHQ1800" s="38"/>
      <c r="AHR1800" s="38"/>
      <c r="AHS1800" s="38"/>
      <c r="AHT1800" s="38"/>
      <c r="AHU1800" s="38"/>
      <c r="AHV1800" s="38"/>
      <c r="AHW1800" s="38"/>
      <c r="AHX1800" s="38"/>
      <c r="AHY1800" s="38"/>
      <c r="AHZ1800" s="38"/>
      <c r="AIA1800" s="38"/>
      <c r="AIB1800" s="38"/>
      <c r="AIC1800" s="38"/>
      <c r="AID1800" s="38"/>
      <c r="AIE1800" s="38"/>
      <c r="AIF1800" s="38"/>
      <c r="AIG1800" s="38"/>
      <c r="AIH1800" s="38"/>
      <c r="AII1800" s="38"/>
      <c r="AIJ1800" s="38"/>
      <c r="AIK1800" s="38"/>
      <c r="AIL1800" s="38"/>
      <c r="AIM1800" s="38"/>
      <c r="AIN1800" s="38"/>
      <c r="AIO1800" s="38"/>
      <c r="AIP1800" s="38"/>
      <c r="AIQ1800" s="38"/>
      <c r="AIR1800" s="38"/>
      <c r="AIS1800" s="38"/>
      <c r="AIT1800" s="38"/>
      <c r="AIU1800" s="38"/>
      <c r="AIV1800" s="38"/>
      <c r="AIW1800" s="38"/>
      <c r="AIX1800" s="38"/>
      <c r="AIY1800" s="38"/>
      <c r="AIZ1800" s="38"/>
      <c r="AJA1800" s="38"/>
      <c r="AJB1800" s="38"/>
      <c r="AJC1800" s="38"/>
      <c r="AJD1800" s="38"/>
      <c r="AJE1800" s="38"/>
      <c r="AJF1800" s="38"/>
      <c r="AJG1800" s="38"/>
      <c r="AJH1800" s="38"/>
      <c r="AJI1800" s="38"/>
      <c r="AJJ1800" s="38"/>
      <c r="AJK1800" s="38"/>
      <c r="AJL1800" s="38"/>
      <c r="AJM1800" s="38"/>
      <c r="AJN1800" s="38"/>
      <c r="AJO1800" s="38"/>
      <c r="AJP1800" s="38"/>
      <c r="AJQ1800" s="38"/>
      <c r="AJR1800" s="38"/>
      <c r="AJS1800" s="38"/>
      <c r="AJT1800" s="38"/>
      <c r="AJU1800" s="38"/>
      <c r="AJV1800" s="38"/>
      <c r="AJW1800" s="38"/>
      <c r="AJX1800" s="38"/>
      <c r="AJY1800" s="38"/>
      <c r="AJZ1800" s="38"/>
      <c r="AKA1800" s="38"/>
      <c r="AKB1800" s="38"/>
      <c r="AKC1800" s="38"/>
      <c r="AKD1800" s="38"/>
      <c r="AKE1800" s="38"/>
      <c r="AKF1800" s="38"/>
      <c r="AKG1800" s="38"/>
      <c r="AKH1800" s="38"/>
      <c r="AKI1800" s="38"/>
      <c r="AKJ1800" s="38"/>
      <c r="AKK1800" s="38"/>
      <c r="AKL1800" s="38"/>
      <c r="AKM1800" s="38"/>
      <c r="AKN1800" s="38"/>
      <c r="AKO1800" s="38"/>
      <c r="AKP1800" s="38"/>
      <c r="AKQ1800" s="38"/>
      <c r="AKR1800" s="38"/>
      <c r="AKS1800" s="38"/>
      <c r="AKT1800" s="38"/>
      <c r="AKU1800" s="38"/>
      <c r="AKV1800" s="38"/>
      <c r="AKW1800" s="38"/>
      <c r="AKX1800" s="38"/>
      <c r="AKY1800" s="38"/>
      <c r="AKZ1800" s="38"/>
      <c r="ALA1800" s="38"/>
      <c r="ALB1800" s="38"/>
      <c r="ALC1800" s="38"/>
      <c r="ALD1800" s="38"/>
      <c r="ALE1800" s="38"/>
      <c r="ALF1800" s="38"/>
      <c r="ALG1800" s="38"/>
      <c r="ALH1800" s="38"/>
      <c r="ALI1800" s="38"/>
      <c r="ALJ1800" s="38"/>
      <c r="ALK1800" s="38"/>
      <c r="ALL1800" s="38"/>
      <c r="ALM1800" s="38"/>
      <c r="ALN1800" s="38"/>
      <c r="ALO1800" s="38"/>
      <c r="ALP1800" s="38"/>
      <c r="ALQ1800" s="38"/>
      <c r="ALR1800" s="38"/>
      <c r="ALS1800" s="38"/>
      <c r="ALT1800" s="38"/>
      <c r="ALU1800" s="38"/>
      <c r="ALV1800" s="38"/>
      <c r="ALW1800" s="38"/>
      <c r="ALX1800" s="38"/>
      <c r="ALY1800" s="38"/>
      <c r="ALZ1800" s="38"/>
      <c r="AMA1800" s="38"/>
      <c r="AMB1800" s="38"/>
      <c r="AMC1800" s="38"/>
      <c r="AMD1800" s="38"/>
      <c r="AME1800" s="38"/>
      <c r="AMF1800" s="38"/>
      <c r="AMG1800" s="38"/>
      <c r="AMH1800" s="38"/>
      <c r="AMI1800" s="38"/>
      <c r="AMJ1800" s="38"/>
      <c r="AMK1800" s="38"/>
      <c r="AML1800" s="38"/>
      <c r="AMM1800" s="38"/>
      <c r="AMN1800" s="38"/>
      <c r="AMO1800" s="38"/>
      <c r="AMP1800" s="38"/>
      <c r="AMQ1800" s="38"/>
      <c r="AMR1800" s="38"/>
      <c r="AMS1800" s="38"/>
      <c r="AMT1800" s="38"/>
      <c r="AMU1800" s="38"/>
      <c r="AMV1800" s="38"/>
      <c r="AMW1800" s="38"/>
      <c r="AMX1800" s="38"/>
      <c r="AMY1800" s="38"/>
      <c r="AMZ1800" s="38"/>
      <c r="ANA1800" s="38"/>
      <c r="ANB1800" s="38"/>
      <c r="ANC1800" s="38"/>
      <c r="AND1800" s="38"/>
      <c r="ANE1800" s="38"/>
      <c r="ANF1800" s="38"/>
      <c r="ANG1800" s="38"/>
      <c r="ANH1800" s="38"/>
      <c r="ANI1800" s="38"/>
      <c r="ANJ1800" s="38"/>
      <c r="ANK1800" s="38"/>
      <c r="ANL1800" s="38"/>
      <c r="ANM1800" s="38"/>
      <c r="ANN1800" s="38"/>
      <c r="ANO1800" s="38"/>
      <c r="ANP1800" s="38"/>
      <c r="ANQ1800" s="38"/>
      <c r="ANR1800" s="38"/>
      <c r="ANS1800" s="38"/>
      <c r="ANT1800" s="38"/>
      <c r="ANU1800" s="38"/>
      <c r="ANV1800" s="38"/>
      <c r="ANW1800" s="38"/>
      <c r="ANX1800" s="38"/>
      <c r="ANY1800" s="38"/>
      <c r="ANZ1800" s="38"/>
      <c r="AOA1800" s="38"/>
      <c r="AOB1800" s="38"/>
      <c r="AOC1800" s="38"/>
      <c r="AOD1800" s="38"/>
      <c r="AOE1800" s="38"/>
      <c r="AOF1800" s="38"/>
      <c r="AOG1800" s="38"/>
      <c r="AOH1800" s="38"/>
      <c r="AOI1800" s="38"/>
      <c r="AOJ1800" s="38"/>
      <c r="AOK1800" s="38"/>
      <c r="AOL1800" s="38"/>
      <c r="AOM1800" s="38"/>
      <c r="AON1800" s="38"/>
      <c r="AOO1800" s="38"/>
      <c r="AOP1800" s="38"/>
      <c r="AOQ1800" s="38"/>
      <c r="AOR1800" s="38"/>
      <c r="AOS1800" s="38"/>
      <c r="AOT1800" s="38"/>
      <c r="AOU1800" s="38"/>
      <c r="AOV1800" s="38"/>
      <c r="AOW1800" s="38"/>
      <c r="AOX1800" s="38"/>
      <c r="AOY1800" s="38"/>
      <c r="AOZ1800" s="38"/>
      <c r="APA1800" s="38"/>
      <c r="APB1800" s="38"/>
      <c r="APC1800" s="38"/>
    </row>
    <row r="1801" spans="1:1095" s="36" customFormat="1" ht="14.25" customHeight="1">
      <c r="A1801" s="3" t="s">
        <v>1722</v>
      </c>
      <c r="B1801" s="36" t="s">
        <v>4058</v>
      </c>
      <c r="C1801" s="214">
        <v>4058075822214</v>
      </c>
      <c r="D1801" s="239"/>
      <c r="E1801" s="239"/>
      <c r="F1801" s="222" t="s">
        <v>3136</v>
      </c>
      <c r="G1801" s="66" t="str">
        <f>HYPERLINK("https://ledvance.com/pt/product-datasheet/246832/243309","Ficha de Produto")</f>
        <v>Ficha de Produto</v>
      </c>
      <c r="H1801" s="217">
        <v>10</v>
      </c>
      <c r="I1801" s="34" t="s">
        <v>6341</v>
      </c>
      <c r="J1801" s="34" t="s">
        <v>795</v>
      </c>
      <c r="K1801" s="34" t="s">
        <v>788</v>
      </c>
      <c r="L1801" s="34" t="s">
        <v>793</v>
      </c>
      <c r="M1801" s="247">
        <v>24.6</v>
      </c>
      <c r="N1801" s="288" t="s">
        <v>722</v>
      </c>
    </row>
    <row r="1802" spans="1:1095" s="36" customFormat="1" ht="14.25" customHeight="1">
      <c r="A1802" s="3" t="s">
        <v>1722</v>
      </c>
      <c r="B1802" s="36" t="s">
        <v>4059</v>
      </c>
      <c r="C1802" s="214">
        <v>4058075822238</v>
      </c>
      <c r="D1802" s="239"/>
      <c r="E1802" s="239"/>
      <c r="F1802" s="222" t="s">
        <v>3136</v>
      </c>
      <c r="G1802" s="66" t="str">
        <f>HYPERLINK("https://ledvance.com/pt/product-datasheet/246832/243312","Ficha de Produto")</f>
        <v>Ficha de Produto</v>
      </c>
      <c r="H1802" s="217">
        <v>10</v>
      </c>
      <c r="I1802" s="34" t="s">
        <v>6334</v>
      </c>
      <c r="J1802" s="34" t="s">
        <v>795</v>
      </c>
      <c r="K1802" s="34" t="s">
        <v>788</v>
      </c>
      <c r="L1802" s="34" t="s">
        <v>793</v>
      </c>
      <c r="M1802" s="247">
        <v>24.6</v>
      </c>
      <c r="N1802" s="288" t="s">
        <v>722</v>
      </c>
    </row>
    <row r="1803" spans="1:1095" s="36" customFormat="1" ht="14.25" customHeight="1">
      <c r="A1803" s="3" t="s">
        <v>1722</v>
      </c>
      <c r="B1803" s="36" t="s">
        <v>4060</v>
      </c>
      <c r="C1803" s="214">
        <v>4058075822252</v>
      </c>
      <c r="D1803" s="224">
        <v>4058075559349</v>
      </c>
      <c r="E1803" s="245" t="s">
        <v>1678</v>
      </c>
      <c r="F1803" s="246"/>
      <c r="G1803" s="66" t="str">
        <f>HYPERLINK("https://ledvance.com/pt/product-datasheet/246832/243315","Ficha de Produto")</f>
        <v>Ficha de Produto</v>
      </c>
      <c r="H1803" s="217">
        <v>10</v>
      </c>
      <c r="I1803" s="34" t="s">
        <v>808</v>
      </c>
      <c r="J1803" s="34" t="s">
        <v>809</v>
      </c>
      <c r="K1803" s="34" t="s">
        <v>788</v>
      </c>
      <c r="L1803" s="34" t="s">
        <v>793</v>
      </c>
      <c r="M1803" s="247">
        <v>29.3</v>
      </c>
      <c r="N1803" s="288" t="s">
        <v>722</v>
      </c>
    </row>
    <row r="1804" spans="1:1095" s="36" customFormat="1" ht="14.25" customHeight="1">
      <c r="A1804" s="3" t="s">
        <v>1722</v>
      </c>
      <c r="B1804" s="36" t="s">
        <v>4061</v>
      </c>
      <c r="C1804" s="214">
        <v>4058075822276</v>
      </c>
      <c r="D1804" s="224">
        <v>4058075559370</v>
      </c>
      <c r="E1804" s="245" t="s">
        <v>1679</v>
      </c>
      <c r="F1804" s="246"/>
      <c r="G1804" s="66" t="str">
        <f>HYPERLINK("https://ledvance.com/pt/product-datasheet/246832/243318","Ficha de Produto")</f>
        <v>Ficha de Produto</v>
      </c>
      <c r="H1804" s="217">
        <v>10</v>
      </c>
      <c r="I1804" s="34" t="s">
        <v>827</v>
      </c>
      <c r="J1804" s="34" t="s">
        <v>809</v>
      </c>
      <c r="K1804" s="34" t="s">
        <v>788</v>
      </c>
      <c r="L1804" s="34" t="s">
        <v>793</v>
      </c>
      <c r="M1804" s="247">
        <v>29.3</v>
      </c>
      <c r="N1804" s="288" t="s">
        <v>722</v>
      </c>
    </row>
    <row r="1805" spans="1:1095" s="36" customFormat="1" ht="14.25" customHeight="1">
      <c r="A1805" s="3" t="s">
        <v>1722</v>
      </c>
      <c r="B1805" s="36" t="s">
        <v>4062</v>
      </c>
      <c r="C1805" s="214">
        <v>4058075822290</v>
      </c>
      <c r="D1805" s="224">
        <v>4058075559394</v>
      </c>
      <c r="E1805" s="245" t="s">
        <v>1680</v>
      </c>
      <c r="F1805" s="246"/>
      <c r="G1805" s="66" t="str">
        <f>HYPERLINK("https://ledvance.com/pt/product-datasheet/246832/243321","Ficha de Produto")</f>
        <v>Ficha de Produto</v>
      </c>
      <c r="H1805" s="217">
        <v>10</v>
      </c>
      <c r="I1805" s="34" t="s">
        <v>6299</v>
      </c>
      <c r="J1805" s="34" t="s">
        <v>859</v>
      </c>
      <c r="K1805" s="34" t="s">
        <v>788</v>
      </c>
      <c r="L1805" s="34" t="s">
        <v>793</v>
      </c>
      <c r="M1805" s="247">
        <v>31.6</v>
      </c>
      <c r="N1805" s="288" t="s">
        <v>722</v>
      </c>
    </row>
    <row r="1806" spans="1:1095" s="36" customFormat="1" ht="14.25" customHeight="1">
      <c r="A1806" s="3" t="s">
        <v>1722</v>
      </c>
      <c r="B1806" s="36" t="s">
        <v>4063</v>
      </c>
      <c r="C1806" s="214">
        <v>4058075822313</v>
      </c>
      <c r="D1806" s="224">
        <v>4058075559417</v>
      </c>
      <c r="E1806" s="245" t="s">
        <v>1681</v>
      </c>
      <c r="F1806" s="246"/>
      <c r="G1806" s="66" t="str">
        <f>HYPERLINK("https://ledvance.com/pt/product-datasheet/246832/243324","Ficha de Produto")</f>
        <v>Ficha de Produto</v>
      </c>
      <c r="H1806" s="217">
        <v>10</v>
      </c>
      <c r="I1806" s="34" t="s">
        <v>929</v>
      </c>
      <c r="J1806" s="34" t="s">
        <v>859</v>
      </c>
      <c r="K1806" s="34" t="s">
        <v>788</v>
      </c>
      <c r="L1806" s="34" t="s">
        <v>793</v>
      </c>
      <c r="M1806" s="247">
        <v>31.6</v>
      </c>
      <c r="N1806" s="288" t="s">
        <v>722</v>
      </c>
    </row>
    <row r="1807" spans="1:1095" s="36" customFormat="1" ht="14.25" customHeight="1">
      <c r="A1807" s="3" t="s">
        <v>1722</v>
      </c>
      <c r="B1807" s="36" t="s">
        <v>4064</v>
      </c>
      <c r="C1807" s="214">
        <v>4058075822337</v>
      </c>
      <c r="D1807" s="224">
        <v>4058075559431</v>
      </c>
      <c r="E1807" s="245" t="s">
        <v>1682</v>
      </c>
      <c r="F1807" s="246"/>
      <c r="G1807" s="66" t="str">
        <f>HYPERLINK("https://ledvance.com/pt/product-datasheet/246832/243327","Ficha de Produto")</f>
        <v>Ficha de Produto</v>
      </c>
      <c r="H1807" s="217">
        <v>10</v>
      </c>
      <c r="I1807" s="34" t="s">
        <v>6318</v>
      </c>
      <c r="J1807" s="34" t="s">
        <v>1044</v>
      </c>
      <c r="K1807" s="34" t="s">
        <v>788</v>
      </c>
      <c r="L1807" s="34" t="s">
        <v>793</v>
      </c>
      <c r="M1807" s="247">
        <v>34.300000000000004</v>
      </c>
      <c r="N1807" s="288" t="s">
        <v>722</v>
      </c>
    </row>
    <row r="1808" spans="1:1095" s="36" customFormat="1" ht="14.25" customHeight="1">
      <c r="A1808" s="3" t="s">
        <v>1722</v>
      </c>
      <c r="B1808" s="36" t="s">
        <v>4065</v>
      </c>
      <c r="C1808" s="214">
        <v>4058075822351</v>
      </c>
      <c r="D1808" s="224">
        <v>4058075559455</v>
      </c>
      <c r="E1808" s="245" t="s">
        <v>1683</v>
      </c>
      <c r="F1808" s="246"/>
      <c r="G1808" s="66" t="str">
        <f>HYPERLINK("https://ledvance.com/pt/product-datasheet/246832/243330","Ficha de Produto")</f>
        <v>Ficha de Produto</v>
      </c>
      <c r="H1808" s="217">
        <v>10</v>
      </c>
      <c r="I1808" s="34" t="s">
        <v>820</v>
      </c>
      <c r="J1808" s="34" t="s">
        <v>1044</v>
      </c>
      <c r="K1808" s="34" t="s">
        <v>788</v>
      </c>
      <c r="L1808" s="34" t="s">
        <v>793</v>
      </c>
      <c r="M1808" s="247">
        <v>34.300000000000004</v>
      </c>
      <c r="N1808" s="288" t="s">
        <v>722</v>
      </c>
    </row>
    <row r="1809" spans="1:1095" s="36" customFormat="1" ht="14.25" customHeight="1">
      <c r="A1809" s="3" t="s">
        <v>1722</v>
      </c>
      <c r="B1809" s="36" t="s">
        <v>4066</v>
      </c>
      <c r="C1809" s="214">
        <v>4058075822375</v>
      </c>
      <c r="D1809" s="224">
        <v>4058075559479</v>
      </c>
      <c r="E1809" s="245" t="s">
        <v>1684</v>
      </c>
      <c r="F1809" s="246"/>
      <c r="G1809" s="66" t="str">
        <f>HYPERLINK("https://ledvance.com/pt/product-datasheet/246832/243333","Ficha de Produto")</f>
        <v>Ficha de Produto</v>
      </c>
      <c r="H1809" s="217">
        <v>10</v>
      </c>
      <c r="I1809" s="34" t="s">
        <v>6343</v>
      </c>
      <c r="J1809" s="34" t="s">
        <v>775</v>
      </c>
      <c r="K1809" s="34" t="s">
        <v>788</v>
      </c>
      <c r="L1809" s="34" t="s">
        <v>793</v>
      </c>
      <c r="M1809" s="247">
        <v>36.800000000000004</v>
      </c>
      <c r="N1809" s="288" t="s">
        <v>722</v>
      </c>
    </row>
    <row r="1810" spans="1:1095" s="36" customFormat="1" ht="14.25" customHeight="1">
      <c r="A1810" s="3" t="s">
        <v>1722</v>
      </c>
      <c r="B1810" s="36" t="s">
        <v>4067</v>
      </c>
      <c r="C1810" s="214">
        <v>4058075822399</v>
      </c>
      <c r="D1810" s="224">
        <v>4058075559493</v>
      </c>
      <c r="E1810" s="245" t="s">
        <v>1685</v>
      </c>
      <c r="F1810" s="246"/>
      <c r="G1810" s="66" t="str">
        <f>HYPERLINK("https://ledvance.com/pt/product-datasheet/246832/243336","Ficha de Produto")</f>
        <v>Ficha de Produto</v>
      </c>
      <c r="H1810" s="217">
        <v>10</v>
      </c>
      <c r="I1810" s="34" t="s">
        <v>780</v>
      </c>
      <c r="J1810" s="34" t="s">
        <v>775</v>
      </c>
      <c r="K1810" s="34" t="s">
        <v>788</v>
      </c>
      <c r="L1810" s="34" t="s">
        <v>793</v>
      </c>
      <c r="M1810" s="247">
        <v>36.800000000000004</v>
      </c>
      <c r="N1810" s="288" t="s">
        <v>722</v>
      </c>
    </row>
    <row r="1811" spans="1:1095" s="39" customFormat="1" ht="14.25" customHeight="1">
      <c r="A1811" s="8" t="s">
        <v>1722</v>
      </c>
      <c r="B1811" s="230" t="s">
        <v>2081</v>
      </c>
      <c r="C1811" s="8"/>
      <c r="D1811" s="7"/>
      <c r="E1811" s="230"/>
      <c r="F1811" s="7"/>
      <c r="G1811" s="68" t="s">
        <v>6505</v>
      </c>
      <c r="H1811" s="230"/>
      <c r="I1811" s="230"/>
      <c r="J1811" s="230"/>
      <c r="K1811" s="230"/>
      <c r="L1811" s="230"/>
      <c r="M1811" s="248"/>
      <c r="N1811" s="292"/>
      <c r="O1811" s="38"/>
      <c r="P1811" s="38"/>
      <c r="Q1811" s="38"/>
      <c r="R1811" s="38"/>
      <c r="S1811" s="38"/>
      <c r="T1811" s="38"/>
      <c r="U1811" s="38"/>
      <c r="V1811" s="38"/>
      <c r="W1811" s="38"/>
      <c r="X1811" s="38"/>
      <c r="Y1811" s="38"/>
      <c r="Z1811" s="38"/>
      <c r="AA1811" s="38"/>
      <c r="AB1811" s="38"/>
      <c r="AC1811" s="38"/>
      <c r="AD1811" s="38"/>
      <c r="AE1811" s="38"/>
      <c r="AF1811" s="38"/>
      <c r="AG1811" s="38"/>
      <c r="AH1811" s="38"/>
      <c r="AI1811" s="38"/>
      <c r="AJ1811" s="38"/>
      <c r="AK1811" s="38"/>
      <c r="AL1811" s="38"/>
      <c r="AM1811" s="38"/>
      <c r="AN1811" s="38"/>
      <c r="AO1811" s="38"/>
      <c r="AP1811" s="38"/>
      <c r="AQ1811" s="38"/>
      <c r="AR1811" s="38"/>
      <c r="AS1811" s="38"/>
      <c r="AT1811" s="38"/>
      <c r="AU1811" s="38"/>
      <c r="AV1811" s="38"/>
      <c r="AW1811" s="38"/>
      <c r="AX1811" s="38"/>
      <c r="AY1811" s="38"/>
      <c r="AZ1811" s="38"/>
      <c r="BA1811" s="38"/>
      <c r="BB1811" s="38"/>
      <c r="BC1811" s="38"/>
      <c r="BD1811" s="38"/>
      <c r="BE1811" s="38"/>
      <c r="BF1811" s="38"/>
      <c r="BG1811" s="38"/>
      <c r="BH1811" s="38"/>
      <c r="BI1811" s="38"/>
      <c r="BJ1811" s="38"/>
      <c r="BK1811" s="38"/>
      <c r="BL1811" s="38"/>
      <c r="BM1811" s="38"/>
      <c r="BN1811" s="38"/>
      <c r="BO1811" s="38"/>
      <c r="BP1811" s="38"/>
      <c r="BQ1811" s="38"/>
      <c r="BR1811" s="38"/>
      <c r="BS1811" s="38"/>
      <c r="BT1811" s="38"/>
      <c r="BU1811" s="38"/>
      <c r="BV1811" s="38"/>
      <c r="BW1811" s="38"/>
      <c r="BX1811" s="38"/>
      <c r="BY1811" s="38"/>
      <c r="BZ1811" s="38"/>
      <c r="CA1811" s="38"/>
      <c r="CB1811" s="38"/>
      <c r="CC1811" s="38"/>
      <c r="CD1811" s="38"/>
      <c r="CE1811" s="38"/>
      <c r="CF1811" s="38"/>
      <c r="CG1811" s="38"/>
      <c r="CH1811" s="38"/>
      <c r="CI1811" s="38"/>
      <c r="CJ1811" s="38"/>
      <c r="CK1811" s="38"/>
      <c r="CL1811" s="38"/>
      <c r="CM1811" s="38"/>
      <c r="CN1811" s="38"/>
      <c r="CO1811" s="38"/>
      <c r="CP1811" s="38"/>
      <c r="CQ1811" s="38"/>
      <c r="CR1811" s="38"/>
      <c r="CS1811" s="38"/>
      <c r="CT1811" s="38"/>
      <c r="CU1811" s="38"/>
      <c r="CV1811" s="38"/>
      <c r="CW1811" s="38"/>
      <c r="CX1811" s="38"/>
      <c r="CY1811" s="38"/>
      <c r="CZ1811" s="38"/>
      <c r="DA1811" s="38"/>
      <c r="DB1811" s="38"/>
      <c r="DC1811" s="38"/>
      <c r="DD1811" s="38"/>
      <c r="DE1811" s="38"/>
      <c r="DF1811" s="38"/>
      <c r="DG1811" s="38"/>
      <c r="DH1811" s="38"/>
      <c r="DI1811" s="38"/>
      <c r="DJ1811" s="38"/>
      <c r="DK1811" s="38"/>
      <c r="DL1811" s="38"/>
      <c r="DM1811" s="38"/>
      <c r="DN1811" s="38"/>
      <c r="DO1811" s="38"/>
      <c r="DP1811" s="38"/>
      <c r="DQ1811" s="38"/>
      <c r="DR1811" s="38"/>
      <c r="DS1811" s="38"/>
      <c r="DT1811" s="38"/>
      <c r="DU1811" s="38"/>
      <c r="DV1811" s="38"/>
      <c r="DW1811" s="38"/>
      <c r="DX1811" s="38"/>
      <c r="DY1811" s="38"/>
      <c r="DZ1811" s="38"/>
      <c r="EA1811" s="38"/>
      <c r="EB1811" s="38"/>
      <c r="EC1811" s="38"/>
      <c r="ED1811" s="38"/>
      <c r="EE1811" s="38"/>
      <c r="EF1811" s="38"/>
      <c r="EG1811" s="38"/>
      <c r="EH1811" s="38"/>
      <c r="EI1811" s="38"/>
      <c r="EJ1811" s="38"/>
      <c r="EK1811" s="38"/>
      <c r="EL1811" s="38"/>
      <c r="EM1811" s="38"/>
      <c r="EN1811" s="38"/>
      <c r="EO1811" s="38"/>
      <c r="EP1811" s="38"/>
      <c r="EQ1811" s="38"/>
      <c r="ER1811" s="38"/>
      <c r="ES1811" s="38"/>
      <c r="ET1811" s="38"/>
      <c r="EU1811" s="38"/>
      <c r="EV1811" s="38"/>
      <c r="EW1811" s="38"/>
      <c r="EX1811" s="38"/>
      <c r="EY1811" s="38"/>
      <c r="EZ1811" s="38"/>
      <c r="FA1811" s="38"/>
      <c r="FB1811" s="38"/>
      <c r="FC1811" s="38"/>
      <c r="FD1811" s="38"/>
      <c r="FE1811" s="38"/>
      <c r="FF1811" s="38"/>
      <c r="FG1811" s="38"/>
      <c r="FH1811" s="38"/>
      <c r="FI1811" s="38"/>
      <c r="FJ1811" s="38"/>
      <c r="FK1811" s="38"/>
      <c r="FL1811" s="38"/>
      <c r="FM1811" s="38"/>
      <c r="FN1811" s="38"/>
      <c r="FO1811" s="38"/>
      <c r="FP1811" s="38"/>
      <c r="FQ1811" s="38"/>
      <c r="FR1811" s="38"/>
      <c r="FS1811" s="38"/>
      <c r="FT1811" s="38"/>
      <c r="FU1811" s="38"/>
      <c r="FV1811" s="38"/>
      <c r="FW1811" s="38"/>
      <c r="FX1811" s="38"/>
      <c r="FY1811" s="38"/>
      <c r="FZ1811" s="38"/>
      <c r="GA1811" s="38"/>
      <c r="GB1811" s="38"/>
      <c r="GC1811" s="38"/>
      <c r="GD1811" s="38"/>
      <c r="GE1811" s="38"/>
      <c r="GF1811" s="38"/>
      <c r="GG1811" s="38"/>
      <c r="GH1811" s="38"/>
      <c r="GI1811" s="38"/>
      <c r="GJ1811" s="38"/>
      <c r="GK1811" s="38"/>
      <c r="GL1811" s="38"/>
      <c r="GM1811" s="38"/>
      <c r="GN1811" s="38"/>
      <c r="GO1811" s="38"/>
      <c r="GP1811" s="38"/>
      <c r="GQ1811" s="38"/>
      <c r="GR1811" s="38"/>
      <c r="GS1811" s="38"/>
      <c r="GT1811" s="38"/>
      <c r="GU1811" s="38"/>
      <c r="GV1811" s="38"/>
      <c r="GW1811" s="38"/>
      <c r="GX1811" s="38"/>
      <c r="GY1811" s="38"/>
      <c r="GZ1811" s="38"/>
      <c r="HA1811" s="38"/>
      <c r="HB1811" s="38"/>
      <c r="HC1811" s="38"/>
      <c r="HD1811" s="38"/>
      <c r="HE1811" s="38"/>
      <c r="HF1811" s="38"/>
      <c r="HG1811" s="38"/>
      <c r="HH1811" s="38"/>
      <c r="HI1811" s="38"/>
      <c r="HJ1811" s="38"/>
      <c r="HK1811" s="38"/>
      <c r="HL1811" s="38"/>
      <c r="HM1811" s="38"/>
      <c r="HN1811" s="38"/>
      <c r="HO1811" s="38"/>
      <c r="HP1811" s="38"/>
      <c r="HQ1811" s="38"/>
      <c r="HR1811" s="38"/>
      <c r="HS1811" s="38"/>
      <c r="HT1811" s="38"/>
      <c r="HU1811" s="38"/>
      <c r="HV1811" s="38"/>
      <c r="HW1811" s="38"/>
      <c r="HX1811" s="38"/>
      <c r="HY1811" s="38"/>
      <c r="HZ1811" s="38"/>
      <c r="IA1811" s="38"/>
      <c r="IB1811" s="38"/>
      <c r="IC1811" s="38"/>
      <c r="ID1811" s="38"/>
      <c r="IE1811" s="38"/>
      <c r="IF1811" s="38"/>
      <c r="IG1811" s="38"/>
      <c r="IH1811" s="38"/>
      <c r="II1811" s="38"/>
      <c r="IJ1811" s="38"/>
      <c r="IK1811" s="38"/>
      <c r="IL1811" s="38"/>
      <c r="IM1811" s="38"/>
      <c r="IN1811" s="38"/>
      <c r="IO1811" s="38"/>
      <c r="IP1811" s="38"/>
      <c r="IQ1811" s="38"/>
      <c r="IR1811" s="38"/>
      <c r="IS1811" s="38"/>
      <c r="IT1811" s="38"/>
      <c r="IU1811" s="38"/>
      <c r="IV1811" s="38"/>
      <c r="IW1811" s="38"/>
      <c r="IX1811" s="38"/>
      <c r="IY1811" s="38"/>
      <c r="IZ1811" s="38"/>
      <c r="JA1811" s="38"/>
      <c r="JB1811" s="38"/>
      <c r="JC1811" s="38"/>
      <c r="JD1811" s="38"/>
      <c r="JE1811" s="38"/>
      <c r="JF1811" s="38"/>
      <c r="JG1811" s="38"/>
      <c r="JH1811" s="38"/>
      <c r="JI1811" s="38"/>
      <c r="JJ1811" s="38"/>
      <c r="JK1811" s="38"/>
      <c r="JL1811" s="38"/>
      <c r="JM1811" s="38"/>
      <c r="JN1811" s="38"/>
      <c r="JO1811" s="38"/>
      <c r="JP1811" s="38"/>
      <c r="JQ1811" s="38"/>
      <c r="JR1811" s="38"/>
      <c r="JS1811" s="38"/>
      <c r="JT1811" s="38"/>
      <c r="JU1811" s="38"/>
      <c r="JV1811" s="38"/>
      <c r="JW1811" s="38"/>
      <c r="JX1811" s="38"/>
      <c r="JY1811" s="38"/>
      <c r="JZ1811" s="38"/>
      <c r="KA1811" s="38"/>
      <c r="KB1811" s="38"/>
      <c r="KC1811" s="38"/>
      <c r="KD1811" s="38"/>
      <c r="KE1811" s="38"/>
      <c r="KF1811" s="38"/>
      <c r="KG1811" s="38"/>
      <c r="KH1811" s="38"/>
      <c r="KI1811" s="38"/>
      <c r="KJ1811" s="38"/>
      <c r="KK1811" s="38"/>
      <c r="KL1811" s="38"/>
      <c r="KM1811" s="38"/>
      <c r="KN1811" s="38"/>
      <c r="KO1811" s="38"/>
      <c r="KP1811" s="38"/>
      <c r="KQ1811" s="38"/>
      <c r="KR1811" s="38"/>
      <c r="KS1811" s="38"/>
      <c r="KT1811" s="38"/>
      <c r="KU1811" s="38"/>
      <c r="KV1811" s="38"/>
      <c r="KW1811" s="38"/>
      <c r="KX1811" s="38"/>
      <c r="KY1811" s="38"/>
      <c r="KZ1811" s="38"/>
      <c r="LA1811" s="38"/>
      <c r="LB1811" s="38"/>
      <c r="LC1811" s="38"/>
      <c r="LD1811" s="38"/>
      <c r="LE1811" s="38"/>
      <c r="LF1811" s="38"/>
      <c r="LG1811" s="38"/>
      <c r="LH1811" s="38"/>
      <c r="LI1811" s="38"/>
      <c r="LJ1811" s="38"/>
      <c r="LK1811" s="38"/>
      <c r="LL1811" s="38"/>
      <c r="LM1811" s="38"/>
      <c r="LN1811" s="38"/>
      <c r="LO1811" s="38"/>
      <c r="LP1811" s="38"/>
      <c r="LQ1811" s="38"/>
      <c r="LR1811" s="38"/>
      <c r="LS1811" s="38"/>
      <c r="LT1811" s="38"/>
      <c r="LU1811" s="38"/>
      <c r="LV1811" s="38"/>
      <c r="LW1811" s="38"/>
      <c r="LX1811" s="38"/>
      <c r="LY1811" s="38"/>
      <c r="LZ1811" s="38"/>
      <c r="MA1811" s="38"/>
      <c r="MB1811" s="38"/>
      <c r="MC1811" s="38"/>
      <c r="MD1811" s="38"/>
      <c r="ME1811" s="38"/>
      <c r="MF1811" s="38"/>
      <c r="MG1811" s="38"/>
      <c r="MH1811" s="38"/>
      <c r="MI1811" s="38"/>
      <c r="MJ1811" s="38"/>
      <c r="MK1811" s="38"/>
      <c r="ML1811" s="38"/>
      <c r="MM1811" s="38"/>
      <c r="MN1811" s="38"/>
      <c r="MO1811" s="38"/>
      <c r="MP1811" s="38"/>
      <c r="MQ1811" s="38"/>
      <c r="MR1811" s="38"/>
      <c r="MS1811" s="38"/>
      <c r="MT1811" s="38"/>
      <c r="MU1811" s="38"/>
      <c r="MV1811" s="38"/>
      <c r="MW1811" s="38"/>
      <c r="MX1811" s="38"/>
      <c r="MY1811" s="38"/>
      <c r="MZ1811" s="38"/>
      <c r="NA1811" s="38"/>
      <c r="NB1811" s="38"/>
      <c r="NC1811" s="38"/>
      <c r="ND1811" s="38"/>
      <c r="NE1811" s="38"/>
      <c r="NF1811" s="38"/>
      <c r="NG1811" s="38"/>
      <c r="NH1811" s="38"/>
      <c r="NI1811" s="38"/>
      <c r="NJ1811" s="38"/>
      <c r="NK1811" s="38"/>
      <c r="NL1811" s="38"/>
      <c r="NM1811" s="38"/>
      <c r="NN1811" s="38"/>
      <c r="NO1811" s="38"/>
      <c r="NP1811" s="38"/>
      <c r="NQ1811" s="38"/>
      <c r="NR1811" s="38"/>
      <c r="NS1811" s="38"/>
      <c r="NT1811" s="38"/>
      <c r="NU1811" s="38"/>
      <c r="NV1811" s="38"/>
      <c r="NW1811" s="38"/>
      <c r="NX1811" s="38"/>
      <c r="NY1811" s="38"/>
      <c r="NZ1811" s="38"/>
      <c r="OA1811" s="38"/>
      <c r="OB1811" s="38"/>
      <c r="OC1811" s="38"/>
      <c r="OD1811" s="38"/>
      <c r="OE1811" s="38"/>
      <c r="OF1811" s="38"/>
      <c r="OG1811" s="38"/>
      <c r="OH1811" s="38"/>
      <c r="OI1811" s="38"/>
      <c r="OJ1811" s="38"/>
      <c r="OK1811" s="38"/>
      <c r="OL1811" s="38"/>
      <c r="OM1811" s="38"/>
      <c r="ON1811" s="38"/>
      <c r="OO1811" s="38"/>
      <c r="OP1811" s="38"/>
      <c r="OQ1811" s="38"/>
      <c r="OR1811" s="38"/>
      <c r="OS1811" s="38"/>
      <c r="OT1811" s="38"/>
      <c r="OU1811" s="38"/>
      <c r="OV1811" s="38"/>
      <c r="OW1811" s="38"/>
      <c r="OX1811" s="38"/>
      <c r="OY1811" s="38"/>
      <c r="OZ1811" s="38"/>
      <c r="PA1811" s="38"/>
      <c r="PB1811" s="38"/>
      <c r="PC1811" s="38"/>
      <c r="PD1811" s="38"/>
      <c r="PE1811" s="38"/>
      <c r="PF1811" s="38"/>
      <c r="PG1811" s="38"/>
      <c r="PH1811" s="38"/>
      <c r="PI1811" s="38"/>
      <c r="PJ1811" s="38"/>
      <c r="PK1811" s="38"/>
      <c r="PL1811" s="38"/>
      <c r="PM1811" s="38"/>
      <c r="PN1811" s="38"/>
      <c r="PO1811" s="38"/>
      <c r="PP1811" s="38"/>
      <c r="PQ1811" s="38"/>
      <c r="PR1811" s="38"/>
      <c r="PS1811" s="38"/>
      <c r="PT1811" s="38"/>
      <c r="PU1811" s="38"/>
      <c r="PV1811" s="38"/>
      <c r="PW1811" s="38"/>
      <c r="PX1811" s="38"/>
      <c r="PY1811" s="38"/>
      <c r="PZ1811" s="38"/>
      <c r="QA1811" s="38"/>
      <c r="QB1811" s="38"/>
      <c r="QC1811" s="38"/>
      <c r="QD1811" s="38"/>
      <c r="QE1811" s="38"/>
      <c r="QF1811" s="38"/>
      <c r="QG1811" s="38"/>
      <c r="QH1811" s="38"/>
      <c r="QI1811" s="38"/>
      <c r="QJ1811" s="38"/>
      <c r="QK1811" s="38"/>
      <c r="QL1811" s="38"/>
      <c r="QM1811" s="38"/>
      <c r="QN1811" s="38"/>
      <c r="QO1811" s="38"/>
      <c r="QP1811" s="38"/>
      <c r="QQ1811" s="38"/>
      <c r="QR1811" s="38"/>
      <c r="QS1811" s="38"/>
      <c r="QT1811" s="38"/>
      <c r="QU1811" s="38"/>
      <c r="QV1811" s="38"/>
      <c r="QW1811" s="38"/>
      <c r="QX1811" s="38"/>
      <c r="QY1811" s="38"/>
      <c r="QZ1811" s="38"/>
      <c r="RA1811" s="38"/>
      <c r="RB1811" s="38"/>
      <c r="RC1811" s="38"/>
      <c r="RD1811" s="38"/>
      <c r="RE1811" s="38"/>
      <c r="RF1811" s="38"/>
      <c r="RG1811" s="38"/>
      <c r="RH1811" s="38"/>
      <c r="RI1811" s="38"/>
      <c r="RJ1811" s="38"/>
      <c r="RK1811" s="38"/>
      <c r="RL1811" s="38"/>
      <c r="RM1811" s="38"/>
      <c r="RN1811" s="38"/>
      <c r="RO1811" s="38"/>
      <c r="RP1811" s="38"/>
      <c r="RQ1811" s="38"/>
      <c r="RR1811" s="38"/>
      <c r="RS1811" s="38"/>
      <c r="RT1811" s="38"/>
      <c r="RU1811" s="38"/>
      <c r="RV1811" s="38"/>
      <c r="RW1811" s="38"/>
      <c r="RX1811" s="38"/>
      <c r="RY1811" s="38"/>
      <c r="RZ1811" s="38"/>
      <c r="SA1811" s="38"/>
      <c r="SB1811" s="38"/>
      <c r="SC1811" s="38"/>
      <c r="SD1811" s="38"/>
      <c r="SE1811" s="38"/>
      <c r="SF1811" s="38"/>
      <c r="SG1811" s="38"/>
      <c r="SH1811" s="38"/>
      <c r="SI1811" s="38"/>
      <c r="SJ1811" s="38"/>
      <c r="SK1811" s="38"/>
      <c r="SL1811" s="38"/>
      <c r="SM1811" s="38"/>
      <c r="SN1811" s="38"/>
      <c r="SO1811" s="38"/>
      <c r="SP1811" s="38"/>
      <c r="SQ1811" s="38"/>
      <c r="SR1811" s="38"/>
      <c r="SS1811" s="38"/>
      <c r="ST1811" s="38"/>
      <c r="SU1811" s="38"/>
      <c r="SV1811" s="38"/>
      <c r="SW1811" s="38"/>
      <c r="SX1811" s="38"/>
      <c r="SY1811" s="38"/>
      <c r="SZ1811" s="38"/>
      <c r="TA1811" s="38"/>
      <c r="TB1811" s="38"/>
      <c r="TC1811" s="38"/>
      <c r="TD1811" s="38"/>
      <c r="TE1811" s="38"/>
      <c r="TF1811" s="38"/>
      <c r="TG1811" s="38"/>
      <c r="TH1811" s="38"/>
      <c r="TI1811" s="38"/>
      <c r="TJ1811" s="38"/>
      <c r="TK1811" s="38"/>
      <c r="TL1811" s="38"/>
      <c r="TM1811" s="38"/>
      <c r="TN1811" s="38"/>
      <c r="TO1811" s="38"/>
      <c r="TP1811" s="38"/>
      <c r="TQ1811" s="38"/>
      <c r="TR1811" s="38"/>
      <c r="TS1811" s="38"/>
      <c r="TT1811" s="38"/>
      <c r="TU1811" s="38"/>
      <c r="TV1811" s="38"/>
      <c r="TW1811" s="38"/>
      <c r="TX1811" s="38"/>
      <c r="TY1811" s="38"/>
      <c r="TZ1811" s="38"/>
      <c r="UA1811" s="38"/>
      <c r="UB1811" s="38"/>
      <c r="UC1811" s="38"/>
      <c r="UD1811" s="38"/>
      <c r="UE1811" s="38"/>
      <c r="UF1811" s="38"/>
      <c r="UG1811" s="38"/>
      <c r="UH1811" s="38"/>
      <c r="UI1811" s="38"/>
      <c r="UJ1811" s="38"/>
      <c r="UK1811" s="38"/>
      <c r="UL1811" s="38"/>
      <c r="UM1811" s="38"/>
      <c r="UN1811" s="38"/>
      <c r="UO1811" s="38"/>
      <c r="UP1811" s="38"/>
      <c r="UQ1811" s="38"/>
      <c r="UR1811" s="38"/>
      <c r="US1811" s="38"/>
      <c r="UT1811" s="38"/>
      <c r="UU1811" s="38"/>
      <c r="UV1811" s="38"/>
      <c r="UW1811" s="38"/>
      <c r="UX1811" s="38"/>
      <c r="UY1811" s="38"/>
      <c r="UZ1811" s="38"/>
      <c r="VA1811" s="38"/>
      <c r="VB1811" s="38"/>
      <c r="VC1811" s="38"/>
      <c r="VD1811" s="38"/>
      <c r="VE1811" s="38"/>
      <c r="VF1811" s="38"/>
      <c r="VG1811" s="38"/>
      <c r="VH1811" s="38"/>
      <c r="VI1811" s="38"/>
      <c r="VJ1811" s="38"/>
      <c r="VK1811" s="38"/>
      <c r="VL1811" s="38"/>
      <c r="VM1811" s="38"/>
      <c r="VN1811" s="38"/>
      <c r="VO1811" s="38"/>
      <c r="VP1811" s="38"/>
      <c r="VQ1811" s="38"/>
      <c r="VR1811" s="38"/>
      <c r="VS1811" s="38"/>
      <c r="VT1811" s="38"/>
      <c r="VU1811" s="38"/>
      <c r="VV1811" s="38"/>
      <c r="VW1811" s="38"/>
      <c r="VX1811" s="38"/>
      <c r="VY1811" s="38"/>
      <c r="VZ1811" s="38"/>
      <c r="WA1811" s="38"/>
      <c r="WB1811" s="38"/>
      <c r="WC1811" s="38"/>
      <c r="WD1811" s="38"/>
      <c r="WE1811" s="38"/>
      <c r="WF1811" s="38"/>
      <c r="WG1811" s="38"/>
      <c r="WH1811" s="38"/>
      <c r="WI1811" s="38"/>
      <c r="WJ1811" s="38"/>
      <c r="WK1811" s="38"/>
      <c r="WL1811" s="38"/>
      <c r="WM1811" s="38"/>
      <c r="WN1811" s="38"/>
      <c r="WO1811" s="38"/>
      <c r="WP1811" s="38"/>
      <c r="WQ1811" s="38"/>
      <c r="WR1811" s="38"/>
      <c r="WS1811" s="38"/>
      <c r="WT1811" s="38"/>
      <c r="WU1811" s="38"/>
      <c r="WV1811" s="38"/>
      <c r="WW1811" s="38"/>
      <c r="WX1811" s="38"/>
      <c r="WY1811" s="38"/>
      <c r="WZ1811" s="38"/>
      <c r="XA1811" s="38"/>
      <c r="XB1811" s="38"/>
      <c r="XC1811" s="38"/>
      <c r="XD1811" s="38"/>
      <c r="XE1811" s="38"/>
      <c r="XF1811" s="38"/>
      <c r="XG1811" s="38"/>
      <c r="XH1811" s="38"/>
      <c r="XI1811" s="38"/>
      <c r="XJ1811" s="38"/>
      <c r="XK1811" s="38"/>
      <c r="XL1811" s="38"/>
      <c r="XM1811" s="38"/>
      <c r="XN1811" s="38"/>
      <c r="XO1811" s="38"/>
      <c r="XP1811" s="38"/>
      <c r="XQ1811" s="38"/>
      <c r="XR1811" s="38"/>
      <c r="XS1811" s="38"/>
      <c r="XT1811" s="38"/>
      <c r="XU1811" s="38"/>
      <c r="XV1811" s="38"/>
      <c r="XW1811" s="38"/>
      <c r="XX1811" s="38"/>
      <c r="XY1811" s="38"/>
      <c r="XZ1811" s="38"/>
      <c r="YA1811" s="38"/>
      <c r="YB1811" s="38"/>
      <c r="YC1811" s="38"/>
      <c r="YD1811" s="38"/>
      <c r="YE1811" s="38"/>
      <c r="YF1811" s="38"/>
      <c r="YG1811" s="38"/>
      <c r="YH1811" s="38"/>
      <c r="YI1811" s="38"/>
      <c r="YJ1811" s="38"/>
      <c r="YK1811" s="38"/>
      <c r="YL1811" s="38"/>
      <c r="YM1811" s="38"/>
      <c r="YN1811" s="38"/>
      <c r="YO1811" s="38"/>
      <c r="YP1811" s="38"/>
      <c r="YQ1811" s="38"/>
      <c r="YR1811" s="38"/>
      <c r="YS1811" s="38"/>
      <c r="YT1811" s="38"/>
      <c r="YU1811" s="38"/>
      <c r="YV1811" s="38"/>
      <c r="YW1811" s="38"/>
      <c r="YX1811" s="38"/>
      <c r="YY1811" s="38"/>
      <c r="YZ1811" s="38"/>
      <c r="ZA1811" s="38"/>
      <c r="ZB1811" s="38"/>
      <c r="ZC1811" s="38"/>
      <c r="ZD1811" s="38"/>
      <c r="ZE1811" s="38"/>
      <c r="ZF1811" s="38"/>
      <c r="ZG1811" s="38"/>
      <c r="ZH1811" s="38"/>
      <c r="ZI1811" s="38"/>
      <c r="ZJ1811" s="38"/>
      <c r="ZK1811" s="38"/>
      <c r="ZL1811" s="38"/>
      <c r="ZM1811" s="38"/>
      <c r="ZN1811" s="38"/>
      <c r="ZO1811" s="38"/>
      <c r="ZP1811" s="38"/>
      <c r="ZQ1811" s="38"/>
      <c r="ZR1811" s="38"/>
      <c r="ZS1811" s="38"/>
      <c r="ZT1811" s="38"/>
      <c r="ZU1811" s="38"/>
      <c r="ZV1811" s="38"/>
      <c r="ZW1811" s="38"/>
      <c r="ZX1811" s="38"/>
      <c r="ZY1811" s="38"/>
      <c r="ZZ1811" s="38"/>
      <c r="AAA1811" s="38"/>
      <c r="AAB1811" s="38"/>
      <c r="AAC1811" s="38"/>
      <c r="AAD1811" s="38"/>
      <c r="AAE1811" s="38"/>
      <c r="AAF1811" s="38"/>
      <c r="AAG1811" s="38"/>
      <c r="AAH1811" s="38"/>
      <c r="AAI1811" s="38"/>
      <c r="AAJ1811" s="38"/>
      <c r="AAK1811" s="38"/>
      <c r="AAL1811" s="38"/>
      <c r="AAM1811" s="38"/>
      <c r="AAN1811" s="38"/>
      <c r="AAO1811" s="38"/>
      <c r="AAP1811" s="38"/>
      <c r="AAQ1811" s="38"/>
      <c r="AAR1811" s="38"/>
      <c r="AAS1811" s="38"/>
      <c r="AAT1811" s="38"/>
      <c r="AAU1811" s="38"/>
      <c r="AAV1811" s="38"/>
      <c r="AAW1811" s="38"/>
      <c r="AAX1811" s="38"/>
      <c r="AAY1811" s="38"/>
      <c r="AAZ1811" s="38"/>
      <c r="ABA1811" s="38"/>
      <c r="ABB1811" s="38"/>
      <c r="ABC1811" s="38"/>
      <c r="ABD1811" s="38"/>
      <c r="ABE1811" s="38"/>
      <c r="ABF1811" s="38"/>
      <c r="ABG1811" s="38"/>
      <c r="ABH1811" s="38"/>
      <c r="ABI1811" s="38"/>
      <c r="ABJ1811" s="38"/>
      <c r="ABK1811" s="38"/>
      <c r="ABL1811" s="38"/>
      <c r="ABM1811" s="38"/>
      <c r="ABN1811" s="38"/>
      <c r="ABO1811" s="38"/>
      <c r="ABP1811" s="38"/>
      <c r="ABQ1811" s="38"/>
      <c r="ABR1811" s="38"/>
      <c r="ABS1811" s="38"/>
      <c r="ABT1811" s="38"/>
      <c r="ABU1811" s="38"/>
      <c r="ABV1811" s="38"/>
      <c r="ABW1811" s="38"/>
      <c r="ABX1811" s="38"/>
      <c r="ABY1811" s="38"/>
      <c r="ABZ1811" s="38"/>
      <c r="ACA1811" s="38"/>
      <c r="ACB1811" s="38"/>
      <c r="ACC1811" s="38"/>
      <c r="ACD1811" s="38"/>
      <c r="ACE1811" s="38"/>
      <c r="ACF1811" s="38"/>
      <c r="ACG1811" s="38"/>
      <c r="ACH1811" s="38"/>
      <c r="ACI1811" s="38"/>
      <c r="ACJ1811" s="38"/>
      <c r="ACK1811" s="38"/>
      <c r="ACL1811" s="38"/>
      <c r="ACM1811" s="38"/>
      <c r="ACN1811" s="38"/>
      <c r="ACO1811" s="38"/>
      <c r="ACP1811" s="38"/>
      <c r="ACQ1811" s="38"/>
      <c r="ACR1811" s="38"/>
      <c r="ACS1811" s="38"/>
      <c r="ACT1811" s="38"/>
      <c r="ACU1811" s="38"/>
      <c r="ACV1811" s="38"/>
      <c r="ACW1811" s="38"/>
      <c r="ACX1811" s="38"/>
      <c r="ACY1811" s="38"/>
      <c r="ACZ1811" s="38"/>
      <c r="ADA1811" s="38"/>
      <c r="ADB1811" s="38"/>
      <c r="ADC1811" s="38"/>
      <c r="ADD1811" s="38"/>
      <c r="ADE1811" s="38"/>
      <c r="ADF1811" s="38"/>
      <c r="ADG1811" s="38"/>
      <c r="ADH1811" s="38"/>
      <c r="ADI1811" s="38"/>
      <c r="ADJ1811" s="38"/>
      <c r="ADK1811" s="38"/>
      <c r="ADL1811" s="38"/>
      <c r="ADM1811" s="38"/>
      <c r="ADN1811" s="38"/>
      <c r="ADO1811" s="38"/>
      <c r="ADP1811" s="38"/>
      <c r="ADQ1811" s="38"/>
      <c r="ADR1811" s="38"/>
      <c r="ADS1811" s="38"/>
      <c r="ADT1811" s="38"/>
      <c r="ADU1811" s="38"/>
      <c r="ADV1811" s="38"/>
      <c r="ADW1811" s="38"/>
      <c r="ADX1811" s="38"/>
      <c r="ADY1811" s="38"/>
      <c r="ADZ1811" s="38"/>
      <c r="AEA1811" s="38"/>
      <c r="AEB1811" s="38"/>
      <c r="AEC1811" s="38"/>
      <c r="AED1811" s="38"/>
      <c r="AEE1811" s="38"/>
      <c r="AEF1811" s="38"/>
      <c r="AEG1811" s="38"/>
      <c r="AEH1811" s="38"/>
      <c r="AEI1811" s="38"/>
      <c r="AEJ1811" s="38"/>
      <c r="AEK1811" s="38"/>
      <c r="AEL1811" s="38"/>
      <c r="AEM1811" s="38"/>
      <c r="AEN1811" s="38"/>
      <c r="AEO1811" s="38"/>
      <c r="AEP1811" s="38"/>
      <c r="AEQ1811" s="38"/>
      <c r="AER1811" s="38"/>
      <c r="AES1811" s="38"/>
      <c r="AET1811" s="38"/>
      <c r="AEU1811" s="38"/>
      <c r="AEV1811" s="38"/>
      <c r="AEW1811" s="38"/>
      <c r="AEX1811" s="38"/>
      <c r="AEY1811" s="38"/>
      <c r="AEZ1811" s="38"/>
      <c r="AFA1811" s="38"/>
      <c r="AFB1811" s="38"/>
      <c r="AFC1811" s="38"/>
      <c r="AFD1811" s="38"/>
      <c r="AFE1811" s="38"/>
      <c r="AFF1811" s="38"/>
      <c r="AFG1811" s="38"/>
      <c r="AFH1811" s="38"/>
      <c r="AFI1811" s="38"/>
      <c r="AFJ1811" s="38"/>
      <c r="AFK1811" s="38"/>
      <c r="AFL1811" s="38"/>
      <c r="AFM1811" s="38"/>
      <c r="AFN1811" s="38"/>
      <c r="AFO1811" s="38"/>
      <c r="AFP1811" s="38"/>
      <c r="AFQ1811" s="38"/>
      <c r="AFR1811" s="38"/>
      <c r="AFS1811" s="38"/>
      <c r="AFT1811" s="38"/>
      <c r="AFU1811" s="38"/>
      <c r="AFV1811" s="38"/>
      <c r="AFW1811" s="38"/>
      <c r="AFX1811" s="38"/>
      <c r="AFY1811" s="38"/>
      <c r="AFZ1811" s="38"/>
      <c r="AGA1811" s="38"/>
      <c r="AGB1811" s="38"/>
      <c r="AGC1811" s="38"/>
      <c r="AGD1811" s="38"/>
      <c r="AGE1811" s="38"/>
      <c r="AGF1811" s="38"/>
      <c r="AGG1811" s="38"/>
      <c r="AGH1811" s="38"/>
      <c r="AGI1811" s="38"/>
      <c r="AGJ1811" s="38"/>
      <c r="AGK1811" s="38"/>
      <c r="AGL1811" s="38"/>
      <c r="AGM1811" s="38"/>
      <c r="AGN1811" s="38"/>
      <c r="AGO1811" s="38"/>
      <c r="AGP1811" s="38"/>
      <c r="AGQ1811" s="38"/>
      <c r="AGR1811" s="38"/>
      <c r="AGS1811" s="38"/>
      <c r="AGT1811" s="38"/>
      <c r="AGU1811" s="38"/>
      <c r="AGV1811" s="38"/>
      <c r="AGW1811" s="38"/>
      <c r="AGX1811" s="38"/>
      <c r="AGY1811" s="38"/>
      <c r="AGZ1811" s="38"/>
      <c r="AHA1811" s="38"/>
      <c r="AHB1811" s="38"/>
      <c r="AHC1811" s="38"/>
      <c r="AHD1811" s="38"/>
      <c r="AHE1811" s="38"/>
      <c r="AHF1811" s="38"/>
      <c r="AHG1811" s="38"/>
      <c r="AHH1811" s="38"/>
      <c r="AHI1811" s="38"/>
      <c r="AHJ1811" s="38"/>
      <c r="AHK1811" s="38"/>
      <c r="AHL1811" s="38"/>
      <c r="AHM1811" s="38"/>
      <c r="AHN1811" s="38"/>
      <c r="AHO1811" s="38"/>
      <c r="AHP1811" s="38"/>
      <c r="AHQ1811" s="38"/>
      <c r="AHR1811" s="38"/>
      <c r="AHS1811" s="38"/>
      <c r="AHT1811" s="38"/>
      <c r="AHU1811" s="38"/>
      <c r="AHV1811" s="38"/>
      <c r="AHW1811" s="38"/>
      <c r="AHX1811" s="38"/>
      <c r="AHY1811" s="38"/>
      <c r="AHZ1811" s="38"/>
      <c r="AIA1811" s="38"/>
      <c r="AIB1811" s="38"/>
      <c r="AIC1811" s="38"/>
      <c r="AID1811" s="38"/>
      <c r="AIE1811" s="38"/>
      <c r="AIF1811" s="38"/>
      <c r="AIG1811" s="38"/>
      <c r="AIH1811" s="38"/>
      <c r="AII1811" s="38"/>
      <c r="AIJ1811" s="38"/>
      <c r="AIK1811" s="38"/>
      <c r="AIL1811" s="38"/>
      <c r="AIM1811" s="38"/>
      <c r="AIN1811" s="38"/>
      <c r="AIO1811" s="38"/>
      <c r="AIP1811" s="38"/>
      <c r="AIQ1811" s="38"/>
      <c r="AIR1811" s="38"/>
      <c r="AIS1811" s="38"/>
      <c r="AIT1811" s="38"/>
      <c r="AIU1811" s="38"/>
      <c r="AIV1811" s="38"/>
      <c r="AIW1811" s="38"/>
      <c r="AIX1811" s="38"/>
      <c r="AIY1811" s="38"/>
      <c r="AIZ1811" s="38"/>
      <c r="AJA1811" s="38"/>
      <c r="AJB1811" s="38"/>
      <c r="AJC1811" s="38"/>
      <c r="AJD1811" s="38"/>
      <c r="AJE1811" s="38"/>
      <c r="AJF1811" s="38"/>
      <c r="AJG1811" s="38"/>
      <c r="AJH1811" s="38"/>
      <c r="AJI1811" s="38"/>
      <c r="AJJ1811" s="38"/>
      <c r="AJK1811" s="38"/>
      <c r="AJL1811" s="38"/>
      <c r="AJM1811" s="38"/>
      <c r="AJN1811" s="38"/>
      <c r="AJO1811" s="38"/>
      <c r="AJP1811" s="38"/>
      <c r="AJQ1811" s="38"/>
      <c r="AJR1811" s="38"/>
      <c r="AJS1811" s="38"/>
      <c r="AJT1811" s="38"/>
      <c r="AJU1811" s="38"/>
      <c r="AJV1811" s="38"/>
      <c r="AJW1811" s="38"/>
      <c r="AJX1811" s="38"/>
      <c r="AJY1811" s="38"/>
      <c r="AJZ1811" s="38"/>
      <c r="AKA1811" s="38"/>
      <c r="AKB1811" s="38"/>
      <c r="AKC1811" s="38"/>
      <c r="AKD1811" s="38"/>
      <c r="AKE1811" s="38"/>
      <c r="AKF1811" s="38"/>
      <c r="AKG1811" s="38"/>
      <c r="AKH1811" s="38"/>
      <c r="AKI1811" s="38"/>
      <c r="AKJ1811" s="38"/>
      <c r="AKK1811" s="38"/>
      <c r="AKL1811" s="38"/>
      <c r="AKM1811" s="38"/>
      <c r="AKN1811" s="38"/>
      <c r="AKO1811" s="38"/>
      <c r="AKP1811" s="38"/>
      <c r="AKQ1811" s="38"/>
      <c r="AKR1811" s="38"/>
      <c r="AKS1811" s="38"/>
      <c r="AKT1811" s="38"/>
      <c r="AKU1811" s="38"/>
      <c r="AKV1811" s="38"/>
      <c r="AKW1811" s="38"/>
      <c r="AKX1811" s="38"/>
      <c r="AKY1811" s="38"/>
      <c r="AKZ1811" s="38"/>
      <c r="ALA1811" s="38"/>
      <c r="ALB1811" s="38"/>
      <c r="ALC1811" s="38"/>
      <c r="ALD1811" s="38"/>
      <c r="ALE1811" s="38"/>
      <c r="ALF1811" s="38"/>
      <c r="ALG1811" s="38"/>
      <c r="ALH1811" s="38"/>
      <c r="ALI1811" s="38"/>
      <c r="ALJ1811" s="38"/>
      <c r="ALK1811" s="38"/>
      <c r="ALL1811" s="38"/>
      <c r="ALM1811" s="38"/>
      <c r="ALN1811" s="38"/>
      <c r="ALO1811" s="38"/>
      <c r="ALP1811" s="38"/>
      <c r="ALQ1811" s="38"/>
      <c r="ALR1811" s="38"/>
      <c r="ALS1811" s="38"/>
      <c r="ALT1811" s="38"/>
      <c r="ALU1811" s="38"/>
      <c r="ALV1811" s="38"/>
      <c r="ALW1811" s="38"/>
      <c r="ALX1811" s="38"/>
      <c r="ALY1811" s="38"/>
      <c r="ALZ1811" s="38"/>
      <c r="AMA1811" s="38"/>
      <c r="AMB1811" s="38"/>
      <c r="AMC1811" s="38"/>
      <c r="AMD1811" s="38"/>
      <c r="AME1811" s="38"/>
      <c r="AMF1811" s="38"/>
      <c r="AMG1811" s="38"/>
      <c r="AMH1811" s="38"/>
      <c r="AMI1811" s="38"/>
      <c r="AMJ1811" s="38"/>
      <c r="AMK1811" s="38"/>
      <c r="AML1811" s="38"/>
      <c r="AMM1811" s="38"/>
      <c r="AMN1811" s="38"/>
      <c r="AMO1811" s="38"/>
      <c r="AMP1811" s="38"/>
      <c r="AMQ1811" s="38"/>
      <c r="AMR1811" s="38"/>
      <c r="AMS1811" s="38"/>
      <c r="AMT1811" s="38"/>
      <c r="AMU1811" s="38"/>
      <c r="AMV1811" s="38"/>
      <c r="AMW1811" s="38"/>
      <c r="AMX1811" s="38"/>
      <c r="AMY1811" s="38"/>
      <c r="AMZ1811" s="38"/>
      <c r="ANA1811" s="38"/>
      <c r="ANB1811" s="38"/>
      <c r="ANC1811" s="38"/>
      <c r="AND1811" s="38"/>
      <c r="ANE1811" s="38"/>
      <c r="ANF1811" s="38"/>
      <c r="ANG1811" s="38"/>
      <c r="ANH1811" s="38"/>
      <c r="ANI1811" s="38"/>
      <c r="ANJ1811" s="38"/>
      <c r="ANK1811" s="38"/>
      <c r="ANL1811" s="38"/>
      <c r="ANM1811" s="38"/>
      <c r="ANN1811" s="38"/>
      <c r="ANO1811" s="38"/>
      <c r="ANP1811" s="38"/>
      <c r="ANQ1811" s="38"/>
      <c r="ANR1811" s="38"/>
      <c r="ANS1811" s="38"/>
      <c r="ANT1811" s="38"/>
      <c r="ANU1811" s="38"/>
      <c r="ANV1811" s="38"/>
      <c r="ANW1811" s="38"/>
      <c r="ANX1811" s="38"/>
      <c r="ANY1811" s="38"/>
      <c r="ANZ1811" s="38"/>
      <c r="AOA1811" s="38"/>
      <c r="AOB1811" s="38"/>
      <c r="AOC1811" s="38"/>
      <c r="AOD1811" s="38"/>
      <c r="AOE1811" s="38"/>
      <c r="AOF1811" s="38"/>
      <c r="AOG1811" s="38"/>
      <c r="AOH1811" s="38"/>
      <c r="AOI1811" s="38"/>
      <c r="AOJ1811" s="38"/>
      <c r="AOK1811" s="38"/>
      <c r="AOL1811" s="38"/>
      <c r="AOM1811" s="38"/>
      <c r="AON1811" s="38"/>
      <c r="AOO1811" s="38"/>
      <c r="AOP1811" s="38"/>
      <c r="AOQ1811" s="38"/>
      <c r="AOR1811" s="38"/>
      <c r="AOS1811" s="38"/>
      <c r="AOT1811" s="38"/>
      <c r="AOU1811" s="38"/>
      <c r="AOV1811" s="38"/>
      <c r="AOW1811" s="38"/>
      <c r="AOX1811" s="38"/>
      <c r="AOY1811" s="38"/>
      <c r="AOZ1811" s="38"/>
      <c r="APA1811" s="38"/>
      <c r="APB1811" s="38"/>
      <c r="APC1811" s="38"/>
    </row>
    <row r="1812" spans="1:1095" s="36" customFormat="1" ht="14.25" customHeight="1">
      <c r="A1812" s="3" t="s">
        <v>1722</v>
      </c>
      <c r="B1812" s="36" t="s">
        <v>4068</v>
      </c>
      <c r="C1812" s="214">
        <v>4058075822535</v>
      </c>
      <c r="D1812" s="239"/>
      <c r="E1812" s="239"/>
      <c r="F1812" s="222" t="s">
        <v>3136</v>
      </c>
      <c r="G1812" s="66" t="str">
        <f>HYPERLINK("https://ledvance.com/pt/product-datasheet/246836/243369","Ficha de Produto")</f>
        <v>Ficha de Produto</v>
      </c>
      <c r="H1812" s="217">
        <v>10</v>
      </c>
      <c r="I1812" s="34" t="s">
        <v>808</v>
      </c>
      <c r="J1812" s="34" t="s">
        <v>809</v>
      </c>
      <c r="K1812" s="34" t="s">
        <v>788</v>
      </c>
      <c r="L1812" s="34" t="s">
        <v>793</v>
      </c>
      <c r="M1812" s="247">
        <v>24.8</v>
      </c>
      <c r="N1812" s="288" t="s">
        <v>722</v>
      </c>
    </row>
    <row r="1813" spans="1:1095" s="36" customFormat="1" ht="14.25" customHeight="1">
      <c r="A1813" s="3" t="s">
        <v>1722</v>
      </c>
      <c r="B1813" s="36" t="s">
        <v>4069</v>
      </c>
      <c r="C1813" s="214">
        <v>4058075822559</v>
      </c>
      <c r="D1813" s="239"/>
      <c r="E1813" s="239"/>
      <c r="F1813" s="222" t="s">
        <v>3136</v>
      </c>
      <c r="G1813" s="66" t="str">
        <f>HYPERLINK("https://ledvance.com/pt/product-datasheet/246836/243375","Ficha de Produto")</f>
        <v>Ficha de Produto</v>
      </c>
      <c r="H1813" s="217">
        <v>10</v>
      </c>
      <c r="I1813" s="34" t="s">
        <v>808</v>
      </c>
      <c r="J1813" s="34" t="s">
        <v>809</v>
      </c>
      <c r="K1813" s="34" t="s">
        <v>788</v>
      </c>
      <c r="L1813" s="34" t="s">
        <v>793</v>
      </c>
      <c r="M1813" s="247">
        <v>24.8</v>
      </c>
      <c r="N1813" s="288" t="s">
        <v>722</v>
      </c>
    </row>
    <row r="1814" spans="1:1095" s="36" customFormat="1" ht="14.25" customHeight="1">
      <c r="A1814" s="3" t="s">
        <v>1722</v>
      </c>
      <c r="B1814" s="36" t="s">
        <v>4070</v>
      </c>
      <c r="C1814" s="214">
        <v>4058075822573</v>
      </c>
      <c r="D1814" s="239"/>
      <c r="E1814" s="239"/>
      <c r="F1814" s="222" t="s">
        <v>3136</v>
      </c>
      <c r="G1814" s="66" t="str">
        <f>HYPERLINK("https://ledvance.com/pt/product-datasheet/246836/243381","Ficha de Produto")</f>
        <v>Ficha de Produto</v>
      </c>
      <c r="H1814" s="217">
        <v>10</v>
      </c>
      <c r="I1814" s="34" t="s">
        <v>786</v>
      </c>
      <c r="J1814" s="34" t="s">
        <v>771</v>
      </c>
      <c r="K1814" s="34" t="s">
        <v>788</v>
      </c>
      <c r="L1814" s="34" t="s">
        <v>793</v>
      </c>
      <c r="M1814" s="247">
        <v>32.1</v>
      </c>
      <c r="N1814" s="288" t="s">
        <v>722</v>
      </c>
    </row>
    <row r="1815" spans="1:1095" s="36" customFormat="1" ht="14.25" customHeight="1">
      <c r="A1815" s="3" t="s">
        <v>1722</v>
      </c>
      <c r="B1815" s="36" t="s">
        <v>4071</v>
      </c>
      <c r="C1815" s="214">
        <v>4058075822597</v>
      </c>
      <c r="D1815" s="239"/>
      <c r="E1815" s="239"/>
      <c r="F1815" s="222" t="s">
        <v>3136</v>
      </c>
      <c r="G1815" s="66" t="str">
        <f>HYPERLINK("https://ledvance.com/pt/product-datasheet/246836/243384","Ficha de Produto")</f>
        <v>Ficha de Produto</v>
      </c>
      <c r="H1815" s="217">
        <v>10</v>
      </c>
      <c r="I1815" s="34" t="s">
        <v>786</v>
      </c>
      <c r="J1815" s="34" t="s">
        <v>771</v>
      </c>
      <c r="K1815" s="34" t="s">
        <v>788</v>
      </c>
      <c r="L1815" s="34" t="s">
        <v>793</v>
      </c>
      <c r="M1815" s="247">
        <v>32.1</v>
      </c>
      <c r="N1815" s="288" t="s">
        <v>722</v>
      </c>
    </row>
    <row r="1816" spans="1:1095" s="39" customFormat="1" ht="14.25" customHeight="1">
      <c r="A1816" s="8" t="s">
        <v>1722</v>
      </c>
      <c r="B1816" s="230" t="s">
        <v>2082</v>
      </c>
      <c r="C1816" s="8"/>
      <c r="D1816" s="7"/>
      <c r="E1816" s="230"/>
      <c r="F1816" s="7"/>
      <c r="G1816" s="68" t="s">
        <v>6505</v>
      </c>
      <c r="H1816" s="230"/>
      <c r="I1816" s="230"/>
      <c r="J1816" s="230"/>
      <c r="K1816" s="230"/>
      <c r="L1816" s="230"/>
      <c r="M1816" s="248"/>
      <c r="N1816" s="292"/>
      <c r="O1816" s="38"/>
      <c r="P1816" s="38"/>
      <c r="Q1816" s="38"/>
      <c r="R1816" s="38"/>
      <c r="S1816" s="38"/>
      <c r="T1816" s="38"/>
      <c r="U1816" s="38"/>
      <c r="V1816" s="38"/>
      <c r="W1816" s="38"/>
      <c r="X1816" s="38"/>
      <c r="Y1816" s="38"/>
      <c r="Z1816" s="38"/>
      <c r="AA1816" s="38"/>
      <c r="AB1816" s="38"/>
      <c r="AC1816" s="38"/>
      <c r="AD1816" s="38"/>
      <c r="AE1816" s="38"/>
      <c r="AF1816" s="38"/>
      <c r="AG1816" s="38"/>
      <c r="AH1816" s="38"/>
      <c r="AI1816" s="38"/>
      <c r="AJ1816" s="38"/>
      <c r="AK1816" s="38"/>
      <c r="AL1816" s="38"/>
      <c r="AM1816" s="38"/>
      <c r="AN1816" s="38"/>
      <c r="AO1816" s="38"/>
      <c r="AP1816" s="38"/>
      <c r="AQ1816" s="38"/>
      <c r="AR1816" s="38"/>
      <c r="AS1816" s="38"/>
      <c r="AT1816" s="38"/>
      <c r="AU1816" s="38"/>
      <c r="AV1816" s="38"/>
      <c r="AW1816" s="38"/>
      <c r="AX1816" s="38"/>
      <c r="AY1816" s="38"/>
      <c r="AZ1816" s="38"/>
      <c r="BA1816" s="38"/>
      <c r="BB1816" s="38"/>
      <c r="BC1816" s="38"/>
      <c r="BD1816" s="38"/>
      <c r="BE1816" s="38"/>
      <c r="BF1816" s="38"/>
      <c r="BG1816" s="38"/>
      <c r="BH1816" s="38"/>
      <c r="BI1816" s="38"/>
      <c r="BJ1816" s="38"/>
      <c r="BK1816" s="38"/>
      <c r="BL1816" s="38"/>
      <c r="BM1816" s="38"/>
      <c r="BN1816" s="38"/>
      <c r="BO1816" s="38"/>
      <c r="BP1816" s="38"/>
      <c r="BQ1816" s="38"/>
      <c r="BR1816" s="38"/>
      <c r="BS1816" s="38"/>
      <c r="BT1816" s="38"/>
      <c r="BU1816" s="38"/>
      <c r="BV1816" s="38"/>
      <c r="BW1816" s="38"/>
      <c r="BX1816" s="38"/>
      <c r="BY1816" s="38"/>
      <c r="BZ1816" s="38"/>
      <c r="CA1816" s="38"/>
      <c r="CB1816" s="38"/>
      <c r="CC1816" s="38"/>
      <c r="CD1816" s="38"/>
      <c r="CE1816" s="38"/>
      <c r="CF1816" s="38"/>
      <c r="CG1816" s="38"/>
      <c r="CH1816" s="38"/>
      <c r="CI1816" s="38"/>
      <c r="CJ1816" s="38"/>
      <c r="CK1816" s="38"/>
      <c r="CL1816" s="38"/>
      <c r="CM1816" s="38"/>
      <c r="CN1816" s="38"/>
      <c r="CO1816" s="38"/>
      <c r="CP1816" s="38"/>
      <c r="CQ1816" s="38"/>
      <c r="CR1816" s="38"/>
      <c r="CS1816" s="38"/>
      <c r="CT1816" s="38"/>
      <c r="CU1816" s="38"/>
      <c r="CV1816" s="38"/>
      <c r="CW1816" s="38"/>
      <c r="CX1816" s="38"/>
      <c r="CY1816" s="38"/>
      <c r="CZ1816" s="38"/>
      <c r="DA1816" s="38"/>
      <c r="DB1816" s="38"/>
      <c r="DC1816" s="38"/>
      <c r="DD1816" s="38"/>
      <c r="DE1816" s="38"/>
      <c r="DF1816" s="38"/>
      <c r="DG1816" s="38"/>
      <c r="DH1816" s="38"/>
      <c r="DI1816" s="38"/>
      <c r="DJ1816" s="38"/>
      <c r="DK1816" s="38"/>
      <c r="DL1816" s="38"/>
      <c r="DM1816" s="38"/>
      <c r="DN1816" s="38"/>
      <c r="DO1816" s="38"/>
      <c r="DP1816" s="38"/>
      <c r="DQ1816" s="38"/>
      <c r="DR1816" s="38"/>
      <c r="DS1816" s="38"/>
      <c r="DT1816" s="38"/>
      <c r="DU1816" s="38"/>
      <c r="DV1816" s="38"/>
      <c r="DW1816" s="38"/>
      <c r="DX1816" s="38"/>
      <c r="DY1816" s="38"/>
      <c r="DZ1816" s="38"/>
      <c r="EA1816" s="38"/>
      <c r="EB1816" s="38"/>
      <c r="EC1816" s="38"/>
      <c r="ED1816" s="38"/>
      <c r="EE1816" s="38"/>
      <c r="EF1816" s="38"/>
      <c r="EG1816" s="38"/>
      <c r="EH1816" s="38"/>
      <c r="EI1816" s="38"/>
      <c r="EJ1816" s="38"/>
      <c r="EK1816" s="38"/>
      <c r="EL1816" s="38"/>
      <c r="EM1816" s="38"/>
      <c r="EN1816" s="38"/>
      <c r="EO1816" s="38"/>
      <c r="EP1816" s="38"/>
      <c r="EQ1816" s="38"/>
      <c r="ER1816" s="38"/>
      <c r="ES1816" s="38"/>
      <c r="ET1816" s="38"/>
      <c r="EU1816" s="38"/>
      <c r="EV1816" s="38"/>
      <c r="EW1816" s="38"/>
      <c r="EX1816" s="38"/>
      <c r="EY1816" s="38"/>
      <c r="EZ1816" s="38"/>
      <c r="FA1816" s="38"/>
      <c r="FB1816" s="38"/>
      <c r="FC1816" s="38"/>
      <c r="FD1816" s="38"/>
      <c r="FE1816" s="38"/>
      <c r="FF1816" s="38"/>
      <c r="FG1816" s="38"/>
      <c r="FH1816" s="38"/>
      <c r="FI1816" s="38"/>
      <c r="FJ1816" s="38"/>
      <c r="FK1816" s="38"/>
      <c r="FL1816" s="38"/>
      <c r="FM1816" s="38"/>
      <c r="FN1816" s="38"/>
      <c r="FO1816" s="38"/>
      <c r="FP1816" s="38"/>
      <c r="FQ1816" s="38"/>
      <c r="FR1816" s="38"/>
      <c r="FS1816" s="38"/>
      <c r="FT1816" s="38"/>
      <c r="FU1816" s="38"/>
      <c r="FV1816" s="38"/>
      <c r="FW1816" s="38"/>
      <c r="FX1816" s="38"/>
      <c r="FY1816" s="38"/>
      <c r="FZ1816" s="38"/>
      <c r="GA1816" s="38"/>
      <c r="GB1816" s="38"/>
      <c r="GC1816" s="38"/>
      <c r="GD1816" s="38"/>
      <c r="GE1816" s="38"/>
      <c r="GF1816" s="38"/>
      <c r="GG1816" s="38"/>
      <c r="GH1816" s="38"/>
      <c r="GI1816" s="38"/>
      <c r="GJ1816" s="38"/>
      <c r="GK1816" s="38"/>
      <c r="GL1816" s="38"/>
      <c r="GM1816" s="38"/>
      <c r="GN1816" s="38"/>
      <c r="GO1816" s="38"/>
      <c r="GP1816" s="38"/>
      <c r="GQ1816" s="38"/>
      <c r="GR1816" s="38"/>
      <c r="GS1816" s="38"/>
      <c r="GT1816" s="38"/>
      <c r="GU1816" s="38"/>
      <c r="GV1816" s="38"/>
      <c r="GW1816" s="38"/>
      <c r="GX1816" s="38"/>
      <c r="GY1816" s="38"/>
      <c r="GZ1816" s="38"/>
      <c r="HA1816" s="38"/>
      <c r="HB1816" s="38"/>
      <c r="HC1816" s="38"/>
      <c r="HD1816" s="38"/>
      <c r="HE1816" s="38"/>
      <c r="HF1816" s="38"/>
      <c r="HG1816" s="38"/>
      <c r="HH1816" s="38"/>
      <c r="HI1816" s="38"/>
      <c r="HJ1816" s="38"/>
      <c r="HK1816" s="38"/>
      <c r="HL1816" s="38"/>
      <c r="HM1816" s="38"/>
      <c r="HN1816" s="38"/>
      <c r="HO1816" s="38"/>
      <c r="HP1816" s="38"/>
      <c r="HQ1816" s="38"/>
      <c r="HR1816" s="38"/>
      <c r="HS1816" s="38"/>
      <c r="HT1816" s="38"/>
      <c r="HU1816" s="38"/>
      <c r="HV1816" s="38"/>
      <c r="HW1816" s="38"/>
      <c r="HX1816" s="38"/>
      <c r="HY1816" s="38"/>
      <c r="HZ1816" s="38"/>
      <c r="IA1816" s="38"/>
      <c r="IB1816" s="38"/>
      <c r="IC1816" s="38"/>
      <c r="ID1816" s="38"/>
      <c r="IE1816" s="38"/>
      <c r="IF1816" s="38"/>
      <c r="IG1816" s="38"/>
      <c r="IH1816" s="38"/>
      <c r="II1816" s="38"/>
      <c r="IJ1816" s="38"/>
      <c r="IK1816" s="38"/>
      <c r="IL1816" s="38"/>
      <c r="IM1816" s="38"/>
      <c r="IN1816" s="38"/>
      <c r="IO1816" s="38"/>
      <c r="IP1816" s="38"/>
      <c r="IQ1816" s="38"/>
      <c r="IR1816" s="38"/>
      <c r="IS1816" s="38"/>
      <c r="IT1816" s="38"/>
      <c r="IU1816" s="38"/>
      <c r="IV1816" s="38"/>
      <c r="IW1816" s="38"/>
      <c r="IX1816" s="38"/>
      <c r="IY1816" s="38"/>
      <c r="IZ1816" s="38"/>
      <c r="JA1816" s="38"/>
      <c r="JB1816" s="38"/>
      <c r="JC1816" s="38"/>
      <c r="JD1816" s="38"/>
      <c r="JE1816" s="38"/>
      <c r="JF1816" s="38"/>
      <c r="JG1816" s="38"/>
      <c r="JH1816" s="38"/>
      <c r="JI1816" s="38"/>
      <c r="JJ1816" s="38"/>
      <c r="JK1816" s="38"/>
      <c r="JL1816" s="38"/>
      <c r="JM1816" s="38"/>
      <c r="JN1816" s="38"/>
      <c r="JO1816" s="38"/>
      <c r="JP1816" s="38"/>
      <c r="JQ1816" s="38"/>
      <c r="JR1816" s="38"/>
      <c r="JS1816" s="38"/>
      <c r="JT1816" s="38"/>
      <c r="JU1816" s="38"/>
      <c r="JV1816" s="38"/>
      <c r="JW1816" s="38"/>
      <c r="JX1816" s="38"/>
      <c r="JY1816" s="38"/>
      <c r="JZ1816" s="38"/>
      <c r="KA1816" s="38"/>
      <c r="KB1816" s="38"/>
      <c r="KC1816" s="38"/>
      <c r="KD1816" s="38"/>
      <c r="KE1816" s="38"/>
      <c r="KF1816" s="38"/>
      <c r="KG1816" s="38"/>
      <c r="KH1816" s="38"/>
      <c r="KI1816" s="38"/>
      <c r="KJ1816" s="38"/>
      <c r="KK1816" s="38"/>
      <c r="KL1816" s="38"/>
      <c r="KM1816" s="38"/>
      <c r="KN1816" s="38"/>
      <c r="KO1816" s="38"/>
      <c r="KP1816" s="38"/>
      <c r="KQ1816" s="38"/>
      <c r="KR1816" s="38"/>
      <c r="KS1816" s="38"/>
      <c r="KT1816" s="38"/>
      <c r="KU1816" s="38"/>
      <c r="KV1816" s="38"/>
      <c r="KW1816" s="38"/>
      <c r="KX1816" s="38"/>
      <c r="KY1816" s="38"/>
      <c r="KZ1816" s="38"/>
      <c r="LA1816" s="38"/>
      <c r="LB1816" s="38"/>
      <c r="LC1816" s="38"/>
      <c r="LD1816" s="38"/>
      <c r="LE1816" s="38"/>
      <c r="LF1816" s="38"/>
      <c r="LG1816" s="38"/>
      <c r="LH1816" s="38"/>
      <c r="LI1816" s="38"/>
      <c r="LJ1816" s="38"/>
      <c r="LK1816" s="38"/>
      <c r="LL1816" s="38"/>
      <c r="LM1816" s="38"/>
      <c r="LN1816" s="38"/>
      <c r="LO1816" s="38"/>
      <c r="LP1816" s="38"/>
      <c r="LQ1816" s="38"/>
      <c r="LR1816" s="38"/>
      <c r="LS1816" s="38"/>
      <c r="LT1816" s="38"/>
      <c r="LU1816" s="38"/>
      <c r="LV1816" s="38"/>
      <c r="LW1816" s="38"/>
      <c r="LX1816" s="38"/>
      <c r="LY1816" s="38"/>
      <c r="LZ1816" s="38"/>
      <c r="MA1816" s="38"/>
      <c r="MB1816" s="38"/>
      <c r="MC1816" s="38"/>
      <c r="MD1816" s="38"/>
      <c r="ME1816" s="38"/>
      <c r="MF1816" s="38"/>
      <c r="MG1816" s="38"/>
      <c r="MH1816" s="38"/>
      <c r="MI1816" s="38"/>
      <c r="MJ1816" s="38"/>
      <c r="MK1816" s="38"/>
      <c r="ML1816" s="38"/>
      <c r="MM1816" s="38"/>
      <c r="MN1816" s="38"/>
      <c r="MO1816" s="38"/>
      <c r="MP1816" s="38"/>
      <c r="MQ1816" s="38"/>
      <c r="MR1816" s="38"/>
      <c r="MS1816" s="38"/>
      <c r="MT1816" s="38"/>
      <c r="MU1816" s="38"/>
      <c r="MV1816" s="38"/>
      <c r="MW1816" s="38"/>
      <c r="MX1816" s="38"/>
      <c r="MY1816" s="38"/>
      <c r="MZ1816" s="38"/>
      <c r="NA1816" s="38"/>
      <c r="NB1816" s="38"/>
      <c r="NC1816" s="38"/>
      <c r="ND1816" s="38"/>
      <c r="NE1816" s="38"/>
      <c r="NF1816" s="38"/>
      <c r="NG1816" s="38"/>
      <c r="NH1816" s="38"/>
      <c r="NI1816" s="38"/>
      <c r="NJ1816" s="38"/>
      <c r="NK1816" s="38"/>
      <c r="NL1816" s="38"/>
      <c r="NM1816" s="38"/>
      <c r="NN1816" s="38"/>
      <c r="NO1816" s="38"/>
      <c r="NP1816" s="38"/>
      <c r="NQ1816" s="38"/>
      <c r="NR1816" s="38"/>
      <c r="NS1816" s="38"/>
      <c r="NT1816" s="38"/>
      <c r="NU1816" s="38"/>
      <c r="NV1816" s="38"/>
      <c r="NW1816" s="38"/>
      <c r="NX1816" s="38"/>
      <c r="NY1816" s="38"/>
      <c r="NZ1816" s="38"/>
      <c r="OA1816" s="38"/>
      <c r="OB1816" s="38"/>
      <c r="OC1816" s="38"/>
      <c r="OD1816" s="38"/>
      <c r="OE1816" s="38"/>
      <c r="OF1816" s="38"/>
      <c r="OG1816" s="38"/>
      <c r="OH1816" s="38"/>
      <c r="OI1816" s="38"/>
      <c r="OJ1816" s="38"/>
      <c r="OK1816" s="38"/>
      <c r="OL1816" s="38"/>
      <c r="OM1816" s="38"/>
      <c r="ON1816" s="38"/>
      <c r="OO1816" s="38"/>
      <c r="OP1816" s="38"/>
      <c r="OQ1816" s="38"/>
      <c r="OR1816" s="38"/>
      <c r="OS1816" s="38"/>
      <c r="OT1816" s="38"/>
      <c r="OU1816" s="38"/>
      <c r="OV1816" s="38"/>
      <c r="OW1816" s="38"/>
      <c r="OX1816" s="38"/>
      <c r="OY1816" s="38"/>
      <c r="OZ1816" s="38"/>
      <c r="PA1816" s="38"/>
      <c r="PB1816" s="38"/>
      <c r="PC1816" s="38"/>
      <c r="PD1816" s="38"/>
      <c r="PE1816" s="38"/>
      <c r="PF1816" s="38"/>
      <c r="PG1816" s="38"/>
      <c r="PH1816" s="38"/>
      <c r="PI1816" s="38"/>
      <c r="PJ1816" s="38"/>
      <c r="PK1816" s="38"/>
      <c r="PL1816" s="38"/>
      <c r="PM1816" s="38"/>
      <c r="PN1816" s="38"/>
      <c r="PO1816" s="38"/>
      <c r="PP1816" s="38"/>
      <c r="PQ1816" s="38"/>
      <c r="PR1816" s="38"/>
      <c r="PS1816" s="38"/>
      <c r="PT1816" s="38"/>
      <c r="PU1816" s="38"/>
      <c r="PV1816" s="38"/>
      <c r="PW1816" s="38"/>
      <c r="PX1816" s="38"/>
      <c r="PY1816" s="38"/>
      <c r="PZ1816" s="38"/>
      <c r="QA1816" s="38"/>
      <c r="QB1816" s="38"/>
      <c r="QC1816" s="38"/>
      <c r="QD1816" s="38"/>
      <c r="QE1816" s="38"/>
      <c r="QF1816" s="38"/>
      <c r="QG1816" s="38"/>
      <c r="QH1816" s="38"/>
      <c r="QI1816" s="38"/>
      <c r="QJ1816" s="38"/>
      <c r="QK1816" s="38"/>
      <c r="QL1816" s="38"/>
      <c r="QM1816" s="38"/>
      <c r="QN1816" s="38"/>
      <c r="QO1816" s="38"/>
      <c r="QP1816" s="38"/>
      <c r="QQ1816" s="38"/>
      <c r="QR1816" s="38"/>
      <c r="QS1816" s="38"/>
      <c r="QT1816" s="38"/>
      <c r="QU1816" s="38"/>
      <c r="QV1816" s="38"/>
      <c r="QW1816" s="38"/>
      <c r="QX1816" s="38"/>
      <c r="QY1816" s="38"/>
      <c r="QZ1816" s="38"/>
      <c r="RA1816" s="38"/>
      <c r="RB1816" s="38"/>
      <c r="RC1816" s="38"/>
      <c r="RD1816" s="38"/>
      <c r="RE1816" s="38"/>
      <c r="RF1816" s="38"/>
      <c r="RG1816" s="38"/>
      <c r="RH1816" s="38"/>
      <c r="RI1816" s="38"/>
      <c r="RJ1816" s="38"/>
      <c r="RK1816" s="38"/>
      <c r="RL1816" s="38"/>
      <c r="RM1816" s="38"/>
      <c r="RN1816" s="38"/>
      <c r="RO1816" s="38"/>
      <c r="RP1816" s="38"/>
      <c r="RQ1816" s="38"/>
      <c r="RR1816" s="38"/>
      <c r="RS1816" s="38"/>
      <c r="RT1816" s="38"/>
      <c r="RU1816" s="38"/>
      <c r="RV1816" s="38"/>
      <c r="RW1816" s="38"/>
      <c r="RX1816" s="38"/>
      <c r="RY1816" s="38"/>
      <c r="RZ1816" s="38"/>
      <c r="SA1816" s="38"/>
      <c r="SB1816" s="38"/>
      <c r="SC1816" s="38"/>
      <c r="SD1816" s="38"/>
      <c r="SE1816" s="38"/>
      <c r="SF1816" s="38"/>
      <c r="SG1816" s="38"/>
      <c r="SH1816" s="38"/>
      <c r="SI1816" s="38"/>
      <c r="SJ1816" s="38"/>
      <c r="SK1816" s="38"/>
      <c r="SL1816" s="38"/>
      <c r="SM1816" s="38"/>
      <c r="SN1816" s="38"/>
      <c r="SO1816" s="38"/>
      <c r="SP1816" s="38"/>
      <c r="SQ1816" s="38"/>
      <c r="SR1816" s="38"/>
      <c r="SS1816" s="38"/>
      <c r="ST1816" s="38"/>
      <c r="SU1816" s="38"/>
      <c r="SV1816" s="38"/>
      <c r="SW1816" s="38"/>
      <c r="SX1816" s="38"/>
      <c r="SY1816" s="38"/>
      <c r="SZ1816" s="38"/>
      <c r="TA1816" s="38"/>
      <c r="TB1816" s="38"/>
      <c r="TC1816" s="38"/>
      <c r="TD1816" s="38"/>
      <c r="TE1816" s="38"/>
      <c r="TF1816" s="38"/>
      <c r="TG1816" s="38"/>
      <c r="TH1816" s="38"/>
      <c r="TI1816" s="38"/>
      <c r="TJ1816" s="38"/>
      <c r="TK1816" s="38"/>
      <c r="TL1816" s="38"/>
      <c r="TM1816" s="38"/>
      <c r="TN1816" s="38"/>
      <c r="TO1816" s="38"/>
      <c r="TP1816" s="38"/>
      <c r="TQ1816" s="38"/>
      <c r="TR1816" s="38"/>
      <c r="TS1816" s="38"/>
      <c r="TT1816" s="38"/>
      <c r="TU1816" s="38"/>
      <c r="TV1816" s="38"/>
      <c r="TW1816" s="38"/>
      <c r="TX1816" s="38"/>
      <c r="TY1816" s="38"/>
      <c r="TZ1816" s="38"/>
      <c r="UA1816" s="38"/>
      <c r="UB1816" s="38"/>
      <c r="UC1816" s="38"/>
      <c r="UD1816" s="38"/>
      <c r="UE1816" s="38"/>
      <c r="UF1816" s="38"/>
      <c r="UG1816" s="38"/>
      <c r="UH1816" s="38"/>
      <c r="UI1816" s="38"/>
      <c r="UJ1816" s="38"/>
      <c r="UK1816" s="38"/>
      <c r="UL1816" s="38"/>
      <c r="UM1816" s="38"/>
      <c r="UN1816" s="38"/>
      <c r="UO1816" s="38"/>
      <c r="UP1816" s="38"/>
      <c r="UQ1816" s="38"/>
      <c r="UR1816" s="38"/>
      <c r="US1816" s="38"/>
      <c r="UT1816" s="38"/>
      <c r="UU1816" s="38"/>
      <c r="UV1816" s="38"/>
      <c r="UW1816" s="38"/>
      <c r="UX1816" s="38"/>
      <c r="UY1816" s="38"/>
      <c r="UZ1816" s="38"/>
      <c r="VA1816" s="38"/>
      <c r="VB1816" s="38"/>
      <c r="VC1816" s="38"/>
      <c r="VD1816" s="38"/>
      <c r="VE1816" s="38"/>
      <c r="VF1816" s="38"/>
      <c r="VG1816" s="38"/>
      <c r="VH1816" s="38"/>
      <c r="VI1816" s="38"/>
      <c r="VJ1816" s="38"/>
      <c r="VK1816" s="38"/>
      <c r="VL1816" s="38"/>
      <c r="VM1816" s="38"/>
      <c r="VN1816" s="38"/>
      <c r="VO1816" s="38"/>
      <c r="VP1816" s="38"/>
      <c r="VQ1816" s="38"/>
      <c r="VR1816" s="38"/>
      <c r="VS1816" s="38"/>
      <c r="VT1816" s="38"/>
      <c r="VU1816" s="38"/>
      <c r="VV1816" s="38"/>
      <c r="VW1816" s="38"/>
      <c r="VX1816" s="38"/>
      <c r="VY1816" s="38"/>
      <c r="VZ1816" s="38"/>
      <c r="WA1816" s="38"/>
      <c r="WB1816" s="38"/>
      <c r="WC1816" s="38"/>
      <c r="WD1816" s="38"/>
      <c r="WE1816" s="38"/>
      <c r="WF1816" s="38"/>
      <c r="WG1816" s="38"/>
      <c r="WH1816" s="38"/>
      <c r="WI1816" s="38"/>
      <c r="WJ1816" s="38"/>
      <c r="WK1816" s="38"/>
      <c r="WL1816" s="38"/>
      <c r="WM1816" s="38"/>
      <c r="WN1816" s="38"/>
      <c r="WO1816" s="38"/>
      <c r="WP1816" s="38"/>
      <c r="WQ1816" s="38"/>
      <c r="WR1816" s="38"/>
      <c r="WS1816" s="38"/>
      <c r="WT1816" s="38"/>
      <c r="WU1816" s="38"/>
      <c r="WV1816" s="38"/>
      <c r="WW1816" s="38"/>
      <c r="WX1816" s="38"/>
      <c r="WY1816" s="38"/>
      <c r="WZ1816" s="38"/>
      <c r="XA1816" s="38"/>
      <c r="XB1816" s="38"/>
      <c r="XC1816" s="38"/>
      <c r="XD1816" s="38"/>
      <c r="XE1816" s="38"/>
      <c r="XF1816" s="38"/>
      <c r="XG1816" s="38"/>
      <c r="XH1816" s="38"/>
      <c r="XI1816" s="38"/>
      <c r="XJ1816" s="38"/>
      <c r="XK1816" s="38"/>
      <c r="XL1816" s="38"/>
      <c r="XM1816" s="38"/>
      <c r="XN1816" s="38"/>
      <c r="XO1816" s="38"/>
      <c r="XP1816" s="38"/>
      <c r="XQ1816" s="38"/>
      <c r="XR1816" s="38"/>
      <c r="XS1816" s="38"/>
      <c r="XT1816" s="38"/>
      <c r="XU1816" s="38"/>
      <c r="XV1816" s="38"/>
      <c r="XW1816" s="38"/>
      <c r="XX1816" s="38"/>
      <c r="XY1816" s="38"/>
      <c r="XZ1816" s="38"/>
      <c r="YA1816" s="38"/>
      <c r="YB1816" s="38"/>
      <c r="YC1816" s="38"/>
      <c r="YD1816" s="38"/>
      <c r="YE1816" s="38"/>
      <c r="YF1816" s="38"/>
      <c r="YG1816" s="38"/>
      <c r="YH1816" s="38"/>
      <c r="YI1816" s="38"/>
      <c r="YJ1816" s="38"/>
      <c r="YK1816" s="38"/>
      <c r="YL1816" s="38"/>
      <c r="YM1816" s="38"/>
      <c r="YN1816" s="38"/>
      <c r="YO1816" s="38"/>
      <c r="YP1816" s="38"/>
      <c r="YQ1816" s="38"/>
      <c r="YR1816" s="38"/>
      <c r="YS1816" s="38"/>
      <c r="YT1816" s="38"/>
      <c r="YU1816" s="38"/>
      <c r="YV1816" s="38"/>
      <c r="YW1816" s="38"/>
      <c r="YX1816" s="38"/>
      <c r="YY1816" s="38"/>
      <c r="YZ1816" s="38"/>
      <c r="ZA1816" s="38"/>
      <c r="ZB1816" s="38"/>
      <c r="ZC1816" s="38"/>
      <c r="ZD1816" s="38"/>
      <c r="ZE1816" s="38"/>
      <c r="ZF1816" s="38"/>
      <c r="ZG1816" s="38"/>
      <c r="ZH1816" s="38"/>
      <c r="ZI1816" s="38"/>
      <c r="ZJ1816" s="38"/>
      <c r="ZK1816" s="38"/>
      <c r="ZL1816" s="38"/>
      <c r="ZM1816" s="38"/>
      <c r="ZN1816" s="38"/>
      <c r="ZO1816" s="38"/>
      <c r="ZP1816" s="38"/>
      <c r="ZQ1816" s="38"/>
      <c r="ZR1816" s="38"/>
      <c r="ZS1816" s="38"/>
      <c r="ZT1816" s="38"/>
      <c r="ZU1816" s="38"/>
      <c r="ZV1816" s="38"/>
      <c r="ZW1816" s="38"/>
      <c r="ZX1816" s="38"/>
      <c r="ZY1816" s="38"/>
      <c r="ZZ1816" s="38"/>
      <c r="AAA1816" s="38"/>
      <c r="AAB1816" s="38"/>
      <c r="AAC1816" s="38"/>
      <c r="AAD1816" s="38"/>
      <c r="AAE1816" s="38"/>
      <c r="AAF1816" s="38"/>
      <c r="AAG1816" s="38"/>
      <c r="AAH1816" s="38"/>
      <c r="AAI1816" s="38"/>
      <c r="AAJ1816" s="38"/>
      <c r="AAK1816" s="38"/>
      <c r="AAL1816" s="38"/>
      <c r="AAM1816" s="38"/>
      <c r="AAN1816" s="38"/>
      <c r="AAO1816" s="38"/>
      <c r="AAP1816" s="38"/>
      <c r="AAQ1816" s="38"/>
      <c r="AAR1816" s="38"/>
      <c r="AAS1816" s="38"/>
      <c r="AAT1816" s="38"/>
      <c r="AAU1816" s="38"/>
      <c r="AAV1816" s="38"/>
      <c r="AAW1816" s="38"/>
      <c r="AAX1816" s="38"/>
      <c r="AAY1816" s="38"/>
      <c r="AAZ1816" s="38"/>
      <c r="ABA1816" s="38"/>
      <c r="ABB1816" s="38"/>
      <c r="ABC1816" s="38"/>
      <c r="ABD1816" s="38"/>
      <c r="ABE1816" s="38"/>
      <c r="ABF1816" s="38"/>
      <c r="ABG1816" s="38"/>
      <c r="ABH1816" s="38"/>
      <c r="ABI1816" s="38"/>
      <c r="ABJ1816" s="38"/>
      <c r="ABK1816" s="38"/>
      <c r="ABL1816" s="38"/>
      <c r="ABM1816" s="38"/>
      <c r="ABN1816" s="38"/>
      <c r="ABO1816" s="38"/>
      <c r="ABP1816" s="38"/>
      <c r="ABQ1816" s="38"/>
      <c r="ABR1816" s="38"/>
      <c r="ABS1816" s="38"/>
      <c r="ABT1816" s="38"/>
      <c r="ABU1816" s="38"/>
      <c r="ABV1816" s="38"/>
      <c r="ABW1816" s="38"/>
      <c r="ABX1816" s="38"/>
      <c r="ABY1816" s="38"/>
      <c r="ABZ1816" s="38"/>
      <c r="ACA1816" s="38"/>
      <c r="ACB1816" s="38"/>
      <c r="ACC1816" s="38"/>
      <c r="ACD1816" s="38"/>
      <c r="ACE1816" s="38"/>
      <c r="ACF1816" s="38"/>
      <c r="ACG1816" s="38"/>
      <c r="ACH1816" s="38"/>
      <c r="ACI1816" s="38"/>
      <c r="ACJ1816" s="38"/>
      <c r="ACK1816" s="38"/>
      <c r="ACL1816" s="38"/>
      <c r="ACM1816" s="38"/>
      <c r="ACN1816" s="38"/>
      <c r="ACO1816" s="38"/>
      <c r="ACP1816" s="38"/>
      <c r="ACQ1816" s="38"/>
      <c r="ACR1816" s="38"/>
      <c r="ACS1816" s="38"/>
      <c r="ACT1816" s="38"/>
      <c r="ACU1816" s="38"/>
      <c r="ACV1816" s="38"/>
      <c r="ACW1816" s="38"/>
      <c r="ACX1816" s="38"/>
      <c r="ACY1816" s="38"/>
      <c r="ACZ1816" s="38"/>
      <c r="ADA1816" s="38"/>
      <c r="ADB1816" s="38"/>
      <c r="ADC1816" s="38"/>
      <c r="ADD1816" s="38"/>
      <c r="ADE1816" s="38"/>
      <c r="ADF1816" s="38"/>
      <c r="ADG1816" s="38"/>
      <c r="ADH1816" s="38"/>
      <c r="ADI1816" s="38"/>
      <c r="ADJ1816" s="38"/>
      <c r="ADK1816" s="38"/>
      <c r="ADL1816" s="38"/>
      <c r="ADM1816" s="38"/>
      <c r="ADN1816" s="38"/>
      <c r="ADO1816" s="38"/>
      <c r="ADP1816" s="38"/>
      <c r="ADQ1816" s="38"/>
      <c r="ADR1816" s="38"/>
      <c r="ADS1816" s="38"/>
      <c r="ADT1816" s="38"/>
      <c r="ADU1816" s="38"/>
      <c r="ADV1816" s="38"/>
      <c r="ADW1816" s="38"/>
      <c r="ADX1816" s="38"/>
      <c r="ADY1816" s="38"/>
      <c r="ADZ1816" s="38"/>
      <c r="AEA1816" s="38"/>
      <c r="AEB1816" s="38"/>
      <c r="AEC1816" s="38"/>
      <c r="AED1816" s="38"/>
      <c r="AEE1816" s="38"/>
      <c r="AEF1816" s="38"/>
      <c r="AEG1816" s="38"/>
      <c r="AEH1816" s="38"/>
      <c r="AEI1816" s="38"/>
      <c r="AEJ1816" s="38"/>
      <c r="AEK1816" s="38"/>
      <c r="AEL1816" s="38"/>
      <c r="AEM1816" s="38"/>
      <c r="AEN1816" s="38"/>
      <c r="AEO1816" s="38"/>
      <c r="AEP1816" s="38"/>
      <c r="AEQ1816" s="38"/>
      <c r="AER1816" s="38"/>
      <c r="AES1816" s="38"/>
      <c r="AET1816" s="38"/>
      <c r="AEU1816" s="38"/>
      <c r="AEV1816" s="38"/>
      <c r="AEW1816" s="38"/>
      <c r="AEX1816" s="38"/>
      <c r="AEY1816" s="38"/>
      <c r="AEZ1816" s="38"/>
      <c r="AFA1816" s="38"/>
      <c r="AFB1816" s="38"/>
      <c r="AFC1816" s="38"/>
      <c r="AFD1816" s="38"/>
      <c r="AFE1816" s="38"/>
      <c r="AFF1816" s="38"/>
      <c r="AFG1816" s="38"/>
      <c r="AFH1816" s="38"/>
      <c r="AFI1816" s="38"/>
      <c r="AFJ1816" s="38"/>
      <c r="AFK1816" s="38"/>
      <c r="AFL1816" s="38"/>
      <c r="AFM1816" s="38"/>
      <c r="AFN1816" s="38"/>
      <c r="AFO1816" s="38"/>
      <c r="AFP1816" s="38"/>
      <c r="AFQ1816" s="38"/>
      <c r="AFR1816" s="38"/>
      <c r="AFS1816" s="38"/>
      <c r="AFT1816" s="38"/>
      <c r="AFU1816" s="38"/>
      <c r="AFV1816" s="38"/>
      <c r="AFW1816" s="38"/>
      <c r="AFX1816" s="38"/>
      <c r="AFY1816" s="38"/>
      <c r="AFZ1816" s="38"/>
      <c r="AGA1816" s="38"/>
      <c r="AGB1816" s="38"/>
      <c r="AGC1816" s="38"/>
      <c r="AGD1816" s="38"/>
      <c r="AGE1816" s="38"/>
      <c r="AGF1816" s="38"/>
      <c r="AGG1816" s="38"/>
      <c r="AGH1816" s="38"/>
      <c r="AGI1816" s="38"/>
      <c r="AGJ1816" s="38"/>
      <c r="AGK1816" s="38"/>
      <c r="AGL1816" s="38"/>
      <c r="AGM1816" s="38"/>
      <c r="AGN1816" s="38"/>
      <c r="AGO1816" s="38"/>
      <c r="AGP1816" s="38"/>
      <c r="AGQ1816" s="38"/>
      <c r="AGR1816" s="38"/>
      <c r="AGS1816" s="38"/>
      <c r="AGT1816" s="38"/>
      <c r="AGU1816" s="38"/>
      <c r="AGV1816" s="38"/>
      <c r="AGW1816" s="38"/>
      <c r="AGX1816" s="38"/>
      <c r="AGY1816" s="38"/>
      <c r="AGZ1816" s="38"/>
      <c r="AHA1816" s="38"/>
      <c r="AHB1816" s="38"/>
      <c r="AHC1816" s="38"/>
      <c r="AHD1816" s="38"/>
      <c r="AHE1816" s="38"/>
      <c r="AHF1816" s="38"/>
      <c r="AHG1816" s="38"/>
      <c r="AHH1816" s="38"/>
      <c r="AHI1816" s="38"/>
      <c r="AHJ1816" s="38"/>
      <c r="AHK1816" s="38"/>
      <c r="AHL1816" s="38"/>
      <c r="AHM1816" s="38"/>
      <c r="AHN1816" s="38"/>
      <c r="AHO1816" s="38"/>
      <c r="AHP1816" s="38"/>
      <c r="AHQ1816" s="38"/>
      <c r="AHR1816" s="38"/>
      <c r="AHS1816" s="38"/>
      <c r="AHT1816" s="38"/>
      <c r="AHU1816" s="38"/>
      <c r="AHV1816" s="38"/>
      <c r="AHW1816" s="38"/>
      <c r="AHX1816" s="38"/>
      <c r="AHY1816" s="38"/>
      <c r="AHZ1816" s="38"/>
      <c r="AIA1816" s="38"/>
      <c r="AIB1816" s="38"/>
      <c r="AIC1816" s="38"/>
      <c r="AID1816" s="38"/>
      <c r="AIE1816" s="38"/>
      <c r="AIF1816" s="38"/>
      <c r="AIG1816" s="38"/>
      <c r="AIH1816" s="38"/>
      <c r="AII1816" s="38"/>
      <c r="AIJ1816" s="38"/>
      <c r="AIK1816" s="38"/>
      <c r="AIL1816" s="38"/>
      <c r="AIM1816" s="38"/>
      <c r="AIN1816" s="38"/>
      <c r="AIO1816" s="38"/>
      <c r="AIP1816" s="38"/>
      <c r="AIQ1816" s="38"/>
      <c r="AIR1816" s="38"/>
      <c r="AIS1816" s="38"/>
      <c r="AIT1816" s="38"/>
      <c r="AIU1816" s="38"/>
      <c r="AIV1816" s="38"/>
      <c r="AIW1816" s="38"/>
      <c r="AIX1816" s="38"/>
      <c r="AIY1816" s="38"/>
      <c r="AIZ1816" s="38"/>
      <c r="AJA1816" s="38"/>
      <c r="AJB1816" s="38"/>
      <c r="AJC1816" s="38"/>
      <c r="AJD1816" s="38"/>
      <c r="AJE1816" s="38"/>
      <c r="AJF1816" s="38"/>
      <c r="AJG1816" s="38"/>
      <c r="AJH1816" s="38"/>
      <c r="AJI1816" s="38"/>
      <c r="AJJ1816" s="38"/>
      <c r="AJK1816" s="38"/>
      <c r="AJL1816" s="38"/>
      <c r="AJM1816" s="38"/>
      <c r="AJN1816" s="38"/>
      <c r="AJO1816" s="38"/>
      <c r="AJP1816" s="38"/>
      <c r="AJQ1816" s="38"/>
      <c r="AJR1816" s="38"/>
      <c r="AJS1816" s="38"/>
      <c r="AJT1816" s="38"/>
      <c r="AJU1816" s="38"/>
      <c r="AJV1816" s="38"/>
      <c r="AJW1816" s="38"/>
      <c r="AJX1816" s="38"/>
      <c r="AJY1816" s="38"/>
      <c r="AJZ1816" s="38"/>
      <c r="AKA1816" s="38"/>
      <c r="AKB1816" s="38"/>
      <c r="AKC1816" s="38"/>
      <c r="AKD1816" s="38"/>
      <c r="AKE1816" s="38"/>
      <c r="AKF1816" s="38"/>
      <c r="AKG1816" s="38"/>
      <c r="AKH1816" s="38"/>
      <c r="AKI1816" s="38"/>
      <c r="AKJ1816" s="38"/>
      <c r="AKK1816" s="38"/>
      <c r="AKL1816" s="38"/>
      <c r="AKM1816" s="38"/>
      <c r="AKN1816" s="38"/>
      <c r="AKO1816" s="38"/>
      <c r="AKP1816" s="38"/>
      <c r="AKQ1816" s="38"/>
      <c r="AKR1816" s="38"/>
      <c r="AKS1816" s="38"/>
      <c r="AKT1816" s="38"/>
      <c r="AKU1816" s="38"/>
      <c r="AKV1816" s="38"/>
      <c r="AKW1816" s="38"/>
      <c r="AKX1816" s="38"/>
      <c r="AKY1816" s="38"/>
      <c r="AKZ1816" s="38"/>
      <c r="ALA1816" s="38"/>
      <c r="ALB1816" s="38"/>
      <c r="ALC1816" s="38"/>
      <c r="ALD1816" s="38"/>
      <c r="ALE1816" s="38"/>
      <c r="ALF1816" s="38"/>
      <c r="ALG1816" s="38"/>
      <c r="ALH1816" s="38"/>
      <c r="ALI1816" s="38"/>
      <c r="ALJ1816" s="38"/>
      <c r="ALK1816" s="38"/>
      <c r="ALL1816" s="38"/>
      <c r="ALM1816" s="38"/>
      <c r="ALN1816" s="38"/>
      <c r="ALO1816" s="38"/>
      <c r="ALP1816" s="38"/>
      <c r="ALQ1816" s="38"/>
      <c r="ALR1816" s="38"/>
      <c r="ALS1816" s="38"/>
      <c r="ALT1816" s="38"/>
      <c r="ALU1816" s="38"/>
      <c r="ALV1816" s="38"/>
      <c r="ALW1816" s="38"/>
      <c r="ALX1816" s="38"/>
      <c r="ALY1816" s="38"/>
      <c r="ALZ1816" s="38"/>
      <c r="AMA1816" s="38"/>
      <c r="AMB1816" s="38"/>
      <c r="AMC1816" s="38"/>
      <c r="AMD1816" s="38"/>
      <c r="AME1816" s="38"/>
      <c r="AMF1816" s="38"/>
      <c r="AMG1816" s="38"/>
      <c r="AMH1816" s="38"/>
      <c r="AMI1816" s="38"/>
      <c r="AMJ1816" s="38"/>
      <c r="AMK1816" s="38"/>
      <c r="AML1816" s="38"/>
      <c r="AMM1816" s="38"/>
      <c r="AMN1816" s="38"/>
      <c r="AMO1816" s="38"/>
      <c r="AMP1816" s="38"/>
      <c r="AMQ1816" s="38"/>
      <c r="AMR1816" s="38"/>
      <c r="AMS1816" s="38"/>
      <c r="AMT1816" s="38"/>
      <c r="AMU1816" s="38"/>
      <c r="AMV1816" s="38"/>
      <c r="AMW1816" s="38"/>
      <c r="AMX1816" s="38"/>
      <c r="AMY1816" s="38"/>
      <c r="AMZ1816" s="38"/>
      <c r="ANA1816" s="38"/>
      <c r="ANB1816" s="38"/>
      <c r="ANC1816" s="38"/>
      <c r="AND1816" s="38"/>
      <c r="ANE1816" s="38"/>
      <c r="ANF1816" s="38"/>
      <c r="ANG1816" s="38"/>
      <c r="ANH1816" s="38"/>
      <c r="ANI1816" s="38"/>
      <c r="ANJ1816" s="38"/>
      <c r="ANK1816" s="38"/>
      <c r="ANL1816" s="38"/>
      <c r="ANM1816" s="38"/>
      <c r="ANN1816" s="38"/>
      <c r="ANO1816" s="38"/>
      <c r="ANP1816" s="38"/>
      <c r="ANQ1816" s="38"/>
      <c r="ANR1816" s="38"/>
      <c r="ANS1816" s="38"/>
      <c r="ANT1816" s="38"/>
      <c r="ANU1816" s="38"/>
      <c r="ANV1816" s="38"/>
      <c r="ANW1816" s="38"/>
      <c r="ANX1816" s="38"/>
      <c r="ANY1816" s="38"/>
      <c r="ANZ1816" s="38"/>
      <c r="AOA1816" s="38"/>
      <c r="AOB1816" s="38"/>
      <c r="AOC1816" s="38"/>
      <c r="AOD1816" s="38"/>
      <c r="AOE1816" s="38"/>
      <c r="AOF1816" s="38"/>
      <c r="AOG1816" s="38"/>
      <c r="AOH1816" s="38"/>
      <c r="AOI1816" s="38"/>
      <c r="AOJ1816" s="38"/>
      <c r="AOK1816" s="38"/>
      <c r="AOL1816" s="38"/>
      <c r="AOM1816" s="38"/>
      <c r="AON1816" s="38"/>
      <c r="AOO1816" s="38"/>
      <c r="AOP1816" s="38"/>
      <c r="AOQ1816" s="38"/>
      <c r="AOR1816" s="38"/>
      <c r="AOS1816" s="38"/>
      <c r="AOT1816" s="38"/>
      <c r="AOU1816" s="38"/>
      <c r="AOV1816" s="38"/>
      <c r="AOW1816" s="38"/>
      <c r="AOX1816" s="38"/>
      <c r="AOY1816" s="38"/>
      <c r="AOZ1816" s="38"/>
      <c r="APA1816" s="38"/>
      <c r="APB1816" s="38"/>
      <c r="APC1816" s="38"/>
    </row>
    <row r="1817" spans="1:1095" s="36" customFormat="1" ht="14.25" customHeight="1">
      <c r="A1817" s="3" t="s">
        <v>1722</v>
      </c>
      <c r="B1817" s="36" t="s">
        <v>4072</v>
      </c>
      <c r="C1817" s="214">
        <v>4058075823211</v>
      </c>
      <c r="D1817" s="246"/>
      <c r="E1817" s="249"/>
      <c r="F1817" s="222" t="s">
        <v>3136</v>
      </c>
      <c r="G1817" s="66" t="str">
        <f>HYPERLINK("https://ledvance.com/pt/product-datasheet/246829/243175","Ficha de Produto")</f>
        <v>Ficha de Produto</v>
      </c>
      <c r="H1817" s="217">
        <v>10</v>
      </c>
      <c r="I1817" s="34" t="s">
        <v>6341</v>
      </c>
      <c r="J1817" s="34" t="s">
        <v>795</v>
      </c>
      <c r="K1817" s="34" t="s">
        <v>788</v>
      </c>
      <c r="L1817" s="34" t="s">
        <v>793</v>
      </c>
      <c r="M1817" s="247">
        <v>12.7</v>
      </c>
      <c r="N1817" s="288" t="s">
        <v>722</v>
      </c>
    </row>
    <row r="1818" spans="1:1095" s="36" customFormat="1" ht="14.25" customHeight="1">
      <c r="A1818" s="3" t="s">
        <v>1722</v>
      </c>
      <c r="B1818" s="36" t="s">
        <v>4073</v>
      </c>
      <c r="C1818" s="214">
        <v>4058075823235</v>
      </c>
      <c r="D1818" s="246"/>
      <c r="E1818" s="249"/>
      <c r="F1818" s="222" t="s">
        <v>3136</v>
      </c>
      <c r="G1818" s="66" t="str">
        <f>HYPERLINK("https://ledvance.com/pt/product-datasheet/246829/243178","Ficha de Produto")</f>
        <v>Ficha de Produto</v>
      </c>
      <c r="H1818" s="217">
        <v>10</v>
      </c>
      <c r="I1818" s="34" t="s">
        <v>6334</v>
      </c>
      <c r="J1818" s="34" t="s">
        <v>795</v>
      </c>
      <c r="K1818" s="34" t="s">
        <v>788</v>
      </c>
      <c r="L1818" s="34" t="s">
        <v>793</v>
      </c>
      <c r="M1818" s="247">
        <v>12.7</v>
      </c>
      <c r="N1818" s="288" t="s">
        <v>722</v>
      </c>
    </row>
    <row r="1819" spans="1:1095" s="36" customFormat="1" ht="14.25" customHeight="1">
      <c r="A1819" s="3" t="s">
        <v>1722</v>
      </c>
      <c r="B1819" s="36" t="s">
        <v>4074</v>
      </c>
      <c r="C1819" s="214">
        <v>4058075823259</v>
      </c>
      <c r="D1819" s="246"/>
      <c r="E1819" s="249"/>
      <c r="F1819" s="222" t="s">
        <v>3136</v>
      </c>
      <c r="G1819" s="66" t="str">
        <f>HYPERLINK("https://ledvance.com/pt/product-datasheet/246829/243181","Ficha de Produto")</f>
        <v>Ficha de Produto</v>
      </c>
      <c r="H1819" s="217">
        <v>10</v>
      </c>
      <c r="I1819" s="34" t="s">
        <v>808</v>
      </c>
      <c r="J1819" s="34" t="s">
        <v>809</v>
      </c>
      <c r="K1819" s="34" t="s">
        <v>788</v>
      </c>
      <c r="L1819" s="34" t="s">
        <v>793</v>
      </c>
      <c r="M1819" s="247">
        <v>15.1</v>
      </c>
      <c r="N1819" s="288" t="s">
        <v>722</v>
      </c>
    </row>
    <row r="1820" spans="1:1095" s="36" customFormat="1" ht="14.25" customHeight="1">
      <c r="A1820" s="3" t="s">
        <v>1722</v>
      </c>
      <c r="B1820" s="36" t="s">
        <v>4075</v>
      </c>
      <c r="C1820" s="214">
        <v>4058075823273</v>
      </c>
      <c r="D1820" s="246"/>
      <c r="E1820" s="249"/>
      <c r="F1820" s="222" t="s">
        <v>3136</v>
      </c>
      <c r="G1820" s="66" t="str">
        <f>HYPERLINK("https://ledvance.com/pt/product-datasheet/246829/243184","Ficha de Produto")</f>
        <v>Ficha de Produto</v>
      </c>
      <c r="H1820" s="217">
        <v>10</v>
      </c>
      <c r="I1820" s="34" t="s">
        <v>827</v>
      </c>
      <c r="J1820" s="34" t="s">
        <v>809</v>
      </c>
      <c r="K1820" s="34" t="s">
        <v>788</v>
      </c>
      <c r="L1820" s="34" t="s">
        <v>793</v>
      </c>
      <c r="M1820" s="247">
        <v>15.1</v>
      </c>
      <c r="N1820" s="288" t="s">
        <v>722</v>
      </c>
    </row>
    <row r="1821" spans="1:1095" s="36" customFormat="1" ht="14.25" customHeight="1">
      <c r="A1821" s="3" t="s">
        <v>1722</v>
      </c>
      <c r="B1821" s="36" t="s">
        <v>4076</v>
      </c>
      <c r="C1821" s="214">
        <v>4058075823297</v>
      </c>
      <c r="D1821" s="246"/>
      <c r="E1821" s="249"/>
      <c r="F1821" s="222" t="s">
        <v>3136</v>
      </c>
      <c r="G1821" s="66" t="str">
        <f>HYPERLINK("https://ledvance.com/pt/product-datasheet/246829/243187","Ficha de Produto")</f>
        <v>Ficha de Produto</v>
      </c>
      <c r="H1821" s="217">
        <v>10</v>
      </c>
      <c r="I1821" s="34" t="s">
        <v>858</v>
      </c>
      <c r="J1821" s="34" t="s">
        <v>886</v>
      </c>
      <c r="K1821" s="34" t="s">
        <v>788</v>
      </c>
      <c r="L1821" s="34" t="s">
        <v>793</v>
      </c>
      <c r="M1821" s="247">
        <v>17.5</v>
      </c>
      <c r="N1821" s="288" t="s">
        <v>722</v>
      </c>
    </row>
    <row r="1822" spans="1:1095" s="36" customFormat="1" ht="14.25" customHeight="1">
      <c r="A1822" s="3" t="s">
        <v>1722</v>
      </c>
      <c r="B1822" s="36" t="s">
        <v>4077</v>
      </c>
      <c r="C1822" s="214">
        <v>4058075823310</v>
      </c>
      <c r="D1822" s="246"/>
      <c r="E1822" s="249"/>
      <c r="F1822" s="222" t="s">
        <v>3136</v>
      </c>
      <c r="G1822" s="66" t="str">
        <f>HYPERLINK("https://ledvance.com/pt/product-datasheet/246829/243190","Ficha de Produto")</f>
        <v>Ficha de Produto</v>
      </c>
      <c r="H1822" s="217">
        <v>10</v>
      </c>
      <c r="I1822" s="34" t="s">
        <v>929</v>
      </c>
      <c r="J1822" s="34" t="s">
        <v>886</v>
      </c>
      <c r="K1822" s="34" t="s">
        <v>788</v>
      </c>
      <c r="L1822" s="34" t="s">
        <v>793</v>
      </c>
      <c r="M1822" s="247">
        <v>17.5</v>
      </c>
      <c r="N1822" s="288" t="s">
        <v>722</v>
      </c>
    </row>
    <row r="1823" spans="1:1095" s="39" customFormat="1" ht="14.25" customHeight="1">
      <c r="A1823" s="8" t="s">
        <v>1722</v>
      </c>
      <c r="B1823" s="230" t="s">
        <v>2083</v>
      </c>
      <c r="C1823" s="8"/>
      <c r="D1823" s="7"/>
      <c r="E1823" s="230"/>
      <c r="F1823" s="7"/>
      <c r="G1823" s="68"/>
      <c r="H1823" s="230"/>
      <c r="I1823" s="230"/>
      <c r="J1823" s="230"/>
      <c r="K1823" s="230"/>
      <c r="L1823" s="230"/>
      <c r="M1823" s="248"/>
      <c r="N1823" s="289"/>
      <c r="O1823" s="38"/>
      <c r="P1823" s="38"/>
      <c r="Q1823" s="38"/>
      <c r="R1823" s="38"/>
      <c r="S1823" s="38"/>
      <c r="T1823" s="38"/>
      <c r="U1823" s="38"/>
      <c r="V1823" s="38"/>
      <c r="W1823" s="38"/>
      <c r="X1823" s="38"/>
      <c r="Y1823" s="38"/>
      <c r="Z1823" s="38"/>
      <c r="AA1823" s="38"/>
      <c r="AB1823" s="38"/>
      <c r="AC1823" s="38"/>
      <c r="AD1823" s="38"/>
      <c r="AE1823" s="38"/>
      <c r="AF1823" s="38"/>
      <c r="AG1823" s="38"/>
      <c r="AH1823" s="38"/>
      <c r="AI1823" s="38"/>
      <c r="AJ1823" s="38"/>
      <c r="AK1823" s="38"/>
      <c r="AL1823" s="38"/>
      <c r="AM1823" s="38"/>
      <c r="AN1823" s="38"/>
      <c r="AO1823" s="38"/>
      <c r="AP1823" s="38"/>
      <c r="AQ1823" s="38"/>
      <c r="AR1823" s="38"/>
      <c r="AS1823" s="38"/>
      <c r="AT1823" s="38"/>
      <c r="AU1823" s="38"/>
      <c r="AV1823" s="38"/>
      <c r="AW1823" s="38"/>
      <c r="AX1823" s="38"/>
      <c r="AY1823" s="38"/>
      <c r="AZ1823" s="38"/>
      <c r="BA1823" s="38"/>
      <c r="BB1823" s="38"/>
      <c r="BC1823" s="38"/>
      <c r="BD1823" s="38"/>
      <c r="BE1823" s="38"/>
      <c r="BF1823" s="38"/>
      <c r="BG1823" s="38"/>
      <c r="BH1823" s="38"/>
      <c r="BI1823" s="38"/>
      <c r="BJ1823" s="38"/>
      <c r="BK1823" s="38"/>
      <c r="BL1823" s="38"/>
      <c r="BM1823" s="38"/>
      <c r="BN1823" s="38"/>
      <c r="BO1823" s="38"/>
      <c r="BP1823" s="38"/>
      <c r="BQ1823" s="38"/>
      <c r="BR1823" s="38"/>
      <c r="BS1823" s="38"/>
      <c r="BT1823" s="38"/>
      <c r="BU1823" s="38"/>
      <c r="BV1823" s="38"/>
      <c r="BW1823" s="38"/>
      <c r="BX1823" s="38"/>
      <c r="BY1823" s="38"/>
      <c r="BZ1823" s="38"/>
      <c r="CA1823" s="38"/>
      <c r="CB1823" s="38"/>
      <c r="CC1823" s="38"/>
      <c r="CD1823" s="38"/>
      <c r="CE1823" s="38"/>
      <c r="CF1823" s="38"/>
      <c r="CG1823" s="38"/>
      <c r="CH1823" s="38"/>
      <c r="CI1823" s="38"/>
      <c r="CJ1823" s="38"/>
      <c r="CK1823" s="38"/>
      <c r="CL1823" s="38"/>
      <c r="CM1823" s="38"/>
      <c r="CN1823" s="38"/>
      <c r="CO1823" s="38"/>
      <c r="CP1823" s="38"/>
      <c r="CQ1823" s="38"/>
      <c r="CR1823" s="38"/>
      <c r="CS1823" s="38"/>
      <c r="CT1823" s="38"/>
      <c r="CU1823" s="38"/>
      <c r="CV1823" s="38"/>
      <c r="CW1823" s="38"/>
      <c r="CX1823" s="38"/>
      <c r="CY1823" s="38"/>
      <c r="CZ1823" s="38"/>
      <c r="DA1823" s="38"/>
      <c r="DB1823" s="38"/>
      <c r="DC1823" s="38"/>
      <c r="DD1823" s="38"/>
      <c r="DE1823" s="38"/>
      <c r="DF1823" s="38"/>
      <c r="DG1823" s="38"/>
      <c r="DH1823" s="38"/>
      <c r="DI1823" s="38"/>
      <c r="DJ1823" s="38"/>
      <c r="DK1823" s="38"/>
      <c r="DL1823" s="38"/>
      <c r="DM1823" s="38"/>
      <c r="DN1823" s="38"/>
      <c r="DO1823" s="38"/>
      <c r="DP1823" s="38"/>
      <c r="DQ1823" s="38"/>
      <c r="DR1823" s="38"/>
      <c r="DS1823" s="38"/>
      <c r="DT1823" s="38"/>
      <c r="DU1823" s="38"/>
      <c r="DV1823" s="38"/>
      <c r="DW1823" s="38"/>
      <c r="DX1823" s="38"/>
      <c r="DY1823" s="38"/>
      <c r="DZ1823" s="38"/>
      <c r="EA1823" s="38"/>
      <c r="EB1823" s="38"/>
      <c r="EC1823" s="38"/>
      <c r="ED1823" s="38"/>
      <c r="EE1823" s="38"/>
      <c r="EF1823" s="38"/>
      <c r="EG1823" s="38"/>
      <c r="EH1823" s="38"/>
      <c r="EI1823" s="38"/>
      <c r="EJ1823" s="38"/>
      <c r="EK1823" s="38"/>
      <c r="EL1823" s="38"/>
      <c r="EM1823" s="38"/>
      <c r="EN1823" s="38"/>
      <c r="EO1823" s="38"/>
      <c r="EP1823" s="38"/>
      <c r="EQ1823" s="38"/>
      <c r="ER1823" s="38"/>
      <c r="ES1823" s="38"/>
      <c r="ET1823" s="38"/>
      <c r="EU1823" s="38"/>
      <c r="EV1823" s="38"/>
      <c r="EW1823" s="38"/>
      <c r="EX1823" s="38"/>
      <c r="EY1823" s="38"/>
      <c r="EZ1823" s="38"/>
      <c r="FA1823" s="38"/>
      <c r="FB1823" s="38"/>
      <c r="FC1823" s="38"/>
      <c r="FD1823" s="38"/>
      <c r="FE1823" s="38"/>
      <c r="FF1823" s="38"/>
      <c r="FG1823" s="38"/>
      <c r="FH1823" s="38"/>
      <c r="FI1823" s="38"/>
      <c r="FJ1823" s="38"/>
      <c r="FK1823" s="38"/>
      <c r="FL1823" s="38"/>
      <c r="FM1823" s="38"/>
      <c r="FN1823" s="38"/>
      <c r="FO1823" s="38"/>
      <c r="FP1823" s="38"/>
      <c r="FQ1823" s="38"/>
      <c r="FR1823" s="38"/>
      <c r="FS1823" s="38"/>
      <c r="FT1823" s="38"/>
      <c r="FU1823" s="38"/>
      <c r="FV1823" s="38"/>
      <c r="FW1823" s="38"/>
      <c r="FX1823" s="38"/>
      <c r="FY1823" s="38"/>
      <c r="FZ1823" s="38"/>
      <c r="GA1823" s="38"/>
      <c r="GB1823" s="38"/>
      <c r="GC1823" s="38"/>
      <c r="GD1823" s="38"/>
      <c r="GE1823" s="38"/>
      <c r="GF1823" s="38"/>
      <c r="GG1823" s="38"/>
      <c r="GH1823" s="38"/>
      <c r="GI1823" s="38"/>
      <c r="GJ1823" s="38"/>
      <c r="GK1823" s="38"/>
      <c r="GL1823" s="38"/>
      <c r="GM1823" s="38"/>
      <c r="GN1823" s="38"/>
      <c r="GO1823" s="38"/>
      <c r="GP1823" s="38"/>
      <c r="GQ1823" s="38"/>
      <c r="GR1823" s="38"/>
      <c r="GS1823" s="38"/>
      <c r="GT1823" s="38"/>
      <c r="GU1823" s="38"/>
      <c r="GV1823" s="38"/>
      <c r="GW1823" s="38"/>
      <c r="GX1823" s="38"/>
      <c r="GY1823" s="38"/>
      <c r="GZ1823" s="38"/>
      <c r="HA1823" s="38"/>
      <c r="HB1823" s="38"/>
      <c r="HC1823" s="38"/>
      <c r="HD1823" s="38"/>
      <c r="HE1823" s="38"/>
      <c r="HF1823" s="38"/>
      <c r="HG1823" s="38"/>
      <c r="HH1823" s="38"/>
      <c r="HI1823" s="38"/>
      <c r="HJ1823" s="38"/>
      <c r="HK1823" s="38"/>
      <c r="HL1823" s="38"/>
      <c r="HM1823" s="38"/>
      <c r="HN1823" s="38"/>
      <c r="HO1823" s="38"/>
      <c r="HP1823" s="38"/>
      <c r="HQ1823" s="38"/>
      <c r="HR1823" s="38"/>
      <c r="HS1823" s="38"/>
      <c r="HT1823" s="38"/>
      <c r="HU1823" s="38"/>
      <c r="HV1823" s="38"/>
      <c r="HW1823" s="38"/>
      <c r="HX1823" s="38"/>
      <c r="HY1823" s="38"/>
      <c r="HZ1823" s="38"/>
      <c r="IA1823" s="38"/>
      <c r="IB1823" s="38"/>
      <c r="IC1823" s="38"/>
      <c r="ID1823" s="38"/>
      <c r="IE1823" s="38"/>
      <c r="IF1823" s="38"/>
      <c r="IG1823" s="38"/>
      <c r="IH1823" s="38"/>
      <c r="II1823" s="38"/>
      <c r="IJ1823" s="38"/>
      <c r="IK1823" s="38"/>
      <c r="IL1823" s="38"/>
      <c r="IM1823" s="38"/>
      <c r="IN1823" s="38"/>
      <c r="IO1823" s="38"/>
      <c r="IP1823" s="38"/>
      <c r="IQ1823" s="38"/>
      <c r="IR1823" s="38"/>
      <c r="IS1823" s="38"/>
      <c r="IT1823" s="38"/>
      <c r="IU1823" s="38"/>
      <c r="IV1823" s="38"/>
      <c r="IW1823" s="38"/>
      <c r="IX1823" s="38"/>
      <c r="IY1823" s="38"/>
      <c r="IZ1823" s="38"/>
      <c r="JA1823" s="38"/>
      <c r="JB1823" s="38"/>
      <c r="JC1823" s="38"/>
      <c r="JD1823" s="38"/>
      <c r="JE1823" s="38"/>
      <c r="JF1823" s="38"/>
      <c r="JG1823" s="38"/>
      <c r="JH1823" s="38"/>
      <c r="JI1823" s="38"/>
      <c r="JJ1823" s="38"/>
      <c r="JK1823" s="38"/>
      <c r="JL1823" s="38"/>
      <c r="JM1823" s="38"/>
      <c r="JN1823" s="38"/>
      <c r="JO1823" s="38"/>
      <c r="JP1823" s="38"/>
      <c r="JQ1823" s="38"/>
      <c r="JR1823" s="38"/>
      <c r="JS1823" s="38"/>
      <c r="JT1823" s="38"/>
      <c r="JU1823" s="38"/>
      <c r="JV1823" s="38"/>
      <c r="JW1823" s="38"/>
      <c r="JX1823" s="38"/>
      <c r="JY1823" s="38"/>
      <c r="JZ1823" s="38"/>
      <c r="KA1823" s="38"/>
      <c r="KB1823" s="38"/>
      <c r="KC1823" s="38"/>
      <c r="KD1823" s="38"/>
      <c r="KE1823" s="38"/>
      <c r="KF1823" s="38"/>
      <c r="KG1823" s="38"/>
      <c r="KH1823" s="38"/>
      <c r="KI1823" s="38"/>
      <c r="KJ1823" s="38"/>
      <c r="KK1823" s="38"/>
      <c r="KL1823" s="38"/>
      <c r="KM1823" s="38"/>
      <c r="KN1823" s="38"/>
      <c r="KO1823" s="38"/>
      <c r="KP1823" s="38"/>
      <c r="KQ1823" s="38"/>
      <c r="KR1823" s="38"/>
      <c r="KS1823" s="38"/>
      <c r="KT1823" s="38"/>
      <c r="KU1823" s="38"/>
      <c r="KV1823" s="38"/>
      <c r="KW1823" s="38"/>
      <c r="KX1823" s="38"/>
      <c r="KY1823" s="38"/>
      <c r="KZ1823" s="38"/>
      <c r="LA1823" s="38"/>
      <c r="LB1823" s="38"/>
      <c r="LC1823" s="38"/>
      <c r="LD1823" s="38"/>
      <c r="LE1823" s="38"/>
      <c r="LF1823" s="38"/>
      <c r="LG1823" s="38"/>
      <c r="LH1823" s="38"/>
      <c r="LI1823" s="38"/>
      <c r="LJ1823" s="38"/>
      <c r="LK1823" s="38"/>
      <c r="LL1823" s="38"/>
      <c r="LM1823" s="38"/>
      <c r="LN1823" s="38"/>
      <c r="LO1823" s="38"/>
      <c r="LP1823" s="38"/>
      <c r="LQ1823" s="38"/>
      <c r="LR1823" s="38"/>
      <c r="LS1823" s="38"/>
      <c r="LT1823" s="38"/>
      <c r="LU1823" s="38"/>
      <c r="LV1823" s="38"/>
      <c r="LW1823" s="38"/>
      <c r="LX1823" s="38"/>
      <c r="LY1823" s="38"/>
      <c r="LZ1823" s="38"/>
      <c r="MA1823" s="38"/>
      <c r="MB1823" s="38"/>
      <c r="MC1823" s="38"/>
      <c r="MD1823" s="38"/>
      <c r="ME1823" s="38"/>
      <c r="MF1823" s="38"/>
      <c r="MG1823" s="38"/>
      <c r="MH1823" s="38"/>
      <c r="MI1823" s="38"/>
      <c r="MJ1823" s="38"/>
      <c r="MK1823" s="38"/>
      <c r="ML1823" s="38"/>
      <c r="MM1823" s="38"/>
      <c r="MN1823" s="38"/>
      <c r="MO1823" s="38"/>
      <c r="MP1823" s="38"/>
      <c r="MQ1823" s="38"/>
      <c r="MR1823" s="38"/>
      <c r="MS1823" s="38"/>
      <c r="MT1823" s="38"/>
      <c r="MU1823" s="38"/>
      <c r="MV1823" s="38"/>
      <c r="MW1823" s="38"/>
      <c r="MX1823" s="38"/>
      <c r="MY1823" s="38"/>
      <c r="MZ1823" s="38"/>
      <c r="NA1823" s="38"/>
      <c r="NB1823" s="38"/>
      <c r="NC1823" s="38"/>
      <c r="ND1823" s="38"/>
      <c r="NE1823" s="38"/>
      <c r="NF1823" s="38"/>
      <c r="NG1823" s="38"/>
      <c r="NH1823" s="38"/>
      <c r="NI1823" s="38"/>
      <c r="NJ1823" s="38"/>
      <c r="NK1823" s="38"/>
      <c r="NL1823" s="38"/>
      <c r="NM1823" s="38"/>
      <c r="NN1823" s="38"/>
      <c r="NO1823" s="38"/>
      <c r="NP1823" s="38"/>
      <c r="NQ1823" s="38"/>
      <c r="NR1823" s="38"/>
      <c r="NS1823" s="38"/>
      <c r="NT1823" s="38"/>
      <c r="NU1823" s="38"/>
      <c r="NV1823" s="38"/>
      <c r="NW1823" s="38"/>
      <c r="NX1823" s="38"/>
      <c r="NY1823" s="38"/>
      <c r="NZ1823" s="38"/>
      <c r="OA1823" s="38"/>
      <c r="OB1823" s="38"/>
      <c r="OC1823" s="38"/>
      <c r="OD1823" s="38"/>
      <c r="OE1823" s="38"/>
      <c r="OF1823" s="38"/>
      <c r="OG1823" s="38"/>
      <c r="OH1823" s="38"/>
      <c r="OI1823" s="38"/>
      <c r="OJ1823" s="38"/>
      <c r="OK1823" s="38"/>
      <c r="OL1823" s="38"/>
      <c r="OM1823" s="38"/>
      <c r="ON1823" s="38"/>
      <c r="OO1823" s="38"/>
      <c r="OP1823" s="38"/>
      <c r="OQ1823" s="38"/>
      <c r="OR1823" s="38"/>
      <c r="OS1823" s="38"/>
      <c r="OT1823" s="38"/>
      <c r="OU1823" s="38"/>
      <c r="OV1823" s="38"/>
      <c r="OW1823" s="38"/>
      <c r="OX1823" s="38"/>
      <c r="OY1823" s="38"/>
      <c r="OZ1823" s="38"/>
      <c r="PA1823" s="38"/>
      <c r="PB1823" s="38"/>
      <c r="PC1823" s="38"/>
      <c r="PD1823" s="38"/>
      <c r="PE1823" s="38"/>
      <c r="PF1823" s="38"/>
      <c r="PG1823" s="38"/>
      <c r="PH1823" s="38"/>
      <c r="PI1823" s="38"/>
      <c r="PJ1823" s="38"/>
      <c r="PK1823" s="38"/>
      <c r="PL1823" s="38"/>
      <c r="PM1823" s="38"/>
      <c r="PN1823" s="38"/>
      <c r="PO1823" s="38"/>
      <c r="PP1823" s="38"/>
      <c r="PQ1823" s="38"/>
      <c r="PR1823" s="38"/>
      <c r="PS1823" s="38"/>
      <c r="PT1823" s="38"/>
      <c r="PU1823" s="38"/>
      <c r="PV1823" s="38"/>
      <c r="PW1823" s="38"/>
      <c r="PX1823" s="38"/>
      <c r="PY1823" s="38"/>
      <c r="PZ1823" s="38"/>
      <c r="QA1823" s="38"/>
      <c r="QB1823" s="38"/>
      <c r="QC1823" s="38"/>
      <c r="QD1823" s="38"/>
      <c r="QE1823" s="38"/>
      <c r="QF1823" s="38"/>
      <c r="QG1823" s="38"/>
      <c r="QH1823" s="38"/>
      <c r="QI1823" s="38"/>
      <c r="QJ1823" s="38"/>
      <c r="QK1823" s="38"/>
      <c r="QL1823" s="38"/>
      <c r="QM1823" s="38"/>
      <c r="QN1823" s="38"/>
      <c r="QO1823" s="38"/>
      <c r="QP1823" s="38"/>
      <c r="QQ1823" s="38"/>
      <c r="QR1823" s="38"/>
      <c r="QS1823" s="38"/>
      <c r="QT1823" s="38"/>
      <c r="QU1823" s="38"/>
      <c r="QV1823" s="38"/>
      <c r="QW1823" s="38"/>
      <c r="QX1823" s="38"/>
      <c r="QY1823" s="38"/>
      <c r="QZ1823" s="38"/>
      <c r="RA1823" s="38"/>
      <c r="RB1823" s="38"/>
      <c r="RC1823" s="38"/>
      <c r="RD1823" s="38"/>
      <c r="RE1823" s="38"/>
      <c r="RF1823" s="38"/>
      <c r="RG1823" s="38"/>
      <c r="RH1823" s="38"/>
      <c r="RI1823" s="38"/>
      <c r="RJ1823" s="38"/>
      <c r="RK1823" s="38"/>
      <c r="RL1823" s="38"/>
      <c r="RM1823" s="38"/>
      <c r="RN1823" s="38"/>
      <c r="RO1823" s="38"/>
      <c r="RP1823" s="38"/>
      <c r="RQ1823" s="38"/>
      <c r="RR1823" s="38"/>
      <c r="RS1823" s="38"/>
      <c r="RT1823" s="38"/>
      <c r="RU1823" s="38"/>
      <c r="RV1823" s="38"/>
      <c r="RW1823" s="38"/>
      <c r="RX1823" s="38"/>
      <c r="RY1823" s="38"/>
      <c r="RZ1823" s="38"/>
      <c r="SA1823" s="38"/>
      <c r="SB1823" s="38"/>
      <c r="SC1823" s="38"/>
      <c r="SD1823" s="38"/>
      <c r="SE1823" s="38"/>
      <c r="SF1823" s="38"/>
      <c r="SG1823" s="38"/>
      <c r="SH1823" s="38"/>
      <c r="SI1823" s="38"/>
      <c r="SJ1823" s="38"/>
      <c r="SK1823" s="38"/>
      <c r="SL1823" s="38"/>
      <c r="SM1823" s="38"/>
      <c r="SN1823" s="38"/>
      <c r="SO1823" s="38"/>
      <c r="SP1823" s="38"/>
      <c r="SQ1823" s="38"/>
      <c r="SR1823" s="38"/>
      <c r="SS1823" s="38"/>
      <c r="ST1823" s="38"/>
      <c r="SU1823" s="38"/>
      <c r="SV1823" s="38"/>
      <c r="SW1823" s="38"/>
      <c r="SX1823" s="38"/>
      <c r="SY1823" s="38"/>
      <c r="SZ1823" s="38"/>
      <c r="TA1823" s="38"/>
      <c r="TB1823" s="38"/>
      <c r="TC1823" s="38"/>
      <c r="TD1823" s="38"/>
      <c r="TE1823" s="38"/>
      <c r="TF1823" s="38"/>
      <c r="TG1823" s="38"/>
      <c r="TH1823" s="38"/>
      <c r="TI1823" s="38"/>
      <c r="TJ1823" s="38"/>
      <c r="TK1823" s="38"/>
      <c r="TL1823" s="38"/>
      <c r="TM1823" s="38"/>
      <c r="TN1823" s="38"/>
      <c r="TO1823" s="38"/>
      <c r="TP1823" s="38"/>
      <c r="TQ1823" s="38"/>
      <c r="TR1823" s="38"/>
      <c r="TS1823" s="38"/>
      <c r="TT1823" s="38"/>
      <c r="TU1823" s="38"/>
      <c r="TV1823" s="38"/>
      <c r="TW1823" s="38"/>
      <c r="TX1823" s="38"/>
      <c r="TY1823" s="38"/>
      <c r="TZ1823" s="38"/>
      <c r="UA1823" s="38"/>
      <c r="UB1823" s="38"/>
      <c r="UC1823" s="38"/>
      <c r="UD1823" s="38"/>
      <c r="UE1823" s="38"/>
      <c r="UF1823" s="38"/>
      <c r="UG1823" s="38"/>
      <c r="UH1823" s="38"/>
      <c r="UI1823" s="38"/>
      <c r="UJ1823" s="38"/>
      <c r="UK1823" s="38"/>
      <c r="UL1823" s="38"/>
      <c r="UM1823" s="38"/>
      <c r="UN1823" s="38"/>
      <c r="UO1823" s="38"/>
      <c r="UP1823" s="38"/>
      <c r="UQ1823" s="38"/>
      <c r="UR1823" s="38"/>
      <c r="US1823" s="38"/>
      <c r="UT1823" s="38"/>
      <c r="UU1823" s="38"/>
      <c r="UV1823" s="38"/>
      <c r="UW1823" s="38"/>
      <c r="UX1823" s="38"/>
      <c r="UY1823" s="38"/>
      <c r="UZ1823" s="38"/>
      <c r="VA1823" s="38"/>
      <c r="VB1823" s="38"/>
      <c r="VC1823" s="38"/>
      <c r="VD1823" s="38"/>
      <c r="VE1823" s="38"/>
      <c r="VF1823" s="38"/>
      <c r="VG1823" s="38"/>
      <c r="VH1823" s="38"/>
      <c r="VI1823" s="38"/>
      <c r="VJ1823" s="38"/>
      <c r="VK1823" s="38"/>
      <c r="VL1823" s="38"/>
      <c r="VM1823" s="38"/>
      <c r="VN1823" s="38"/>
      <c r="VO1823" s="38"/>
      <c r="VP1823" s="38"/>
      <c r="VQ1823" s="38"/>
      <c r="VR1823" s="38"/>
      <c r="VS1823" s="38"/>
      <c r="VT1823" s="38"/>
      <c r="VU1823" s="38"/>
      <c r="VV1823" s="38"/>
      <c r="VW1823" s="38"/>
      <c r="VX1823" s="38"/>
      <c r="VY1823" s="38"/>
      <c r="VZ1823" s="38"/>
      <c r="WA1823" s="38"/>
      <c r="WB1823" s="38"/>
      <c r="WC1823" s="38"/>
      <c r="WD1823" s="38"/>
      <c r="WE1823" s="38"/>
      <c r="WF1823" s="38"/>
      <c r="WG1823" s="38"/>
      <c r="WH1823" s="38"/>
      <c r="WI1823" s="38"/>
      <c r="WJ1823" s="38"/>
      <c r="WK1823" s="38"/>
      <c r="WL1823" s="38"/>
      <c r="WM1823" s="38"/>
      <c r="WN1823" s="38"/>
      <c r="WO1823" s="38"/>
      <c r="WP1823" s="38"/>
      <c r="WQ1823" s="38"/>
      <c r="WR1823" s="38"/>
      <c r="WS1823" s="38"/>
      <c r="WT1823" s="38"/>
      <c r="WU1823" s="38"/>
      <c r="WV1823" s="38"/>
      <c r="WW1823" s="38"/>
      <c r="WX1823" s="38"/>
      <c r="WY1823" s="38"/>
      <c r="WZ1823" s="38"/>
      <c r="XA1823" s="38"/>
      <c r="XB1823" s="38"/>
      <c r="XC1823" s="38"/>
      <c r="XD1823" s="38"/>
      <c r="XE1823" s="38"/>
      <c r="XF1823" s="38"/>
      <c r="XG1823" s="38"/>
      <c r="XH1823" s="38"/>
      <c r="XI1823" s="38"/>
      <c r="XJ1823" s="38"/>
      <c r="XK1823" s="38"/>
      <c r="XL1823" s="38"/>
      <c r="XM1823" s="38"/>
      <c r="XN1823" s="38"/>
      <c r="XO1823" s="38"/>
      <c r="XP1823" s="38"/>
      <c r="XQ1823" s="38"/>
      <c r="XR1823" s="38"/>
      <c r="XS1823" s="38"/>
      <c r="XT1823" s="38"/>
      <c r="XU1823" s="38"/>
      <c r="XV1823" s="38"/>
      <c r="XW1823" s="38"/>
      <c r="XX1823" s="38"/>
      <c r="XY1823" s="38"/>
      <c r="XZ1823" s="38"/>
      <c r="YA1823" s="38"/>
      <c r="YB1823" s="38"/>
      <c r="YC1823" s="38"/>
      <c r="YD1823" s="38"/>
      <c r="YE1823" s="38"/>
      <c r="YF1823" s="38"/>
      <c r="YG1823" s="38"/>
      <c r="YH1823" s="38"/>
      <c r="YI1823" s="38"/>
      <c r="YJ1823" s="38"/>
      <c r="YK1823" s="38"/>
      <c r="YL1823" s="38"/>
      <c r="YM1823" s="38"/>
      <c r="YN1823" s="38"/>
      <c r="YO1823" s="38"/>
      <c r="YP1823" s="38"/>
      <c r="YQ1823" s="38"/>
      <c r="YR1823" s="38"/>
      <c r="YS1823" s="38"/>
      <c r="YT1823" s="38"/>
      <c r="YU1823" s="38"/>
      <c r="YV1823" s="38"/>
      <c r="YW1823" s="38"/>
      <c r="YX1823" s="38"/>
      <c r="YY1823" s="38"/>
      <c r="YZ1823" s="38"/>
      <c r="ZA1823" s="38"/>
      <c r="ZB1823" s="38"/>
      <c r="ZC1823" s="38"/>
      <c r="ZD1823" s="38"/>
      <c r="ZE1823" s="38"/>
      <c r="ZF1823" s="38"/>
      <c r="ZG1823" s="38"/>
      <c r="ZH1823" s="38"/>
      <c r="ZI1823" s="38"/>
      <c r="ZJ1823" s="38"/>
      <c r="ZK1823" s="38"/>
      <c r="ZL1823" s="38"/>
      <c r="ZM1823" s="38"/>
      <c r="ZN1823" s="38"/>
      <c r="ZO1823" s="38"/>
      <c r="ZP1823" s="38"/>
      <c r="ZQ1823" s="38"/>
      <c r="ZR1823" s="38"/>
      <c r="ZS1823" s="38"/>
      <c r="ZT1823" s="38"/>
      <c r="ZU1823" s="38"/>
      <c r="ZV1823" s="38"/>
      <c r="ZW1823" s="38"/>
      <c r="ZX1823" s="38"/>
      <c r="ZY1823" s="38"/>
      <c r="ZZ1823" s="38"/>
      <c r="AAA1823" s="38"/>
      <c r="AAB1823" s="38"/>
      <c r="AAC1823" s="38"/>
      <c r="AAD1823" s="38"/>
      <c r="AAE1823" s="38"/>
      <c r="AAF1823" s="38"/>
      <c r="AAG1823" s="38"/>
      <c r="AAH1823" s="38"/>
      <c r="AAI1823" s="38"/>
      <c r="AAJ1823" s="38"/>
      <c r="AAK1823" s="38"/>
      <c r="AAL1823" s="38"/>
      <c r="AAM1823" s="38"/>
      <c r="AAN1823" s="38"/>
      <c r="AAO1823" s="38"/>
      <c r="AAP1823" s="38"/>
      <c r="AAQ1823" s="38"/>
      <c r="AAR1823" s="38"/>
      <c r="AAS1823" s="38"/>
      <c r="AAT1823" s="38"/>
      <c r="AAU1823" s="38"/>
      <c r="AAV1823" s="38"/>
      <c r="AAW1823" s="38"/>
      <c r="AAX1823" s="38"/>
      <c r="AAY1823" s="38"/>
      <c r="AAZ1823" s="38"/>
      <c r="ABA1823" s="38"/>
      <c r="ABB1823" s="38"/>
      <c r="ABC1823" s="38"/>
      <c r="ABD1823" s="38"/>
      <c r="ABE1823" s="38"/>
      <c r="ABF1823" s="38"/>
      <c r="ABG1823" s="38"/>
      <c r="ABH1823" s="38"/>
      <c r="ABI1823" s="38"/>
      <c r="ABJ1823" s="38"/>
      <c r="ABK1823" s="38"/>
      <c r="ABL1823" s="38"/>
      <c r="ABM1823" s="38"/>
      <c r="ABN1823" s="38"/>
      <c r="ABO1823" s="38"/>
      <c r="ABP1823" s="38"/>
      <c r="ABQ1823" s="38"/>
      <c r="ABR1823" s="38"/>
      <c r="ABS1823" s="38"/>
      <c r="ABT1823" s="38"/>
      <c r="ABU1823" s="38"/>
      <c r="ABV1823" s="38"/>
      <c r="ABW1823" s="38"/>
      <c r="ABX1823" s="38"/>
      <c r="ABY1823" s="38"/>
      <c r="ABZ1823" s="38"/>
      <c r="ACA1823" s="38"/>
      <c r="ACB1823" s="38"/>
      <c r="ACC1823" s="38"/>
      <c r="ACD1823" s="38"/>
      <c r="ACE1823" s="38"/>
      <c r="ACF1823" s="38"/>
      <c r="ACG1823" s="38"/>
      <c r="ACH1823" s="38"/>
      <c r="ACI1823" s="38"/>
      <c r="ACJ1823" s="38"/>
      <c r="ACK1823" s="38"/>
      <c r="ACL1823" s="38"/>
      <c r="ACM1823" s="38"/>
      <c r="ACN1823" s="38"/>
      <c r="ACO1823" s="38"/>
      <c r="ACP1823" s="38"/>
      <c r="ACQ1823" s="38"/>
      <c r="ACR1823" s="38"/>
      <c r="ACS1823" s="38"/>
      <c r="ACT1823" s="38"/>
      <c r="ACU1823" s="38"/>
      <c r="ACV1823" s="38"/>
      <c r="ACW1823" s="38"/>
      <c r="ACX1823" s="38"/>
      <c r="ACY1823" s="38"/>
      <c r="ACZ1823" s="38"/>
      <c r="ADA1823" s="38"/>
      <c r="ADB1823" s="38"/>
      <c r="ADC1823" s="38"/>
      <c r="ADD1823" s="38"/>
      <c r="ADE1823" s="38"/>
      <c r="ADF1823" s="38"/>
      <c r="ADG1823" s="38"/>
      <c r="ADH1823" s="38"/>
      <c r="ADI1823" s="38"/>
      <c r="ADJ1823" s="38"/>
      <c r="ADK1823" s="38"/>
      <c r="ADL1823" s="38"/>
      <c r="ADM1823" s="38"/>
      <c r="ADN1823" s="38"/>
      <c r="ADO1823" s="38"/>
      <c r="ADP1823" s="38"/>
      <c r="ADQ1823" s="38"/>
      <c r="ADR1823" s="38"/>
      <c r="ADS1823" s="38"/>
      <c r="ADT1823" s="38"/>
      <c r="ADU1823" s="38"/>
      <c r="ADV1823" s="38"/>
      <c r="ADW1823" s="38"/>
      <c r="ADX1823" s="38"/>
      <c r="ADY1823" s="38"/>
      <c r="ADZ1823" s="38"/>
      <c r="AEA1823" s="38"/>
      <c r="AEB1823" s="38"/>
      <c r="AEC1823" s="38"/>
      <c r="AED1823" s="38"/>
      <c r="AEE1823" s="38"/>
      <c r="AEF1823" s="38"/>
      <c r="AEG1823" s="38"/>
      <c r="AEH1823" s="38"/>
      <c r="AEI1823" s="38"/>
      <c r="AEJ1823" s="38"/>
      <c r="AEK1823" s="38"/>
      <c r="AEL1823" s="38"/>
      <c r="AEM1823" s="38"/>
      <c r="AEN1823" s="38"/>
      <c r="AEO1823" s="38"/>
      <c r="AEP1823" s="38"/>
      <c r="AEQ1823" s="38"/>
      <c r="AER1823" s="38"/>
      <c r="AES1823" s="38"/>
      <c r="AET1823" s="38"/>
      <c r="AEU1823" s="38"/>
      <c r="AEV1823" s="38"/>
      <c r="AEW1823" s="38"/>
      <c r="AEX1823" s="38"/>
      <c r="AEY1823" s="38"/>
      <c r="AEZ1823" s="38"/>
      <c r="AFA1823" s="38"/>
      <c r="AFB1823" s="38"/>
      <c r="AFC1823" s="38"/>
      <c r="AFD1823" s="38"/>
      <c r="AFE1823" s="38"/>
      <c r="AFF1823" s="38"/>
      <c r="AFG1823" s="38"/>
      <c r="AFH1823" s="38"/>
      <c r="AFI1823" s="38"/>
      <c r="AFJ1823" s="38"/>
      <c r="AFK1823" s="38"/>
      <c r="AFL1823" s="38"/>
      <c r="AFM1823" s="38"/>
      <c r="AFN1823" s="38"/>
      <c r="AFO1823" s="38"/>
      <c r="AFP1823" s="38"/>
      <c r="AFQ1823" s="38"/>
      <c r="AFR1823" s="38"/>
      <c r="AFS1823" s="38"/>
      <c r="AFT1823" s="38"/>
      <c r="AFU1823" s="38"/>
      <c r="AFV1823" s="38"/>
      <c r="AFW1823" s="38"/>
      <c r="AFX1823" s="38"/>
      <c r="AFY1823" s="38"/>
      <c r="AFZ1823" s="38"/>
      <c r="AGA1823" s="38"/>
      <c r="AGB1823" s="38"/>
      <c r="AGC1823" s="38"/>
      <c r="AGD1823" s="38"/>
      <c r="AGE1823" s="38"/>
      <c r="AGF1823" s="38"/>
      <c r="AGG1823" s="38"/>
      <c r="AGH1823" s="38"/>
      <c r="AGI1823" s="38"/>
      <c r="AGJ1823" s="38"/>
      <c r="AGK1823" s="38"/>
      <c r="AGL1823" s="38"/>
      <c r="AGM1823" s="38"/>
      <c r="AGN1823" s="38"/>
      <c r="AGO1823" s="38"/>
      <c r="AGP1823" s="38"/>
      <c r="AGQ1823" s="38"/>
      <c r="AGR1823" s="38"/>
      <c r="AGS1823" s="38"/>
      <c r="AGT1823" s="38"/>
      <c r="AGU1823" s="38"/>
      <c r="AGV1823" s="38"/>
      <c r="AGW1823" s="38"/>
      <c r="AGX1823" s="38"/>
      <c r="AGY1823" s="38"/>
      <c r="AGZ1823" s="38"/>
      <c r="AHA1823" s="38"/>
      <c r="AHB1823" s="38"/>
      <c r="AHC1823" s="38"/>
      <c r="AHD1823" s="38"/>
      <c r="AHE1823" s="38"/>
      <c r="AHF1823" s="38"/>
      <c r="AHG1823" s="38"/>
      <c r="AHH1823" s="38"/>
      <c r="AHI1823" s="38"/>
      <c r="AHJ1823" s="38"/>
      <c r="AHK1823" s="38"/>
      <c r="AHL1823" s="38"/>
      <c r="AHM1823" s="38"/>
      <c r="AHN1823" s="38"/>
      <c r="AHO1823" s="38"/>
      <c r="AHP1823" s="38"/>
      <c r="AHQ1823" s="38"/>
      <c r="AHR1823" s="38"/>
      <c r="AHS1823" s="38"/>
      <c r="AHT1823" s="38"/>
      <c r="AHU1823" s="38"/>
      <c r="AHV1823" s="38"/>
      <c r="AHW1823" s="38"/>
      <c r="AHX1823" s="38"/>
      <c r="AHY1823" s="38"/>
      <c r="AHZ1823" s="38"/>
      <c r="AIA1823" s="38"/>
      <c r="AIB1823" s="38"/>
      <c r="AIC1823" s="38"/>
      <c r="AID1823" s="38"/>
      <c r="AIE1823" s="38"/>
      <c r="AIF1823" s="38"/>
      <c r="AIG1823" s="38"/>
      <c r="AIH1823" s="38"/>
      <c r="AII1823" s="38"/>
      <c r="AIJ1823" s="38"/>
      <c r="AIK1823" s="38"/>
      <c r="AIL1823" s="38"/>
      <c r="AIM1823" s="38"/>
      <c r="AIN1823" s="38"/>
      <c r="AIO1823" s="38"/>
      <c r="AIP1823" s="38"/>
      <c r="AIQ1823" s="38"/>
      <c r="AIR1823" s="38"/>
      <c r="AIS1823" s="38"/>
      <c r="AIT1823" s="38"/>
      <c r="AIU1823" s="38"/>
      <c r="AIV1823" s="38"/>
      <c r="AIW1823" s="38"/>
      <c r="AIX1823" s="38"/>
      <c r="AIY1823" s="38"/>
      <c r="AIZ1823" s="38"/>
      <c r="AJA1823" s="38"/>
      <c r="AJB1823" s="38"/>
      <c r="AJC1823" s="38"/>
      <c r="AJD1823" s="38"/>
      <c r="AJE1823" s="38"/>
      <c r="AJF1823" s="38"/>
      <c r="AJG1823" s="38"/>
      <c r="AJH1823" s="38"/>
      <c r="AJI1823" s="38"/>
      <c r="AJJ1823" s="38"/>
      <c r="AJK1823" s="38"/>
      <c r="AJL1823" s="38"/>
      <c r="AJM1823" s="38"/>
      <c r="AJN1823" s="38"/>
      <c r="AJO1823" s="38"/>
      <c r="AJP1823" s="38"/>
      <c r="AJQ1823" s="38"/>
      <c r="AJR1823" s="38"/>
      <c r="AJS1823" s="38"/>
      <c r="AJT1823" s="38"/>
      <c r="AJU1823" s="38"/>
      <c r="AJV1823" s="38"/>
      <c r="AJW1823" s="38"/>
      <c r="AJX1823" s="38"/>
      <c r="AJY1823" s="38"/>
      <c r="AJZ1823" s="38"/>
      <c r="AKA1823" s="38"/>
      <c r="AKB1823" s="38"/>
      <c r="AKC1823" s="38"/>
      <c r="AKD1823" s="38"/>
      <c r="AKE1823" s="38"/>
      <c r="AKF1823" s="38"/>
      <c r="AKG1823" s="38"/>
      <c r="AKH1823" s="38"/>
      <c r="AKI1823" s="38"/>
      <c r="AKJ1823" s="38"/>
      <c r="AKK1823" s="38"/>
      <c r="AKL1823" s="38"/>
      <c r="AKM1823" s="38"/>
      <c r="AKN1823" s="38"/>
      <c r="AKO1823" s="38"/>
      <c r="AKP1823" s="38"/>
      <c r="AKQ1823" s="38"/>
      <c r="AKR1823" s="38"/>
      <c r="AKS1823" s="38"/>
      <c r="AKT1823" s="38"/>
      <c r="AKU1823" s="38"/>
      <c r="AKV1823" s="38"/>
      <c r="AKW1823" s="38"/>
      <c r="AKX1823" s="38"/>
      <c r="AKY1823" s="38"/>
      <c r="AKZ1823" s="38"/>
      <c r="ALA1823" s="38"/>
      <c r="ALB1823" s="38"/>
      <c r="ALC1823" s="38"/>
      <c r="ALD1823" s="38"/>
      <c r="ALE1823" s="38"/>
      <c r="ALF1823" s="38"/>
      <c r="ALG1823" s="38"/>
      <c r="ALH1823" s="38"/>
      <c r="ALI1823" s="38"/>
      <c r="ALJ1823" s="38"/>
      <c r="ALK1823" s="38"/>
      <c r="ALL1823" s="38"/>
      <c r="ALM1823" s="38"/>
      <c r="ALN1823" s="38"/>
      <c r="ALO1823" s="38"/>
      <c r="ALP1823" s="38"/>
      <c r="ALQ1823" s="38"/>
      <c r="ALR1823" s="38"/>
      <c r="ALS1823" s="38"/>
      <c r="ALT1823" s="38"/>
      <c r="ALU1823" s="38"/>
      <c r="ALV1823" s="38"/>
      <c r="ALW1823" s="38"/>
      <c r="ALX1823" s="38"/>
      <c r="ALY1823" s="38"/>
      <c r="ALZ1823" s="38"/>
      <c r="AMA1823" s="38"/>
      <c r="AMB1823" s="38"/>
      <c r="AMC1823" s="38"/>
      <c r="AMD1823" s="38"/>
      <c r="AME1823" s="38"/>
      <c r="AMF1823" s="38"/>
      <c r="AMG1823" s="38"/>
      <c r="AMH1823" s="38"/>
      <c r="AMI1823" s="38"/>
      <c r="AMJ1823" s="38"/>
      <c r="AMK1823" s="38"/>
      <c r="AML1823" s="38"/>
      <c r="AMM1823" s="38"/>
      <c r="AMN1823" s="38"/>
      <c r="AMO1823" s="38"/>
      <c r="AMP1823" s="38"/>
      <c r="AMQ1823" s="38"/>
      <c r="AMR1823" s="38"/>
      <c r="AMS1823" s="38"/>
      <c r="AMT1823" s="38"/>
      <c r="AMU1823" s="38"/>
      <c r="AMV1823" s="38"/>
      <c r="AMW1823" s="38"/>
      <c r="AMX1823" s="38"/>
      <c r="AMY1823" s="38"/>
      <c r="AMZ1823" s="38"/>
      <c r="ANA1823" s="38"/>
      <c r="ANB1823" s="38"/>
      <c r="ANC1823" s="38"/>
      <c r="AND1823" s="38"/>
      <c r="ANE1823" s="38"/>
      <c r="ANF1823" s="38"/>
      <c r="ANG1823" s="38"/>
      <c r="ANH1823" s="38"/>
      <c r="ANI1823" s="38"/>
      <c r="ANJ1823" s="38"/>
      <c r="ANK1823" s="38"/>
      <c r="ANL1823" s="38"/>
      <c r="ANM1823" s="38"/>
      <c r="ANN1823" s="38"/>
      <c r="ANO1823" s="38"/>
      <c r="ANP1823" s="38"/>
      <c r="ANQ1823" s="38"/>
      <c r="ANR1823" s="38"/>
      <c r="ANS1823" s="38"/>
      <c r="ANT1823" s="38"/>
      <c r="ANU1823" s="38"/>
      <c r="ANV1823" s="38"/>
      <c r="ANW1823" s="38"/>
      <c r="ANX1823" s="38"/>
      <c r="ANY1823" s="38"/>
      <c r="ANZ1823" s="38"/>
      <c r="AOA1823" s="38"/>
      <c r="AOB1823" s="38"/>
      <c r="AOC1823" s="38"/>
      <c r="AOD1823" s="38"/>
      <c r="AOE1823" s="38"/>
      <c r="AOF1823" s="38"/>
      <c r="AOG1823" s="38"/>
      <c r="AOH1823" s="38"/>
      <c r="AOI1823" s="38"/>
      <c r="AOJ1823" s="38"/>
      <c r="AOK1823" s="38"/>
      <c r="AOL1823" s="38"/>
      <c r="AOM1823" s="38"/>
      <c r="AON1823" s="38"/>
      <c r="AOO1823" s="38"/>
      <c r="AOP1823" s="38"/>
      <c r="AOQ1823" s="38"/>
      <c r="AOR1823" s="38"/>
      <c r="AOS1823" s="38"/>
      <c r="AOT1823" s="38"/>
      <c r="AOU1823" s="38"/>
      <c r="AOV1823" s="38"/>
      <c r="AOW1823" s="38"/>
      <c r="AOX1823" s="38"/>
      <c r="AOY1823" s="38"/>
      <c r="AOZ1823" s="38"/>
      <c r="APA1823" s="38"/>
      <c r="APB1823" s="38"/>
      <c r="APC1823" s="38"/>
    </row>
    <row r="1824" spans="1:1095" s="36" customFormat="1" ht="14.25" customHeight="1">
      <c r="A1824" s="3" t="s">
        <v>1722</v>
      </c>
      <c r="B1824" s="36" t="s">
        <v>2084</v>
      </c>
      <c r="C1824" s="10">
        <v>4099854040603</v>
      </c>
      <c r="D1824" s="224">
        <v>4058075765856</v>
      </c>
      <c r="E1824" s="245" t="s">
        <v>972</v>
      </c>
      <c r="F1824" s="246"/>
      <c r="G1824" s="66" t="str">
        <f>HYPERLINK("https://ledvance.com/pt/product-datasheet/248189/234292","Ficha de Produto")</f>
        <v>Ficha de Produto</v>
      </c>
      <c r="H1824" s="217">
        <v>6</v>
      </c>
      <c r="I1824" s="34" t="s">
        <v>820</v>
      </c>
      <c r="J1824" s="34" t="s">
        <v>6344</v>
      </c>
      <c r="K1824" s="34" t="s">
        <v>822</v>
      </c>
      <c r="L1824" s="34" t="s">
        <v>765</v>
      </c>
      <c r="M1824" s="247">
        <v>75.600000000000009</v>
      </c>
      <c r="N1824" s="288" t="s">
        <v>722</v>
      </c>
    </row>
    <row r="1825" spans="1:1095" s="36" customFormat="1" ht="14.25" customHeight="1">
      <c r="A1825" s="3" t="s">
        <v>1722</v>
      </c>
      <c r="B1825" s="36" t="s">
        <v>2085</v>
      </c>
      <c r="C1825" s="10">
        <v>4099854040627</v>
      </c>
      <c r="D1825" s="224">
        <v>4058075765870</v>
      </c>
      <c r="E1825" s="245" t="s">
        <v>973</v>
      </c>
      <c r="F1825" s="246"/>
      <c r="G1825" s="66" t="str">
        <f>HYPERLINK("https://ledvance.com/pt/product-datasheet/248189/234295","Ficha de Produto")</f>
        <v>Ficha de Produto</v>
      </c>
      <c r="H1825" s="217">
        <v>6</v>
      </c>
      <c r="I1825" s="34" t="s">
        <v>861</v>
      </c>
      <c r="J1825" s="34" t="s">
        <v>6344</v>
      </c>
      <c r="K1825" s="34" t="s">
        <v>822</v>
      </c>
      <c r="L1825" s="34" t="s">
        <v>765</v>
      </c>
      <c r="M1825" s="247">
        <v>75.600000000000009</v>
      </c>
      <c r="N1825" s="288" t="s">
        <v>722</v>
      </c>
    </row>
    <row r="1826" spans="1:1095" s="36" customFormat="1" ht="14.25" customHeight="1">
      <c r="A1826" s="3" t="s">
        <v>1722</v>
      </c>
      <c r="B1826" s="36" t="s">
        <v>2086</v>
      </c>
      <c r="C1826" s="10">
        <v>4099854040641</v>
      </c>
      <c r="D1826" s="224">
        <v>4058075765894</v>
      </c>
      <c r="E1826" s="245" t="s">
        <v>974</v>
      </c>
      <c r="F1826" s="246"/>
      <c r="G1826" s="66" t="str">
        <f>HYPERLINK("https://ledvance.com/pt/product-datasheet/248189/234298","Ficha de Produto")</f>
        <v>Ficha de Produto</v>
      </c>
      <c r="H1826" s="217">
        <v>6</v>
      </c>
      <c r="I1826" s="34" t="s">
        <v>803</v>
      </c>
      <c r="J1826" s="34" t="s">
        <v>6345</v>
      </c>
      <c r="K1826" s="34" t="s">
        <v>822</v>
      </c>
      <c r="L1826" s="34" t="s">
        <v>765</v>
      </c>
      <c r="M1826" s="247">
        <v>89.2</v>
      </c>
      <c r="N1826" s="288" t="s">
        <v>722</v>
      </c>
    </row>
    <row r="1827" spans="1:1095" s="36" customFormat="1" ht="14.25" customHeight="1">
      <c r="A1827" s="3" t="s">
        <v>1722</v>
      </c>
      <c r="B1827" s="36" t="s">
        <v>2087</v>
      </c>
      <c r="C1827" s="10">
        <v>4099854040665</v>
      </c>
      <c r="D1827" s="224">
        <v>4058075765917</v>
      </c>
      <c r="E1827" s="245" t="s">
        <v>975</v>
      </c>
      <c r="F1827" s="246"/>
      <c r="G1827" s="66" t="str">
        <f>HYPERLINK("https://ledvance.com/pt/product-datasheet/248189/234301","Ficha de Produto")</f>
        <v>Ficha de Produto</v>
      </c>
      <c r="H1827" s="217">
        <v>6</v>
      </c>
      <c r="I1827" s="34" t="s">
        <v>832</v>
      </c>
      <c r="J1827" s="34" t="s">
        <v>6345</v>
      </c>
      <c r="K1827" s="34" t="s">
        <v>822</v>
      </c>
      <c r="L1827" s="34" t="s">
        <v>765</v>
      </c>
      <c r="M1827" s="247">
        <v>89.2</v>
      </c>
      <c r="N1827" s="288" t="s">
        <v>722</v>
      </c>
    </row>
    <row r="1828" spans="1:1095" s="36" customFormat="1" ht="14.25" customHeight="1">
      <c r="A1828" s="3" t="s">
        <v>1722</v>
      </c>
      <c r="B1828" s="36" t="s">
        <v>2088</v>
      </c>
      <c r="C1828" s="10">
        <v>4099854040689</v>
      </c>
      <c r="D1828" s="224">
        <v>4058075765931</v>
      </c>
      <c r="E1828" s="245" t="s">
        <v>976</v>
      </c>
      <c r="F1828" s="246"/>
      <c r="G1828" s="66" t="str">
        <f>HYPERLINK("https://ledvance.com/pt/product-datasheet/248189/234304","Ficha de Produto")</f>
        <v>Ficha de Produto</v>
      </c>
      <c r="H1828" s="217">
        <v>6</v>
      </c>
      <c r="I1828" s="34" t="s">
        <v>834</v>
      </c>
      <c r="J1828" s="34" t="s">
        <v>6311</v>
      </c>
      <c r="K1828" s="34" t="s">
        <v>822</v>
      </c>
      <c r="L1828" s="34" t="s">
        <v>765</v>
      </c>
      <c r="M1828" s="247">
        <v>99.7</v>
      </c>
      <c r="N1828" s="288" t="s">
        <v>722</v>
      </c>
    </row>
    <row r="1829" spans="1:1095" s="36" customFormat="1" ht="14.25" customHeight="1">
      <c r="A1829" s="3" t="s">
        <v>1722</v>
      </c>
      <c r="B1829" s="36" t="s">
        <v>2089</v>
      </c>
      <c r="C1829" s="10">
        <v>4099854040702</v>
      </c>
      <c r="D1829" s="224">
        <v>4058075765955</v>
      </c>
      <c r="E1829" s="245" t="s">
        <v>977</v>
      </c>
      <c r="F1829" s="246"/>
      <c r="G1829" s="66" t="str">
        <f>HYPERLINK("https://ledvance.com/pt/product-datasheet/248189/234307","Ficha de Produto")</f>
        <v>Ficha de Produto</v>
      </c>
      <c r="H1829" s="217">
        <v>6</v>
      </c>
      <c r="I1829" s="34" t="s">
        <v>815</v>
      </c>
      <c r="J1829" s="34" t="s">
        <v>6311</v>
      </c>
      <c r="K1829" s="34" t="s">
        <v>822</v>
      </c>
      <c r="L1829" s="34" t="s">
        <v>765</v>
      </c>
      <c r="M1829" s="247">
        <v>99.7</v>
      </c>
      <c r="N1829" s="288" t="s">
        <v>722</v>
      </c>
    </row>
    <row r="1830" spans="1:1095" s="36" customFormat="1" ht="14.25" customHeight="1">
      <c r="A1830" s="3" t="s">
        <v>1722</v>
      </c>
      <c r="B1830" s="36" t="s">
        <v>2090</v>
      </c>
      <c r="C1830" s="10">
        <v>4099854040726</v>
      </c>
      <c r="D1830" s="224">
        <v>4058075765979</v>
      </c>
      <c r="E1830" s="245" t="s">
        <v>978</v>
      </c>
      <c r="F1830" s="246"/>
      <c r="G1830" s="66" t="str">
        <f>HYPERLINK("https://ledvance.com/pt/product-datasheet/248189/234310","Ficha de Produto")</f>
        <v>Ficha de Produto</v>
      </c>
      <c r="H1830" s="217">
        <v>6</v>
      </c>
      <c r="I1830" s="34" t="s">
        <v>878</v>
      </c>
      <c r="J1830" s="34" t="s">
        <v>6346</v>
      </c>
      <c r="K1830" s="34" t="s">
        <v>822</v>
      </c>
      <c r="L1830" s="34" t="s">
        <v>765</v>
      </c>
      <c r="M1830" s="247">
        <v>133.1</v>
      </c>
      <c r="N1830" s="288" t="s">
        <v>722</v>
      </c>
    </row>
    <row r="1831" spans="1:1095" s="36" customFormat="1" ht="14.25" customHeight="1">
      <c r="A1831" s="3" t="s">
        <v>1722</v>
      </c>
      <c r="B1831" s="36" t="s">
        <v>2091</v>
      </c>
      <c r="C1831" s="10">
        <v>4099854040740</v>
      </c>
      <c r="D1831" s="224">
        <v>4058075765993</v>
      </c>
      <c r="E1831" s="245" t="s">
        <v>979</v>
      </c>
      <c r="F1831" s="246"/>
      <c r="G1831" s="66" t="str">
        <f>HYPERLINK("https://ledvance.com/pt/product-datasheet/248189/234313","Ficha de Produto")</f>
        <v>Ficha de Produto</v>
      </c>
      <c r="H1831" s="217">
        <v>6</v>
      </c>
      <c r="I1831" s="34" t="s">
        <v>889</v>
      </c>
      <c r="J1831" s="34" t="s">
        <v>6346</v>
      </c>
      <c r="K1831" s="34" t="s">
        <v>822</v>
      </c>
      <c r="L1831" s="34" t="s">
        <v>765</v>
      </c>
      <c r="M1831" s="247">
        <v>133.1</v>
      </c>
      <c r="N1831" s="288" t="s">
        <v>722</v>
      </c>
    </row>
    <row r="1832" spans="1:1095" s="36" customFormat="1" ht="14.25" customHeight="1">
      <c r="A1832" s="3" t="s">
        <v>1722</v>
      </c>
      <c r="B1832" s="36" t="s">
        <v>2092</v>
      </c>
      <c r="C1832" s="10">
        <v>4099854040764</v>
      </c>
      <c r="D1832" s="224">
        <v>4058075766013</v>
      </c>
      <c r="E1832" s="245" t="s">
        <v>980</v>
      </c>
      <c r="F1832" s="246"/>
      <c r="G1832" s="66" t="str">
        <f>HYPERLINK("https://ledvance.com/pt/product-datasheet/248189/234316","Ficha de Produto")</f>
        <v>Ficha de Produto</v>
      </c>
      <c r="H1832" s="217">
        <v>6</v>
      </c>
      <c r="I1832" s="34" t="s">
        <v>878</v>
      </c>
      <c r="J1832" s="34" t="s">
        <v>6346</v>
      </c>
      <c r="K1832" s="34" t="s">
        <v>822</v>
      </c>
      <c r="L1832" s="34" t="s">
        <v>765</v>
      </c>
      <c r="M1832" s="247">
        <v>133.1</v>
      </c>
      <c r="N1832" s="288" t="s">
        <v>722</v>
      </c>
    </row>
    <row r="1833" spans="1:1095" s="36" customFormat="1" ht="14.25" customHeight="1">
      <c r="A1833" s="3" t="s">
        <v>1722</v>
      </c>
      <c r="B1833" s="36" t="s">
        <v>2093</v>
      </c>
      <c r="C1833" s="10">
        <v>4099854040788</v>
      </c>
      <c r="D1833" s="224">
        <v>4058075766037</v>
      </c>
      <c r="E1833" s="245" t="s">
        <v>981</v>
      </c>
      <c r="F1833" s="246"/>
      <c r="G1833" s="66" t="str">
        <f>HYPERLINK("https://ledvance.com/pt/product-datasheet/248189/234319","Ficha de Produto")</f>
        <v>Ficha de Produto</v>
      </c>
      <c r="H1833" s="217">
        <v>6</v>
      </c>
      <c r="I1833" s="34" t="s">
        <v>889</v>
      </c>
      <c r="J1833" s="34" t="s">
        <v>6346</v>
      </c>
      <c r="K1833" s="34" t="s">
        <v>822</v>
      </c>
      <c r="L1833" s="34" t="s">
        <v>765</v>
      </c>
      <c r="M1833" s="247">
        <v>133.1</v>
      </c>
      <c r="N1833" s="288" t="s">
        <v>722</v>
      </c>
    </row>
    <row r="1834" spans="1:1095" s="36" customFormat="1" ht="14.25" customHeight="1">
      <c r="A1834" s="3" t="s">
        <v>1722</v>
      </c>
      <c r="B1834" s="36" t="s">
        <v>2094</v>
      </c>
      <c r="C1834" s="10">
        <v>4099854040801</v>
      </c>
      <c r="D1834" s="224">
        <v>4058075766051</v>
      </c>
      <c r="E1834" s="245" t="s">
        <v>982</v>
      </c>
      <c r="F1834" s="246"/>
      <c r="G1834" s="66" t="str">
        <f>HYPERLINK("https://ledvance.com/pt/product-datasheet/248189/234322","Ficha de Produto")</f>
        <v>Ficha de Produto</v>
      </c>
      <c r="H1834" s="217">
        <v>6</v>
      </c>
      <c r="I1834" s="34" t="s">
        <v>1771</v>
      </c>
      <c r="J1834" s="34" t="s">
        <v>938</v>
      </c>
      <c r="K1834" s="34" t="s">
        <v>822</v>
      </c>
      <c r="L1834" s="34" t="s">
        <v>765</v>
      </c>
      <c r="M1834" s="247">
        <v>199</v>
      </c>
      <c r="N1834" s="288" t="s">
        <v>722</v>
      </c>
    </row>
    <row r="1835" spans="1:1095" s="36" customFormat="1" ht="14.25" customHeight="1">
      <c r="A1835" s="3" t="s">
        <v>1722</v>
      </c>
      <c r="B1835" s="36" t="s">
        <v>2095</v>
      </c>
      <c r="C1835" s="10">
        <v>4099854040825</v>
      </c>
      <c r="D1835" s="224">
        <v>4058075766075</v>
      </c>
      <c r="E1835" s="245" t="s">
        <v>983</v>
      </c>
      <c r="F1835" s="246"/>
      <c r="G1835" s="66" t="str">
        <f>HYPERLINK("https://ledvance.com/pt/product-datasheet/248189/234325","Ficha de Produto")</f>
        <v>Ficha de Produto</v>
      </c>
      <c r="H1835" s="217">
        <v>6</v>
      </c>
      <c r="I1835" s="34" t="s">
        <v>893</v>
      </c>
      <c r="J1835" s="34" t="s">
        <v>938</v>
      </c>
      <c r="K1835" s="34" t="s">
        <v>822</v>
      </c>
      <c r="L1835" s="34" t="s">
        <v>765</v>
      </c>
      <c r="M1835" s="247">
        <v>199</v>
      </c>
      <c r="N1835" s="288" t="s">
        <v>722</v>
      </c>
    </row>
    <row r="1836" spans="1:1095" s="39" customFormat="1" ht="14.25" customHeight="1">
      <c r="A1836" s="8" t="s">
        <v>1722</v>
      </c>
      <c r="B1836" s="244" t="s">
        <v>2096</v>
      </c>
      <c r="C1836" s="8"/>
      <c r="D1836" s="7"/>
      <c r="E1836" s="230"/>
      <c r="F1836" s="7"/>
      <c r="G1836" s="68" t="s">
        <v>6505</v>
      </c>
      <c r="H1836" s="230"/>
      <c r="I1836" s="230"/>
      <c r="J1836" s="230"/>
      <c r="K1836" s="230"/>
      <c r="L1836" s="230"/>
      <c r="M1836" s="248"/>
      <c r="N1836" s="292"/>
      <c r="O1836" s="38"/>
      <c r="P1836" s="38"/>
      <c r="Q1836" s="38"/>
      <c r="R1836" s="38"/>
      <c r="S1836" s="38"/>
      <c r="T1836" s="38"/>
      <c r="U1836" s="38"/>
      <c r="V1836" s="38"/>
      <c r="W1836" s="38"/>
      <c r="X1836" s="38"/>
      <c r="Y1836" s="38"/>
      <c r="Z1836" s="38"/>
      <c r="AA1836" s="38"/>
      <c r="AB1836" s="38"/>
      <c r="AC1836" s="38"/>
      <c r="AD1836" s="38"/>
      <c r="AE1836" s="38"/>
      <c r="AF1836" s="38"/>
      <c r="AG1836" s="38"/>
      <c r="AH1836" s="38"/>
      <c r="AI1836" s="38"/>
      <c r="AJ1836" s="38"/>
      <c r="AK1836" s="38"/>
      <c r="AL1836" s="38"/>
      <c r="AM1836" s="38"/>
      <c r="AN1836" s="38"/>
      <c r="AO1836" s="38"/>
      <c r="AP1836" s="38"/>
      <c r="AQ1836" s="38"/>
      <c r="AR1836" s="38"/>
      <c r="AS1836" s="38"/>
      <c r="AT1836" s="38"/>
      <c r="AU1836" s="38"/>
      <c r="AV1836" s="38"/>
      <c r="AW1836" s="38"/>
      <c r="AX1836" s="38"/>
      <c r="AY1836" s="38"/>
      <c r="AZ1836" s="38"/>
      <c r="BA1836" s="38"/>
      <c r="BB1836" s="38"/>
      <c r="BC1836" s="38"/>
      <c r="BD1836" s="38"/>
      <c r="BE1836" s="38"/>
      <c r="BF1836" s="38"/>
      <c r="BG1836" s="38"/>
      <c r="BH1836" s="38"/>
      <c r="BI1836" s="38"/>
      <c r="BJ1836" s="38"/>
      <c r="BK1836" s="38"/>
      <c r="BL1836" s="38"/>
      <c r="BM1836" s="38"/>
      <c r="BN1836" s="38"/>
      <c r="BO1836" s="38"/>
      <c r="BP1836" s="38"/>
      <c r="BQ1836" s="38"/>
      <c r="BR1836" s="38"/>
      <c r="BS1836" s="38"/>
      <c r="BT1836" s="38"/>
      <c r="BU1836" s="38"/>
      <c r="BV1836" s="38"/>
      <c r="BW1836" s="38"/>
      <c r="BX1836" s="38"/>
      <c r="BY1836" s="38"/>
      <c r="BZ1836" s="38"/>
      <c r="CA1836" s="38"/>
      <c r="CB1836" s="38"/>
      <c r="CC1836" s="38"/>
      <c r="CD1836" s="38"/>
      <c r="CE1836" s="38"/>
      <c r="CF1836" s="38"/>
      <c r="CG1836" s="38"/>
      <c r="CH1836" s="38"/>
      <c r="CI1836" s="38"/>
      <c r="CJ1836" s="38"/>
      <c r="CK1836" s="38"/>
      <c r="CL1836" s="38"/>
      <c r="CM1836" s="38"/>
      <c r="CN1836" s="38"/>
      <c r="CO1836" s="38"/>
      <c r="CP1836" s="38"/>
      <c r="CQ1836" s="38"/>
      <c r="CR1836" s="38"/>
      <c r="CS1836" s="38"/>
      <c r="CT1836" s="38"/>
      <c r="CU1836" s="38"/>
      <c r="CV1836" s="38"/>
      <c r="CW1836" s="38"/>
      <c r="CX1836" s="38"/>
      <c r="CY1836" s="38"/>
      <c r="CZ1836" s="38"/>
      <c r="DA1836" s="38"/>
      <c r="DB1836" s="38"/>
      <c r="DC1836" s="38"/>
      <c r="DD1836" s="38"/>
      <c r="DE1836" s="38"/>
      <c r="DF1836" s="38"/>
      <c r="DG1836" s="38"/>
      <c r="DH1836" s="38"/>
      <c r="DI1836" s="38"/>
      <c r="DJ1836" s="38"/>
      <c r="DK1836" s="38"/>
      <c r="DL1836" s="38"/>
      <c r="DM1836" s="38"/>
      <c r="DN1836" s="38"/>
      <c r="DO1836" s="38"/>
      <c r="DP1836" s="38"/>
      <c r="DQ1836" s="38"/>
      <c r="DR1836" s="38"/>
      <c r="DS1836" s="38"/>
      <c r="DT1836" s="38"/>
      <c r="DU1836" s="38"/>
      <c r="DV1836" s="38"/>
      <c r="DW1836" s="38"/>
      <c r="DX1836" s="38"/>
      <c r="DY1836" s="38"/>
      <c r="DZ1836" s="38"/>
      <c r="EA1836" s="38"/>
      <c r="EB1836" s="38"/>
      <c r="EC1836" s="38"/>
      <c r="ED1836" s="38"/>
      <c r="EE1836" s="38"/>
      <c r="EF1836" s="38"/>
      <c r="EG1836" s="38"/>
      <c r="EH1836" s="38"/>
      <c r="EI1836" s="38"/>
      <c r="EJ1836" s="38"/>
      <c r="EK1836" s="38"/>
      <c r="EL1836" s="38"/>
      <c r="EM1836" s="38"/>
      <c r="EN1836" s="38"/>
      <c r="EO1836" s="38"/>
      <c r="EP1836" s="38"/>
      <c r="EQ1836" s="38"/>
      <c r="ER1836" s="38"/>
      <c r="ES1836" s="38"/>
      <c r="ET1836" s="38"/>
      <c r="EU1836" s="38"/>
      <c r="EV1836" s="38"/>
      <c r="EW1836" s="38"/>
      <c r="EX1836" s="38"/>
      <c r="EY1836" s="38"/>
      <c r="EZ1836" s="38"/>
      <c r="FA1836" s="38"/>
      <c r="FB1836" s="38"/>
      <c r="FC1836" s="38"/>
      <c r="FD1836" s="38"/>
      <c r="FE1836" s="38"/>
      <c r="FF1836" s="38"/>
      <c r="FG1836" s="38"/>
      <c r="FH1836" s="38"/>
      <c r="FI1836" s="38"/>
      <c r="FJ1836" s="38"/>
      <c r="FK1836" s="38"/>
      <c r="FL1836" s="38"/>
      <c r="FM1836" s="38"/>
      <c r="FN1836" s="38"/>
      <c r="FO1836" s="38"/>
      <c r="FP1836" s="38"/>
      <c r="FQ1836" s="38"/>
      <c r="FR1836" s="38"/>
      <c r="FS1836" s="38"/>
      <c r="FT1836" s="38"/>
      <c r="FU1836" s="38"/>
      <c r="FV1836" s="38"/>
      <c r="FW1836" s="38"/>
      <c r="FX1836" s="38"/>
      <c r="FY1836" s="38"/>
      <c r="FZ1836" s="38"/>
      <c r="GA1836" s="38"/>
      <c r="GB1836" s="38"/>
      <c r="GC1836" s="38"/>
      <c r="GD1836" s="38"/>
      <c r="GE1836" s="38"/>
      <c r="GF1836" s="38"/>
      <c r="GG1836" s="38"/>
      <c r="GH1836" s="38"/>
      <c r="GI1836" s="38"/>
      <c r="GJ1836" s="38"/>
      <c r="GK1836" s="38"/>
      <c r="GL1836" s="38"/>
      <c r="GM1836" s="38"/>
      <c r="GN1836" s="38"/>
      <c r="GO1836" s="38"/>
      <c r="GP1836" s="38"/>
      <c r="GQ1836" s="38"/>
      <c r="GR1836" s="38"/>
      <c r="GS1836" s="38"/>
      <c r="GT1836" s="38"/>
      <c r="GU1836" s="38"/>
      <c r="GV1836" s="38"/>
      <c r="GW1836" s="38"/>
      <c r="GX1836" s="38"/>
      <c r="GY1836" s="38"/>
      <c r="GZ1836" s="38"/>
      <c r="HA1836" s="38"/>
      <c r="HB1836" s="38"/>
      <c r="HC1836" s="38"/>
      <c r="HD1836" s="38"/>
      <c r="HE1836" s="38"/>
      <c r="HF1836" s="38"/>
      <c r="HG1836" s="38"/>
      <c r="HH1836" s="38"/>
      <c r="HI1836" s="38"/>
      <c r="HJ1836" s="38"/>
      <c r="HK1836" s="38"/>
      <c r="HL1836" s="38"/>
      <c r="HM1836" s="38"/>
      <c r="HN1836" s="38"/>
      <c r="HO1836" s="38"/>
      <c r="HP1836" s="38"/>
      <c r="HQ1836" s="38"/>
      <c r="HR1836" s="38"/>
      <c r="HS1836" s="38"/>
      <c r="HT1836" s="38"/>
      <c r="HU1836" s="38"/>
      <c r="HV1836" s="38"/>
      <c r="HW1836" s="38"/>
      <c r="HX1836" s="38"/>
      <c r="HY1836" s="38"/>
      <c r="HZ1836" s="38"/>
      <c r="IA1836" s="38"/>
      <c r="IB1836" s="38"/>
      <c r="IC1836" s="38"/>
      <c r="ID1836" s="38"/>
      <c r="IE1836" s="38"/>
      <c r="IF1836" s="38"/>
      <c r="IG1836" s="38"/>
      <c r="IH1836" s="38"/>
      <c r="II1836" s="38"/>
      <c r="IJ1836" s="38"/>
      <c r="IK1836" s="38"/>
      <c r="IL1836" s="38"/>
      <c r="IM1836" s="38"/>
      <c r="IN1836" s="38"/>
      <c r="IO1836" s="38"/>
      <c r="IP1836" s="38"/>
      <c r="IQ1836" s="38"/>
      <c r="IR1836" s="38"/>
      <c r="IS1836" s="38"/>
      <c r="IT1836" s="38"/>
      <c r="IU1836" s="38"/>
      <c r="IV1836" s="38"/>
      <c r="IW1836" s="38"/>
      <c r="IX1836" s="38"/>
      <c r="IY1836" s="38"/>
      <c r="IZ1836" s="38"/>
      <c r="JA1836" s="38"/>
      <c r="JB1836" s="38"/>
      <c r="JC1836" s="38"/>
      <c r="JD1836" s="38"/>
      <c r="JE1836" s="38"/>
      <c r="JF1836" s="38"/>
      <c r="JG1836" s="38"/>
      <c r="JH1836" s="38"/>
      <c r="JI1836" s="38"/>
      <c r="JJ1836" s="38"/>
      <c r="JK1836" s="38"/>
      <c r="JL1836" s="38"/>
      <c r="JM1836" s="38"/>
      <c r="JN1836" s="38"/>
      <c r="JO1836" s="38"/>
      <c r="JP1836" s="38"/>
      <c r="JQ1836" s="38"/>
      <c r="JR1836" s="38"/>
      <c r="JS1836" s="38"/>
      <c r="JT1836" s="38"/>
      <c r="JU1836" s="38"/>
      <c r="JV1836" s="38"/>
      <c r="JW1836" s="38"/>
      <c r="JX1836" s="38"/>
      <c r="JY1836" s="38"/>
      <c r="JZ1836" s="38"/>
      <c r="KA1836" s="38"/>
      <c r="KB1836" s="38"/>
      <c r="KC1836" s="38"/>
      <c r="KD1836" s="38"/>
      <c r="KE1836" s="38"/>
      <c r="KF1836" s="38"/>
      <c r="KG1836" s="38"/>
      <c r="KH1836" s="38"/>
      <c r="KI1836" s="38"/>
      <c r="KJ1836" s="38"/>
      <c r="KK1836" s="38"/>
      <c r="KL1836" s="38"/>
      <c r="KM1836" s="38"/>
      <c r="KN1836" s="38"/>
      <c r="KO1836" s="38"/>
      <c r="KP1836" s="38"/>
      <c r="KQ1836" s="38"/>
      <c r="KR1836" s="38"/>
      <c r="KS1836" s="38"/>
      <c r="KT1836" s="38"/>
      <c r="KU1836" s="38"/>
      <c r="KV1836" s="38"/>
      <c r="KW1836" s="38"/>
      <c r="KX1836" s="38"/>
      <c r="KY1836" s="38"/>
      <c r="KZ1836" s="38"/>
      <c r="LA1836" s="38"/>
      <c r="LB1836" s="38"/>
      <c r="LC1836" s="38"/>
      <c r="LD1836" s="38"/>
      <c r="LE1836" s="38"/>
      <c r="LF1836" s="38"/>
      <c r="LG1836" s="38"/>
      <c r="LH1836" s="38"/>
      <c r="LI1836" s="38"/>
      <c r="LJ1836" s="38"/>
      <c r="LK1836" s="38"/>
      <c r="LL1836" s="38"/>
      <c r="LM1836" s="38"/>
      <c r="LN1836" s="38"/>
      <c r="LO1836" s="38"/>
      <c r="LP1836" s="38"/>
      <c r="LQ1836" s="38"/>
      <c r="LR1836" s="38"/>
      <c r="LS1836" s="38"/>
      <c r="LT1836" s="38"/>
      <c r="LU1836" s="38"/>
      <c r="LV1836" s="38"/>
      <c r="LW1836" s="38"/>
      <c r="LX1836" s="38"/>
      <c r="LY1836" s="38"/>
      <c r="LZ1836" s="38"/>
      <c r="MA1836" s="38"/>
      <c r="MB1836" s="38"/>
      <c r="MC1836" s="38"/>
      <c r="MD1836" s="38"/>
      <c r="ME1836" s="38"/>
      <c r="MF1836" s="38"/>
      <c r="MG1836" s="38"/>
      <c r="MH1836" s="38"/>
      <c r="MI1836" s="38"/>
      <c r="MJ1836" s="38"/>
      <c r="MK1836" s="38"/>
      <c r="ML1836" s="38"/>
      <c r="MM1836" s="38"/>
      <c r="MN1836" s="38"/>
      <c r="MO1836" s="38"/>
      <c r="MP1836" s="38"/>
      <c r="MQ1836" s="38"/>
      <c r="MR1836" s="38"/>
      <c r="MS1836" s="38"/>
      <c r="MT1836" s="38"/>
      <c r="MU1836" s="38"/>
      <c r="MV1836" s="38"/>
      <c r="MW1836" s="38"/>
      <c r="MX1836" s="38"/>
      <c r="MY1836" s="38"/>
      <c r="MZ1836" s="38"/>
      <c r="NA1836" s="38"/>
      <c r="NB1836" s="38"/>
      <c r="NC1836" s="38"/>
      <c r="ND1836" s="38"/>
      <c r="NE1836" s="38"/>
      <c r="NF1836" s="38"/>
      <c r="NG1836" s="38"/>
      <c r="NH1836" s="38"/>
      <c r="NI1836" s="38"/>
      <c r="NJ1836" s="38"/>
      <c r="NK1836" s="38"/>
      <c r="NL1836" s="38"/>
      <c r="NM1836" s="38"/>
      <c r="NN1836" s="38"/>
      <c r="NO1836" s="38"/>
      <c r="NP1836" s="38"/>
      <c r="NQ1836" s="38"/>
      <c r="NR1836" s="38"/>
      <c r="NS1836" s="38"/>
      <c r="NT1836" s="38"/>
      <c r="NU1836" s="38"/>
      <c r="NV1836" s="38"/>
      <c r="NW1836" s="38"/>
      <c r="NX1836" s="38"/>
      <c r="NY1836" s="38"/>
      <c r="NZ1836" s="38"/>
      <c r="OA1836" s="38"/>
      <c r="OB1836" s="38"/>
      <c r="OC1836" s="38"/>
      <c r="OD1836" s="38"/>
      <c r="OE1836" s="38"/>
      <c r="OF1836" s="38"/>
      <c r="OG1836" s="38"/>
      <c r="OH1836" s="38"/>
      <c r="OI1836" s="38"/>
      <c r="OJ1836" s="38"/>
      <c r="OK1836" s="38"/>
      <c r="OL1836" s="38"/>
      <c r="OM1836" s="38"/>
      <c r="ON1836" s="38"/>
      <c r="OO1836" s="38"/>
      <c r="OP1836" s="38"/>
      <c r="OQ1836" s="38"/>
      <c r="OR1836" s="38"/>
      <c r="OS1836" s="38"/>
      <c r="OT1836" s="38"/>
      <c r="OU1836" s="38"/>
      <c r="OV1836" s="38"/>
      <c r="OW1836" s="38"/>
      <c r="OX1836" s="38"/>
      <c r="OY1836" s="38"/>
      <c r="OZ1836" s="38"/>
      <c r="PA1836" s="38"/>
      <c r="PB1836" s="38"/>
      <c r="PC1836" s="38"/>
      <c r="PD1836" s="38"/>
      <c r="PE1836" s="38"/>
      <c r="PF1836" s="38"/>
      <c r="PG1836" s="38"/>
      <c r="PH1836" s="38"/>
      <c r="PI1836" s="38"/>
      <c r="PJ1836" s="38"/>
      <c r="PK1836" s="38"/>
      <c r="PL1836" s="38"/>
      <c r="PM1836" s="38"/>
      <c r="PN1836" s="38"/>
      <c r="PO1836" s="38"/>
      <c r="PP1836" s="38"/>
      <c r="PQ1836" s="38"/>
      <c r="PR1836" s="38"/>
      <c r="PS1836" s="38"/>
      <c r="PT1836" s="38"/>
      <c r="PU1836" s="38"/>
      <c r="PV1836" s="38"/>
      <c r="PW1836" s="38"/>
      <c r="PX1836" s="38"/>
      <c r="PY1836" s="38"/>
      <c r="PZ1836" s="38"/>
      <c r="QA1836" s="38"/>
      <c r="QB1836" s="38"/>
      <c r="QC1836" s="38"/>
      <c r="QD1836" s="38"/>
      <c r="QE1836" s="38"/>
      <c r="QF1836" s="38"/>
      <c r="QG1836" s="38"/>
      <c r="QH1836" s="38"/>
      <c r="QI1836" s="38"/>
      <c r="QJ1836" s="38"/>
      <c r="QK1836" s="38"/>
      <c r="QL1836" s="38"/>
      <c r="QM1836" s="38"/>
      <c r="QN1836" s="38"/>
      <c r="QO1836" s="38"/>
      <c r="QP1836" s="38"/>
      <c r="QQ1836" s="38"/>
      <c r="QR1836" s="38"/>
      <c r="QS1836" s="38"/>
      <c r="QT1836" s="38"/>
      <c r="QU1836" s="38"/>
      <c r="QV1836" s="38"/>
      <c r="QW1836" s="38"/>
      <c r="QX1836" s="38"/>
      <c r="QY1836" s="38"/>
      <c r="QZ1836" s="38"/>
      <c r="RA1836" s="38"/>
      <c r="RB1836" s="38"/>
      <c r="RC1836" s="38"/>
      <c r="RD1836" s="38"/>
      <c r="RE1836" s="38"/>
      <c r="RF1836" s="38"/>
      <c r="RG1836" s="38"/>
      <c r="RH1836" s="38"/>
      <c r="RI1836" s="38"/>
      <c r="RJ1836" s="38"/>
      <c r="RK1836" s="38"/>
      <c r="RL1836" s="38"/>
      <c r="RM1836" s="38"/>
      <c r="RN1836" s="38"/>
      <c r="RO1836" s="38"/>
      <c r="RP1836" s="38"/>
      <c r="RQ1836" s="38"/>
      <c r="RR1836" s="38"/>
      <c r="RS1836" s="38"/>
      <c r="RT1836" s="38"/>
      <c r="RU1836" s="38"/>
      <c r="RV1836" s="38"/>
      <c r="RW1836" s="38"/>
      <c r="RX1836" s="38"/>
      <c r="RY1836" s="38"/>
      <c r="RZ1836" s="38"/>
      <c r="SA1836" s="38"/>
      <c r="SB1836" s="38"/>
      <c r="SC1836" s="38"/>
      <c r="SD1836" s="38"/>
      <c r="SE1836" s="38"/>
      <c r="SF1836" s="38"/>
      <c r="SG1836" s="38"/>
      <c r="SH1836" s="38"/>
      <c r="SI1836" s="38"/>
      <c r="SJ1836" s="38"/>
      <c r="SK1836" s="38"/>
      <c r="SL1836" s="38"/>
      <c r="SM1836" s="38"/>
      <c r="SN1836" s="38"/>
      <c r="SO1836" s="38"/>
      <c r="SP1836" s="38"/>
      <c r="SQ1836" s="38"/>
      <c r="SR1836" s="38"/>
      <c r="SS1836" s="38"/>
      <c r="ST1836" s="38"/>
      <c r="SU1836" s="38"/>
      <c r="SV1836" s="38"/>
      <c r="SW1836" s="38"/>
      <c r="SX1836" s="38"/>
      <c r="SY1836" s="38"/>
      <c r="SZ1836" s="38"/>
      <c r="TA1836" s="38"/>
      <c r="TB1836" s="38"/>
      <c r="TC1836" s="38"/>
      <c r="TD1836" s="38"/>
      <c r="TE1836" s="38"/>
      <c r="TF1836" s="38"/>
      <c r="TG1836" s="38"/>
      <c r="TH1836" s="38"/>
      <c r="TI1836" s="38"/>
      <c r="TJ1836" s="38"/>
      <c r="TK1836" s="38"/>
      <c r="TL1836" s="38"/>
      <c r="TM1836" s="38"/>
      <c r="TN1836" s="38"/>
      <c r="TO1836" s="38"/>
      <c r="TP1836" s="38"/>
      <c r="TQ1836" s="38"/>
      <c r="TR1836" s="38"/>
      <c r="TS1836" s="38"/>
      <c r="TT1836" s="38"/>
      <c r="TU1836" s="38"/>
      <c r="TV1836" s="38"/>
      <c r="TW1836" s="38"/>
      <c r="TX1836" s="38"/>
      <c r="TY1836" s="38"/>
      <c r="TZ1836" s="38"/>
      <c r="UA1836" s="38"/>
      <c r="UB1836" s="38"/>
      <c r="UC1836" s="38"/>
      <c r="UD1836" s="38"/>
      <c r="UE1836" s="38"/>
      <c r="UF1836" s="38"/>
      <c r="UG1836" s="38"/>
      <c r="UH1836" s="38"/>
      <c r="UI1836" s="38"/>
      <c r="UJ1836" s="38"/>
      <c r="UK1836" s="38"/>
      <c r="UL1836" s="38"/>
      <c r="UM1836" s="38"/>
      <c r="UN1836" s="38"/>
      <c r="UO1836" s="38"/>
      <c r="UP1836" s="38"/>
      <c r="UQ1836" s="38"/>
      <c r="UR1836" s="38"/>
      <c r="US1836" s="38"/>
      <c r="UT1836" s="38"/>
      <c r="UU1836" s="38"/>
      <c r="UV1836" s="38"/>
      <c r="UW1836" s="38"/>
      <c r="UX1836" s="38"/>
      <c r="UY1836" s="38"/>
      <c r="UZ1836" s="38"/>
      <c r="VA1836" s="38"/>
      <c r="VB1836" s="38"/>
      <c r="VC1836" s="38"/>
      <c r="VD1836" s="38"/>
      <c r="VE1836" s="38"/>
      <c r="VF1836" s="38"/>
      <c r="VG1836" s="38"/>
      <c r="VH1836" s="38"/>
      <c r="VI1836" s="38"/>
      <c r="VJ1836" s="38"/>
      <c r="VK1836" s="38"/>
      <c r="VL1836" s="38"/>
      <c r="VM1836" s="38"/>
      <c r="VN1836" s="38"/>
      <c r="VO1836" s="38"/>
      <c r="VP1836" s="38"/>
      <c r="VQ1836" s="38"/>
      <c r="VR1836" s="38"/>
      <c r="VS1836" s="38"/>
      <c r="VT1836" s="38"/>
      <c r="VU1836" s="38"/>
      <c r="VV1836" s="38"/>
      <c r="VW1836" s="38"/>
      <c r="VX1836" s="38"/>
      <c r="VY1836" s="38"/>
      <c r="VZ1836" s="38"/>
      <c r="WA1836" s="38"/>
      <c r="WB1836" s="38"/>
      <c r="WC1836" s="38"/>
      <c r="WD1836" s="38"/>
      <c r="WE1836" s="38"/>
      <c r="WF1836" s="38"/>
      <c r="WG1836" s="38"/>
      <c r="WH1836" s="38"/>
      <c r="WI1836" s="38"/>
      <c r="WJ1836" s="38"/>
      <c r="WK1836" s="38"/>
      <c r="WL1836" s="38"/>
      <c r="WM1836" s="38"/>
      <c r="WN1836" s="38"/>
      <c r="WO1836" s="38"/>
      <c r="WP1836" s="38"/>
      <c r="WQ1836" s="38"/>
      <c r="WR1836" s="38"/>
      <c r="WS1836" s="38"/>
      <c r="WT1836" s="38"/>
      <c r="WU1836" s="38"/>
      <c r="WV1836" s="38"/>
      <c r="WW1836" s="38"/>
      <c r="WX1836" s="38"/>
      <c r="WY1836" s="38"/>
      <c r="WZ1836" s="38"/>
      <c r="XA1836" s="38"/>
      <c r="XB1836" s="38"/>
      <c r="XC1836" s="38"/>
      <c r="XD1836" s="38"/>
      <c r="XE1836" s="38"/>
      <c r="XF1836" s="38"/>
      <c r="XG1836" s="38"/>
      <c r="XH1836" s="38"/>
      <c r="XI1836" s="38"/>
      <c r="XJ1836" s="38"/>
      <c r="XK1836" s="38"/>
      <c r="XL1836" s="38"/>
      <c r="XM1836" s="38"/>
      <c r="XN1836" s="38"/>
      <c r="XO1836" s="38"/>
      <c r="XP1836" s="38"/>
      <c r="XQ1836" s="38"/>
      <c r="XR1836" s="38"/>
      <c r="XS1836" s="38"/>
      <c r="XT1836" s="38"/>
      <c r="XU1836" s="38"/>
      <c r="XV1836" s="38"/>
      <c r="XW1836" s="38"/>
      <c r="XX1836" s="38"/>
      <c r="XY1836" s="38"/>
      <c r="XZ1836" s="38"/>
      <c r="YA1836" s="38"/>
      <c r="YB1836" s="38"/>
      <c r="YC1836" s="38"/>
      <c r="YD1836" s="38"/>
      <c r="YE1836" s="38"/>
      <c r="YF1836" s="38"/>
      <c r="YG1836" s="38"/>
      <c r="YH1836" s="38"/>
      <c r="YI1836" s="38"/>
      <c r="YJ1836" s="38"/>
      <c r="YK1836" s="38"/>
      <c r="YL1836" s="38"/>
      <c r="YM1836" s="38"/>
      <c r="YN1836" s="38"/>
      <c r="YO1836" s="38"/>
      <c r="YP1836" s="38"/>
      <c r="YQ1836" s="38"/>
      <c r="YR1836" s="38"/>
      <c r="YS1836" s="38"/>
      <c r="YT1836" s="38"/>
      <c r="YU1836" s="38"/>
      <c r="YV1836" s="38"/>
      <c r="YW1836" s="38"/>
      <c r="YX1836" s="38"/>
      <c r="YY1836" s="38"/>
      <c r="YZ1836" s="38"/>
      <c r="ZA1836" s="38"/>
      <c r="ZB1836" s="38"/>
      <c r="ZC1836" s="38"/>
      <c r="ZD1836" s="38"/>
      <c r="ZE1836" s="38"/>
      <c r="ZF1836" s="38"/>
      <c r="ZG1836" s="38"/>
      <c r="ZH1836" s="38"/>
      <c r="ZI1836" s="38"/>
      <c r="ZJ1836" s="38"/>
      <c r="ZK1836" s="38"/>
      <c r="ZL1836" s="38"/>
      <c r="ZM1836" s="38"/>
      <c r="ZN1836" s="38"/>
      <c r="ZO1836" s="38"/>
      <c r="ZP1836" s="38"/>
      <c r="ZQ1836" s="38"/>
      <c r="ZR1836" s="38"/>
      <c r="ZS1836" s="38"/>
      <c r="ZT1836" s="38"/>
      <c r="ZU1836" s="38"/>
      <c r="ZV1836" s="38"/>
      <c r="ZW1836" s="38"/>
      <c r="ZX1836" s="38"/>
      <c r="ZY1836" s="38"/>
      <c r="ZZ1836" s="38"/>
      <c r="AAA1836" s="38"/>
      <c r="AAB1836" s="38"/>
      <c r="AAC1836" s="38"/>
      <c r="AAD1836" s="38"/>
      <c r="AAE1836" s="38"/>
      <c r="AAF1836" s="38"/>
      <c r="AAG1836" s="38"/>
      <c r="AAH1836" s="38"/>
      <c r="AAI1836" s="38"/>
      <c r="AAJ1836" s="38"/>
      <c r="AAK1836" s="38"/>
      <c r="AAL1836" s="38"/>
      <c r="AAM1836" s="38"/>
      <c r="AAN1836" s="38"/>
      <c r="AAO1836" s="38"/>
      <c r="AAP1836" s="38"/>
      <c r="AAQ1836" s="38"/>
      <c r="AAR1836" s="38"/>
      <c r="AAS1836" s="38"/>
      <c r="AAT1836" s="38"/>
      <c r="AAU1836" s="38"/>
      <c r="AAV1836" s="38"/>
      <c r="AAW1836" s="38"/>
      <c r="AAX1836" s="38"/>
      <c r="AAY1836" s="38"/>
      <c r="AAZ1836" s="38"/>
      <c r="ABA1836" s="38"/>
      <c r="ABB1836" s="38"/>
      <c r="ABC1836" s="38"/>
      <c r="ABD1836" s="38"/>
      <c r="ABE1836" s="38"/>
      <c r="ABF1836" s="38"/>
      <c r="ABG1836" s="38"/>
      <c r="ABH1836" s="38"/>
      <c r="ABI1836" s="38"/>
      <c r="ABJ1836" s="38"/>
      <c r="ABK1836" s="38"/>
      <c r="ABL1836" s="38"/>
      <c r="ABM1836" s="38"/>
      <c r="ABN1836" s="38"/>
      <c r="ABO1836" s="38"/>
      <c r="ABP1836" s="38"/>
      <c r="ABQ1836" s="38"/>
      <c r="ABR1836" s="38"/>
      <c r="ABS1836" s="38"/>
      <c r="ABT1836" s="38"/>
      <c r="ABU1836" s="38"/>
      <c r="ABV1836" s="38"/>
      <c r="ABW1836" s="38"/>
      <c r="ABX1836" s="38"/>
      <c r="ABY1836" s="38"/>
      <c r="ABZ1836" s="38"/>
      <c r="ACA1836" s="38"/>
      <c r="ACB1836" s="38"/>
      <c r="ACC1836" s="38"/>
      <c r="ACD1836" s="38"/>
      <c r="ACE1836" s="38"/>
      <c r="ACF1836" s="38"/>
      <c r="ACG1836" s="38"/>
      <c r="ACH1836" s="38"/>
      <c r="ACI1836" s="38"/>
      <c r="ACJ1836" s="38"/>
      <c r="ACK1836" s="38"/>
      <c r="ACL1836" s="38"/>
      <c r="ACM1836" s="38"/>
      <c r="ACN1836" s="38"/>
      <c r="ACO1836" s="38"/>
      <c r="ACP1836" s="38"/>
      <c r="ACQ1836" s="38"/>
      <c r="ACR1836" s="38"/>
      <c r="ACS1836" s="38"/>
      <c r="ACT1836" s="38"/>
      <c r="ACU1836" s="38"/>
      <c r="ACV1836" s="38"/>
      <c r="ACW1836" s="38"/>
      <c r="ACX1836" s="38"/>
      <c r="ACY1836" s="38"/>
      <c r="ACZ1836" s="38"/>
      <c r="ADA1836" s="38"/>
      <c r="ADB1836" s="38"/>
      <c r="ADC1836" s="38"/>
      <c r="ADD1836" s="38"/>
      <c r="ADE1836" s="38"/>
      <c r="ADF1836" s="38"/>
      <c r="ADG1836" s="38"/>
      <c r="ADH1836" s="38"/>
      <c r="ADI1836" s="38"/>
      <c r="ADJ1836" s="38"/>
      <c r="ADK1836" s="38"/>
      <c r="ADL1836" s="38"/>
      <c r="ADM1836" s="38"/>
      <c r="ADN1836" s="38"/>
      <c r="ADO1836" s="38"/>
      <c r="ADP1836" s="38"/>
      <c r="ADQ1836" s="38"/>
      <c r="ADR1836" s="38"/>
      <c r="ADS1836" s="38"/>
      <c r="ADT1836" s="38"/>
      <c r="ADU1836" s="38"/>
      <c r="ADV1836" s="38"/>
      <c r="ADW1836" s="38"/>
      <c r="ADX1836" s="38"/>
      <c r="ADY1836" s="38"/>
      <c r="ADZ1836" s="38"/>
      <c r="AEA1836" s="38"/>
      <c r="AEB1836" s="38"/>
      <c r="AEC1836" s="38"/>
      <c r="AED1836" s="38"/>
      <c r="AEE1836" s="38"/>
      <c r="AEF1836" s="38"/>
      <c r="AEG1836" s="38"/>
      <c r="AEH1836" s="38"/>
      <c r="AEI1836" s="38"/>
      <c r="AEJ1836" s="38"/>
      <c r="AEK1836" s="38"/>
      <c r="AEL1836" s="38"/>
      <c r="AEM1836" s="38"/>
      <c r="AEN1836" s="38"/>
      <c r="AEO1836" s="38"/>
      <c r="AEP1836" s="38"/>
      <c r="AEQ1836" s="38"/>
      <c r="AER1836" s="38"/>
      <c r="AES1836" s="38"/>
      <c r="AET1836" s="38"/>
      <c r="AEU1836" s="38"/>
      <c r="AEV1836" s="38"/>
      <c r="AEW1836" s="38"/>
      <c r="AEX1836" s="38"/>
      <c r="AEY1836" s="38"/>
      <c r="AEZ1836" s="38"/>
      <c r="AFA1836" s="38"/>
      <c r="AFB1836" s="38"/>
      <c r="AFC1836" s="38"/>
      <c r="AFD1836" s="38"/>
      <c r="AFE1836" s="38"/>
      <c r="AFF1836" s="38"/>
      <c r="AFG1836" s="38"/>
      <c r="AFH1836" s="38"/>
      <c r="AFI1836" s="38"/>
      <c r="AFJ1836" s="38"/>
      <c r="AFK1836" s="38"/>
      <c r="AFL1836" s="38"/>
      <c r="AFM1836" s="38"/>
      <c r="AFN1836" s="38"/>
      <c r="AFO1836" s="38"/>
      <c r="AFP1836" s="38"/>
      <c r="AFQ1836" s="38"/>
      <c r="AFR1836" s="38"/>
      <c r="AFS1836" s="38"/>
      <c r="AFT1836" s="38"/>
      <c r="AFU1836" s="38"/>
      <c r="AFV1836" s="38"/>
      <c r="AFW1836" s="38"/>
      <c r="AFX1836" s="38"/>
      <c r="AFY1836" s="38"/>
      <c r="AFZ1836" s="38"/>
      <c r="AGA1836" s="38"/>
      <c r="AGB1836" s="38"/>
      <c r="AGC1836" s="38"/>
      <c r="AGD1836" s="38"/>
      <c r="AGE1836" s="38"/>
      <c r="AGF1836" s="38"/>
      <c r="AGG1836" s="38"/>
      <c r="AGH1836" s="38"/>
      <c r="AGI1836" s="38"/>
      <c r="AGJ1836" s="38"/>
      <c r="AGK1836" s="38"/>
      <c r="AGL1836" s="38"/>
      <c r="AGM1836" s="38"/>
      <c r="AGN1836" s="38"/>
      <c r="AGO1836" s="38"/>
      <c r="AGP1836" s="38"/>
      <c r="AGQ1836" s="38"/>
      <c r="AGR1836" s="38"/>
      <c r="AGS1836" s="38"/>
      <c r="AGT1836" s="38"/>
      <c r="AGU1836" s="38"/>
      <c r="AGV1836" s="38"/>
      <c r="AGW1836" s="38"/>
      <c r="AGX1836" s="38"/>
      <c r="AGY1836" s="38"/>
      <c r="AGZ1836" s="38"/>
      <c r="AHA1836" s="38"/>
      <c r="AHB1836" s="38"/>
      <c r="AHC1836" s="38"/>
      <c r="AHD1836" s="38"/>
      <c r="AHE1836" s="38"/>
      <c r="AHF1836" s="38"/>
      <c r="AHG1836" s="38"/>
      <c r="AHH1836" s="38"/>
      <c r="AHI1836" s="38"/>
      <c r="AHJ1836" s="38"/>
      <c r="AHK1836" s="38"/>
      <c r="AHL1836" s="38"/>
      <c r="AHM1836" s="38"/>
      <c r="AHN1836" s="38"/>
      <c r="AHO1836" s="38"/>
      <c r="AHP1836" s="38"/>
      <c r="AHQ1836" s="38"/>
      <c r="AHR1836" s="38"/>
      <c r="AHS1836" s="38"/>
      <c r="AHT1836" s="38"/>
      <c r="AHU1836" s="38"/>
      <c r="AHV1836" s="38"/>
      <c r="AHW1836" s="38"/>
      <c r="AHX1836" s="38"/>
      <c r="AHY1836" s="38"/>
      <c r="AHZ1836" s="38"/>
      <c r="AIA1836" s="38"/>
      <c r="AIB1836" s="38"/>
      <c r="AIC1836" s="38"/>
      <c r="AID1836" s="38"/>
      <c r="AIE1836" s="38"/>
      <c r="AIF1836" s="38"/>
      <c r="AIG1836" s="38"/>
      <c r="AIH1836" s="38"/>
      <c r="AII1836" s="38"/>
      <c r="AIJ1836" s="38"/>
      <c r="AIK1836" s="38"/>
      <c r="AIL1836" s="38"/>
      <c r="AIM1836" s="38"/>
      <c r="AIN1836" s="38"/>
      <c r="AIO1836" s="38"/>
      <c r="AIP1836" s="38"/>
      <c r="AIQ1836" s="38"/>
      <c r="AIR1836" s="38"/>
      <c r="AIS1836" s="38"/>
      <c r="AIT1836" s="38"/>
      <c r="AIU1836" s="38"/>
      <c r="AIV1836" s="38"/>
      <c r="AIW1836" s="38"/>
      <c r="AIX1836" s="38"/>
      <c r="AIY1836" s="38"/>
      <c r="AIZ1836" s="38"/>
      <c r="AJA1836" s="38"/>
      <c r="AJB1836" s="38"/>
      <c r="AJC1836" s="38"/>
      <c r="AJD1836" s="38"/>
      <c r="AJE1836" s="38"/>
      <c r="AJF1836" s="38"/>
      <c r="AJG1836" s="38"/>
      <c r="AJH1836" s="38"/>
      <c r="AJI1836" s="38"/>
      <c r="AJJ1836" s="38"/>
      <c r="AJK1836" s="38"/>
      <c r="AJL1836" s="38"/>
      <c r="AJM1836" s="38"/>
      <c r="AJN1836" s="38"/>
      <c r="AJO1836" s="38"/>
      <c r="AJP1836" s="38"/>
      <c r="AJQ1836" s="38"/>
      <c r="AJR1836" s="38"/>
      <c r="AJS1836" s="38"/>
      <c r="AJT1836" s="38"/>
      <c r="AJU1836" s="38"/>
      <c r="AJV1836" s="38"/>
      <c r="AJW1836" s="38"/>
      <c r="AJX1836" s="38"/>
      <c r="AJY1836" s="38"/>
      <c r="AJZ1836" s="38"/>
      <c r="AKA1836" s="38"/>
      <c r="AKB1836" s="38"/>
      <c r="AKC1836" s="38"/>
      <c r="AKD1836" s="38"/>
      <c r="AKE1836" s="38"/>
      <c r="AKF1836" s="38"/>
      <c r="AKG1836" s="38"/>
      <c r="AKH1836" s="38"/>
      <c r="AKI1836" s="38"/>
      <c r="AKJ1836" s="38"/>
      <c r="AKK1836" s="38"/>
      <c r="AKL1836" s="38"/>
      <c r="AKM1836" s="38"/>
      <c r="AKN1836" s="38"/>
      <c r="AKO1836" s="38"/>
      <c r="AKP1836" s="38"/>
      <c r="AKQ1836" s="38"/>
      <c r="AKR1836" s="38"/>
      <c r="AKS1836" s="38"/>
      <c r="AKT1836" s="38"/>
      <c r="AKU1836" s="38"/>
      <c r="AKV1836" s="38"/>
      <c r="AKW1836" s="38"/>
      <c r="AKX1836" s="38"/>
      <c r="AKY1836" s="38"/>
      <c r="AKZ1836" s="38"/>
      <c r="ALA1836" s="38"/>
      <c r="ALB1836" s="38"/>
      <c r="ALC1836" s="38"/>
      <c r="ALD1836" s="38"/>
      <c r="ALE1836" s="38"/>
      <c r="ALF1836" s="38"/>
      <c r="ALG1836" s="38"/>
      <c r="ALH1836" s="38"/>
      <c r="ALI1836" s="38"/>
      <c r="ALJ1836" s="38"/>
      <c r="ALK1836" s="38"/>
      <c r="ALL1836" s="38"/>
      <c r="ALM1836" s="38"/>
      <c r="ALN1836" s="38"/>
      <c r="ALO1836" s="38"/>
      <c r="ALP1836" s="38"/>
      <c r="ALQ1836" s="38"/>
      <c r="ALR1836" s="38"/>
      <c r="ALS1836" s="38"/>
      <c r="ALT1836" s="38"/>
      <c r="ALU1836" s="38"/>
      <c r="ALV1836" s="38"/>
      <c r="ALW1836" s="38"/>
      <c r="ALX1836" s="38"/>
      <c r="ALY1836" s="38"/>
      <c r="ALZ1836" s="38"/>
      <c r="AMA1836" s="38"/>
      <c r="AMB1836" s="38"/>
      <c r="AMC1836" s="38"/>
      <c r="AMD1836" s="38"/>
      <c r="AME1836" s="38"/>
      <c r="AMF1836" s="38"/>
      <c r="AMG1836" s="38"/>
      <c r="AMH1836" s="38"/>
      <c r="AMI1836" s="38"/>
      <c r="AMJ1836" s="38"/>
      <c r="AMK1836" s="38"/>
      <c r="AML1836" s="38"/>
      <c r="AMM1836" s="38"/>
      <c r="AMN1836" s="38"/>
      <c r="AMO1836" s="38"/>
      <c r="AMP1836" s="38"/>
      <c r="AMQ1836" s="38"/>
      <c r="AMR1836" s="38"/>
      <c r="AMS1836" s="38"/>
      <c r="AMT1836" s="38"/>
      <c r="AMU1836" s="38"/>
      <c r="AMV1836" s="38"/>
      <c r="AMW1836" s="38"/>
      <c r="AMX1836" s="38"/>
      <c r="AMY1836" s="38"/>
      <c r="AMZ1836" s="38"/>
      <c r="ANA1836" s="38"/>
      <c r="ANB1836" s="38"/>
      <c r="ANC1836" s="38"/>
      <c r="AND1836" s="38"/>
      <c r="ANE1836" s="38"/>
      <c r="ANF1836" s="38"/>
      <c r="ANG1836" s="38"/>
      <c r="ANH1836" s="38"/>
      <c r="ANI1836" s="38"/>
      <c r="ANJ1836" s="38"/>
      <c r="ANK1836" s="38"/>
      <c r="ANL1836" s="38"/>
      <c r="ANM1836" s="38"/>
      <c r="ANN1836" s="38"/>
      <c r="ANO1836" s="38"/>
      <c r="ANP1836" s="38"/>
      <c r="ANQ1836" s="38"/>
      <c r="ANR1836" s="38"/>
      <c r="ANS1836" s="38"/>
      <c r="ANT1836" s="38"/>
      <c r="ANU1836" s="38"/>
      <c r="ANV1836" s="38"/>
      <c r="ANW1836" s="38"/>
      <c r="ANX1836" s="38"/>
      <c r="ANY1836" s="38"/>
      <c r="ANZ1836" s="38"/>
      <c r="AOA1836" s="38"/>
      <c r="AOB1836" s="38"/>
      <c r="AOC1836" s="38"/>
      <c r="AOD1836" s="38"/>
      <c r="AOE1836" s="38"/>
      <c r="AOF1836" s="38"/>
      <c r="AOG1836" s="38"/>
      <c r="AOH1836" s="38"/>
      <c r="AOI1836" s="38"/>
      <c r="AOJ1836" s="38"/>
      <c r="AOK1836" s="38"/>
      <c r="AOL1836" s="38"/>
      <c r="AOM1836" s="38"/>
      <c r="AON1836" s="38"/>
      <c r="AOO1836" s="38"/>
      <c r="AOP1836" s="38"/>
      <c r="AOQ1836" s="38"/>
      <c r="AOR1836" s="38"/>
      <c r="AOS1836" s="38"/>
      <c r="AOT1836" s="38"/>
      <c r="AOU1836" s="38"/>
      <c r="AOV1836" s="38"/>
      <c r="AOW1836" s="38"/>
      <c r="AOX1836" s="38"/>
      <c r="AOY1836" s="38"/>
      <c r="AOZ1836" s="38"/>
      <c r="APA1836" s="38"/>
      <c r="APB1836" s="38"/>
      <c r="APC1836" s="38"/>
    </row>
    <row r="1837" spans="1:1095" s="36" customFormat="1" ht="14.25" customHeight="1">
      <c r="A1837" s="3" t="s">
        <v>1722</v>
      </c>
      <c r="B1837" s="36" t="s">
        <v>4078</v>
      </c>
      <c r="C1837" s="10">
        <v>4099854071737</v>
      </c>
      <c r="D1837" s="246"/>
      <c r="E1837" s="249"/>
      <c r="F1837" s="222" t="s">
        <v>3136</v>
      </c>
      <c r="G1837" s="66" t="str">
        <f>HYPERLINK("https://ledvance.com/pt/product-datasheet/247593/239378","Ficha de Produto")</f>
        <v>Ficha de Produto</v>
      </c>
      <c r="H1837" s="217">
        <v>6</v>
      </c>
      <c r="I1837" s="34" t="s">
        <v>820</v>
      </c>
      <c r="J1837" s="34" t="s">
        <v>771</v>
      </c>
      <c r="K1837" s="34" t="s">
        <v>822</v>
      </c>
      <c r="L1837" s="34" t="s">
        <v>793</v>
      </c>
      <c r="M1837" s="247">
        <v>28.700000000000003</v>
      </c>
      <c r="N1837" s="288" t="s">
        <v>722</v>
      </c>
    </row>
    <row r="1838" spans="1:1095" s="36" customFormat="1" ht="14.25" customHeight="1">
      <c r="A1838" s="3" t="s">
        <v>1722</v>
      </c>
      <c r="B1838" s="36" t="s">
        <v>4079</v>
      </c>
      <c r="C1838" s="10">
        <v>4099854071751</v>
      </c>
      <c r="D1838" s="246"/>
      <c r="E1838" s="249"/>
      <c r="F1838" s="222" t="s">
        <v>3136</v>
      </c>
      <c r="G1838" s="66" t="str">
        <f>HYPERLINK("https://ledvance.com/pt/product-datasheet/247593/239381","Ficha de Produto")</f>
        <v>Ficha de Produto</v>
      </c>
      <c r="H1838" s="217">
        <v>6</v>
      </c>
      <c r="I1838" s="34" t="s">
        <v>861</v>
      </c>
      <c r="J1838" s="34" t="s">
        <v>771</v>
      </c>
      <c r="K1838" s="34" t="s">
        <v>822</v>
      </c>
      <c r="L1838" s="34" t="s">
        <v>793</v>
      </c>
      <c r="M1838" s="247">
        <v>28.700000000000003</v>
      </c>
      <c r="N1838" s="288" t="s">
        <v>722</v>
      </c>
    </row>
    <row r="1839" spans="1:1095" s="36" customFormat="1" ht="14.25" customHeight="1">
      <c r="A1839" s="3" t="s">
        <v>1722</v>
      </c>
      <c r="B1839" s="36" t="s">
        <v>4080</v>
      </c>
      <c r="C1839" s="10">
        <v>4099854071775</v>
      </c>
      <c r="D1839" s="246"/>
      <c r="E1839" s="249"/>
      <c r="F1839" s="222" t="s">
        <v>3136</v>
      </c>
      <c r="G1839" s="66" t="str">
        <f>HYPERLINK("https://ledvance.com/pt/product-datasheet/247593/239384","Ficha de Produto")</f>
        <v>Ficha de Produto</v>
      </c>
      <c r="H1839" s="217">
        <v>6</v>
      </c>
      <c r="I1839" s="34" t="s">
        <v>803</v>
      </c>
      <c r="J1839" s="34" t="s">
        <v>775</v>
      </c>
      <c r="K1839" s="34" t="s">
        <v>822</v>
      </c>
      <c r="L1839" s="34" t="s">
        <v>793</v>
      </c>
      <c r="M1839" s="247">
        <v>29.6</v>
      </c>
      <c r="N1839" s="288" t="s">
        <v>722</v>
      </c>
    </row>
    <row r="1840" spans="1:1095" s="36" customFormat="1" ht="14.25" customHeight="1">
      <c r="A1840" s="3" t="s">
        <v>1722</v>
      </c>
      <c r="B1840" s="36" t="s">
        <v>4081</v>
      </c>
      <c r="C1840" s="10">
        <v>4099854071799</v>
      </c>
      <c r="D1840" s="246"/>
      <c r="E1840" s="249"/>
      <c r="F1840" s="222" t="s">
        <v>3136</v>
      </c>
      <c r="G1840" s="66" t="str">
        <f>HYPERLINK("https://ledvance.com/pt/product-datasheet/247593/239387","Ficha de Produto")</f>
        <v>Ficha de Produto</v>
      </c>
      <c r="H1840" s="217">
        <v>6</v>
      </c>
      <c r="I1840" s="34" t="s">
        <v>832</v>
      </c>
      <c r="J1840" s="34" t="s">
        <v>775</v>
      </c>
      <c r="K1840" s="34" t="s">
        <v>822</v>
      </c>
      <c r="L1840" s="34" t="s">
        <v>793</v>
      </c>
      <c r="M1840" s="247">
        <v>29.6</v>
      </c>
      <c r="N1840" s="288" t="s">
        <v>722</v>
      </c>
    </row>
    <row r="1841" spans="1:1095" s="36" customFormat="1" ht="14.25" customHeight="1">
      <c r="A1841" s="3" t="s">
        <v>1722</v>
      </c>
      <c r="B1841" s="36" t="s">
        <v>4082</v>
      </c>
      <c r="C1841" s="10">
        <v>4099854071812</v>
      </c>
      <c r="D1841" s="246"/>
      <c r="E1841" s="249"/>
      <c r="F1841" s="222" t="s">
        <v>3136</v>
      </c>
      <c r="G1841" s="66" t="str">
        <f>HYPERLINK("https://ledvance.com/pt/product-datasheet/247593/239390","Ficha de Produto")</f>
        <v>Ficha de Produto</v>
      </c>
      <c r="H1841" s="217">
        <v>6</v>
      </c>
      <c r="I1841" s="34" t="s">
        <v>834</v>
      </c>
      <c r="J1841" s="34" t="s">
        <v>821</v>
      </c>
      <c r="K1841" s="34" t="s">
        <v>822</v>
      </c>
      <c r="L1841" s="34" t="s">
        <v>793</v>
      </c>
      <c r="M1841" s="247">
        <v>48.2</v>
      </c>
      <c r="N1841" s="288" t="s">
        <v>722</v>
      </c>
    </row>
    <row r="1842" spans="1:1095" s="36" customFormat="1" ht="14.25" customHeight="1">
      <c r="A1842" s="3" t="s">
        <v>1722</v>
      </c>
      <c r="B1842" s="36" t="s">
        <v>4083</v>
      </c>
      <c r="C1842" s="10">
        <v>4099854071836</v>
      </c>
      <c r="D1842" s="246"/>
      <c r="E1842" s="249"/>
      <c r="F1842" s="222" t="s">
        <v>3136</v>
      </c>
      <c r="G1842" s="66" t="str">
        <f>HYPERLINK("https://ledvance.com/pt/product-datasheet/247593/239393","Ficha de Produto")</f>
        <v>Ficha de Produto</v>
      </c>
      <c r="H1842" s="217">
        <v>6</v>
      </c>
      <c r="I1842" s="34" t="s">
        <v>815</v>
      </c>
      <c r="J1842" s="34" t="s">
        <v>821</v>
      </c>
      <c r="K1842" s="34" t="s">
        <v>822</v>
      </c>
      <c r="L1842" s="34" t="s">
        <v>793</v>
      </c>
      <c r="M1842" s="247">
        <v>48.2</v>
      </c>
      <c r="N1842" s="288" t="s">
        <v>722</v>
      </c>
    </row>
    <row r="1843" spans="1:1095" s="36" customFormat="1" ht="14.25" customHeight="1">
      <c r="A1843" s="3" t="s">
        <v>1722</v>
      </c>
      <c r="B1843" s="36" t="s">
        <v>4084</v>
      </c>
      <c r="C1843" s="10">
        <v>4099854071850</v>
      </c>
      <c r="D1843" s="246"/>
      <c r="E1843" s="249"/>
      <c r="F1843" s="222" t="s">
        <v>3136</v>
      </c>
      <c r="G1843" s="66" t="str">
        <f>HYPERLINK("https://ledvance.com/pt/product-datasheet/247593/239396","Ficha de Produto")</f>
        <v>Ficha de Produto</v>
      </c>
      <c r="H1843" s="217">
        <v>6</v>
      </c>
      <c r="I1843" s="34" t="s">
        <v>878</v>
      </c>
      <c r="J1843" s="34" t="s">
        <v>1029</v>
      </c>
      <c r="K1843" s="34" t="s">
        <v>822</v>
      </c>
      <c r="L1843" s="34" t="s">
        <v>793</v>
      </c>
      <c r="M1843" s="247">
        <v>63.9</v>
      </c>
      <c r="N1843" s="288" t="s">
        <v>722</v>
      </c>
    </row>
    <row r="1844" spans="1:1095" s="36" customFormat="1" ht="14.25" customHeight="1">
      <c r="A1844" s="3" t="s">
        <v>1722</v>
      </c>
      <c r="B1844" s="36" t="s">
        <v>4085</v>
      </c>
      <c r="C1844" s="10">
        <v>4099854071898</v>
      </c>
      <c r="D1844" s="246"/>
      <c r="E1844" s="249"/>
      <c r="F1844" s="222" t="s">
        <v>3136</v>
      </c>
      <c r="G1844" s="66" t="str">
        <f>HYPERLINK("https://ledvance.com/pt/product-datasheet/247593/239402","Ficha de Produto")</f>
        <v>Ficha de Produto</v>
      </c>
      <c r="H1844" s="217">
        <v>6</v>
      </c>
      <c r="I1844" s="34" t="s">
        <v>878</v>
      </c>
      <c r="J1844" s="34" t="s">
        <v>1029</v>
      </c>
      <c r="K1844" s="34" t="s">
        <v>822</v>
      </c>
      <c r="L1844" s="34" t="s">
        <v>793</v>
      </c>
      <c r="M1844" s="247">
        <v>63.9</v>
      </c>
      <c r="N1844" s="288" t="s">
        <v>722</v>
      </c>
    </row>
    <row r="1845" spans="1:1095" s="36" customFormat="1" ht="14.25" customHeight="1">
      <c r="A1845" s="3" t="s">
        <v>1722</v>
      </c>
      <c r="B1845" s="36" t="s">
        <v>6508</v>
      </c>
      <c r="C1845" s="10">
        <v>4099854071874</v>
      </c>
      <c r="D1845" s="246"/>
      <c r="E1845" s="249"/>
      <c r="F1845" s="222" t="s">
        <v>3136</v>
      </c>
      <c r="G1845" s="66" t="str">
        <f>HYPERLINK("https://ledvance.com/pt/product-datasheet/247593/239399","Ficha de Produto")</f>
        <v>Ficha de Produto</v>
      </c>
      <c r="H1845" s="217">
        <v>6</v>
      </c>
      <c r="I1845" s="34" t="s">
        <v>889</v>
      </c>
      <c r="J1845" s="34" t="s">
        <v>1029</v>
      </c>
      <c r="K1845" s="34" t="s">
        <v>822</v>
      </c>
      <c r="L1845" s="34" t="s">
        <v>793</v>
      </c>
      <c r="M1845" s="247">
        <v>63.9</v>
      </c>
      <c r="N1845" s="288" t="s">
        <v>722</v>
      </c>
    </row>
    <row r="1846" spans="1:1095" s="36" customFormat="1" ht="14.25" customHeight="1">
      <c r="A1846" s="3" t="s">
        <v>1722</v>
      </c>
      <c r="B1846" s="36" t="s">
        <v>4086</v>
      </c>
      <c r="C1846" s="10">
        <v>4099854071911</v>
      </c>
      <c r="D1846" s="246"/>
      <c r="E1846" s="249"/>
      <c r="F1846" s="222" t="s">
        <v>3136</v>
      </c>
      <c r="G1846" s="66" t="str">
        <f>HYPERLINK("https://ledvance.com/pt/product-datasheet/247593/239405","Ficha de Produto")</f>
        <v>Ficha de Produto</v>
      </c>
      <c r="H1846" s="217">
        <v>6</v>
      </c>
      <c r="I1846" s="34" t="s">
        <v>889</v>
      </c>
      <c r="J1846" s="34" t="s">
        <v>1029</v>
      </c>
      <c r="K1846" s="34" t="s">
        <v>822</v>
      </c>
      <c r="L1846" s="34" t="s">
        <v>793</v>
      </c>
      <c r="M1846" s="247">
        <v>63.9</v>
      </c>
      <c r="N1846" s="288" t="s">
        <v>722</v>
      </c>
    </row>
    <row r="1847" spans="1:1095" s="36" customFormat="1" ht="14.25" customHeight="1">
      <c r="A1847" s="3" t="s">
        <v>1722</v>
      </c>
      <c r="B1847" s="36" t="s">
        <v>4087</v>
      </c>
      <c r="C1847" s="10">
        <v>4099854071935</v>
      </c>
      <c r="D1847" s="246"/>
      <c r="E1847" s="249"/>
      <c r="F1847" s="222" t="s">
        <v>3136</v>
      </c>
      <c r="G1847" s="66" t="str">
        <f>HYPERLINK("https://ledvance.com/pt/product-datasheet/247593/239408","Ficha de Produto")</f>
        <v>Ficha de Produto</v>
      </c>
      <c r="H1847" s="217">
        <v>6</v>
      </c>
      <c r="I1847" s="34" t="s">
        <v>1133</v>
      </c>
      <c r="J1847" s="34" t="s">
        <v>852</v>
      </c>
      <c r="K1847" s="34" t="s">
        <v>822</v>
      </c>
      <c r="L1847" s="34" t="s">
        <v>793</v>
      </c>
      <c r="M1847" s="247">
        <v>117</v>
      </c>
      <c r="N1847" s="288" t="s">
        <v>722</v>
      </c>
    </row>
    <row r="1848" spans="1:1095" s="36" customFormat="1" ht="14.25" customHeight="1">
      <c r="A1848" s="3" t="s">
        <v>1722</v>
      </c>
      <c r="B1848" s="36" t="s">
        <v>4088</v>
      </c>
      <c r="C1848" s="10">
        <v>4099854071959</v>
      </c>
      <c r="D1848" s="246"/>
      <c r="E1848" s="249"/>
      <c r="F1848" s="222" t="s">
        <v>3136</v>
      </c>
      <c r="G1848" s="66" t="str">
        <f>HYPERLINK("https://ledvance.com/pt/product-datasheet/247593/239411","Ficha de Produto")</f>
        <v>Ficha de Produto</v>
      </c>
      <c r="H1848" s="217">
        <v>6</v>
      </c>
      <c r="I1848" s="34" t="s">
        <v>891</v>
      </c>
      <c r="J1848" s="34" t="s">
        <v>852</v>
      </c>
      <c r="K1848" s="34" t="s">
        <v>822</v>
      </c>
      <c r="L1848" s="34" t="s">
        <v>793</v>
      </c>
      <c r="M1848" s="247">
        <v>117</v>
      </c>
      <c r="N1848" s="288" t="s">
        <v>722</v>
      </c>
    </row>
    <row r="1849" spans="1:1095" s="39" customFormat="1" ht="14.25" customHeight="1">
      <c r="A1849" s="8" t="s">
        <v>1722</v>
      </c>
      <c r="B1849" s="244" t="s">
        <v>2097</v>
      </c>
      <c r="C1849" s="8"/>
      <c r="D1849" s="7"/>
      <c r="E1849" s="230"/>
      <c r="F1849" s="7"/>
      <c r="G1849" s="68"/>
      <c r="H1849" s="230"/>
      <c r="I1849" s="230"/>
      <c r="J1849" s="230"/>
      <c r="K1849" s="230"/>
      <c r="L1849" s="230"/>
      <c r="M1849" s="248"/>
      <c r="N1849" s="294"/>
      <c r="O1849" s="38"/>
      <c r="P1849" s="38"/>
      <c r="Q1849" s="38"/>
      <c r="R1849" s="38"/>
      <c r="S1849" s="38"/>
      <c r="T1849" s="38"/>
      <c r="U1849" s="38"/>
      <c r="V1849" s="38"/>
      <c r="W1849" s="38"/>
      <c r="X1849" s="38"/>
      <c r="Y1849" s="38"/>
      <c r="Z1849" s="38"/>
      <c r="AA1849" s="38"/>
      <c r="AB1849" s="38"/>
      <c r="AC1849" s="38"/>
      <c r="AD1849" s="38"/>
      <c r="AE1849" s="38"/>
      <c r="AF1849" s="38"/>
      <c r="AG1849" s="38"/>
      <c r="AH1849" s="38"/>
      <c r="AI1849" s="38"/>
      <c r="AJ1849" s="38"/>
      <c r="AK1849" s="38"/>
      <c r="AL1849" s="38"/>
      <c r="AM1849" s="38"/>
      <c r="AN1849" s="38"/>
      <c r="AO1849" s="38"/>
      <c r="AP1849" s="38"/>
      <c r="AQ1849" s="38"/>
      <c r="AR1849" s="38"/>
      <c r="AS1849" s="38"/>
      <c r="AT1849" s="38"/>
      <c r="AU1849" s="38"/>
      <c r="AV1849" s="38"/>
      <c r="AW1849" s="38"/>
      <c r="AX1849" s="38"/>
      <c r="AY1849" s="38"/>
      <c r="AZ1849" s="38"/>
      <c r="BA1849" s="38"/>
      <c r="BB1849" s="38"/>
      <c r="BC1849" s="38"/>
      <c r="BD1849" s="38"/>
      <c r="BE1849" s="38"/>
      <c r="BF1849" s="38"/>
      <c r="BG1849" s="38"/>
      <c r="BH1849" s="38"/>
      <c r="BI1849" s="38"/>
      <c r="BJ1849" s="38"/>
      <c r="BK1849" s="38"/>
      <c r="BL1849" s="38"/>
      <c r="BM1849" s="38"/>
      <c r="BN1849" s="38"/>
      <c r="BO1849" s="38"/>
      <c r="BP1849" s="38"/>
      <c r="BQ1849" s="38"/>
      <c r="BR1849" s="38"/>
      <c r="BS1849" s="38"/>
      <c r="BT1849" s="38"/>
      <c r="BU1849" s="38"/>
      <c r="BV1849" s="38"/>
      <c r="BW1849" s="38"/>
      <c r="BX1849" s="38"/>
      <c r="BY1849" s="38"/>
      <c r="BZ1849" s="38"/>
      <c r="CA1849" s="38"/>
      <c r="CB1849" s="38"/>
      <c r="CC1849" s="38"/>
      <c r="CD1849" s="38"/>
      <c r="CE1849" s="38"/>
      <c r="CF1849" s="38"/>
      <c r="CG1849" s="38"/>
      <c r="CH1849" s="38"/>
      <c r="CI1849" s="38"/>
      <c r="CJ1849" s="38"/>
      <c r="CK1849" s="38"/>
      <c r="CL1849" s="38"/>
      <c r="CM1849" s="38"/>
      <c r="CN1849" s="38"/>
      <c r="CO1849" s="38"/>
      <c r="CP1849" s="38"/>
      <c r="CQ1849" s="38"/>
      <c r="CR1849" s="38"/>
      <c r="CS1849" s="38"/>
      <c r="CT1849" s="38"/>
      <c r="CU1849" s="38"/>
      <c r="CV1849" s="38"/>
      <c r="CW1849" s="38"/>
      <c r="CX1849" s="38"/>
      <c r="CY1849" s="38"/>
      <c r="CZ1849" s="38"/>
      <c r="DA1849" s="38"/>
      <c r="DB1849" s="38"/>
      <c r="DC1849" s="38"/>
      <c r="DD1849" s="38"/>
      <c r="DE1849" s="38"/>
      <c r="DF1849" s="38"/>
      <c r="DG1849" s="38"/>
      <c r="DH1849" s="38"/>
      <c r="DI1849" s="38"/>
      <c r="DJ1849" s="38"/>
      <c r="DK1849" s="38"/>
      <c r="DL1849" s="38"/>
      <c r="DM1849" s="38"/>
      <c r="DN1849" s="38"/>
      <c r="DO1849" s="38"/>
      <c r="DP1849" s="38"/>
      <c r="DQ1849" s="38"/>
      <c r="DR1849" s="38"/>
      <c r="DS1849" s="38"/>
      <c r="DT1849" s="38"/>
      <c r="DU1849" s="38"/>
      <c r="DV1849" s="38"/>
      <c r="DW1849" s="38"/>
      <c r="DX1849" s="38"/>
      <c r="DY1849" s="38"/>
      <c r="DZ1849" s="38"/>
      <c r="EA1849" s="38"/>
      <c r="EB1849" s="38"/>
      <c r="EC1849" s="38"/>
      <c r="ED1849" s="38"/>
      <c r="EE1849" s="38"/>
      <c r="EF1849" s="38"/>
      <c r="EG1849" s="38"/>
      <c r="EH1849" s="38"/>
      <c r="EI1849" s="38"/>
      <c r="EJ1849" s="38"/>
      <c r="EK1849" s="38"/>
      <c r="EL1849" s="38"/>
      <c r="EM1849" s="38"/>
      <c r="EN1849" s="38"/>
      <c r="EO1849" s="38"/>
      <c r="EP1849" s="38"/>
      <c r="EQ1849" s="38"/>
      <c r="ER1849" s="38"/>
      <c r="ES1849" s="38"/>
      <c r="ET1849" s="38"/>
      <c r="EU1849" s="38"/>
      <c r="EV1849" s="38"/>
      <c r="EW1849" s="38"/>
      <c r="EX1849" s="38"/>
      <c r="EY1849" s="38"/>
      <c r="EZ1849" s="38"/>
      <c r="FA1849" s="38"/>
      <c r="FB1849" s="38"/>
      <c r="FC1849" s="38"/>
      <c r="FD1849" s="38"/>
      <c r="FE1849" s="38"/>
      <c r="FF1849" s="38"/>
      <c r="FG1849" s="38"/>
      <c r="FH1849" s="38"/>
      <c r="FI1849" s="38"/>
      <c r="FJ1849" s="38"/>
      <c r="FK1849" s="38"/>
      <c r="FL1849" s="38"/>
      <c r="FM1849" s="38"/>
      <c r="FN1849" s="38"/>
      <c r="FO1849" s="38"/>
      <c r="FP1849" s="38"/>
      <c r="FQ1849" s="38"/>
      <c r="FR1849" s="38"/>
      <c r="FS1849" s="38"/>
      <c r="FT1849" s="38"/>
      <c r="FU1849" s="38"/>
      <c r="FV1849" s="38"/>
      <c r="FW1849" s="38"/>
      <c r="FX1849" s="38"/>
      <c r="FY1849" s="38"/>
      <c r="FZ1849" s="38"/>
      <c r="GA1849" s="38"/>
      <c r="GB1849" s="38"/>
      <c r="GC1849" s="38"/>
      <c r="GD1849" s="38"/>
      <c r="GE1849" s="38"/>
      <c r="GF1849" s="38"/>
      <c r="GG1849" s="38"/>
      <c r="GH1849" s="38"/>
      <c r="GI1849" s="38"/>
      <c r="GJ1849" s="38"/>
      <c r="GK1849" s="38"/>
      <c r="GL1849" s="38"/>
      <c r="GM1849" s="38"/>
      <c r="GN1849" s="38"/>
      <c r="GO1849" s="38"/>
      <c r="GP1849" s="38"/>
      <c r="GQ1849" s="38"/>
      <c r="GR1849" s="38"/>
      <c r="GS1849" s="38"/>
      <c r="GT1849" s="38"/>
      <c r="GU1849" s="38"/>
      <c r="GV1849" s="38"/>
      <c r="GW1849" s="38"/>
      <c r="GX1849" s="38"/>
      <c r="GY1849" s="38"/>
      <c r="GZ1849" s="38"/>
      <c r="HA1849" s="38"/>
      <c r="HB1849" s="38"/>
      <c r="HC1849" s="38"/>
      <c r="HD1849" s="38"/>
      <c r="HE1849" s="38"/>
      <c r="HF1849" s="38"/>
      <c r="HG1849" s="38"/>
      <c r="HH1849" s="38"/>
      <c r="HI1849" s="38"/>
      <c r="HJ1849" s="38"/>
      <c r="HK1849" s="38"/>
      <c r="HL1849" s="38"/>
      <c r="HM1849" s="38"/>
      <c r="HN1849" s="38"/>
      <c r="HO1849" s="38"/>
      <c r="HP1849" s="38"/>
      <c r="HQ1849" s="38"/>
      <c r="HR1849" s="38"/>
      <c r="HS1849" s="38"/>
      <c r="HT1849" s="38"/>
      <c r="HU1849" s="38"/>
      <c r="HV1849" s="38"/>
      <c r="HW1849" s="38"/>
      <c r="HX1849" s="38"/>
      <c r="HY1849" s="38"/>
      <c r="HZ1849" s="38"/>
      <c r="IA1849" s="38"/>
      <c r="IB1849" s="38"/>
      <c r="IC1849" s="38"/>
      <c r="ID1849" s="38"/>
      <c r="IE1849" s="38"/>
      <c r="IF1849" s="38"/>
      <c r="IG1849" s="38"/>
      <c r="IH1849" s="38"/>
      <c r="II1849" s="38"/>
      <c r="IJ1849" s="38"/>
      <c r="IK1849" s="38"/>
      <c r="IL1849" s="38"/>
      <c r="IM1849" s="38"/>
      <c r="IN1849" s="38"/>
      <c r="IO1849" s="38"/>
      <c r="IP1849" s="38"/>
      <c r="IQ1849" s="38"/>
      <c r="IR1849" s="38"/>
      <c r="IS1849" s="38"/>
      <c r="IT1849" s="38"/>
      <c r="IU1849" s="38"/>
      <c r="IV1849" s="38"/>
      <c r="IW1849" s="38"/>
      <c r="IX1849" s="38"/>
      <c r="IY1849" s="38"/>
      <c r="IZ1849" s="38"/>
      <c r="JA1849" s="38"/>
      <c r="JB1849" s="38"/>
      <c r="JC1849" s="38"/>
      <c r="JD1849" s="38"/>
      <c r="JE1849" s="38"/>
      <c r="JF1849" s="38"/>
      <c r="JG1849" s="38"/>
      <c r="JH1849" s="38"/>
      <c r="JI1849" s="38"/>
      <c r="JJ1849" s="38"/>
      <c r="JK1849" s="38"/>
      <c r="JL1849" s="38"/>
      <c r="JM1849" s="38"/>
      <c r="JN1849" s="38"/>
      <c r="JO1849" s="38"/>
      <c r="JP1849" s="38"/>
      <c r="JQ1849" s="38"/>
      <c r="JR1849" s="38"/>
      <c r="JS1849" s="38"/>
      <c r="JT1849" s="38"/>
      <c r="JU1849" s="38"/>
      <c r="JV1849" s="38"/>
      <c r="JW1849" s="38"/>
      <c r="JX1849" s="38"/>
      <c r="JY1849" s="38"/>
      <c r="JZ1849" s="38"/>
      <c r="KA1849" s="38"/>
      <c r="KB1849" s="38"/>
      <c r="KC1849" s="38"/>
      <c r="KD1849" s="38"/>
      <c r="KE1849" s="38"/>
      <c r="KF1849" s="38"/>
      <c r="KG1849" s="38"/>
      <c r="KH1849" s="38"/>
      <c r="KI1849" s="38"/>
      <c r="KJ1849" s="38"/>
      <c r="KK1849" s="38"/>
      <c r="KL1849" s="38"/>
      <c r="KM1849" s="38"/>
      <c r="KN1849" s="38"/>
      <c r="KO1849" s="38"/>
      <c r="KP1849" s="38"/>
      <c r="KQ1849" s="38"/>
      <c r="KR1849" s="38"/>
      <c r="KS1849" s="38"/>
      <c r="KT1849" s="38"/>
      <c r="KU1849" s="38"/>
      <c r="KV1849" s="38"/>
      <c r="KW1849" s="38"/>
      <c r="KX1849" s="38"/>
      <c r="KY1849" s="38"/>
      <c r="KZ1849" s="38"/>
      <c r="LA1849" s="38"/>
      <c r="LB1849" s="38"/>
      <c r="LC1849" s="38"/>
      <c r="LD1849" s="38"/>
      <c r="LE1849" s="38"/>
      <c r="LF1849" s="38"/>
      <c r="LG1849" s="38"/>
      <c r="LH1849" s="38"/>
      <c r="LI1849" s="38"/>
      <c r="LJ1849" s="38"/>
      <c r="LK1849" s="38"/>
      <c r="LL1849" s="38"/>
      <c r="LM1849" s="38"/>
      <c r="LN1849" s="38"/>
      <c r="LO1849" s="38"/>
      <c r="LP1849" s="38"/>
      <c r="LQ1849" s="38"/>
      <c r="LR1849" s="38"/>
      <c r="LS1849" s="38"/>
      <c r="LT1849" s="38"/>
      <c r="LU1849" s="38"/>
      <c r="LV1849" s="38"/>
      <c r="LW1849" s="38"/>
      <c r="LX1849" s="38"/>
      <c r="LY1849" s="38"/>
      <c r="LZ1849" s="38"/>
      <c r="MA1849" s="38"/>
      <c r="MB1849" s="38"/>
      <c r="MC1849" s="38"/>
      <c r="MD1849" s="38"/>
      <c r="ME1849" s="38"/>
      <c r="MF1849" s="38"/>
      <c r="MG1849" s="38"/>
      <c r="MH1849" s="38"/>
      <c r="MI1849" s="38"/>
      <c r="MJ1849" s="38"/>
      <c r="MK1849" s="38"/>
      <c r="ML1849" s="38"/>
      <c r="MM1849" s="38"/>
      <c r="MN1849" s="38"/>
      <c r="MO1849" s="38"/>
      <c r="MP1849" s="38"/>
      <c r="MQ1849" s="38"/>
      <c r="MR1849" s="38"/>
      <c r="MS1849" s="38"/>
      <c r="MT1849" s="38"/>
      <c r="MU1849" s="38"/>
      <c r="MV1849" s="38"/>
      <c r="MW1849" s="38"/>
      <c r="MX1849" s="38"/>
      <c r="MY1849" s="38"/>
      <c r="MZ1849" s="38"/>
      <c r="NA1849" s="38"/>
      <c r="NB1849" s="38"/>
      <c r="NC1849" s="38"/>
      <c r="ND1849" s="38"/>
      <c r="NE1849" s="38"/>
      <c r="NF1849" s="38"/>
      <c r="NG1849" s="38"/>
      <c r="NH1849" s="38"/>
      <c r="NI1849" s="38"/>
      <c r="NJ1849" s="38"/>
      <c r="NK1849" s="38"/>
      <c r="NL1849" s="38"/>
      <c r="NM1849" s="38"/>
      <c r="NN1849" s="38"/>
      <c r="NO1849" s="38"/>
      <c r="NP1849" s="38"/>
      <c r="NQ1849" s="38"/>
      <c r="NR1849" s="38"/>
      <c r="NS1849" s="38"/>
      <c r="NT1849" s="38"/>
      <c r="NU1849" s="38"/>
      <c r="NV1849" s="38"/>
      <c r="NW1849" s="38"/>
      <c r="NX1849" s="38"/>
      <c r="NY1849" s="38"/>
      <c r="NZ1849" s="38"/>
      <c r="OA1849" s="38"/>
      <c r="OB1849" s="38"/>
      <c r="OC1849" s="38"/>
      <c r="OD1849" s="38"/>
      <c r="OE1849" s="38"/>
      <c r="OF1849" s="38"/>
      <c r="OG1849" s="38"/>
      <c r="OH1849" s="38"/>
      <c r="OI1849" s="38"/>
      <c r="OJ1849" s="38"/>
      <c r="OK1849" s="38"/>
      <c r="OL1849" s="38"/>
      <c r="OM1849" s="38"/>
      <c r="ON1849" s="38"/>
      <c r="OO1849" s="38"/>
      <c r="OP1849" s="38"/>
      <c r="OQ1849" s="38"/>
      <c r="OR1849" s="38"/>
      <c r="OS1849" s="38"/>
      <c r="OT1849" s="38"/>
      <c r="OU1849" s="38"/>
      <c r="OV1849" s="38"/>
      <c r="OW1849" s="38"/>
      <c r="OX1849" s="38"/>
      <c r="OY1849" s="38"/>
      <c r="OZ1849" s="38"/>
      <c r="PA1849" s="38"/>
      <c r="PB1849" s="38"/>
      <c r="PC1849" s="38"/>
      <c r="PD1849" s="38"/>
      <c r="PE1849" s="38"/>
      <c r="PF1849" s="38"/>
      <c r="PG1849" s="38"/>
      <c r="PH1849" s="38"/>
      <c r="PI1849" s="38"/>
      <c r="PJ1849" s="38"/>
      <c r="PK1849" s="38"/>
      <c r="PL1849" s="38"/>
      <c r="PM1849" s="38"/>
      <c r="PN1849" s="38"/>
      <c r="PO1849" s="38"/>
      <c r="PP1849" s="38"/>
      <c r="PQ1849" s="38"/>
      <c r="PR1849" s="38"/>
      <c r="PS1849" s="38"/>
      <c r="PT1849" s="38"/>
      <c r="PU1849" s="38"/>
      <c r="PV1849" s="38"/>
      <c r="PW1849" s="38"/>
      <c r="PX1849" s="38"/>
      <c r="PY1849" s="38"/>
      <c r="PZ1849" s="38"/>
      <c r="QA1849" s="38"/>
      <c r="QB1849" s="38"/>
      <c r="QC1849" s="38"/>
      <c r="QD1849" s="38"/>
      <c r="QE1849" s="38"/>
      <c r="QF1849" s="38"/>
      <c r="QG1849" s="38"/>
      <c r="QH1849" s="38"/>
      <c r="QI1849" s="38"/>
      <c r="QJ1849" s="38"/>
      <c r="QK1849" s="38"/>
      <c r="QL1849" s="38"/>
      <c r="QM1849" s="38"/>
      <c r="QN1849" s="38"/>
      <c r="QO1849" s="38"/>
      <c r="QP1849" s="38"/>
      <c r="QQ1849" s="38"/>
      <c r="QR1849" s="38"/>
      <c r="QS1849" s="38"/>
      <c r="QT1849" s="38"/>
      <c r="QU1849" s="38"/>
      <c r="QV1849" s="38"/>
      <c r="QW1849" s="38"/>
      <c r="QX1849" s="38"/>
      <c r="QY1849" s="38"/>
      <c r="QZ1849" s="38"/>
      <c r="RA1849" s="38"/>
      <c r="RB1849" s="38"/>
      <c r="RC1849" s="38"/>
      <c r="RD1849" s="38"/>
      <c r="RE1849" s="38"/>
      <c r="RF1849" s="38"/>
      <c r="RG1849" s="38"/>
      <c r="RH1849" s="38"/>
      <c r="RI1849" s="38"/>
      <c r="RJ1849" s="38"/>
      <c r="RK1849" s="38"/>
      <c r="RL1849" s="38"/>
      <c r="RM1849" s="38"/>
      <c r="RN1849" s="38"/>
      <c r="RO1849" s="38"/>
      <c r="RP1849" s="38"/>
      <c r="RQ1849" s="38"/>
      <c r="RR1849" s="38"/>
      <c r="RS1849" s="38"/>
      <c r="RT1849" s="38"/>
      <c r="RU1849" s="38"/>
      <c r="RV1849" s="38"/>
      <c r="RW1849" s="38"/>
      <c r="RX1849" s="38"/>
      <c r="RY1849" s="38"/>
      <c r="RZ1849" s="38"/>
      <c r="SA1849" s="38"/>
      <c r="SB1849" s="38"/>
      <c r="SC1849" s="38"/>
      <c r="SD1849" s="38"/>
      <c r="SE1849" s="38"/>
      <c r="SF1849" s="38"/>
      <c r="SG1849" s="38"/>
      <c r="SH1849" s="38"/>
      <c r="SI1849" s="38"/>
      <c r="SJ1849" s="38"/>
      <c r="SK1849" s="38"/>
      <c r="SL1849" s="38"/>
      <c r="SM1849" s="38"/>
      <c r="SN1849" s="38"/>
      <c r="SO1849" s="38"/>
      <c r="SP1849" s="38"/>
      <c r="SQ1849" s="38"/>
      <c r="SR1849" s="38"/>
      <c r="SS1849" s="38"/>
      <c r="ST1849" s="38"/>
      <c r="SU1849" s="38"/>
      <c r="SV1849" s="38"/>
      <c r="SW1849" s="38"/>
      <c r="SX1849" s="38"/>
      <c r="SY1849" s="38"/>
      <c r="SZ1849" s="38"/>
      <c r="TA1849" s="38"/>
      <c r="TB1849" s="38"/>
      <c r="TC1849" s="38"/>
      <c r="TD1849" s="38"/>
      <c r="TE1849" s="38"/>
      <c r="TF1849" s="38"/>
      <c r="TG1849" s="38"/>
      <c r="TH1849" s="38"/>
      <c r="TI1849" s="38"/>
      <c r="TJ1849" s="38"/>
      <c r="TK1849" s="38"/>
      <c r="TL1849" s="38"/>
      <c r="TM1849" s="38"/>
      <c r="TN1849" s="38"/>
      <c r="TO1849" s="38"/>
      <c r="TP1849" s="38"/>
      <c r="TQ1849" s="38"/>
      <c r="TR1849" s="38"/>
      <c r="TS1849" s="38"/>
      <c r="TT1849" s="38"/>
      <c r="TU1849" s="38"/>
      <c r="TV1849" s="38"/>
      <c r="TW1849" s="38"/>
      <c r="TX1849" s="38"/>
      <c r="TY1849" s="38"/>
      <c r="TZ1849" s="38"/>
      <c r="UA1849" s="38"/>
      <c r="UB1849" s="38"/>
      <c r="UC1849" s="38"/>
      <c r="UD1849" s="38"/>
      <c r="UE1849" s="38"/>
      <c r="UF1849" s="38"/>
      <c r="UG1849" s="38"/>
      <c r="UH1849" s="38"/>
      <c r="UI1849" s="38"/>
      <c r="UJ1849" s="38"/>
      <c r="UK1849" s="38"/>
      <c r="UL1849" s="38"/>
      <c r="UM1849" s="38"/>
      <c r="UN1849" s="38"/>
      <c r="UO1849" s="38"/>
      <c r="UP1849" s="38"/>
      <c r="UQ1849" s="38"/>
      <c r="UR1849" s="38"/>
      <c r="US1849" s="38"/>
      <c r="UT1849" s="38"/>
      <c r="UU1849" s="38"/>
      <c r="UV1849" s="38"/>
      <c r="UW1849" s="38"/>
      <c r="UX1849" s="38"/>
      <c r="UY1849" s="38"/>
      <c r="UZ1849" s="38"/>
      <c r="VA1849" s="38"/>
      <c r="VB1849" s="38"/>
      <c r="VC1849" s="38"/>
      <c r="VD1849" s="38"/>
      <c r="VE1849" s="38"/>
      <c r="VF1849" s="38"/>
      <c r="VG1849" s="38"/>
      <c r="VH1849" s="38"/>
      <c r="VI1849" s="38"/>
      <c r="VJ1849" s="38"/>
      <c r="VK1849" s="38"/>
      <c r="VL1849" s="38"/>
      <c r="VM1849" s="38"/>
      <c r="VN1849" s="38"/>
      <c r="VO1849" s="38"/>
      <c r="VP1849" s="38"/>
      <c r="VQ1849" s="38"/>
      <c r="VR1849" s="38"/>
      <c r="VS1849" s="38"/>
      <c r="VT1849" s="38"/>
      <c r="VU1849" s="38"/>
      <c r="VV1849" s="38"/>
      <c r="VW1849" s="38"/>
      <c r="VX1849" s="38"/>
      <c r="VY1849" s="38"/>
      <c r="VZ1849" s="38"/>
      <c r="WA1849" s="38"/>
      <c r="WB1849" s="38"/>
      <c r="WC1849" s="38"/>
      <c r="WD1849" s="38"/>
      <c r="WE1849" s="38"/>
      <c r="WF1849" s="38"/>
      <c r="WG1849" s="38"/>
      <c r="WH1849" s="38"/>
      <c r="WI1849" s="38"/>
      <c r="WJ1849" s="38"/>
      <c r="WK1849" s="38"/>
      <c r="WL1849" s="38"/>
      <c r="WM1849" s="38"/>
      <c r="WN1849" s="38"/>
      <c r="WO1849" s="38"/>
      <c r="WP1849" s="38"/>
      <c r="WQ1849" s="38"/>
      <c r="WR1849" s="38"/>
      <c r="WS1849" s="38"/>
      <c r="WT1849" s="38"/>
      <c r="WU1849" s="38"/>
      <c r="WV1849" s="38"/>
      <c r="WW1849" s="38"/>
      <c r="WX1849" s="38"/>
      <c r="WY1849" s="38"/>
      <c r="WZ1849" s="38"/>
      <c r="XA1849" s="38"/>
      <c r="XB1849" s="38"/>
      <c r="XC1849" s="38"/>
      <c r="XD1849" s="38"/>
      <c r="XE1849" s="38"/>
      <c r="XF1849" s="38"/>
      <c r="XG1849" s="38"/>
      <c r="XH1849" s="38"/>
      <c r="XI1849" s="38"/>
      <c r="XJ1849" s="38"/>
      <c r="XK1849" s="38"/>
      <c r="XL1849" s="38"/>
      <c r="XM1849" s="38"/>
      <c r="XN1849" s="38"/>
      <c r="XO1849" s="38"/>
      <c r="XP1849" s="38"/>
      <c r="XQ1849" s="38"/>
      <c r="XR1849" s="38"/>
      <c r="XS1849" s="38"/>
      <c r="XT1849" s="38"/>
      <c r="XU1849" s="38"/>
      <c r="XV1849" s="38"/>
      <c r="XW1849" s="38"/>
      <c r="XX1849" s="38"/>
      <c r="XY1849" s="38"/>
      <c r="XZ1849" s="38"/>
      <c r="YA1849" s="38"/>
      <c r="YB1849" s="38"/>
      <c r="YC1849" s="38"/>
      <c r="YD1849" s="38"/>
      <c r="YE1849" s="38"/>
      <c r="YF1849" s="38"/>
      <c r="YG1849" s="38"/>
      <c r="YH1849" s="38"/>
      <c r="YI1849" s="38"/>
      <c r="YJ1849" s="38"/>
      <c r="YK1849" s="38"/>
      <c r="YL1849" s="38"/>
      <c r="YM1849" s="38"/>
      <c r="YN1849" s="38"/>
      <c r="YO1849" s="38"/>
      <c r="YP1849" s="38"/>
      <c r="YQ1849" s="38"/>
      <c r="YR1849" s="38"/>
      <c r="YS1849" s="38"/>
      <c r="YT1849" s="38"/>
      <c r="YU1849" s="38"/>
      <c r="YV1849" s="38"/>
      <c r="YW1849" s="38"/>
      <c r="YX1849" s="38"/>
      <c r="YY1849" s="38"/>
      <c r="YZ1849" s="38"/>
      <c r="ZA1849" s="38"/>
      <c r="ZB1849" s="38"/>
      <c r="ZC1849" s="38"/>
      <c r="ZD1849" s="38"/>
      <c r="ZE1849" s="38"/>
      <c r="ZF1849" s="38"/>
      <c r="ZG1849" s="38"/>
      <c r="ZH1849" s="38"/>
      <c r="ZI1849" s="38"/>
      <c r="ZJ1849" s="38"/>
      <c r="ZK1849" s="38"/>
      <c r="ZL1849" s="38"/>
      <c r="ZM1849" s="38"/>
      <c r="ZN1849" s="38"/>
      <c r="ZO1849" s="38"/>
      <c r="ZP1849" s="38"/>
      <c r="ZQ1849" s="38"/>
      <c r="ZR1849" s="38"/>
      <c r="ZS1849" s="38"/>
      <c r="ZT1849" s="38"/>
      <c r="ZU1849" s="38"/>
      <c r="ZV1849" s="38"/>
      <c r="ZW1849" s="38"/>
      <c r="ZX1849" s="38"/>
      <c r="ZY1849" s="38"/>
      <c r="ZZ1849" s="38"/>
      <c r="AAA1849" s="38"/>
      <c r="AAB1849" s="38"/>
      <c r="AAC1849" s="38"/>
      <c r="AAD1849" s="38"/>
      <c r="AAE1849" s="38"/>
      <c r="AAF1849" s="38"/>
      <c r="AAG1849" s="38"/>
      <c r="AAH1849" s="38"/>
      <c r="AAI1849" s="38"/>
      <c r="AAJ1849" s="38"/>
      <c r="AAK1849" s="38"/>
      <c r="AAL1849" s="38"/>
      <c r="AAM1849" s="38"/>
      <c r="AAN1849" s="38"/>
      <c r="AAO1849" s="38"/>
      <c r="AAP1849" s="38"/>
      <c r="AAQ1849" s="38"/>
      <c r="AAR1849" s="38"/>
      <c r="AAS1849" s="38"/>
      <c r="AAT1849" s="38"/>
      <c r="AAU1849" s="38"/>
      <c r="AAV1849" s="38"/>
      <c r="AAW1849" s="38"/>
      <c r="AAX1849" s="38"/>
      <c r="AAY1849" s="38"/>
      <c r="AAZ1849" s="38"/>
      <c r="ABA1849" s="38"/>
      <c r="ABB1849" s="38"/>
      <c r="ABC1849" s="38"/>
      <c r="ABD1849" s="38"/>
      <c r="ABE1849" s="38"/>
      <c r="ABF1849" s="38"/>
      <c r="ABG1849" s="38"/>
      <c r="ABH1849" s="38"/>
      <c r="ABI1849" s="38"/>
      <c r="ABJ1849" s="38"/>
      <c r="ABK1849" s="38"/>
      <c r="ABL1849" s="38"/>
      <c r="ABM1849" s="38"/>
      <c r="ABN1849" s="38"/>
      <c r="ABO1849" s="38"/>
      <c r="ABP1849" s="38"/>
      <c r="ABQ1849" s="38"/>
      <c r="ABR1849" s="38"/>
      <c r="ABS1849" s="38"/>
      <c r="ABT1849" s="38"/>
      <c r="ABU1849" s="38"/>
      <c r="ABV1849" s="38"/>
      <c r="ABW1849" s="38"/>
      <c r="ABX1849" s="38"/>
      <c r="ABY1849" s="38"/>
      <c r="ABZ1849" s="38"/>
      <c r="ACA1849" s="38"/>
      <c r="ACB1849" s="38"/>
      <c r="ACC1849" s="38"/>
      <c r="ACD1849" s="38"/>
      <c r="ACE1849" s="38"/>
      <c r="ACF1849" s="38"/>
      <c r="ACG1849" s="38"/>
      <c r="ACH1849" s="38"/>
      <c r="ACI1849" s="38"/>
      <c r="ACJ1849" s="38"/>
      <c r="ACK1849" s="38"/>
      <c r="ACL1849" s="38"/>
      <c r="ACM1849" s="38"/>
      <c r="ACN1849" s="38"/>
      <c r="ACO1849" s="38"/>
      <c r="ACP1849" s="38"/>
      <c r="ACQ1849" s="38"/>
      <c r="ACR1849" s="38"/>
      <c r="ACS1849" s="38"/>
      <c r="ACT1849" s="38"/>
      <c r="ACU1849" s="38"/>
      <c r="ACV1849" s="38"/>
      <c r="ACW1849" s="38"/>
      <c r="ACX1849" s="38"/>
      <c r="ACY1849" s="38"/>
      <c r="ACZ1849" s="38"/>
      <c r="ADA1849" s="38"/>
      <c r="ADB1849" s="38"/>
      <c r="ADC1849" s="38"/>
      <c r="ADD1849" s="38"/>
      <c r="ADE1849" s="38"/>
      <c r="ADF1849" s="38"/>
      <c r="ADG1849" s="38"/>
      <c r="ADH1849" s="38"/>
      <c r="ADI1849" s="38"/>
      <c r="ADJ1849" s="38"/>
      <c r="ADK1849" s="38"/>
      <c r="ADL1849" s="38"/>
      <c r="ADM1849" s="38"/>
      <c r="ADN1849" s="38"/>
      <c r="ADO1849" s="38"/>
      <c r="ADP1849" s="38"/>
      <c r="ADQ1849" s="38"/>
      <c r="ADR1849" s="38"/>
      <c r="ADS1849" s="38"/>
      <c r="ADT1849" s="38"/>
      <c r="ADU1849" s="38"/>
      <c r="ADV1849" s="38"/>
      <c r="ADW1849" s="38"/>
      <c r="ADX1849" s="38"/>
      <c r="ADY1849" s="38"/>
      <c r="ADZ1849" s="38"/>
      <c r="AEA1849" s="38"/>
      <c r="AEB1849" s="38"/>
      <c r="AEC1849" s="38"/>
      <c r="AED1849" s="38"/>
      <c r="AEE1849" s="38"/>
      <c r="AEF1849" s="38"/>
      <c r="AEG1849" s="38"/>
      <c r="AEH1849" s="38"/>
      <c r="AEI1849" s="38"/>
      <c r="AEJ1849" s="38"/>
      <c r="AEK1849" s="38"/>
      <c r="AEL1849" s="38"/>
      <c r="AEM1849" s="38"/>
      <c r="AEN1849" s="38"/>
      <c r="AEO1849" s="38"/>
      <c r="AEP1849" s="38"/>
      <c r="AEQ1849" s="38"/>
      <c r="AER1849" s="38"/>
      <c r="AES1849" s="38"/>
      <c r="AET1849" s="38"/>
      <c r="AEU1849" s="38"/>
      <c r="AEV1849" s="38"/>
      <c r="AEW1849" s="38"/>
      <c r="AEX1849" s="38"/>
      <c r="AEY1849" s="38"/>
      <c r="AEZ1849" s="38"/>
      <c r="AFA1849" s="38"/>
      <c r="AFB1849" s="38"/>
      <c r="AFC1849" s="38"/>
      <c r="AFD1849" s="38"/>
      <c r="AFE1849" s="38"/>
      <c r="AFF1849" s="38"/>
      <c r="AFG1849" s="38"/>
      <c r="AFH1849" s="38"/>
      <c r="AFI1849" s="38"/>
      <c r="AFJ1849" s="38"/>
      <c r="AFK1849" s="38"/>
      <c r="AFL1849" s="38"/>
      <c r="AFM1849" s="38"/>
      <c r="AFN1849" s="38"/>
      <c r="AFO1849" s="38"/>
      <c r="AFP1849" s="38"/>
      <c r="AFQ1849" s="38"/>
      <c r="AFR1849" s="38"/>
      <c r="AFS1849" s="38"/>
      <c r="AFT1849" s="38"/>
      <c r="AFU1849" s="38"/>
      <c r="AFV1849" s="38"/>
      <c r="AFW1849" s="38"/>
      <c r="AFX1849" s="38"/>
      <c r="AFY1849" s="38"/>
      <c r="AFZ1849" s="38"/>
      <c r="AGA1849" s="38"/>
      <c r="AGB1849" s="38"/>
      <c r="AGC1849" s="38"/>
      <c r="AGD1849" s="38"/>
      <c r="AGE1849" s="38"/>
      <c r="AGF1849" s="38"/>
      <c r="AGG1849" s="38"/>
      <c r="AGH1849" s="38"/>
      <c r="AGI1849" s="38"/>
      <c r="AGJ1849" s="38"/>
      <c r="AGK1849" s="38"/>
      <c r="AGL1849" s="38"/>
      <c r="AGM1849" s="38"/>
      <c r="AGN1849" s="38"/>
      <c r="AGO1849" s="38"/>
      <c r="AGP1849" s="38"/>
      <c r="AGQ1849" s="38"/>
      <c r="AGR1849" s="38"/>
      <c r="AGS1849" s="38"/>
      <c r="AGT1849" s="38"/>
      <c r="AGU1849" s="38"/>
      <c r="AGV1849" s="38"/>
      <c r="AGW1849" s="38"/>
      <c r="AGX1849" s="38"/>
      <c r="AGY1849" s="38"/>
      <c r="AGZ1849" s="38"/>
      <c r="AHA1849" s="38"/>
      <c r="AHB1849" s="38"/>
      <c r="AHC1849" s="38"/>
      <c r="AHD1849" s="38"/>
      <c r="AHE1849" s="38"/>
      <c r="AHF1849" s="38"/>
      <c r="AHG1849" s="38"/>
      <c r="AHH1849" s="38"/>
      <c r="AHI1849" s="38"/>
      <c r="AHJ1849" s="38"/>
      <c r="AHK1849" s="38"/>
      <c r="AHL1849" s="38"/>
      <c r="AHM1849" s="38"/>
      <c r="AHN1849" s="38"/>
      <c r="AHO1849" s="38"/>
      <c r="AHP1849" s="38"/>
      <c r="AHQ1849" s="38"/>
      <c r="AHR1849" s="38"/>
      <c r="AHS1849" s="38"/>
      <c r="AHT1849" s="38"/>
      <c r="AHU1849" s="38"/>
      <c r="AHV1849" s="38"/>
      <c r="AHW1849" s="38"/>
      <c r="AHX1849" s="38"/>
      <c r="AHY1849" s="38"/>
      <c r="AHZ1849" s="38"/>
      <c r="AIA1849" s="38"/>
      <c r="AIB1849" s="38"/>
      <c r="AIC1849" s="38"/>
      <c r="AID1849" s="38"/>
      <c r="AIE1849" s="38"/>
      <c r="AIF1849" s="38"/>
      <c r="AIG1849" s="38"/>
      <c r="AIH1849" s="38"/>
      <c r="AII1849" s="38"/>
      <c r="AIJ1849" s="38"/>
      <c r="AIK1849" s="38"/>
      <c r="AIL1849" s="38"/>
      <c r="AIM1849" s="38"/>
      <c r="AIN1849" s="38"/>
      <c r="AIO1849" s="38"/>
      <c r="AIP1849" s="38"/>
      <c r="AIQ1849" s="38"/>
      <c r="AIR1849" s="38"/>
      <c r="AIS1849" s="38"/>
      <c r="AIT1849" s="38"/>
      <c r="AIU1849" s="38"/>
      <c r="AIV1849" s="38"/>
      <c r="AIW1849" s="38"/>
      <c r="AIX1849" s="38"/>
      <c r="AIY1849" s="38"/>
      <c r="AIZ1849" s="38"/>
      <c r="AJA1849" s="38"/>
      <c r="AJB1849" s="38"/>
      <c r="AJC1849" s="38"/>
      <c r="AJD1849" s="38"/>
      <c r="AJE1849" s="38"/>
      <c r="AJF1849" s="38"/>
      <c r="AJG1849" s="38"/>
      <c r="AJH1849" s="38"/>
      <c r="AJI1849" s="38"/>
      <c r="AJJ1849" s="38"/>
      <c r="AJK1849" s="38"/>
      <c r="AJL1849" s="38"/>
      <c r="AJM1849" s="38"/>
      <c r="AJN1849" s="38"/>
      <c r="AJO1849" s="38"/>
      <c r="AJP1849" s="38"/>
      <c r="AJQ1849" s="38"/>
      <c r="AJR1849" s="38"/>
      <c r="AJS1849" s="38"/>
      <c r="AJT1849" s="38"/>
      <c r="AJU1849" s="38"/>
      <c r="AJV1849" s="38"/>
      <c r="AJW1849" s="38"/>
      <c r="AJX1849" s="38"/>
      <c r="AJY1849" s="38"/>
      <c r="AJZ1849" s="38"/>
      <c r="AKA1849" s="38"/>
      <c r="AKB1849" s="38"/>
      <c r="AKC1849" s="38"/>
      <c r="AKD1849" s="38"/>
      <c r="AKE1849" s="38"/>
      <c r="AKF1849" s="38"/>
      <c r="AKG1849" s="38"/>
      <c r="AKH1849" s="38"/>
      <c r="AKI1849" s="38"/>
      <c r="AKJ1849" s="38"/>
      <c r="AKK1849" s="38"/>
      <c r="AKL1849" s="38"/>
      <c r="AKM1849" s="38"/>
      <c r="AKN1849" s="38"/>
      <c r="AKO1849" s="38"/>
      <c r="AKP1849" s="38"/>
      <c r="AKQ1849" s="38"/>
      <c r="AKR1849" s="38"/>
      <c r="AKS1849" s="38"/>
      <c r="AKT1849" s="38"/>
      <c r="AKU1849" s="38"/>
      <c r="AKV1849" s="38"/>
      <c r="AKW1849" s="38"/>
      <c r="AKX1849" s="38"/>
      <c r="AKY1849" s="38"/>
      <c r="AKZ1849" s="38"/>
      <c r="ALA1849" s="38"/>
      <c r="ALB1849" s="38"/>
      <c r="ALC1849" s="38"/>
      <c r="ALD1849" s="38"/>
      <c r="ALE1849" s="38"/>
      <c r="ALF1849" s="38"/>
      <c r="ALG1849" s="38"/>
      <c r="ALH1849" s="38"/>
      <c r="ALI1849" s="38"/>
      <c r="ALJ1849" s="38"/>
      <c r="ALK1849" s="38"/>
      <c r="ALL1849" s="38"/>
      <c r="ALM1849" s="38"/>
      <c r="ALN1849" s="38"/>
      <c r="ALO1849" s="38"/>
      <c r="ALP1849" s="38"/>
      <c r="ALQ1849" s="38"/>
      <c r="ALR1849" s="38"/>
      <c r="ALS1849" s="38"/>
      <c r="ALT1849" s="38"/>
      <c r="ALU1849" s="38"/>
      <c r="ALV1849" s="38"/>
      <c r="ALW1849" s="38"/>
      <c r="ALX1849" s="38"/>
      <c r="ALY1849" s="38"/>
      <c r="ALZ1849" s="38"/>
      <c r="AMA1849" s="38"/>
      <c r="AMB1849" s="38"/>
      <c r="AMC1849" s="38"/>
      <c r="AMD1849" s="38"/>
      <c r="AME1849" s="38"/>
      <c r="AMF1849" s="38"/>
      <c r="AMG1849" s="38"/>
      <c r="AMH1849" s="38"/>
      <c r="AMI1849" s="38"/>
      <c r="AMJ1849" s="38"/>
      <c r="AMK1849" s="38"/>
      <c r="AML1849" s="38"/>
      <c r="AMM1849" s="38"/>
      <c r="AMN1849" s="38"/>
      <c r="AMO1849" s="38"/>
      <c r="AMP1849" s="38"/>
      <c r="AMQ1849" s="38"/>
      <c r="AMR1849" s="38"/>
      <c r="AMS1849" s="38"/>
      <c r="AMT1849" s="38"/>
      <c r="AMU1849" s="38"/>
      <c r="AMV1849" s="38"/>
      <c r="AMW1849" s="38"/>
      <c r="AMX1849" s="38"/>
      <c r="AMY1849" s="38"/>
      <c r="AMZ1849" s="38"/>
      <c r="ANA1849" s="38"/>
      <c r="ANB1849" s="38"/>
      <c r="ANC1849" s="38"/>
      <c r="AND1849" s="38"/>
      <c r="ANE1849" s="38"/>
      <c r="ANF1849" s="38"/>
      <c r="ANG1849" s="38"/>
      <c r="ANH1849" s="38"/>
      <c r="ANI1849" s="38"/>
      <c r="ANJ1849" s="38"/>
      <c r="ANK1849" s="38"/>
      <c r="ANL1849" s="38"/>
      <c r="ANM1849" s="38"/>
      <c r="ANN1849" s="38"/>
      <c r="ANO1849" s="38"/>
      <c r="ANP1849" s="38"/>
      <c r="ANQ1849" s="38"/>
      <c r="ANR1849" s="38"/>
      <c r="ANS1849" s="38"/>
      <c r="ANT1849" s="38"/>
      <c r="ANU1849" s="38"/>
      <c r="ANV1849" s="38"/>
      <c r="ANW1849" s="38"/>
      <c r="ANX1849" s="38"/>
      <c r="ANY1849" s="38"/>
      <c r="ANZ1849" s="38"/>
      <c r="AOA1849" s="38"/>
      <c r="AOB1849" s="38"/>
      <c r="AOC1849" s="38"/>
      <c r="AOD1849" s="38"/>
      <c r="AOE1849" s="38"/>
      <c r="AOF1849" s="38"/>
      <c r="AOG1849" s="38"/>
      <c r="AOH1849" s="38"/>
      <c r="AOI1849" s="38"/>
      <c r="AOJ1849" s="38"/>
      <c r="AOK1849" s="38"/>
      <c r="AOL1849" s="38"/>
      <c r="AOM1849" s="38"/>
      <c r="AON1849" s="38"/>
      <c r="AOO1849" s="38"/>
      <c r="AOP1849" s="38"/>
      <c r="AOQ1849" s="38"/>
      <c r="AOR1849" s="38"/>
      <c r="AOS1849" s="38"/>
      <c r="AOT1849" s="38"/>
      <c r="AOU1849" s="38"/>
      <c r="AOV1849" s="38"/>
      <c r="AOW1849" s="38"/>
      <c r="AOX1849" s="38"/>
      <c r="AOY1849" s="38"/>
      <c r="AOZ1849" s="38"/>
      <c r="APA1849" s="38"/>
      <c r="APB1849" s="38"/>
      <c r="APC1849" s="38"/>
    </row>
    <row r="1850" spans="1:1095" s="36" customFormat="1" ht="14.25" customHeight="1">
      <c r="A1850" s="3" t="s">
        <v>1722</v>
      </c>
      <c r="B1850" s="36" t="s">
        <v>4089</v>
      </c>
      <c r="C1850" s="10">
        <v>4099854071973</v>
      </c>
      <c r="D1850" s="246"/>
      <c r="E1850" s="249"/>
      <c r="F1850" s="222" t="s">
        <v>3136</v>
      </c>
      <c r="G1850" s="66" t="str">
        <f>HYPERLINK("https://ledvance.com/pt/product-datasheet/247601/239414","Ficha de Produto")</f>
        <v>Ficha de Produto</v>
      </c>
      <c r="H1850" s="217">
        <v>6</v>
      </c>
      <c r="I1850" s="34" t="s">
        <v>834</v>
      </c>
      <c r="J1850" s="34" t="s">
        <v>768</v>
      </c>
      <c r="K1850" s="34" t="s">
        <v>822</v>
      </c>
      <c r="L1850" s="34" t="s">
        <v>793</v>
      </c>
      <c r="M1850" s="247">
        <v>38.700000000000003</v>
      </c>
      <c r="N1850" s="288" t="s">
        <v>722</v>
      </c>
    </row>
    <row r="1851" spans="1:1095" s="36" customFormat="1" ht="14.25" customHeight="1">
      <c r="A1851" s="3" t="s">
        <v>1722</v>
      </c>
      <c r="B1851" s="36" t="s">
        <v>4090</v>
      </c>
      <c r="C1851" s="10">
        <v>4099854071997</v>
      </c>
      <c r="D1851" s="246"/>
      <c r="E1851" s="249"/>
      <c r="F1851" s="222" t="s">
        <v>3136</v>
      </c>
      <c r="G1851" s="66" t="str">
        <f>HYPERLINK("https://ledvance.com/pt/product-datasheet/247601/239417","Ficha de Produto")</f>
        <v>Ficha de Produto</v>
      </c>
      <c r="H1851" s="217">
        <v>6</v>
      </c>
      <c r="I1851" s="34" t="s">
        <v>815</v>
      </c>
      <c r="J1851" s="34" t="s">
        <v>768</v>
      </c>
      <c r="K1851" s="34" t="s">
        <v>822</v>
      </c>
      <c r="L1851" s="34" t="s">
        <v>793</v>
      </c>
      <c r="M1851" s="247">
        <v>38.700000000000003</v>
      </c>
      <c r="N1851" s="288" t="s">
        <v>722</v>
      </c>
    </row>
    <row r="1852" spans="1:1095" s="36" customFormat="1" ht="14.25" customHeight="1">
      <c r="A1852" s="3" t="s">
        <v>1722</v>
      </c>
      <c r="B1852" s="36" t="s">
        <v>4091</v>
      </c>
      <c r="C1852" s="10">
        <v>4099854072017</v>
      </c>
      <c r="D1852" s="246"/>
      <c r="E1852" s="249"/>
      <c r="F1852" s="222" t="s">
        <v>3136</v>
      </c>
      <c r="G1852" s="66" t="str">
        <f>HYPERLINK("https://ledvance.com/pt/product-datasheet/247601/239420","Ficha de Produto")</f>
        <v>Ficha de Produto</v>
      </c>
      <c r="H1852" s="217">
        <v>6</v>
      </c>
      <c r="I1852" s="34" t="s">
        <v>878</v>
      </c>
      <c r="J1852" s="34" t="s">
        <v>784</v>
      </c>
      <c r="K1852" s="34" t="s">
        <v>822</v>
      </c>
      <c r="L1852" s="34" t="s">
        <v>793</v>
      </c>
      <c r="M1852" s="247">
        <v>51.4</v>
      </c>
      <c r="N1852" s="288" t="s">
        <v>722</v>
      </c>
    </row>
    <row r="1853" spans="1:1095" s="36" customFormat="1" ht="14.25" customHeight="1">
      <c r="A1853" s="3" t="s">
        <v>1722</v>
      </c>
      <c r="B1853" s="36" t="s">
        <v>4092</v>
      </c>
      <c r="C1853" s="10">
        <v>4099854072031</v>
      </c>
      <c r="D1853" s="246"/>
      <c r="E1853" s="249"/>
      <c r="F1853" s="222" t="s">
        <v>3136</v>
      </c>
      <c r="G1853" s="66" t="str">
        <f>HYPERLINK("https://ledvance.com/pt/product-datasheet/247601/239423","Ficha de Produto")</f>
        <v>Ficha de Produto</v>
      </c>
      <c r="H1853" s="217">
        <v>6</v>
      </c>
      <c r="I1853" s="34" t="s">
        <v>889</v>
      </c>
      <c r="J1853" s="34" t="s">
        <v>784</v>
      </c>
      <c r="K1853" s="34" t="s">
        <v>822</v>
      </c>
      <c r="L1853" s="34" t="s">
        <v>793</v>
      </c>
      <c r="M1853" s="247">
        <v>51.4</v>
      </c>
      <c r="N1853" s="288" t="s">
        <v>722</v>
      </c>
    </row>
    <row r="1854" spans="1:1095" s="36" customFormat="1" ht="14.25" customHeight="1">
      <c r="A1854" s="3" t="s">
        <v>1722</v>
      </c>
      <c r="B1854" s="36" t="s">
        <v>4093</v>
      </c>
      <c r="C1854" s="10">
        <v>4099854072055</v>
      </c>
      <c r="D1854" s="246"/>
      <c r="E1854" s="249"/>
      <c r="F1854" s="222" t="s">
        <v>3136</v>
      </c>
      <c r="G1854" s="66" t="str">
        <f>HYPERLINK("https://ledvance.com/pt/product-datasheet/247601/239426","Ficha de Produto")</f>
        <v>Ficha de Produto</v>
      </c>
      <c r="H1854" s="217">
        <v>6</v>
      </c>
      <c r="I1854" s="34" t="s">
        <v>6347</v>
      </c>
      <c r="J1854" s="34" t="s">
        <v>6346</v>
      </c>
      <c r="K1854" s="34" t="s">
        <v>822</v>
      </c>
      <c r="L1854" s="34" t="s">
        <v>793</v>
      </c>
      <c r="M1854" s="247">
        <v>65.199999999999989</v>
      </c>
      <c r="N1854" s="288" t="s">
        <v>722</v>
      </c>
    </row>
    <row r="1855" spans="1:1095" s="36" customFormat="1" ht="14.25" customHeight="1">
      <c r="A1855" s="3" t="s">
        <v>1722</v>
      </c>
      <c r="B1855" s="36" t="s">
        <v>4094</v>
      </c>
      <c r="C1855" s="10">
        <v>4099854072079</v>
      </c>
      <c r="D1855" s="246"/>
      <c r="E1855" s="249"/>
      <c r="F1855" s="222" t="s">
        <v>3136</v>
      </c>
      <c r="G1855" s="66" t="str">
        <f>HYPERLINK("https://ledvance.com/pt/product-datasheet/247601/239429","Ficha de Produto")</f>
        <v>Ficha de Produto</v>
      </c>
      <c r="H1855" s="217">
        <v>6</v>
      </c>
      <c r="I1855" s="34" t="s">
        <v>6181</v>
      </c>
      <c r="J1855" s="34" t="s">
        <v>6346</v>
      </c>
      <c r="K1855" s="34" t="s">
        <v>822</v>
      </c>
      <c r="L1855" s="34" t="s">
        <v>793</v>
      </c>
      <c r="M1855" s="247">
        <v>65.199999999999989</v>
      </c>
      <c r="N1855" s="288" t="s">
        <v>722</v>
      </c>
    </row>
    <row r="1856" spans="1:1095" s="39" customFormat="1" ht="14.25" customHeight="1">
      <c r="A1856" s="8" t="s">
        <v>1722</v>
      </c>
      <c r="B1856" s="244" t="s">
        <v>2098</v>
      </c>
      <c r="C1856" s="8"/>
      <c r="D1856" s="7"/>
      <c r="E1856" s="230"/>
      <c r="F1856" s="7"/>
      <c r="G1856" s="68"/>
      <c r="H1856" s="230"/>
      <c r="I1856" s="230"/>
      <c r="J1856" s="230"/>
      <c r="K1856" s="230"/>
      <c r="L1856" s="230"/>
      <c r="M1856" s="248"/>
      <c r="N1856" s="294"/>
      <c r="O1856" s="38"/>
      <c r="P1856" s="38"/>
      <c r="Q1856" s="38"/>
      <c r="R1856" s="38"/>
      <c r="S1856" s="38"/>
      <c r="T1856" s="38"/>
      <c r="U1856" s="38"/>
      <c r="V1856" s="38"/>
      <c r="W1856" s="38"/>
      <c r="X1856" s="38"/>
      <c r="Y1856" s="38"/>
      <c r="Z1856" s="38"/>
      <c r="AA1856" s="38"/>
      <c r="AB1856" s="38"/>
      <c r="AC1856" s="38"/>
      <c r="AD1856" s="38"/>
      <c r="AE1856" s="38"/>
      <c r="AF1856" s="38"/>
      <c r="AG1856" s="38"/>
      <c r="AH1856" s="38"/>
      <c r="AI1856" s="38"/>
      <c r="AJ1856" s="38"/>
      <c r="AK1856" s="38"/>
      <c r="AL1856" s="38"/>
      <c r="AM1856" s="38"/>
      <c r="AN1856" s="38"/>
      <c r="AO1856" s="38"/>
      <c r="AP1856" s="38"/>
      <c r="AQ1856" s="38"/>
      <c r="AR1856" s="38"/>
      <c r="AS1856" s="38"/>
      <c r="AT1856" s="38"/>
      <c r="AU1856" s="38"/>
      <c r="AV1856" s="38"/>
      <c r="AW1856" s="38"/>
      <c r="AX1856" s="38"/>
      <c r="AY1856" s="38"/>
      <c r="AZ1856" s="38"/>
      <c r="BA1856" s="38"/>
      <c r="BB1856" s="38"/>
      <c r="BC1856" s="38"/>
      <c r="BD1856" s="38"/>
      <c r="BE1856" s="38"/>
      <c r="BF1856" s="38"/>
      <c r="BG1856" s="38"/>
      <c r="BH1856" s="38"/>
      <c r="BI1856" s="38"/>
      <c r="BJ1856" s="38"/>
      <c r="BK1856" s="38"/>
      <c r="BL1856" s="38"/>
      <c r="BM1856" s="38"/>
      <c r="BN1856" s="38"/>
      <c r="BO1856" s="38"/>
      <c r="BP1856" s="38"/>
      <c r="BQ1856" s="38"/>
      <c r="BR1856" s="38"/>
      <c r="BS1856" s="38"/>
      <c r="BT1856" s="38"/>
      <c r="BU1856" s="38"/>
      <c r="BV1856" s="38"/>
      <c r="BW1856" s="38"/>
      <c r="BX1856" s="38"/>
      <c r="BY1856" s="38"/>
      <c r="BZ1856" s="38"/>
      <c r="CA1856" s="38"/>
      <c r="CB1856" s="38"/>
      <c r="CC1856" s="38"/>
      <c r="CD1856" s="38"/>
      <c r="CE1856" s="38"/>
      <c r="CF1856" s="38"/>
      <c r="CG1856" s="38"/>
      <c r="CH1856" s="38"/>
      <c r="CI1856" s="38"/>
      <c r="CJ1856" s="38"/>
      <c r="CK1856" s="38"/>
      <c r="CL1856" s="38"/>
      <c r="CM1856" s="38"/>
      <c r="CN1856" s="38"/>
      <c r="CO1856" s="38"/>
      <c r="CP1856" s="38"/>
      <c r="CQ1856" s="38"/>
      <c r="CR1856" s="38"/>
      <c r="CS1856" s="38"/>
      <c r="CT1856" s="38"/>
      <c r="CU1856" s="38"/>
      <c r="CV1856" s="38"/>
      <c r="CW1856" s="38"/>
      <c r="CX1856" s="38"/>
      <c r="CY1856" s="38"/>
      <c r="CZ1856" s="38"/>
      <c r="DA1856" s="38"/>
      <c r="DB1856" s="38"/>
      <c r="DC1856" s="38"/>
      <c r="DD1856" s="38"/>
      <c r="DE1856" s="38"/>
      <c r="DF1856" s="38"/>
      <c r="DG1856" s="38"/>
      <c r="DH1856" s="38"/>
      <c r="DI1856" s="38"/>
      <c r="DJ1856" s="38"/>
      <c r="DK1856" s="38"/>
      <c r="DL1856" s="38"/>
      <c r="DM1856" s="38"/>
      <c r="DN1856" s="38"/>
      <c r="DO1856" s="38"/>
      <c r="DP1856" s="38"/>
      <c r="DQ1856" s="38"/>
      <c r="DR1856" s="38"/>
      <c r="DS1856" s="38"/>
      <c r="DT1856" s="38"/>
      <c r="DU1856" s="38"/>
      <c r="DV1856" s="38"/>
      <c r="DW1856" s="38"/>
      <c r="DX1856" s="38"/>
      <c r="DY1856" s="38"/>
      <c r="DZ1856" s="38"/>
      <c r="EA1856" s="38"/>
      <c r="EB1856" s="38"/>
      <c r="EC1856" s="38"/>
      <c r="ED1856" s="38"/>
      <c r="EE1856" s="38"/>
      <c r="EF1856" s="38"/>
      <c r="EG1856" s="38"/>
      <c r="EH1856" s="38"/>
      <c r="EI1856" s="38"/>
      <c r="EJ1856" s="38"/>
      <c r="EK1856" s="38"/>
      <c r="EL1856" s="38"/>
      <c r="EM1856" s="38"/>
      <c r="EN1856" s="38"/>
      <c r="EO1856" s="38"/>
      <c r="EP1856" s="38"/>
      <c r="EQ1856" s="38"/>
      <c r="ER1856" s="38"/>
      <c r="ES1856" s="38"/>
      <c r="ET1856" s="38"/>
      <c r="EU1856" s="38"/>
      <c r="EV1856" s="38"/>
      <c r="EW1856" s="38"/>
      <c r="EX1856" s="38"/>
      <c r="EY1856" s="38"/>
      <c r="EZ1856" s="38"/>
      <c r="FA1856" s="38"/>
      <c r="FB1856" s="38"/>
      <c r="FC1856" s="38"/>
      <c r="FD1856" s="38"/>
      <c r="FE1856" s="38"/>
      <c r="FF1856" s="38"/>
      <c r="FG1856" s="38"/>
      <c r="FH1856" s="38"/>
      <c r="FI1856" s="38"/>
      <c r="FJ1856" s="38"/>
      <c r="FK1856" s="38"/>
      <c r="FL1856" s="38"/>
      <c r="FM1856" s="38"/>
      <c r="FN1856" s="38"/>
      <c r="FO1856" s="38"/>
      <c r="FP1856" s="38"/>
      <c r="FQ1856" s="38"/>
      <c r="FR1856" s="38"/>
      <c r="FS1856" s="38"/>
      <c r="FT1856" s="38"/>
      <c r="FU1856" s="38"/>
      <c r="FV1856" s="38"/>
      <c r="FW1856" s="38"/>
      <c r="FX1856" s="38"/>
      <c r="FY1856" s="38"/>
      <c r="FZ1856" s="38"/>
      <c r="GA1856" s="38"/>
      <c r="GB1856" s="38"/>
      <c r="GC1856" s="38"/>
      <c r="GD1856" s="38"/>
      <c r="GE1856" s="38"/>
      <c r="GF1856" s="38"/>
      <c r="GG1856" s="38"/>
      <c r="GH1856" s="38"/>
      <c r="GI1856" s="38"/>
      <c r="GJ1856" s="38"/>
      <c r="GK1856" s="38"/>
      <c r="GL1856" s="38"/>
      <c r="GM1856" s="38"/>
      <c r="GN1856" s="38"/>
      <c r="GO1856" s="38"/>
      <c r="GP1856" s="38"/>
      <c r="GQ1856" s="38"/>
      <c r="GR1856" s="38"/>
      <c r="GS1856" s="38"/>
      <c r="GT1856" s="38"/>
      <c r="GU1856" s="38"/>
      <c r="GV1856" s="38"/>
      <c r="GW1856" s="38"/>
      <c r="GX1856" s="38"/>
      <c r="GY1856" s="38"/>
      <c r="GZ1856" s="38"/>
      <c r="HA1856" s="38"/>
      <c r="HB1856" s="38"/>
      <c r="HC1856" s="38"/>
      <c r="HD1856" s="38"/>
      <c r="HE1856" s="38"/>
      <c r="HF1856" s="38"/>
      <c r="HG1856" s="38"/>
      <c r="HH1856" s="38"/>
      <c r="HI1856" s="38"/>
      <c r="HJ1856" s="38"/>
      <c r="HK1856" s="38"/>
      <c r="HL1856" s="38"/>
      <c r="HM1856" s="38"/>
      <c r="HN1856" s="38"/>
      <c r="HO1856" s="38"/>
      <c r="HP1856" s="38"/>
      <c r="HQ1856" s="38"/>
      <c r="HR1856" s="38"/>
      <c r="HS1856" s="38"/>
      <c r="HT1856" s="38"/>
      <c r="HU1856" s="38"/>
      <c r="HV1856" s="38"/>
      <c r="HW1856" s="38"/>
      <c r="HX1856" s="38"/>
      <c r="HY1856" s="38"/>
      <c r="HZ1856" s="38"/>
      <c r="IA1856" s="38"/>
      <c r="IB1856" s="38"/>
      <c r="IC1856" s="38"/>
      <c r="ID1856" s="38"/>
      <c r="IE1856" s="38"/>
      <c r="IF1856" s="38"/>
      <c r="IG1856" s="38"/>
      <c r="IH1856" s="38"/>
      <c r="II1856" s="38"/>
      <c r="IJ1856" s="38"/>
      <c r="IK1856" s="38"/>
      <c r="IL1856" s="38"/>
      <c r="IM1856" s="38"/>
      <c r="IN1856" s="38"/>
      <c r="IO1856" s="38"/>
      <c r="IP1856" s="38"/>
      <c r="IQ1856" s="38"/>
      <c r="IR1856" s="38"/>
      <c r="IS1856" s="38"/>
      <c r="IT1856" s="38"/>
      <c r="IU1856" s="38"/>
      <c r="IV1856" s="38"/>
      <c r="IW1856" s="38"/>
      <c r="IX1856" s="38"/>
      <c r="IY1856" s="38"/>
      <c r="IZ1856" s="38"/>
      <c r="JA1856" s="38"/>
      <c r="JB1856" s="38"/>
      <c r="JC1856" s="38"/>
      <c r="JD1856" s="38"/>
      <c r="JE1856" s="38"/>
      <c r="JF1856" s="38"/>
      <c r="JG1856" s="38"/>
      <c r="JH1856" s="38"/>
      <c r="JI1856" s="38"/>
      <c r="JJ1856" s="38"/>
      <c r="JK1856" s="38"/>
      <c r="JL1856" s="38"/>
      <c r="JM1856" s="38"/>
      <c r="JN1856" s="38"/>
      <c r="JO1856" s="38"/>
      <c r="JP1856" s="38"/>
      <c r="JQ1856" s="38"/>
      <c r="JR1856" s="38"/>
      <c r="JS1856" s="38"/>
      <c r="JT1856" s="38"/>
      <c r="JU1856" s="38"/>
      <c r="JV1856" s="38"/>
      <c r="JW1856" s="38"/>
      <c r="JX1856" s="38"/>
      <c r="JY1856" s="38"/>
      <c r="JZ1856" s="38"/>
      <c r="KA1856" s="38"/>
      <c r="KB1856" s="38"/>
      <c r="KC1856" s="38"/>
      <c r="KD1856" s="38"/>
      <c r="KE1856" s="38"/>
      <c r="KF1856" s="38"/>
      <c r="KG1856" s="38"/>
      <c r="KH1856" s="38"/>
      <c r="KI1856" s="38"/>
      <c r="KJ1856" s="38"/>
      <c r="KK1856" s="38"/>
      <c r="KL1856" s="38"/>
      <c r="KM1856" s="38"/>
      <c r="KN1856" s="38"/>
      <c r="KO1856" s="38"/>
      <c r="KP1856" s="38"/>
      <c r="KQ1856" s="38"/>
      <c r="KR1856" s="38"/>
      <c r="KS1856" s="38"/>
      <c r="KT1856" s="38"/>
      <c r="KU1856" s="38"/>
      <c r="KV1856" s="38"/>
      <c r="KW1856" s="38"/>
      <c r="KX1856" s="38"/>
      <c r="KY1856" s="38"/>
      <c r="KZ1856" s="38"/>
      <c r="LA1856" s="38"/>
      <c r="LB1856" s="38"/>
      <c r="LC1856" s="38"/>
      <c r="LD1856" s="38"/>
      <c r="LE1856" s="38"/>
      <c r="LF1856" s="38"/>
      <c r="LG1856" s="38"/>
      <c r="LH1856" s="38"/>
      <c r="LI1856" s="38"/>
      <c r="LJ1856" s="38"/>
      <c r="LK1856" s="38"/>
      <c r="LL1856" s="38"/>
      <c r="LM1856" s="38"/>
      <c r="LN1856" s="38"/>
      <c r="LO1856" s="38"/>
      <c r="LP1856" s="38"/>
      <c r="LQ1856" s="38"/>
      <c r="LR1856" s="38"/>
      <c r="LS1856" s="38"/>
      <c r="LT1856" s="38"/>
      <c r="LU1856" s="38"/>
      <c r="LV1856" s="38"/>
      <c r="LW1856" s="38"/>
      <c r="LX1856" s="38"/>
      <c r="LY1856" s="38"/>
      <c r="LZ1856" s="38"/>
      <c r="MA1856" s="38"/>
      <c r="MB1856" s="38"/>
      <c r="MC1856" s="38"/>
      <c r="MD1856" s="38"/>
      <c r="ME1856" s="38"/>
      <c r="MF1856" s="38"/>
      <c r="MG1856" s="38"/>
      <c r="MH1856" s="38"/>
      <c r="MI1856" s="38"/>
      <c r="MJ1856" s="38"/>
      <c r="MK1856" s="38"/>
      <c r="ML1856" s="38"/>
      <c r="MM1856" s="38"/>
      <c r="MN1856" s="38"/>
      <c r="MO1856" s="38"/>
      <c r="MP1856" s="38"/>
      <c r="MQ1856" s="38"/>
      <c r="MR1856" s="38"/>
      <c r="MS1856" s="38"/>
      <c r="MT1856" s="38"/>
      <c r="MU1856" s="38"/>
      <c r="MV1856" s="38"/>
      <c r="MW1856" s="38"/>
      <c r="MX1856" s="38"/>
      <c r="MY1856" s="38"/>
      <c r="MZ1856" s="38"/>
      <c r="NA1856" s="38"/>
      <c r="NB1856" s="38"/>
      <c r="NC1856" s="38"/>
      <c r="ND1856" s="38"/>
      <c r="NE1856" s="38"/>
      <c r="NF1856" s="38"/>
      <c r="NG1856" s="38"/>
      <c r="NH1856" s="38"/>
      <c r="NI1856" s="38"/>
      <c r="NJ1856" s="38"/>
      <c r="NK1856" s="38"/>
      <c r="NL1856" s="38"/>
      <c r="NM1856" s="38"/>
      <c r="NN1856" s="38"/>
      <c r="NO1856" s="38"/>
      <c r="NP1856" s="38"/>
      <c r="NQ1856" s="38"/>
      <c r="NR1856" s="38"/>
      <c r="NS1856" s="38"/>
      <c r="NT1856" s="38"/>
      <c r="NU1856" s="38"/>
      <c r="NV1856" s="38"/>
      <c r="NW1856" s="38"/>
      <c r="NX1856" s="38"/>
      <c r="NY1856" s="38"/>
      <c r="NZ1856" s="38"/>
      <c r="OA1856" s="38"/>
      <c r="OB1856" s="38"/>
      <c r="OC1856" s="38"/>
      <c r="OD1856" s="38"/>
      <c r="OE1856" s="38"/>
      <c r="OF1856" s="38"/>
      <c r="OG1856" s="38"/>
      <c r="OH1856" s="38"/>
      <c r="OI1856" s="38"/>
      <c r="OJ1856" s="38"/>
      <c r="OK1856" s="38"/>
      <c r="OL1856" s="38"/>
      <c r="OM1856" s="38"/>
      <c r="ON1856" s="38"/>
      <c r="OO1856" s="38"/>
      <c r="OP1856" s="38"/>
      <c r="OQ1856" s="38"/>
      <c r="OR1856" s="38"/>
      <c r="OS1856" s="38"/>
      <c r="OT1856" s="38"/>
      <c r="OU1856" s="38"/>
      <c r="OV1856" s="38"/>
      <c r="OW1856" s="38"/>
      <c r="OX1856" s="38"/>
      <c r="OY1856" s="38"/>
      <c r="OZ1856" s="38"/>
      <c r="PA1856" s="38"/>
      <c r="PB1856" s="38"/>
      <c r="PC1856" s="38"/>
      <c r="PD1856" s="38"/>
      <c r="PE1856" s="38"/>
      <c r="PF1856" s="38"/>
      <c r="PG1856" s="38"/>
      <c r="PH1856" s="38"/>
      <c r="PI1856" s="38"/>
      <c r="PJ1856" s="38"/>
      <c r="PK1856" s="38"/>
      <c r="PL1856" s="38"/>
      <c r="PM1856" s="38"/>
      <c r="PN1856" s="38"/>
      <c r="PO1856" s="38"/>
      <c r="PP1856" s="38"/>
      <c r="PQ1856" s="38"/>
      <c r="PR1856" s="38"/>
      <c r="PS1856" s="38"/>
      <c r="PT1856" s="38"/>
      <c r="PU1856" s="38"/>
      <c r="PV1856" s="38"/>
      <c r="PW1856" s="38"/>
      <c r="PX1856" s="38"/>
      <c r="PY1856" s="38"/>
      <c r="PZ1856" s="38"/>
      <c r="QA1856" s="38"/>
      <c r="QB1856" s="38"/>
      <c r="QC1856" s="38"/>
      <c r="QD1856" s="38"/>
      <c r="QE1856" s="38"/>
      <c r="QF1856" s="38"/>
      <c r="QG1856" s="38"/>
      <c r="QH1856" s="38"/>
      <c r="QI1856" s="38"/>
      <c r="QJ1856" s="38"/>
      <c r="QK1856" s="38"/>
      <c r="QL1856" s="38"/>
      <c r="QM1856" s="38"/>
      <c r="QN1856" s="38"/>
      <c r="QO1856" s="38"/>
      <c r="QP1856" s="38"/>
      <c r="QQ1856" s="38"/>
      <c r="QR1856" s="38"/>
      <c r="QS1856" s="38"/>
      <c r="QT1856" s="38"/>
      <c r="QU1856" s="38"/>
      <c r="QV1856" s="38"/>
      <c r="QW1856" s="38"/>
      <c r="QX1856" s="38"/>
      <c r="QY1856" s="38"/>
      <c r="QZ1856" s="38"/>
      <c r="RA1856" s="38"/>
      <c r="RB1856" s="38"/>
      <c r="RC1856" s="38"/>
      <c r="RD1856" s="38"/>
      <c r="RE1856" s="38"/>
      <c r="RF1856" s="38"/>
      <c r="RG1856" s="38"/>
      <c r="RH1856" s="38"/>
      <c r="RI1856" s="38"/>
      <c r="RJ1856" s="38"/>
      <c r="RK1856" s="38"/>
      <c r="RL1856" s="38"/>
      <c r="RM1856" s="38"/>
      <c r="RN1856" s="38"/>
      <c r="RO1856" s="38"/>
      <c r="RP1856" s="38"/>
      <c r="RQ1856" s="38"/>
      <c r="RR1856" s="38"/>
      <c r="RS1856" s="38"/>
      <c r="RT1856" s="38"/>
      <c r="RU1856" s="38"/>
      <c r="RV1856" s="38"/>
      <c r="RW1856" s="38"/>
      <c r="RX1856" s="38"/>
      <c r="RY1856" s="38"/>
      <c r="RZ1856" s="38"/>
      <c r="SA1856" s="38"/>
      <c r="SB1856" s="38"/>
      <c r="SC1856" s="38"/>
      <c r="SD1856" s="38"/>
      <c r="SE1856" s="38"/>
      <c r="SF1856" s="38"/>
      <c r="SG1856" s="38"/>
      <c r="SH1856" s="38"/>
      <c r="SI1856" s="38"/>
      <c r="SJ1856" s="38"/>
      <c r="SK1856" s="38"/>
      <c r="SL1856" s="38"/>
      <c r="SM1856" s="38"/>
      <c r="SN1856" s="38"/>
      <c r="SO1856" s="38"/>
      <c r="SP1856" s="38"/>
      <c r="SQ1856" s="38"/>
      <c r="SR1856" s="38"/>
      <c r="SS1856" s="38"/>
      <c r="ST1856" s="38"/>
      <c r="SU1856" s="38"/>
      <c r="SV1856" s="38"/>
      <c r="SW1856" s="38"/>
      <c r="SX1856" s="38"/>
      <c r="SY1856" s="38"/>
      <c r="SZ1856" s="38"/>
      <c r="TA1856" s="38"/>
      <c r="TB1856" s="38"/>
      <c r="TC1856" s="38"/>
      <c r="TD1856" s="38"/>
      <c r="TE1856" s="38"/>
      <c r="TF1856" s="38"/>
      <c r="TG1856" s="38"/>
      <c r="TH1856" s="38"/>
      <c r="TI1856" s="38"/>
      <c r="TJ1856" s="38"/>
      <c r="TK1856" s="38"/>
      <c r="TL1856" s="38"/>
      <c r="TM1856" s="38"/>
      <c r="TN1856" s="38"/>
      <c r="TO1856" s="38"/>
      <c r="TP1856" s="38"/>
      <c r="TQ1856" s="38"/>
      <c r="TR1856" s="38"/>
      <c r="TS1856" s="38"/>
      <c r="TT1856" s="38"/>
      <c r="TU1856" s="38"/>
      <c r="TV1856" s="38"/>
      <c r="TW1856" s="38"/>
      <c r="TX1856" s="38"/>
      <c r="TY1856" s="38"/>
      <c r="TZ1856" s="38"/>
      <c r="UA1856" s="38"/>
      <c r="UB1856" s="38"/>
      <c r="UC1856" s="38"/>
      <c r="UD1856" s="38"/>
      <c r="UE1856" s="38"/>
      <c r="UF1856" s="38"/>
      <c r="UG1856" s="38"/>
      <c r="UH1856" s="38"/>
      <c r="UI1856" s="38"/>
      <c r="UJ1856" s="38"/>
      <c r="UK1856" s="38"/>
      <c r="UL1856" s="38"/>
      <c r="UM1856" s="38"/>
      <c r="UN1856" s="38"/>
      <c r="UO1856" s="38"/>
      <c r="UP1856" s="38"/>
      <c r="UQ1856" s="38"/>
      <c r="UR1856" s="38"/>
      <c r="US1856" s="38"/>
      <c r="UT1856" s="38"/>
      <c r="UU1856" s="38"/>
      <c r="UV1856" s="38"/>
      <c r="UW1856" s="38"/>
      <c r="UX1856" s="38"/>
      <c r="UY1856" s="38"/>
      <c r="UZ1856" s="38"/>
      <c r="VA1856" s="38"/>
      <c r="VB1856" s="38"/>
      <c r="VC1856" s="38"/>
      <c r="VD1856" s="38"/>
      <c r="VE1856" s="38"/>
      <c r="VF1856" s="38"/>
      <c r="VG1856" s="38"/>
      <c r="VH1856" s="38"/>
      <c r="VI1856" s="38"/>
      <c r="VJ1856" s="38"/>
      <c r="VK1856" s="38"/>
      <c r="VL1856" s="38"/>
      <c r="VM1856" s="38"/>
      <c r="VN1856" s="38"/>
      <c r="VO1856" s="38"/>
      <c r="VP1856" s="38"/>
      <c r="VQ1856" s="38"/>
      <c r="VR1856" s="38"/>
      <c r="VS1856" s="38"/>
      <c r="VT1856" s="38"/>
      <c r="VU1856" s="38"/>
      <c r="VV1856" s="38"/>
      <c r="VW1856" s="38"/>
      <c r="VX1856" s="38"/>
      <c r="VY1856" s="38"/>
      <c r="VZ1856" s="38"/>
      <c r="WA1856" s="38"/>
      <c r="WB1856" s="38"/>
      <c r="WC1856" s="38"/>
      <c r="WD1856" s="38"/>
      <c r="WE1856" s="38"/>
      <c r="WF1856" s="38"/>
      <c r="WG1856" s="38"/>
      <c r="WH1856" s="38"/>
      <c r="WI1856" s="38"/>
      <c r="WJ1856" s="38"/>
      <c r="WK1856" s="38"/>
      <c r="WL1856" s="38"/>
      <c r="WM1856" s="38"/>
      <c r="WN1856" s="38"/>
      <c r="WO1856" s="38"/>
      <c r="WP1856" s="38"/>
      <c r="WQ1856" s="38"/>
      <c r="WR1856" s="38"/>
      <c r="WS1856" s="38"/>
      <c r="WT1856" s="38"/>
      <c r="WU1856" s="38"/>
      <c r="WV1856" s="38"/>
      <c r="WW1856" s="38"/>
      <c r="WX1856" s="38"/>
      <c r="WY1856" s="38"/>
      <c r="WZ1856" s="38"/>
      <c r="XA1856" s="38"/>
      <c r="XB1856" s="38"/>
      <c r="XC1856" s="38"/>
      <c r="XD1856" s="38"/>
      <c r="XE1856" s="38"/>
      <c r="XF1856" s="38"/>
      <c r="XG1856" s="38"/>
      <c r="XH1856" s="38"/>
      <c r="XI1856" s="38"/>
      <c r="XJ1856" s="38"/>
      <c r="XK1856" s="38"/>
      <c r="XL1856" s="38"/>
      <c r="XM1856" s="38"/>
      <c r="XN1856" s="38"/>
      <c r="XO1856" s="38"/>
      <c r="XP1856" s="38"/>
      <c r="XQ1856" s="38"/>
      <c r="XR1856" s="38"/>
      <c r="XS1856" s="38"/>
      <c r="XT1856" s="38"/>
      <c r="XU1856" s="38"/>
      <c r="XV1856" s="38"/>
      <c r="XW1856" s="38"/>
      <c r="XX1856" s="38"/>
      <c r="XY1856" s="38"/>
      <c r="XZ1856" s="38"/>
      <c r="YA1856" s="38"/>
      <c r="YB1856" s="38"/>
      <c r="YC1856" s="38"/>
      <c r="YD1856" s="38"/>
      <c r="YE1856" s="38"/>
      <c r="YF1856" s="38"/>
      <c r="YG1856" s="38"/>
      <c r="YH1856" s="38"/>
      <c r="YI1856" s="38"/>
      <c r="YJ1856" s="38"/>
      <c r="YK1856" s="38"/>
      <c r="YL1856" s="38"/>
      <c r="YM1856" s="38"/>
      <c r="YN1856" s="38"/>
      <c r="YO1856" s="38"/>
      <c r="YP1856" s="38"/>
      <c r="YQ1856" s="38"/>
      <c r="YR1856" s="38"/>
      <c r="YS1856" s="38"/>
      <c r="YT1856" s="38"/>
      <c r="YU1856" s="38"/>
      <c r="YV1856" s="38"/>
      <c r="YW1856" s="38"/>
      <c r="YX1856" s="38"/>
      <c r="YY1856" s="38"/>
      <c r="YZ1856" s="38"/>
      <c r="ZA1856" s="38"/>
      <c r="ZB1856" s="38"/>
      <c r="ZC1856" s="38"/>
      <c r="ZD1856" s="38"/>
      <c r="ZE1856" s="38"/>
      <c r="ZF1856" s="38"/>
      <c r="ZG1856" s="38"/>
      <c r="ZH1856" s="38"/>
      <c r="ZI1856" s="38"/>
      <c r="ZJ1856" s="38"/>
      <c r="ZK1856" s="38"/>
      <c r="ZL1856" s="38"/>
      <c r="ZM1856" s="38"/>
      <c r="ZN1856" s="38"/>
      <c r="ZO1856" s="38"/>
      <c r="ZP1856" s="38"/>
      <c r="ZQ1856" s="38"/>
      <c r="ZR1856" s="38"/>
      <c r="ZS1856" s="38"/>
      <c r="ZT1856" s="38"/>
      <c r="ZU1856" s="38"/>
      <c r="ZV1856" s="38"/>
      <c r="ZW1856" s="38"/>
      <c r="ZX1856" s="38"/>
      <c r="ZY1856" s="38"/>
      <c r="ZZ1856" s="38"/>
      <c r="AAA1856" s="38"/>
      <c r="AAB1856" s="38"/>
      <c r="AAC1856" s="38"/>
      <c r="AAD1856" s="38"/>
      <c r="AAE1856" s="38"/>
      <c r="AAF1856" s="38"/>
      <c r="AAG1856" s="38"/>
      <c r="AAH1856" s="38"/>
      <c r="AAI1856" s="38"/>
      <c r="AAJ1856" s="38"/>
      <c r="AAK1856" s="38"/>
      <c r="AAL1856" s="38"/>
      <c r="AAM1856" s="38"/>
      <c r="AAN1856" s="38"/>
      <c r="AAO1856" s="38"/>
      <c r="AAP1856" s="38"/>
      <c r="AAQ1856" s="38"/>
      <c r="AAR1856" s="38"/>
      <c r="AAS1856" s="38"/>
      <c r="AAT1856" s="38"/>
      <c r="AAU1856" s="38"/>
      <c r="AAV1856" s="38"/>
      <c r="AAW1856" s="38"/>
      <c r="AAX1856" s="38"/>
      <c r="AAY1856" s="38"/>
      <c r="AAZ1856" s="38"/>
      <c r="ABA1856" s="38"/>
      <c r="ABB1856" s="38"/>
      <c r="ABC1856" s="38"/>
      <c r="ABD1856" s="38"/>
      <c r="ABE1856" s="38"/>
      <c r="ABF1856" s="38"/>
      <c r="ABG1856" s="38"/>
      <c r="ABH1856" s="38"/>
      <c r="ABI1856" s="38"/>
      <c r="ABJ1856" s="38"/>
      <c r="ABK1856" s="38"/>
      <c r="ABL1856" s="38"/>
      <c r="ABM1856" s="38"/>
      <c r="ABN1856" s="38"/>
      <c r="ABO1856" s="38"/>
      <c r="ABP1856" s="38"/>
      <c r="ABQ1856" s="38"/>
      <c r="ABR1856" s="38"/>
      <c r="ABS1856" s="38"/>
      <c r="ABT1856" s="38"/>
      <c r="ABU1856" s="38"/>
      <c r="ABV1856" s="38"/>
      <c r="ABW1856" s="38"/>
      <c r="ABX1856" s="38"/>
      <c r="ABY1856" s="38"/>
      <c r="ABZ1856" s="38"/>
      <c r="ACA1856" s="38"/>
      <c r="ACB1856" s="38"/>
      <c r="ACC1856" s="38"/>
      <c r="ACD1856" s="38"/>
      <c r="ACE1856" s="38"/>
      <c r="ACF1856" s="38"/>
      <c r="ACG1856" s="38"/>
      <c r="ACH1856" s="38"/>
      <c r="ACI1856" s="38"/>
      <c r="ACJ1856" s="38"/>
      <c r="ACK1856" s="38"/>
      <c r="ACL1856" s="38"/>
      <c r="ACM1856" s="38"/>
      <c r="ACN1856" s="38"/>
      <c r="ACO1856" s="38"/>
      <c r="ACP1856" s="38"/>
      <c r="ACQ1856" s="38"/>
      <c r="ACR1856" s="38"/>
      <c r="ACS1856" s="38"/>
      <c r="ACT1856" s="38"/>
      <c r="ACU1856" s="38"/>
      <c r="ACV1856" s="38"/>
      <c r="ACW1856" s="38"/>
      <c r="ACX1856" s="38"/>
      <c r="ACY1856" s="38"/>
      <c r="ACZ1856" s="38"/>
      <c r="ADA1856" s="38"/>
      <c r="ADB1856" s="38"/>
      <c r="ADC1856" s="38"/>
      <c r="ADD1856" s="38"/>
      <c r="ADE1856" s="38"/>
      <c r="ADF1856" s="38"/>
      <c r="ADG1856" s="38"/>
      <c r="ADH1856" s="38"/>
      <c r="ADI1856" s="38"/>
      <c r="ADJ1856" s="38"/>
      <c r="ADK1856" s="38"/>
      <c r="ADL1856" s="38"/>
      <c r="ADM1856" s="38"/>
      <c r="ADN1856" s="38"/>
      <c r="ADO1856" s="38"/>
      <c r="ADP1856" s="38"/>
      <c r="ADQ1856" s="38"/>
      <c r="ADR1856" s="38"/>
      <c r="ADS1856" s="38"/>
      <c r="ADT1856" s="38"/>
      <c r="ADU1856" s="38"/>
      <c r="ADV1856" s="38"/>
      <c r="ADW1856" s="38"/>
      <c r="ADX1856" s="38"/>
      <c r="ADY1856" s="38"/>
      <c r="ADZ1856" s="38"/>
      <c r="AEA1856" s="38"/>
      <c r="AEB1856" s="38"/>
      <c r="AEC1856" s="38"/>
      <c r="AED1856" s="38"/>
      <c r="AEE1856" s="38"/>
      <c r="AEF1856" s="38"/>
      <c r="AEG1856" s="38"/>
      <c r="AEH1856" s="38"/>
      <c r="AEI1856" s="38"/>
      <c r="AEJ1856" s="38"/>
      <c r="AEK1856" s="38"/>
      <c r="AEL1856" s="38"/>
      <c r="AEM1856" s="38"/>
      <c r="AEN1856" s="38"/>
      <c r="AEO1856" s="38"/>
      <c r="AEP1856" s="38"/>
      <c r="AEQ1856" s="38"/>
      <c r="AER1856" s="38"/>
      <c r="AES1856" s="38"/>
      <c r="AET1856" s="38"/>
      <c r="AEU1856" s="38"/>
      <c r="AEV1856" s="38"/>
      <c r="AEW1856" s="38"/>
      <c r="AEX1856" s="38"/>
      <c r="AEY1856" s="38"/>
      <c r="AEZ1856" s="38"/>
      <c r="AFA1856" s="38"/>
      <c r="AFB1856" s="38"/>
      <c r="AFC1856" s="38"/>
      <c r="AFD1856" s="38"/>
      <c r="AFE1856" s="38"/>
      <c r="AFF1856" s="38"/>
      <c r="AFG1856" s="38"/>
      <c r="AFH1856" s="38"/>
      <c r="AFI1856" s="38"/>
      <c r="AFJ1856" s="38"/>
      <c r="AFK1856" s="38"/>
      <c r="AFL1856" s="38"/>
      <c r="AFM1856" s="38"/>
      <c r="AFN1856" s="38"/>
      <c r="AFO1856" s="38"/>
      <c r="AFP1856" s="38"/>
      <c r="AFQ1856" s="38"/>
      <c r="AFR1856" s="38"/>
      <c r="AFS1856" s="38"/>
      <c r="AFT1856" s="38"/>
      <c r="AFU1856" s="38"/>
      <c r="AFV1856" s="38"/>
      <c r="AFW1856" s="38"/>
      <c r="AFX1856" s="38"/>
      <c r="AFY1856" s="38"/>
      <c r="AFZ1856" s="38"/>
      <c r="AGA1856" s="38"/>
      <c r="AGB1856" s="38"/>
      <c r="AGC1856" s="38"/>
      <c r="AGD1856" s="38"/>
      <c r="AGE1856" s="38"/>
      <c r="AGF1856" s="38"/>
      <c r="AGG1856" s="38"/>
      <c r="AGH1856" s="38"/>
      <c r="AGI1856" s="38"/>
      <c r="AGJ1856" s="38"/>
      <c r="AGK1856" s="38"/>
      <c r="AGL1856" s="38"/>
      <c r="AGM1856" s="38"/>
      <c r="AGN1856" s="38"/>
      <c r="AGO1856" s="38"/>
      <c r="AGP1856" s="38"/>
      <c r="AGQ1856" s="38"/>
      <c r="AGR1856" s="38"/>
      <c r="AGS1856" s="38"/>
      <c r="AGT1856" s="38"/>
      <c r="AGU1856" s="38"/>
      <c r="AGV1856" s="38"/>
      <c r="AGW1856" s="38"/>
      <c r="AGX1856" s="38"/>
      <c r="AGY1856" s="38"/>
      <c r="AGZ1856" s="38"/>
      <c r="AHA1856" s="38"/>
      <c r="AHB1856" s="38"/>
      <c r="AHC1856" s="38"/>
      <c r="AHD1856" s="38"/>
      <c r="AHE1856" s="38"/>
      <c r="AHF1856" s="38"/>
      <c r="AHG1856" s="38"/>
      <c r="AHH1856" s="38"/>
      <c r="AHI1856" s="38"/>
      <c r="AHJ1856" s="38"/>
      <c r="AHK1856" s="38"/>
      <c r="AHL1856" s="38"/>
      <c r="AHM1856" s="38"/>
      <c r="AHN1856" s="38"/>
      <c r="AHO1856" s="38"/>
      <c r="AHP1856" s="38"/>
      <c r="AHQ1856" s="38"/>
      <c r="AHR1856" s="38"/>
      <c r="AHS1856" s="38"/>
      <c r="AHT1856" s="38"/>
      <c r="AHU1856" s="38"/>
      <c r="AHV1856" s="38"/>
      <c r="AHW1856" s="38"/>
      <c r="AHX1856" s="38"/>
      <c r="AHY1856" s="38"/>
      <c r="AHZ1856" s="38"/>
      <c r="AIA1856" s="38"/>
      <c r="AIB1856" s="38"/>
      <c r="AIC1856" s="38"/>
      <c r="AID1856" s="38"/>
      <c r="AIE1856" s="38"/>
      <c r="AIF1856" s="38"/>
      <c r="AIG1856" s="38"/>
      <c r="AIH1856" s="38"/>
      <c r="AII1856" s="38"/>
      <c r="AIJ1856" s="38"/>
      <c r="AIK1856" s="38"/>
      <c r="AIL1856" s="38"/>
      <c r="AIM1856" s="38"/>
      <c r="AIN1856" s="38"/>
      <c r="AIO1856" s="38"/>
      <c r="AIP1856" s="38"/>
      <c r="AIQ1856" s="38"/>
      <c r="AIR1856" s="38"/>
      <c r="AIS1856" s="38"/>
      <c r="AIT1856" s="38"/>
      <c r="AIU1856" s="38"/>
      <c r="AIV1856" s="38"/>
      <c r="AIW1856" s="38"/>
      <c r="AIX1856" s="38"/>
      <c r="AIY1856" s="38"/>
      <c r="AIZ1856" s="38"/>
      <c r="AJA1856" s="38"/>
      <c r="AJB1856" s="38"/>
      <c r="AJC1856" s="38"/>
      <c r="AJD1856" s="38"/>
      <c r="AJE1856" s="38"/>
      <c r="AJF1856" s="38"/>
      <c r="AJG1856" s="38"/>
      <c r="AJH1856" s="38"/>
      <c r="AJI1856" s="38"/>
      <c r="AJJ1856" s="38"/>
      <c r="AJK1856" s="38"/>
      <c r="AJL1856" s="38"/>
      <c r="AJM1856" s="38"/>
      <c r="AJN1856" s="38"/>
      <c r="AJO1856" s="38"/>
      <c r="AJP1856" s="38"/>
      <c r="AJQ1856" s="38"/>
      <c r="AJR1856" s="38"/>
      <c r="AJS1856" s="38"/>
      <c r="AJT1856" s="38"/>
      <c r="AJU1856" s="38"/>
      <c r="AJV1856" s="38"/>
      <c r="AJW1856" s="38"/>
      <c r="AJX1856" s="38"/>
      <c r="AJY1856" s="38"/>
      <c r="AJZ1856" s="38"/>
      <c r="AKA1856" s="38"/>
      <c r="AKB1856" s="38"/>
      <c r="AKC1856" s="38"/>
      <c r="AKD1856" s="38"/>
      <c r="AKE1856" s="38"/>
      <c r="AKF1856" s="38"/>
      <c r="AKG1856" s="38"/>
      <c r="AKH1856" s="38"/>
      <c r="AKI1856" s="38"/>
      <c r="AKJ1856" s="38"/>
      <c r="AKK1856" s="38"/>
      <c r="AKL1856" s="38"/>
      <c r="AKM1856" s="38"/>
      <c r="AKN1856" s="38"/>
      <c r="AKO1856" s="38"/>
      <c r="AKP1856" s="38"/>
      <c r="AKQ1856" s="38"/>
      <c r="AKR1856" s="38"/>
      <c r="AKS1856" s="38"/>
      <c r="AKT1856" s="38"/>
      <c r="AKU1856" s="38"/>
      <c r="AKV1856" s="38"/>
      <c r="AKW1856" s="38"/>
      <c r="AKX1856" s="38"/>
      <c r="AKY1856" s="38"/>
      <c r="AKZ1856" s="38"/>
      <c r="ALA1856" s="38"/>
      <c r="ALB1856" s="38"/>
      <c r="ALC1856" s="38"/>
      <c r="ALD1856" s="38"/>
      <c r="ALE1856" s="38"/>
      <c r="ALF1856" s="38"/>
      <c r="ALG1856" s="38"/>
      <c r="ALH1856" s="38"/>
      <c r="ALI1856" s="38"/>
      <c r="ALJ1856" s="38"/>
      <c r="ALK1856" s="38"/>
      <c r="ALL1856" s="38"/>
      <c r="ALM1856" s="38"/>
      <c r="ALN1856" s="38"/>
      <c r="ALO1856" s="38"/>
      <c r="ALP1856" s="38"/>
      <c r="ALQ1856" s="38"/>
      <c r="ALR1856" s="38"/>
      <c r="ALS1856" s="38"/>
      <c r="ALT1856" s="38"/>
      <c r="ALU1856" s="38"/>
      <c r="ALV1856" s="38"/>
      <c r="ALW1856" s="38"/>
      <c r="ALX1856" s="38"/>
      <c r="ALY1856" s="38"/>
      <c r="ALZ1856" s="38"/>
      <c r="AMA1856" s="38"/>
      <c r="AMB1856" s="38"/>
      <c r="AMC1856" s="38"/>
      <c r="AMD1856" s="38"/>
      <c r="AME1856" s="38"/>
      <c r="AMF1856" s="38"/>
      <c r="AMG1856" s="38"/>
      <c r="AMH1856" s="38"/>
      <c r="AMI1856" s="38"/>
      <c r="AMJ1856" s="38"/>
      <c r="AMK1856" s="38"/>
      <c r="AML1856" s="38"/>
      <c r="AMM1856" s="38"/>
      <c r="AMN1856" s="38"/>
      <c r="AMO1856" s="38"/>
      <c r="AMP1856" s="38"/>
      <c r="AMQ1856" s="38"/>
      <c r="AMR1856" s="38"/>
      <c r="AMS1856" s="38"/>
      <c r="AMT1856" s="38"/>
      <c r="AMU1856" s="38"/>
      <c r="AMV1856" s="38"/>
      <c r="AMW1856" s="38"/>
      <c r="AMX1856" s="38"/>
      <c r="AMY1856" s="38"/>
      <c r="AMZ1856" s="38"/>
      <c r="ANA1856" s="38"/>
      <c r="ANB1856" s="38"/>
      <c r="ANC1856" s="38"/>
      <c r="AND1856" s="38"/>
      <c r="ANE1856" s="38"/>
      <c r="ANF1856" s="38"/>
      <c r="ANG1856" s="38"/>
      <c r="ANH1856" s="38"/>
      <c r="ANI1856" s="38"/>
      <c r="ANJ1856" s="38"/>
      <c r="ANK1856" s="38"/>
      <c r="ANL1856" s="38"/>
      <c r="ANM1856" s="38"/>
      <c r="ANN1856" s="38"/>
      <c r="ANO1856" s="38"/>
      <c r="ANP1856" s="38"/>
      <c r="ANQ1856" s="38"/>
      <c r="ANR1856" s="38"/>
      <c r="ANS1856" s="38"/>
      <c r="ANT1856" s="38"/>
      <c r="ANU1856" s="38"/>
      <c r="ANV1856" s="38"/>
      <c r="ANW1856" s="38"/>
      <c r="ANX1856" s="38"/>
      <c r="ANY1856" s="38"/>
      <c r="ANZ1856" s="38"/>
      <c r="AOA1856" s="38"/>
      <c r="AOB1856" s="38"/>
      <c r="AOC1856" s="38"/>
      <c r="AOD1856" s="38"/>
      <c r="AOE1856" s="38"/>
      <c r="AOF1856" s="38"/>
      <c r="AOG1856" s="38"/>
      <c r="AOH1856" s="38"/>
      <c r="AOI1856" s="38"/>
      <c r="AOJ1856" s="38"/>
      <c r="AOK1856" s="38"/>
      <c r="AOL1856" s="38"/>
      <c r="AOM1856" s="38"/>
      <c r="AON1856" s="38"/>
      <c r="AOO1856" s="38"/>
      <c r="AOP1856" s="38"/>
      <c r="AOQ1856" s="38"/>
      <c r="AOR1856" s="38"/>
      <c r="AOS1856" s="38"/>
      <c r="AOT1856" s="38"/>
      <c r="AOU1856" s="38"/>
      <c r="AOV1856" s="38"/>
      <c r="AOW1856" s="38"/>
      <c r="AOX1856" s="38"/>
      <c r="AOY1856" s="38"/>
      <c r="AOZ1856" s="38"/>
      <c r="APA1856" s="38"/>
      <c r="APB1856" s="38"/>
      <c r="APC1856" s="38"/>
    </row>
    <row r="1857" spans="1:1095" s="36" customFormat="1" ht="14.25" customHeight="1">
      <c r="A1857" s="3" t="s">
        <v>1722</v>
      </c>
      <c r="B1857" s="36" t="s">
        <v>2099</v>
      </c>
      <c r="C1857" s="10">
        <v>4058075780385</v>
      </c>
      <c r="D1857" s="224">
        <v>4058075780385</v>
      </c>
      <c r="E1857" s="245" t="s">
        <v>1686</v>
      </c>
      <c r="F1857" s="246"/>
      <c r="G1857" s="66" t="str">
        <f>HYPERLINK("https://ledvance.com/pt/product-datasheet/219094/209757","Ficha de Produto")</f>
        <v>Ficha de Produto</v>
      </c>
      <c r="H1857" s="217">
        <v>4</v>
      </c>
      <c r="I1857" s="34" t="s">
        <v>6348</v>
      </c>
      <c r="J1857" s="34" t="s">
        <v>940</v>
      </c>
      <c r="K1857" s="34" t="s">
        <v>829</v>
      </c>
      <c r="L1857" s="34" t="s">
        <v>765</v>
      </c>
      <c r="M1857" s="247">
        <v>182.60000000000002</v>
      </c>
      <c r="N1857" s="288" t="s">
        <v>722</v>
      </c>
    </row>
    <row r="1858" spans="1:1095" s="36" customFormat="1" ht="14.25" customHeight="1">
      <c r="A1858" s="3" t="s">
        <v>1722</v>
      </c>
      <c r="B1858" s="36" t="s">
        <v>2100</v>
      </c>
      <c r="C1858" s="10">
        <v>4058075780408</v>
      </c>
      <c r="D1858" s="224">
        <v>4058075780408</v>
      </c>
      <c r="E1858" s="245" t="s">
        <v>1687</v>
      </c>
      <c r="F1858" s="246"/>
      <c r="G1858" s="66" t="str">
        <f>HYPERLINK("https://ledvance.com/pt/product-datasheet/219094/209760","Ficha de Produto")</f>
        <v>Ficha de Produto</v>
      </c>
      <c r="H1858" s="217">
        <v>4</v>
      </c>
      <c r="I1858" s="34" t="s">
        <v>925</v>
      </c>
      <c r="J1858" s="34" t="s">
        <v>900</v>
      </c>
      <c r="K1858" s="34" t="s">
        <v>829</v>
      </c>
      <c r="L1858" s="34" t="s">
        <v>765</v>
      </c>
      <c r="M1858" s="247">
        <v>240.20000000000002</v>
      </c>
      <c r="N1858" s="288" t="s">
        <v>722</v>
      </c>
    </row>
    <row r="1859" spans="1:1095" s="36" customFormat="1" ht="14.25" customHeight="1">
      <c r="A1859" s="3" t="s">
        <v>1722</v>
      </c>
      <c r="B1859" s="36" t="s">
        <v>2101</v>
      </c>
      <c r="C1859" s="10">
        <v>4058075780422</v>
      </c>
      <c r="D1859" s="224">
        <v>4058075780422</v>
      </c>
      <c r="E1859" s="245" t="s">
        <v>1688</v>
      </c>
      <c r="F1859" s="246"/>
      <c r="G1859" s="66" t="str">
        <f>HYPERLINK("https://ledvance.com/pt/product-datasheet/219094/209763","Ficha de Produto")</f>
        <v>Ficha de Produto</v>
      </c>
      <c r="H1859" s="217">
        <v>4</v>
      </c>
      <c r="I1859" s="34" t="s">
        <v>935</v>
      </c>
      <c r="J1859" s="34" t="s">
        <v>1090</v>
      </c>
      <c r="K1859" s="34" t="s">
        <v>829</v>
      </c>
      <c r="L1859" s="34" t="s">
        <v>765</v>
      </c>
      <c r="M1859" s="247">
        <v>264.2</v>
      </c>
      <c r="N1859" s="288" t="s">
        <v>722</v>
      </c>
    </row>
    <row r="1860" spans="1:1095" s="39" customFormat="1" ht="14.25" customHeight="1">
      <c r="A1860" s="8" t="s">
        <v>1722</v>
      </c>
      <c r="B1860" s="244" t="s">
        <v>2102</v>
      </c>
      <c r="C1860" s="8"/>
      <c r="D1860" s="7"/>
      <c r="E1860" s="230"/>
      <c r="F1860" s="7"/>
      <c r="G1860" s="68"/>
      <c r="H1860" s="230"/>
      <c r="I1860" s="230"/>
      <c r="J1860" s="230"/>
      <c r="K1860" s="230"/>
      <c r="L1860" s="230"/>
      <c r="M1860" s="248"/>
      <c r="N1860" s="292"/>
      <c r="O1860" s="38"/>
      <c r="P1860" s="38"/>
      <c r="Q1860" s="38"/>
      <c r="R1860" s="38"/>
      <c r="S1860" s="38"/>
      <c r="T1860" s="38"/>
      <c r="U1860" s="38"/>
      <c r="V1860" s="38"/>
      <c r="W1860" s="38"/>
      <c r="X1860" s="38"/>
      <c r="Y1860" s="38"/>
      <c r="Z1860" s="38"/>
      <c r="AA1860" s="38"/>
      <c r="AB1860" s="38"/>
      <c r="AC1860" s="38"/>
      <c r="AD1860" s="38"/>
      <c r="AE1860" s="38"/>
      <c r="AF1860" s="38"/>
      <c r="AG1860" s="38"/>
      <c r="AH1860" s="38"/>
      <c r="AI1860" s="38"/>
      <c r="AJ1860" s="38"/>
      <c r="AK1860" s="38"/>
      <c r="AL1860" s="38"/>
      <c r="AM1860" s="38"/>
      <c r="AN1860" s="38"/>
      <c r="AO1860" s="38"/>
      <c r="AP1860" s="38"/>
      <c r="AQ1860" s="38"/>
      <c r="AR1860" s="38"/>
      <c r="AS1860" s="38"/>
      <c r="AT1860" s="38"/>
      <c r="AU1860" s="38"/>
      <c r="AV1860" s="38"/>
      <c r="AW1860" s="38"/>
      <c r="AX1860" s="38"/>
      <c r="AY1860" s="38"/>
      <c r="AZ1860" s="38"/>
      <c r="BA1860" s="38"/>
      <c r="BB1860" s="38"/>
      <c r="BC1860" s="38"/>
      <c r="BD1860" s="38"/>
      <c r="BE1860" s="38"/>
      <c r="BF1860" s="38"/>
      <c r="BG1860" s="38"/>
      <c r="BH1860" s="38"/>
      <c r="BI1860" s="38"/>
      <c r="BJ1860" s="38"/>
      <c r="BK1860" s="38"/>
      <c r="BL1860" s="38"/>
      <c r="BM1860" s="38"/>
      <c r="BN1860" s="38"/>
      <c r="BO1860" s="38"/>
      <c r="BP1860" s="38"/>
      <c r="BQ1860" s="38"/>
      <c r="BR1860" s="38"/>
      <c r="BS1860" s="38"/>
      <c r="BT1860" s="38"/>
      <c r="BU1860" s="38"/>
      <c r="BV1860" s="38"/>
      <c r="BW1860" s="38"/>
      <c r="BX1860" s="38"/>
      <c r="BY1860" s="38"/>
      <c r="BZ1860" s="38"/>
      <c r="CA1860" s="38"/>
      <c r="CB1860" s="38"/>
      <c r="CC1860" s="38"/>
      <c r="CD1860" s="38"/>
      <c r="CE1860" s="38"/>
      <c r="CF1860" s="38"/>
      <c r="CG1860" s="38"/>
      <c r="CH1860" s="38"/>
      <c r="CI1860" s="38"/>
      <c r="CJ1860" s="38"/>
      <c r="CK1860" s="38"/>
      <c r="CL1860" s="38"/>
      <c r="CM1860" s="38"/>
      <c r="CN1860" s="38"/>
      <c r="CO1860" s="38"/>
      <c r="CP1860" s="38"/>
      <c r="CQ1860" s="38"/>
      <c r="CR1860" s="38"/>
      <c r="CS1860" s="38"/>
      <c r="CT1860" s="38"/>
      <c r="CU1860" s="38"/>
      <c r="CV1860" s="38"/>
      <c r="CW1860" s="38"/>
      <c r="CX1860" s="38"/>
      <c r="CY1860" s="38"/>
      <c r="CZ1860" s="38"/>
      <c r="DA1860" s="38"/>
      <c r="DB1860" s="38"/>
      <c r="DC1860" s="38"/>
      <c r="DD1860" s="38"/>
      <c r="DE1860" s="38"/>
      <c r="DF1860" s="38"/>
      <c r="DG1860" s="38"/>
      <c r="DH1860" s="38"/>
      <c r="DI1860" s="38"/>
      <c r="DJ1860" s="38"/>
      <c r="DK1860" s="38"/>
      <c r="DL1860" s="38"/>
      <c r="DM1860" s="38"/>
      <c r="DN1860" s="38"/>
      <c r="DO1860" s="38"/>
      <c r="DP1860" s="38"/>
      <c r="DQ1860" s="38"/>
      <c r="DR1860" s="38"/>
      <c r="DS1860" s="38"/>
      <c r="DT1860" s="38"/>
      <c r="DU1860" s="38"/>
      <c r="DV1860" s="38"/>
      <c r="DW1860" s="38"/>
      <c r="DX1860" s="38"/>
      <c r="DY1860" s="38"/>
      <c r="DZ1860" s="38"/>
      <c r="EA1860" s="38"/>
      <c r="EB1860" s="38"/>
      <c r="EC1860" s="38"/>
      <c r="ED1860" s="38"/>
      <c r="EE1860" s="38"/>
      <c r="EF1860" s="38"/>
      <c r="EG1860" s="38"/>
      <c r="EH1860" s="38"/>
      <c r="EI1860" s="38"/>
      <c r="EJ1860" s="38"/>
      <c r="EK1860" s="38"/>
      <c r="EL1860" s="38"/>
      <c r="EM1860" s="38"/>
      <c r="EN1860" s="38"/>
      <c r="EO1860" s="38"/>
      <c r="EP1860" s="38"/>
      <c r="EQ1860" s="38"/>
      <c r="ER1860" s="38"/>
      <c r="ES1860" s="38"/>
      <c r="ET1860" s="38"/>
      <c r="EU1860" s="38"/>
      <c r="EV1860" s="38"/>
      <c r="EW1860" s="38"/>
      <c r="EX1860" s="38"/>
      <c r="EY1860" s="38"/>
      <c r="EZ1860" s="38"/>
      <c r="FA1860" s="38"/>
      <c r="FB1860" s="38"/>
      <c r="FC1860" s="38"/>
      <c r="FD1860" s="38"/>
      <c r="FE1860" s="38"/>
      <c r="FF1860" s="38"/>
      <c r="FG1860" s="38"/>
      <c r="FH1860" s="38"/>
      <c r="FI1860" s="38"/>
      <c r="FJ1860" s="38"/>
      <c r="FK1860" s="38"/>
      <c r="FL1860" s="38"/>
      <c r="FM1860" s="38"/>
      <c r="FN1860" s="38"/>
      <c r="FO1860" s="38"/>
      <c r="FP1860" s="38"/>
      <c r="FQ1860" s="38"/>
      <c r="FR1860" s="38"/>
      <c r="FS1860" s="38"/>
      <c r="FT1860" s="38"/>
      <c r="FU1860" s="38"/>
      <c r="FV1860" s="38"/>
      <c r="FW1860" s="38"/>
      <c r="FX1860" s="38"/>
      <c r="FY1860" s="38"/>
      <c r="FZ1860" s="38"/>
      <c r="GA1860" s="38"/>
      <c r="GB1860" s="38"/>
      <c r="GC1860" s="38"/>
      <c r="GD1860" s="38"/>
      <c r="GE1860" s="38"/>
      <c r="GF1860" s="38"/>
      <c r="GG1860" s="38"/>
      <c r="GH1860" s="38"/>
      <c r="GI1860" s="38"/>
      <c r="GJ1860" s="38"/>
      <c r="GK1860" s="38"/>
      <c r="GL1860" s="38"/>
      <c r="GM1860" s="38"/>
      <c r="GN1860" s="38"/>
      <c r="GO1860" s="38"/>
      <c r="GP1860" s="38"/>
      <c r="GQ1860" s="38"/>
      <c r="GR1860" s="38"/>
      <c r="GS1860" s="38"/>
      <c r="GT1860" s="38"/>
      <c r="GU1860" s="38"/>
      <c r="GV1860" s="38"/>
      <c r="GW1860" s="38"/>
      <c r="GX1860" s="38"/>
      <c r="GY1860" s="38"/>
      <c r="GZ1860" s="38"/>
      <c r="HA1860" s="38"/>
      <c r="HB1860" s="38"/>
      <c r="HC1860" s="38"/>
      <c r="HD1860" s="38"/>
      <c r="HE1860" s="38"/>
      <c r="HF1860" s="38"/>
      <c r="HG1860" s="38"/>
      <c r="HH1860" s="38"/>
      <c r="HI1860" s="38"/>
      <c r="HJ1860" s="38"/>
      <c r="HK1860" s="38"/>
      <c r="HL1860" s="38"/>
      <c r="HM1860" s="38"/>
      <c r="HN1860" s="38"/>
      <c r="HO1860" s="38"/>
      <c r="HP1860" s="38"/>
      <c r="HQ1860" s="38"/>
      <c r="HR1860" s="38"/>
      <c r="HS1860" s="38"/>
      <c r="HT1860" s="38"/>
      <c r="HU1860" s="38"/>
      <c r="HV1860" s="38"/>
      <c r="HW1860" s="38"/>
      <c r="HX1860" s="38"/>
      <c r="HY1860" s="38"/>
      <c r="HZ1860" s="38"/>
      <c r="IA1860" s="38"/>
      <c r="IB1860" s="38"/>
      <c r="IC1860" s="38"/>
      <c r="ID1860" s="38"/>
      <c r="IE1860" s="38"/>
      <c r="IF1860" s="38"/>
      <c r="IG1860" s="38"/>
      <c r="IH1860" s="38"/>
      <c r="II1860" s="38"/>
      <c r="IJ1860" s="38"/>
      <c r="IK1860" s="38"/>
      <c r="IL1860" s="38"/>
      <c r="IM1860" s="38"/>
      <c r="IN1860" s="38"/>
      <c r="IO1860" s="38"/>
      <c r="IP1860" s="38"/>
      <c r="IQ1860" s="38"/>
      <c r="IR1860" s="38"/>
      <c r="IS1860" s="38"/>
      <c r="IT1860" s="38"/>
      <c r="IU1860" s="38"/>
      <c r="IV1860" s="38"/>
      <c r="IW1860" s="38"/>
      <c r="IX1860" s="38"/>
      <c r="IY1860" s="38"/>
      <c r="IZ1860" s="38"/>
      <c r="JA1860" s="38"/>
      <c r="JB1860" s="38"/>
      <c r="JC1860" s="38"/>
      <c r="JD1860" s="38"/>
      <c r="JE1860" s="38"/>
      <c r="JF1860" s="38"/>
      <c r="JG1860" s="38"/>
      <c r="JH1860" s="38"/>
      <c r="JI1860" s="38"/>
      <c r="JJ1860" s="38"/>
      <c r="JK1860" s="38"/>
      <c r="JL1860" s="38"/>
      <c r="JM1860" s="38"/>
      <c r="JN1860" s="38"/>
      <c r="JO1860" s="38"/>
      <c r="JP1860" s="38"/>
      <c r="JQ1860" s="38"/>
      <c r="JR1860" s="38"/>
      <c r="JS1860" s="38"/>
      <c r="JT1860" s="38"/>
      <c r="JU1860" s="38"/>
      <c r="JV1860" s="38"/>
      <c r="JW1860" s="38"/>
      <c r="JX1860" s="38"/>
      <c r="JY1860" s="38"/>
      <c r="JZ1860" s="38"/>
      <c r="KA1860" s="38"/>
      <c r="KB1860" s="38"/>
      <c r="KC1860" s="38"/>
      <c r="KD1860" s="38"/>
      <c r="KE1860" s="38"/>
      <c r="KF1860" s="38"/>
      <c r="KG1860" s="38"/>
      <c r="KH1860" s="38"/>
      <c r="KI1860" s="38"/>
      <c r="KJ1860" s="38"/>
      <c r="KK1860" s="38"/>
      <c r="KL1860" s="38"/>
      <c r="KM1860" s="38"/>
      <c r="KN1860" s="38"/>
      <c r="KO1860" s="38"/>
      <c r="KP1860" s="38"/>
      <c r="KQ1860" s="38"/>
      <c r="KR1860" s="38"/>
      <c r="KS1860" s="38"/>
      <c r="KT1860" s="38"/>
      <c r="KU1860" s="38"/>
      <c r="KV1860" s="38"/>
      <c r="KW1860" s="38"/>
      <c r="KX1860" s="38"/>
      <c r="KY1860" s="38"/>
      <c r="KZ1860" s="38"/>
      <c r="LA1860" s="38"/>
      <c r="LB1860" s="38"/>
      <c r="LC1860" s="38"/>
      <c r="LD1860" s="38"/>
      <c r="LE1860" s="38"/>
      <c r="LF1860" s="38"/>
      <c r="LG1860" s="38"/>
      <c r="LH1860" s="38"/>
      <c r="LI1860" s="38"/>
      <c r="LJ1860" s="38"/>
      <c r="LK1860" s="38"/>
      <c r="LL1860" s="38"/>
      <c r="LM1860" s="38"/>
      <c r="LN1860" s="38"/>
      <c r="LO1860" s="38"/>
      <c r="LP1860" s="38"/>
      <c r="LQ1860" s="38"/>
      <c r="LR1860" s="38"/>
      <c r="LS1860" s="38"/>
      <c r="LT1860" s="38"/>
      <c r="LU1860" s="38"/>
      <c r="LV1860" s="38"/>
      <c r="LW1860" s="38"/>
      <c r="LX1860" s="38"/>
      <c r="LY1860" s="38"/>
      <c r="LZ1860" s="38"/>
      <c r="MA1860" s="38"/>
      <c r="MB1860" s="38"/>
      <c r="MC1860" s="38"/>
      <c r="MD1860" s="38"/>
      <c r="ME1860" s="38"/>
      <c r="MF1860" s="38"/>
      <c r="MG1860" s="38"/>
      <c r="MH1860" s="38"/>
      <c r="MI1860" s="38"/>
      <c r="MJ1860" s="38"/>
      <c r="MK1860" s="38"/>
      <c r="ML1860" s="38"/>
      <c r="MM1860" s="38"/>
      <c r="MN1860" s="38"/>
      <c r="MO1860" s="38"/>
      <c r="MP1860" s="38"/>
      <c r="MQ1860" s="38"/>
      <c r="MR1860" s="38"/>
      <c r="MS1860" s="38"/>
      <c r="MT1860" s="38"/>
      <c r="MU1860" s="38"/>
      <c r="MV1860" s="38"/>
      <c r="MW1860" s="38"/>
      <c r="MX1860" s="38"/>
      <c r="MY1860" s="38"/>
      <c r="MZ1860" s="38"/>
      <c r="NA1860" s="38"/>
      <c r="NB1860" s="38"/>
      <c r="NC1860" s="38"/>
      <c r="ND1860" s="38"/>
      <c r="NE1860" s="38"/>
      <c r="NF1860" s="38"/>
      <c r="NG1860" s="38"/>
      <c r="NH1860" s="38"/>
      <c r="NI1860" s="38"/>
      <c r="NJ1860" s="38"/>
      <c r="NK1860" s="38"/>
      <c r="NL1860" s="38"/>
      <c r="NM1860" s="38"/>
      <c r="NN1860" s="38"/>
      <c r="NO1860" s="38"/>
      <c r="NP1860" s="38"/>
      <c r="NQ1860" s="38"/>
      <c r="NR1860" s="38"/>
      <c r="NS1860" s="38"/>
      <c r="NT1860" s="38"/>
      <c r="NU1860" s="38"/>
      <c r="NV1860" s="38"/>
      <c r="NW1860" s="38"/>
      <c r="NX1860" s="38"/>
      <c r="NY1860" s="38"/>
      <c r="NZ1860" s="38"/>
      <c r="OA1860" s="38"/>
      <c r="OB1860" s="38"/>
      <c r="OC1860" s="38"/>
      <c r="OD1860" s="38"/>
      <c r="OE1860" s="38"/>
      <c r="OF1860" s="38"/>
      <c r="OG1860" s="38"/>
      <c r="OH1860" s="38"/>
      <c r="OI1860" s="38"/>
      <c r="OJ1860" s="38"/>
      <c r="OK1860" s="38"/>
      <c r="OL1860" s="38"/>
      <c r="OM1860" s="38"/>
      <c r="ON1860" s="38"/>
      <c r="OO1860" s="38"/>
      <c r="OP1860" s="38"/>
      <c r="OQ1860" s="38"/>
      <c r="OR1860" s="38"/>
      <c r="OS1860" s="38"/>
      <c r="OT1860" s="38"/>
      <c r="OU1860" s="38"/>
      <c r="OV1860" s="38"/>
      <c r="OW1860" s="38"/>
      <c r="OX1860" s="38"/>
      <c r="OY1860" s="38"/>
      <c r="OZ1860" s="38"/>
      <c r="PA1860" s="38"/>
      <c r="PB1860" s="38"/>
      <c r="PC1860" s="38"/>
      <c r="PD1860" s="38"/>
      <c r="PE1860" s="38"/>
      <c r="PF1860" s="38"/>
      <c r="PG1860" s="38"/>
      <c r="PH1860" s="38"/>
      <c r="PI1860" s="38"/>
      <c r="PJ1860" s="38"/>
      <c r="PK1860" s="38"/>
      <c r="PL1860" s="38"/>
      <c r="PM1860" s="38"/>
      <c r="PN1860" s="38"/>
      <c r="PO1860" s="38"/>
      <c r="PP1860" s="38"/>
      <c r="PQ1860" s="38"/>
      <c r="PR1860" s="38"/>
      <c r="PS1860" s="38"/>
      <c r="PT1860" s="38"/>
      <c r="PU1860" s="38"/>
      <c r="PV1860" s="38"/>
      <c r="PW1860" s="38"/>
      <c r="PX1860" s="38"/>
      <c r="PY1860" s="38"/>
      <c r="PZ1860" s="38"/>
      <c r="QA1860" s="38"/>
      <c r="QB1860" s="38"/>
      <c r="QC1860" s="38"/>
      <c r="QD1860" s="38"/>
      <c r="QE1860" s="38"/>
      <c r="QF1860" s="38"/>
      <c r="QG1860" s="38"/>
      <c r="QH1860" s="38"/>
      <c r="QI1860" s="38"/>
      <c r="QJ1860" s="38"/>
      <c r="QK1860" s="38"/>
      <c r="QL1860" s="38"/>
      <c r="QM1860" s="38"/>
      <c r="QN1860" s="38"/>
      <c r="QO1860" s="38"/>
      <c r="QP1860" s="38"/>
      <c r="QQ1860" s="38"/>
      <c r="QR1860" s="38"/>
      <c r="QS1860" s="38"/>
      <c r="QT1860" s="38"/>
      <c r="QU1860" s="38"/>
      <c r="QV1860" s="38"/>
      <c r="QW1860" s="38"/>
      <c r="QX1860" s="38"/>
      <c r="QY1860" s="38"/>
      <c r="QZ1860" s="38"/>
      <c r="RA1860" s="38"/>
      <c r="RB1860" s="38"/>
      <c r="RC1860" s="38"/>
      <c r="RD1860" s="38"/>
      <c r="RE1860" s="38"/>
      <c r="RF1860" s="38"/>
      <c r="RG1860" s="38"/>
      <c r="RH1860" s="38"/>
      <c r="RI1860" s="38"/>
      <c r="RJ1860" s="38"/>
      <c r="RK1860" s="38"/>
      <c r="RL1860" s="38"/>
      <c r="RM1860" s="38"/>
      <c r="RN1860" s="38"/>
      <c r="RO1860" s="38"/>
      <c r="RP1860" s="38"/>
      <c r="RQ1860" s="38"/>
      <c r="RR1860" s="38"/>
      <c r="RS1860" s="38"/>
      <c r="RT1860" s="38"/>
      <c r="RU1860" s="38"/>
      <c r="RV1860" s="38"/>
      <c r="RW1860" s="38"/>
      <c r="RX1860" s="38"/>
      <c r="RY1860" s="38"/>
      <c r="RZ1860" s="38"/>
      <c r="SA1860" s="38"/>
      <c r="SB1860" s="38"/>
      <c r="SC1860" s="38"/>
      <c r="SD1860" s="38"/>
      <c r="SE1860" s="38"/>
      <c r="SF1860" s="38"/>
      <c r="SG1860" s="38"/>
      <c r="SH1860" s="38"/>
      <c r="SI1860" s="38"/>
      <c r="SJ1860" s="38"/>
      <c r="SK1860" s="38"/>
      <c r="SL1860" s="38"/>
      <c r="SM1860" s="38"/>
      <c r="SN1860" s="38"/>
      <c r="SO1860" s="38"/>
      <c r="SP1860" s="38"/>
      <c r="SQ1860" s="38"/>
      <c r="SR1860" s="38"/>
      <c r="SS1860" s="38"/>
      <c r="ST1860" s="38"/>
      <c r="SU1860" s="38"/>
      <c r="SV1860" s="38"/>
      <c r="SW1860" s="38"/>
      <c r="SX1860" s="38"/>
      <c r="SY1860" s="38"/>
      <c r="SZ1860" s="38"/>
      <c r="TA1860" s="38"/>
      <c r="TB1860" s="38"/>
      <c r="TC1860" s="38"/>
      <c r="TD1860" s="38"/>
      <c r="TE1860" s="38"/>
      <c r="TF1860" s="38"/>
      <c r="TG1860" s="38"/>
      <c r="TH1860" s="38"/>
      <c r="TI1860" s="38"/>
      <c r="TJ1860" s="38"/>
      <c r="TK1860" s="38"/>
      <c r="TL1860" s="38"/>
      <c r="TM1860" s="38"/>
      <c r="TN1860" s="38"/>
      <c r="TO1860" s="38"/>
      <c r="TP1860" s="38"/>
      <c r="TQ1860" s="38"/>
      <c r="TR1860" s="38"/>
      <c r="TS1860" s="38"/>
      <c r="TT1860" s="38"/>
      <c r="TU1860" s="38"/>
      <c r="TV1860" s="38"/>
      <c r="TW1860" s="38"/>
      <c r="TX1860" s="38"/>
      <c r="TY1860" s="38"/>
      <c r="TZ1860" s="38"/>
      <c r="UA1860" s="38"/>
      <c r="UB1860" s="38"/>
      <c r="UC1860" s="38"/>
      <c r="UD1860" s="38"/>
      <c r="UE1860" s="38"/>
      <c r="UF1860" s="38"/>
      <c r="UG1860" s="38"/>
      <c r="UH1860" s="38"/>
      <c r="UI1860" s="38"/>
      <c r="UJ1860" s="38"/>
      <c r="UK1860" s="38"/>
      <c r="UL1860" s="38"/>
      <c r="UM1860" s="38"/>
      <c r="UN1860" s="38"/>
      <c r="UO1860" s="38"/>
      <c r="UP1860" s="38"/>
      <c r="UQ1860" s="38"/>
      <c r="UR1860" s="38"/>
      <c r="US1860" s="38"/>
      <c r="UT1860" s="38"/>
      <c r="UU1860" s="38"/>
      <c r="UV1860" s="38"/>
      <c r="UW1860" s="38"/>
      <c r="UX1860" s="38"/>
      <c r="UY1860" s="38"/>
      <c r="UZ1860" s="38"/>
      <c r="VA1860" s="38"/>
      <c r="VB1860" s="38"/>
      <c r="VC1860" s="38"/>
      <c r="VD1860" s="38"/>
      <c r="VE1860" s="38"/>
      <c r="VF1860" s="38"/>
      <c r="VG1860" s="38"/>
      <c r="VH1860" s="38"/>
      <c r="VI1860" s="38"/>
      <c r="VJ1860" s="38"/>
      <c r="VK1860" s="38"/>
      <c r="VL1860" s="38"/>
      <c r="VM1860" s="38"/>
      <c r="VN1860" s="38"/>
      <c r="VO1860" s="38"/>
      <c r="VP1860" s="38"/>
      <c r="VQ1860" s="38"/>
      <c r="VR1860" s="38"/>
      <c r="VS1860" s="38"/>
      <c r="VT1860" s="38"/>
      <c r="VU1860" s="38"/>
      <c r="VV1860" s="38"/>
      <c r="VW1860" s="38"/>
      <c r="VX1860" s="38"/>
      <c r="VY1860" s="38"/>
      <c r="VZ1860" s="38"/>
      <c r="WA1860" s="38"/>
      <c r="WB1860" s="38"/>
      <c r="WC1860" s="38"/>
      <c r="WD1860" s="38"/>
      <c r="WE1860" s="38"/>
      <c r="WF1860" s="38"/>
      <c r="WG1860" s="38"/>
      <c r="WH1860" s="38"/>
      <c r="WI1860" s="38"/>
      <c r="WJ1860" s="38"/>
      <c r="WK1860" s="38"/>
      <c r="WL1860" s="38"/>
      <c r="WM1860" s="38"/>
      <c r="WN1860" s="38"/>
      <c r="WO1860" s="38"/>
      <c r="WP1860" s="38"/>
      <c r="WQ1860" s="38"/>
      <c r="WR1860" s="38"/>
      <c r="WS1860" s="38"/>
      <c r="WT1860" s="38"/>
      <c r="WU1860" s="38"/>
      <c r="WV1860" s="38"/>
      <c r="WW1860" s="38"/>
      <c r="WX1860" s="38"/>
      <c r="WY1860" s="38"/>
      <c r="WZ1860" s="38"/>
      <c r="XA1860" s="38"/>
      <c r="XB1860" s="38"/>
      <c r="XC1860" s="38"/>
      <c r="XD1860" s="38"/>
      <c r="XE1860" s="38"/>
      <c r="XF1860" s="38"/>
      <c r="XG1860" s="38"/>
      <c r="XH1860" s="38"/>
      <c r="XI1860" s="38"/>
      <c r="XJ1860" s="38"/>
      <c r="XK1860" s="38"/>
      <c r="XL1860" s="38"/>
      <c r="XM1860" s="38"/>
      <c r="XN1860" s="38"/>
      <c r="XO1860" s="38"/>
      <c r="XP1860" s="38"/>
      <c r="XQ1860" s="38"/>
      <c r="XR1860" s="38"/>
      <c r="XS1860" s="38"/>
      <c r="XT1860" s="38"/>
      <c r="XU1860" s="38"/>
      <c r="XV1860" s="38"/>
      <c r="XW1860" s="38"/>
      <c r="XX1860" s="38"/>
      <c r="XY1860" s="38"/>
      <c r="XZ1860" s="38"/>
      <c r="YA1860" s="38"/>
      <c r="YB1860" s="38"/>
      <c r="YC1860" s="38"/>
      <c r="YD1860" s="38"/>
      <c r="YE1860" s="38"/>
      <c r="YF1860" s="38"/>
      <c r="YG1860" s="38"/>
      <c r="YH1860" s="38"/>
      <c r="YI1860" s="38"/>
      <c r="YJ1860" s="38"/>
      <c r="YK1860" s="38"/>
      <c r="YL1860" s="38"/>
      <c r="YM1860" s="38"/>
      <c r="YN1860" s="38"/>
      <c r="YO1860" s="38"/>
      <c r="YP1860" s="38"/>
      <c r="YQ1860" s="38"/>
      <c r="YR1860" s="38"/>
      <c r="YS1860" s="38"/>
      <c r="YT1860" s="38"/>
      <c r="YU1860" s="38"/>
      <c r="YV1860" s="38"/>
      <c r="YW1860" s="38"/>
      <c r="YX1860" s="38"/>
      <c r="YY1860" s="38"/>
      <c r="YZ1860" s="38"/>
      <c r="ZA1860" s="38"/>
      <c r="ZB1860" s="38"/>
      <c r="ZC1860" s="38"/>
      <c r="ZD1860" s="38"/>
      <c r="ZE1860" s="38"/>
      <c r="ZF1860" s="38"/>
      <c r="ZG1860" s="38"/>
      <c r="ZH1860" s="38"/>
      <c r="ZI1860" s="38"/>
      <c r="ZJ1860" s="38"/>
      <c r="ZK1860" s="38"/>
      <c r="ZL1860" s="38"/>
      <c r="ZM1860" s="38"/>
      <c r="ZN1860" s="38"/>
      <c r="ZO1860" s="38"/>
      <c r="ZP1860" s="38"/>
      <c r="ZQ1860" s="38"/>
      <c r="ZR1860" s="38"/>
      <c r="ZS1860" s="38"/>
      <c r="ZT1860" s="38"/>
      <c r="ZU1860" s="38"/>
      <c r="ZV1860" s="38"/>
      <c r="ZW1860" s="38"/>
      <c r="ZX1860" s="38"/>
      <c r="ZY1860" s="38"/>
      <c r="ZZ1860" s="38"/>
      <c r="AAA1860" s="38"/>
      <c r="AAB1860" s="38"/>
      <c r="AAC1860" s="38"/>
      <c r="AAD1860" s="38"/>
      <c r="AAE1860" s="38"/>
      <c r="AAF1860" s="38"/>
      <c r="AAG1860" s="38"/>
      <c r="AAH1860" s="38"/>
      <c r="AAI1860" s="38"/>
      <c r="AAJ1860" s="38"/>
      <c r="AAK1860" s="38"/>
      <c r="AAL1860" s="38"/>
      <c r="AAM1860" s="38"/>
      <c r="AAN1860" s="38"/>
      <c r="AAO1860" s="38"/>
      <c r="AAP1860" s="38"/>
      <c r="AAQ1860" s="38"/>
      <c r="AAR1860" s="38"/>
      <c r="AAS1860" s="38"/>
      <c r="AAT1860" s="38"/>
      <c r="AAU1860" s="38"/>
      <c r="AAV1860" s="38"/>
      <c r="AAW1860" s="38"/>
      <c r="AAX1860" s="38"/>
      <c r="AAY1860" s="38"/>
      <c r="AAZ1860" s="38"/>
      <c r="ABA1860" s="38"/>
      <c r="ABB1860" s="38"/>
      <c r="ABC1860" s="38"/>
      <c r="ABD1860" s="38"/>
      <c r="ABE1860" s="38"/>
      <c r="ABF1860" s="38"/>
      <c r="ABG1860" s="38"/>
      <c r="ABH1860" s="38"/>
      <c r="ABI1860" s="38"/>
      <c r="ABJ1860" s="38"/>
      <c r="ABK1860" s="38"/>
      <c r="ABL1860" s="38"/>
      <c r="ABM1860" s="38"/>
      <c r="ABN1860" s="38"/>
      <c r="ABO1860" s="38"/>
      <c r="ABP1860" s="38"/>
      <c r="ABQ1860" s="38"/>
      <c r="ABR1860" s="38"/>
      <c r="ABS1860" s="38"/>
      <c r="ABT1860" s="38"/>
      <c r="ABU1860" s="38"/>
      <c r="ABV1860" s="38"/>
      <c r="ABW1860" s="38"/>
      <c r="ABX1860" s="38"/>
      <c r="ABY1860" s="38"/>
      <c r="ABZ1860" s="38"/>
      <c r="ACA1860" s="38"/>
      <c r="ACB1860" s="38"/>
      <c r="ACC1860" s="38"/>
      <c r="ACD1860" s="38"/>
      <c r="ACE1860" s="38"/>
      <c r="ACF1860" s="38"/>
      <c r="ACG1860" s="38"/>
      <c r="ACH1860" s="38"/>
      <c r="ACI1860" s="38"/>
      <c r="ACJ1860" s="38"/>
      <c r="ACK1860" s="38"/>
      <c r="ACL1860" s="38"/>
      <c r="ACM1860" s="38"/>
      <c r="ACN1860" s="38"/>
      <c r="ACO1860" s="38"/>
      <c r="ACP1860" s="38"/>
      <c r="ACQ1860" s="38"/>
      <c r="ACR1860" s="38"/>
      <c r="ACS1860" s="38"/>
      <c r="ACT1860" s="38"/>
      <c r="ACU1860" s="38"/>
      <c r="ACV1860" s="38"/>
      <c r="ACW1860" s="38"/>
      <c r="ACX1860" s="38"/>
      <c r="ACY1860" s="38"/>
      <c r="ACZ1860" s="38"/>
      <c r="ADA1860" s="38"/>
      <c r="ADB1860" s="38"/>
      <c r="ADC1860" s="38"/>
      <c r="ADD1860" s="38"/>
      <c r="ADE1860" s="38"/>
      <c r="ADF1860" s="38"/>
      <c r="ADG1860" s="38"/>
      <c r="ADH1860" s="38"/>
      <c r="ADI1860" s="38"/>
      <c r="ADJ1860" s="38"/>
      <c r="ADK1860" s="38"/>
      <c r="ADL1860" s="38"/>
      <c r="ADM1860" s="38"/>
      <c r="ADN1860" s="38"/>
      <c r="ADO1860" s="38"/>
      <c r="ADP1860" s="38"/>
      <c r="ADQ1860" s="38"/>
      <c r="ADR1860" s="38"/>
      <c r="ADS1860" s="38"/>
      <c r="ADT1860" s="38"/>
      <c r="ADU1860" s="38"/>
      <c r="ADV1860" s="38"/>
      <c r="ADW1860" s="38"/>
      <c r="ADX1860" s="38"/>
      <c r="ADY1860" s="38"/>
      <c r="ADZ1860" s="38"/>
      <c r="AEA1860" s="38"/>
      <c r="AEB1860" s="38"/>
      <c r="AEC1860" s="38"/>
      <c r="AED1860" s="38"/>
      <c r="AEE1860" s="38"/>
      <c r="AEF1860" s="38"/>
      <c r="AEG1860" s="38"/>
      <c r="AEH1860" s="38"/>
      <c r="AEI1860" s="38"/>
      <c r="AEJ1860" s="38"/>
      <c r="AEK1860" s="38"/>
      <c r="AEL1860" s="38"/>
      <c r="AEM1860" s="38"/>
      <c r="AEN1860" s="38"/>
      <c r="AEO1860" s="38"/>
      <c r="AEP1860" s="38"/>
      <c r="AEQ1860" s="38"/>
      <c r="AER1860" s="38"/>
      <c r="AES1860" s="38"/>
      <c r="AET1860" s="38"/>
      <c r="AEU1860" s="38"/>
      <c r="AEV1860" s="38"/>
      <c r="AEW1860" s="38"/>
      <c r="AEX1860" s="38"/>
      <c r="AEY1860" s="38"/>
      <c r="AEZ1860" s="38"/>
      <c r="AFA1860" s="38"/>
      <c r="AFB1860" s="38"/>
      <c r="AFC1860" s="38"/>
      <c r="AFD1860" s="38"/>
      <c r="AFE1860" s="38"/>
      <c r="AFF1860" s="38"/>
      <c r="AFG1860" s="38"/>
      <c r="AFH1860" s="38"/>
      <c r="AFI1860" s="38"/>
      <c r="AFJ1860" s="38"/>
      <c r="AFK1860" s="38"/>
      <c r="AFL1860" s="38"/>
      <c r="AFM1860" s="38"/>
      <c r="AFN1860" s="38"/>
      <c r="AFO1860" s="38"/>
      <c r="AFP1860" s="38"/>
      <c r="AFQ1860" s="38"/>
      <c r="AFR1860" s="38"/>
      <c r="AFS1860" s="38"/>
      <c r="AFT1860" s="38"/>
      <c r="AFU1860" s="38"/>
      <c r="AFV1860" s="38"/>
      <c r="AFW1860" s="38"/>
      <c r="AFX1860" s="38"/>
      <c r="AFY1860" s="38"/>
      <c r="AFZ1860" s="38"/>
      <c r="AGA1860" s="38"/>
      <c r="AGB1860" s="38"/>
      <c r="AGC1860" s="38"/>
      <c r="AGD1860" s="38"/>
      <c r="AGE1860" s="38"/>
      <c r="AGF1860" s="38"/>
      <c r="AGG1860" s="38"/>
      <c r="AGH1860" s="38"/>
      <c r="AGI1860" s="38"/>
      <c r="AGJ1860" s="38"/>
      <c r="AGK1860" s="38"/>
      <c r="AGL1860" s="38"/>
      <c r="AGM1860" s="38"/>
      <c r="AGN1860" s="38"/>
      <c r="AGO1860" s="38"/>
      <c r="AGP1860" s="38"/>
      <c r="AGQ1860" s="38"/>
      <c r="AGR1860" s="38"/>
      <c r="AGS1860" s="38"/>
      <c r="AGT1860" s="38"/>
      <c r="AGU1860" s="38"/>
      <c r="AGV1860" s="38"/>
      <c r="AGW1860" s="38"/>
      <c r="AGX1860" s="38"/>
      <c r="AGY1860" s="38"/>
      <c r="AGZ1860" s="38"/>
      <c r="AHA1860" s="38"/>
      <c r="AHB1860" s="38"/>
      <c r="AHC1860" s="38"/>
      <c r="AHD1860" s="38"/>
      <c r="AHE1860" s="38"/>
      <c r="AHF1860" s="38"/>
      <c r="AHG1860" s="38"/>
      <c r="AHH1860" s="38"/>
      <c r="AHI1860" s="38"/>
      <c r="AHJ1860" s="38"/>
      <c r="AHK1860" s="38"/>
      <c r="AHL1860" s="38"/>
      <c r="AHM1860" s="38"/>
      <c r="AHN1860" s="38"/>
      <c r="AHO1860" s="38"/>
      <c r="AHP1860" s="38"/>
      <c r="AHQ1860" s="38"/>
      <c r="AHR1860" s="38"/>
      <c r="AHS1860" s="38"/>
      <c r="AHT1860" s="38"/>
      <c r="AHU1860" s="38"/>
      <c r="AHV1860" s="38"/>
      <c r="AHW1860" s="38"/>
      <c r="AHX1860" s="38"/>
      <c r="AHY1860" s="38"/>
      <c r="AHZ1860" s="38"/>
      <c r="AIA1860" s="38"/>
      <c r="AIB1860" s="38"/>
      <c r="AIC1860" s="38"/>
      <c r="AID1860" s="38"/>
      <c r="AIE1860" s="38"/>
      <c r="AIF1860" s="38"/>
      <c r="AIG1860" s="38"/>
      <c r="AIH1860" s="38"/>
      <c r="AII1860" s="38"/>
      <c r="AIJ1860" s="38"/>
      <c r="AIK1860" s="38"/>
      <c r="AIL1860" s="38"/>
      <c r="AIM1860" s="38"/>
      <c r="AIN1860" s="38"/>
      <c r="AIO1860" s="38"/>
      <c r="AIP1860" s="38"/>
      <c r="AIQ1860" s="38"/>
      <c r="AIR1860" s="38"/>
      <c r="AIS1860" s="38"/>
      <c r="AIT1860" s="38"/>
      <c r="AIU1860" s="38"/>
      <c r="AIV1860" s="38"/>
      <c r="AIW1860" s="38"/>
      <c r="AIX1860" s="38"/>
      <c r="AIY1860" s="38"/>
      <c r="AIZ1860" s="38"/>
      <c r="AJA1860" s="38"/>
      <c r="AJB1860" s="38"/>
      <c r="AJC1860" s="38"/>
      <c r="AJD1860" s="38"/>
      <c r="AJE1860" s="38"/>
      <c r="AJF1860" s="38"/>
      <c r="AJG1860" s="38"/>
      <c r="AJH1860" s="38"/>
      <c r="AJI1860" s="38"/>
      <c r="AJJ1860" s="38"/>
      <c r="AJK1860" s="38"/>
      <c r="AJL1860" s="38"/>
      <c r="AJM1860" s="38"/>
      <c r="AJN1860" s="38"/>
      <c r="AJO1860" s="38"/>
      <c r="AJP1860" s="38"/>
      <c r="AJQ1860" s="38"/>
      <c r="AJR1860" s="38"/>
      <c r="AJS1860" s="38"/>
      <c r="AJT1860" s="38"/>
      <c r="AJU1860" s="38"/>
      <c r="AJV1860" s="38"/>
      <c r="AJW1860" s="38"/>
      <c r="AJX1860" s="38"/>
      <c r="AJY1860" s="38"/>
      <c r="AJZ1860" s="38"/>
      <c r="AKA1860" s="38"/>
      <c r="AKB1860" s="38"/>
      <c r="AKC1860" s="38"/>
      <c r="AKD1860" s="38"/>
      <c r="AKE1860" s="38"/>
      <c r="AKF1860" s="38"/>
      <c r="AKG1860" s="38"/>
      <c r="AKH1860" s="38"/>
      <c r="AKI1860" s="38"/>
      <c r="AKJ1860" s="38"/>
      <c r="AKK1860" s="38"/>
      <c r="AKL1860" s="38"/>
      <c r="AKM1860" s="38"/>
      <c r="AKN1860" s="38"/>
      <c r="AKO1860" s="38"/>
      <c r="AKP1860" s="38"/>
      <c r="AKQ1860" s="38"/>
      <c r="AKR1860" s="38"/>
      <c r="AKS1860" s="38"/>
      <c r="AKT1860" s="38"/>
      <c r="AKU1860" s="38"/>
      <c r="AKV1860" s="38"/>
      <c r="AKW1860" s="38"/>
      <c r="AKX1860" s="38"/>
      <c r="AKY1860" s="38"/>
      <c r="AKZ1860" s="38"/>
      <c r="ALA1860" s="38"/>
      <c r="ALB1860" s="38"/>
      <c r="ALC1860" s="38"/>
      <c r="ALD1860" s="38"/>
      <c r="ALE1860" s="38"/>
      <c r="ALF1860" s="38"/>
      <c r="ALG1860" s="38"/>
      <c r="ALH1860" s="38"/>
      <c r="ALI1860" s="38"/>
      <c r="ALJ1860" s="38"/>
      <c r="ALK1860" s="38"/>
      <c r="ALL1860" s="38"/>
      <c r="ALM1860" s="38"/>
      <c r="ALN1860" s="38"/>
      <c r="ALO1860" s="38"/>
      <c r="ALP1860" s="38"/>
      <c r="ALQ1860" s="38"/>
      <c r="ALR1860" s="38"/>
      <c r="ALS1860" s="38"/>
      <c r="ALT1860" s="38"/>
      <c r="ALU1860" s="38"/>
      <c r="ALV1860" s="38"/>
      <c r="ALW1860" s="38"/>
      <c r="ALX1860" s="38"/>
      <c r="ALY1860" s="38"/>
      <c r="ALZ1860" s="38"/>
      <c r="AMA1860" s="38"/>
      <c r="AMB1860" s="38"/>
      <c r="AMC1860" s="38"/>
      <c r="AMD1860" s="38"/>
      <c r="AME1860" s="38"/>
      <c r="AMF1860" s="38"/>
      <c r="AMG1860" s="38"/>
      <c r="AMH1860" s="38"/>
      <c r="AMI1860" s="38"/>
      <c r="AMJ1860" s="38"/>
      <c r="AMK1860" s="38"/>
      <c r="AML1860" s="38"/>
      <c r="AMM1860" s="38"/>
      <c r="AMN1860" s="38"/>
      <c r="AMO1860" s="38"/>
      <c r="AMP1860" s="38"/>
      <c r="AMQ1860" s="38"/>
      <c r="AMR1860" s="38"/>
      <c r="AMS1860" s="38"/>
      <c r="AMT1860" s="38"/>
      <c r="AMU1860" s="38"/>
      <c r="AMV1860" s="38"/>
      <c r="AMW1860" s="38"/>
      <c r="AMX1860" s="38"/>
      <c r="AMY1860" s="38"/>
      <c r="AMZ1860" s="38"/>
      <c r="ANA1860" s="38"/>
      <c r="ANB1860" s="38"/>
      <c r="ANC1860" s="38"/>
      <c r="AND1860" s="38"/>
      <c r="ANE1860" s="38"/>
      <c r="ANF1860" s="38"/>
      <c r="ANG1860" s="38"/>
      <c r="ANH1860" s="38"/>
      <c r="ANI1860" s="38"/>
      <c r="ANJ1860" s="38"/>
      <c r="ANK1860" s="38"/>
      <c r="ANL1860" s="38"/>
      <c r="ANM1860" s="38"/>
      <c r="ANN1860" s="38"/>
      <c r="ANO1860" s="38"/>
      <c r="ANP1860" s="38"/>
      <c r="ANQ1860" s="38"/>
      <c r="ANR1860" s="38"/>
      <c r="ANS1860" s="38"/>
      <c r="ANT1860" s="38"/>
      <c r="ANU1860" s="38"/>
      <c r="ANV1860" s="38"/>
      <c r="ANW1860" s="38"/>
      <c r="ANX1860" s="38"/>
      <c r="ANY1860" s="38"/>
      <c r="ANZ1860" s="38"/>
      <c r="AOA1860" s="38"/>
      <c r="AOB1860" s="38"/>
      <c r="AOC1860" s="38"/>
      <c r="AOD1860" s="38"/>
      <c r="AOE1860" s="38"/>
      <c r="AOF1860" s="38"/>
      <c r="AOG1860" s="38"/>
      <c r="AOH1860" s="38"/>
      <c r="AOI1860" s="38"/>
      <c r="AOJ1860" s="38"/>
      <c r="AOK1860" s="38"/>
      <c r="AOL1860" s="38"/>
      <c r="AOM1860" s="38"/>
      <c r="AON1860" s="38"/>
      <c r="AOO1860" s="38"/>
      <c r="AOP1860" s="38"/>
      <c r="AOQ1860" s="38"/>
      <c r="AOR1860" s="38"/>
      <c r="AOS1860" s="38"/>
      <c r="AOT1860" s="38"/>
      <c r="AOU1860" s="38"/>
      <c r="AOV1860" s="38"/>
      <c r="AOW1860" s="38"/>
      <c r="AOX1860" s="38"/>
      <c r="AOY1860" s="38"/>
      <c r="AOZ1860" s="38"/>
      <c r="APA1860" s="38"/>
      <c r="APB1860" s="38"/>
      <c r="APC1860" s="38"/>
    </row>
    <row r="1861" spans="1:1095" s="36" customFormat="1" ht="14.25" customHeight="1">
      <c r="A1861" s="3" t="s">
        <v>1722</v>
      </c>
      <c r="B1861" s="36" t="s">
        <v>2103</v>
      </c>
      <c r="C1861" s="10">
        <v>4099854065071</v>
      </c>
      <c r="D1861" s="246"/>
      <c r="E1861" s="249"/>
      <c r="F1861" s="222" t="s">
        <v>3136</v>
      </c>
      <c r="G1861" s="66" t="str">
        <f>HYPERLINK("https://ledvance.com/pt/product-datasheet/251567/238058","Ficha de Produto")</f>
        <v>Ficha de Produto</v>
      </c>
      <c r="H1861" s="217">
        <v>10</v>
      </c>
      <c r="I1861" s="34" t="s">
        <v>6349</v>
      </c>
      <c r="J1861" s="34" t="s">
        <v>6350</v>
      </c>
      <c r="K1861" s="34" t="s">
        <v>788</v>
      </c>
      <c r="L1861" s="34" t="s">
        <v>765</v>
      </c>
      <c r="M1861" s="247">
        <v>12.6</v>
      </c>
      <c r="N1861" s="288" t="s">
        <v>722</v>
      </c>
    </row>
    <row r="1862" spans="1:1095" s="36" customFormat="1" ht="14.25" customHeight="1">
      <c r="A1862" s="3" t="s">
        <v>1722</v>
      </c>
      <c r="B1862" s="36" t="s">
        <v>2104</v>
      </c>
      <c r="C1862" s="10">
        <v>4099854065170</v>
      </c>
      <c r="D1862" s="246"/>
      <c r="E1862" s="249"/>
      <c r="F1862" s="222" t="s">
        <v>3136</v>
      </c>
      <c r="G1862" s="66" t="str">
        <f>HYPERLINK("https://ledvance.com/pt/product-datasheet/251567/238061","Ficha de Produto")</f>
        <v>Ficha de Produto</v>
      </c>
      <c r="H1862" s="217">
        <v>10</v>
      </c>
      <c r="I1862" s="34" t="s">
        <v>6351</v>
      </c>
      <c r="J1862" s="34" t="s">
        <v>6337</v>
      </c>
      <c r="K1862" s="34" t="s">
        <v>788</v>
      </c>
      <c r="L1862" s="34" t="s">
        <v>765</v>
      </c>
      <c r="M1862" s="247">
        <v>15.799999999999999</v>
      </c>
      <c r="N1862" s="288" t="s">
        <v>722</v>
      </c>
    </row>
    <row r="1863" spans="1:1095" s="36" customFormat="1" ht="14.25" customHeight="1">
      <c r="A1863" s="3" t="s">
        <v>1722</v>
      </c>
      <c r="B1863" s="36" t="s">
        <v>2105</v>
      </c>
      <c r="C1863" s="10">
        <v>4099854065217</v>
      </c>
      <c r="D1863" s="246"/>
      <c r="E1863" s="249"/>
      <c r="F1863" s="222" t="s">
        <v>3136</v>
      </c>
      <c r="G1863" s="66" t="str">
        <f>HYPERLINK("https://ledvance.com/pt/product-datasheet/251567/238064","Ficha de Produto")</f>
        <v>Ficha de Produto</v>
      </c>
      <c r="H1863" s="217">
        <v>10</v>
      </c>
      <c r="I1863" s="34" t="s">
        <v>6352</v>
      </c>
      <c r="J1863" s="34" t="s">
        <v>6353</v>
      </c>
      <c r="K1863" s="34" t="s">
        <v>788</v>
      </c>
      <c r="L1863" s="34" t="s">
        <v>765</v>
      </c>
      <c r="M1863" s="247">
        <v>20.900000000000002</v>
      </c>
      <c r="N1863" s="288" t="s">
        <v>722</v>
      </c>
    </row>
    <row r="1864" spans="1:1095" s="36" customFormat="1" ht="14.25" customHeight="1">
      <c r="A1864" s="3" t="s">
        <v>1722</v>
      </c>
      <c r="B1864" s="36" t="s">
        <v>2106</v>
      </c>
      <c r="C1864" s="10">
        <v>4099854065231</v>
      </c>
      <c r="D1864" s="246"/>
      <c r="E1864" s="249"/>
      <c r="F1864" s="222" t="s">
        <v>3136</v>
      </c>
      <c r="G1864" s="66" t="str">
        <f>HYPERLINK("https://ledvance.com/pt/product-datasheet/251567/238070","Ficha de Produto")</f>
        <v>Ficha de Produto</v>
      </c>
      <c r="H1864" s="217">
        <v>10</v>
      </c>
      <c r="I1864" s="34" t="s">
        <v>6349</v>
      </c>
      <c r="J1864" s="34" t="s">
        <v>6350</v>
      </c>
      <c r="K1864" s="34" t="s">
        <v>788</v>
      </c>
      <c r="L1864" s="34" t="s">
        <v>765</v>
      </c>
      <c r="M1864" s="247">
        <v>12.9</v>
      </c>
      <c r="N1864" s="288" t="s">
        <v>722</v>
      </c>
    </row>
    <row r="1865" spans="1:1095" s="36" customFormat="1" ht="14.25" customHeight="1">
      <c r="A1865" s="3" t="s">
        <v>1722</v>
      </c>
      <c r="B1865" s="36" t="s">
        <v>2107</v>
      </c>
      <c r="C1865" s="10">
        <v>4099854065279</v>
      </c>
      <c r="D1865" s="246"/>
      <c r="E1865" s="249"/>
      <c r="F1865" s="222" t="s">
        <v>3136</v>
      </c>
      <c r="G1865" s="66" t="str">
        <f>HYPERLINK("https://ledvance.com/pt/product-datasheet/251567/238073","Ficha de Produto")</f>
        <v>Ficha de Produto</v>
      </c>
      <c r="H1865" s="217">
        <v>10</v>
      </c>
      <c r="I1865" s="34" t="s">
        <v>6351</v>
      </c>
      <c r="J1865" s="34" t="s">
        <v>6337</v>
      </c>
      <c r="K1865" s="34" t="s">
        <v>788</v>
      </c>
      <c r="L1865" s="34" t="s">
        <v>765</v>
      </c>
      <c r="M1865" s="247">
        <v>16.100000000000001</v>
      </c>
      <c r="N1865" s="288" t="s">
        <v>722</v>
      </c>
    </row>
    <row r="1866" spans="1:1095" s="36" customFormat="1" ht="14.25" customHeight="1">
      <c r="A1866" s="3" t="s">
        <v>1722</v>
      </c>
      <c r="B1866" s="36" t="s">
        <v>2108</v>
      </c>
      <c r="C1866" s="10">
        <v>4099854065316</v>
      </c>
      <c r="D1866" s="246"/>
      <c r="E1866" s="249"/>
      <c r="F1866" s="222" t="s">
        <v>3136</v>
      </c>
      <c r="G1866" s="66" t="str">
        <f>HYPERLINK("https://ledvance.com/pt/product-datasheet/251567/238076","Ficha de Produto")</f>
        <v>Ficha de Produto</v>
      </c>
      <c r="H1866" s="217">
        <v>10</v>
      </c>
      <c r="I1866" s="34" t="s">
        <v>6352</v>
      </c>
      <c r="J1866" s="34" t="s">
        <v>6353</v>
      </c>
      <c r="K1866" s="34" t="s">
        <v>788</v>
      </c>
      <c r="L1866" s="34" t="s">
        <v>765</v>
      </c>
      <c r="M1866" s="247">
        <v>21.6</v>
      </c>
      <c r="N1866" s="288" t="s">
        <v>722</v>
      </c>
    </row>
    <row r="1867" spans="1:1095" s="36" customFormat="1" ht="14.25" customHeight="1">
      <c r="A1867" s="3" t="s">
        <v>1722</v>
      </c>
      <c r="B1867" s="36" t="s">
        <v>2109</v>
      </c>
      <c r="C1867" s="10">
        <v>4099854065750</v>
      </c>
      <c r="D1867" s="246"/>
      <c r="E1867" s="249"/>
      <c r="F1867" s="222" t="s">
        <v>3136</v>
      </c>
      <c r="G1867" s="66" t="str">
        <f>HYPERLINK("https://ledvance.com/pt/product-datasheet/251571/238079","Ficha de Produto")</f>
        <v>Ficha de Produto</v>
      </c>
      <c r="H1867" s="217">
        <v>10</v>
      </c>
      <c r="I1867" s="34" t="s">
        <v>6354</v>
      </c>
      <c r="J1867" s="34" t="s">
        <v>6355</v>
      </c>
      <c r="K1867" s="34" t="s">
        <v>788</v>
      </c>
      <c r="L1867" s="34" t="s">
        <v>765</v>
      </c>
      <c r="M1867" s="247">
        <v>11</v>
      </c>
      <c r="N1867" s="288" t="s">
        <v>722</v>
      </c>
    </row>
    <row r="1868" spans="1:1095" s="36" customFormat="1" ht="14.25" customHeight="1">
      <c r="A1868" s="3" t="s">
        <v>1722</v>
      </c>
      <c r="B1868" s="36" t="s">
        <v>2110</v>
      </c>
      <c r="C1868" s="10">
        <v>4099854065590</v>
      </c>
      <c r="D1868" s="246"/>
      <c r="E1868" s="249"/>
      <c r="F1868" s="222" t="s">
        <v>3136</v>
      </c>
      <c r="G1868" s="66" t="str">
        <f>HYPERLINK("https://ledvance.com/pt/product-datasheet/251570/238082","Ficha de Produto")</f>
        <v>Ficha de Produto</v>
      </c>
      <c r="H1868" s="217">
        <v>10</v>
      </c>
      <c r="I1868" s="34" t="s">
        <v>6354</v>
      </c>
      <c r="J1868" s="34" t="s">
        <v>6355</v>
      </c>
      <c r="K1868" s="34" t="s">
        <v>788</v>
      </c>
      <c r="L1868" s="34" t="s">
        <v>765</v>
      </c>
      <c r="M1868" s="247">
        <v>14.299999999999999</v>
      </c>
      <c r="N1868" s="288" t="s">
        <v>722</v>
      </c>
    </row>
    <row r="1869" spans="1:1095" s="36" customFormat="1" ht="14.25" customHeight="1">
      <c r="A1869" s="3" t="s">
        <v>1722</v>
      </c>
      <c r="B1869" s="36" t="s">
        <v>2111</v>
      </c>
      <c r="C1869" s="10">
        <v>4099854065828</v>
      </c>
      <c r="D1869" s="246"/>
      <c r="E1869" s="249"/>
      <c r="F1869" s="222" t="s">
        <v>3136</v>
      </c>
      <c r="G1869" s="66" t="str">
        <f>HYPERLINK("https://ledvance.com/pt/product-datasheet/251571/238085","Ficha de Produto")</f>
        <v>Ficha de Produto</v>
      </c>
      <c r="H1869" s="217">
        <v>10</v>
      </c>
      <c r="I1869" s="34" t="s">
        <v>6354</v>
      </c>
      <c r="J1869" s="34" t="s">
        <v>6355</v>
      </c>
      <c r="K1869" s="34" t="s">
        <v>788</v>
      </c>
      <c r="L1869" s="34" t="s">
        <v>765</v>
      </c>
      <c r="M1869" s="247">
        <v>11.4</v>
      </c>
      <c r="N1869" s="288" t="s">
        <v>722</v>
      </c>
    </row>
    <row r="1870" spans="1:1095" s="36" customFormat="1" ht="14.25" customHeight="1">
      <c r="A1870" s="3" t="s">
        <v>1722</v>
      </c>
      <c r="B1870" s="36" t="s">
        <v>2112</v>
      </c>
      <c r="C1870" s="10">
        <v>4099854065613</v>
      </c>
      <c r="D1870" s="246"/>
      <c r="E1870" s="249"/>
      <c r="F1870" s="222" t="s">
        <v>3136</v>
      </c>
      <c r="G1870" s="66" t="str">
        <f>HYPERLINK("https://ledvance.com/pt/product-datasheet/251570/238088","Ficha de Produto")</f>
        <v>Ficha de Produto</v>
      </c>
      <c r="H1870" s="217">
        <v>10</v>
      </c>
      <c r="I1870" s="34" t="s">
        <v>6354</v>
      </c>
      <c r="J1870" s="34" t="s">
        <v>6355</v>
      </c>
      <c r="K1870" s="34" t="s">
        <v>788</v>
      </c>
      <c r="L1870" s="34" t="s">
        <v>765</v>
      </c>
      <c r="M1870" s="247">
        <v>14.6</v>
      </c>
      <c r="N1870" s="288" t="s">
        <v>722</v>
      </c>
    </row>
    <row r="1871" spans="1:1095" s="36" customFormat="1" ht="14.25" customHeight="1">
      <c r="A1871" s="3" t="s">
        <v>1722</v>
      </c>
      <c r="B1871" s="36" t="s">
        <v>2113</v>
      </c>
      <c r="C1871" s="10">
        <v>4099854065330</v>
      </c>
      <c r="D1871" s="246"/>
      <c r="E1871" s="249"/>
      <c r="F1871" s="222" t="s">
        <v>3136</v>
      </c>
      <c r="G1871" s="66" t="str">
        <f>HYPERLINK("https://ledvance.com/pt/product-datasheet/251567/238055","Ficha de Produto")</f>
        <v>Ficha de Produto</v>
      </c>
      <c r="H1871" s="217">
        <v>10</v>
      </c>
      <c r="I1871" s="34" t="s">
        <v>6354</v>
      </c>
      <c r="J1871" s="34" t="s">
        <v>6355</v>
      </c>
      <c r="K1871" s="34" t="s">
        <v>788</v>
      </c>
      <c r="L1871" s="34" t="s">
        <v>765</v>
      </c>
      <c r="M1871" s="247">
        <v>12.1</v>
      </c>
      <c r="N1871" s="288" t="s">
        <v>722</v>
      </c>
    </row>
    <row r="1872" spans="1:1095" s="36" customFormat="1" ht="14.25" customHeight="1">
      <c r="A1872" s="3" t="s">
        <v>1722</v>
      </c>
      <c r="B1872" s="36" t="s">
        <v>2114</v>
      </c>
      <c r="C1872" s="10">
        <v>4099854065378</v>
      </c>
      <c r="D1872" s="246"/>
      <c r="E1872" s="249"/>
      <c r="F1872" s="222" t="s">
        <v>3136</v>
      </c>
      <c r="G1872" s="66" t="str">
        <f>HYPERLINK("https://ledvance.com/pt/product-datasheet/251567/238067","Ficha de Produto")</f>
        <v>Ficha de Produto</v>
      </c>
      <c r="H1872" s="217">
        <v>10</v>
      </c>
      <c r="I1872" s="34" t="s">
        <v>6354</v>
      </c>
      <c r="J1872" s="34" t="s">
        <v>6355</v>
      </c>
      <c r="K1872" s="34" t="s">
        <v>788</v>
      </c>
      <c r="L1872" s="34" t="s">
        <v>765</v>
      </c>
      <c r="M1872" s="247">
        <v>12.4</v>
      </c>
      <c r="N1872" s="288" t="s">
        <v>722</v>
      </c>
    </row>
    <row r="1873" spans="1:1095" s="36" customFormat="1" ht="14.25" customHeight="1">
      <c r="A1873" s="3" t="s">
        <v>1722</v>
      </c>
      <c r="B1873" s="36" t="s">
        <v>2115</v>
      </c>
      <c r="C1873" s="10">
        <v>4099854077968</v>
      </c>
      <c r="D1873" s="246"/>
      <c r="E1873" s="249"/>
      <c r="F1873" s="222" t="s">
        <v>3136</v>
      </c>
      <c r="G1873" s="66" t="str">
        <f>HYPERLINK("https://ledvance.com/pt/product-datasheet/251571/241391","Ficha de Produto")</f>
        <v>Ficha de Produto</v>
      </c>
      <c r="H1873" s="217">
        <v>10</v>
      </c>
      <c r="I1873" s="34" t="s">
        <v>6354</v>
      </c>
      <c r="J1873" s="34" t="s">
        <v>6355</v>
      </c>
      <c r="K1873" s="34" t="s">
        <v>788</v>
      </c>
      <c r="L1873" s="34" t="s">
        <v>765</v>
      </c>
      <c r="M1873" s="247">
        <v>10.1</v>
      </c>
      <c r="N1873" s="288" t="s">
        <v>722</v>
      </c>
    </row>
    <row r="1874" spans="1:1095" s="39" customFormat="1" ht="14.25" customHeight="1">
      <c r="A1874" s="8" t="s">
        <v>1722</v>
      </c>
      <c r="B1874" s="244" t="s">
        <v>2116</v>
      </c>
      <c r="C1874" s="8"/>
      <c r="D1874" s="7"/>
      <c r="E1874" s="230"/>
      <c r="F1874" s="7"/>
      <c r="G1874" s="68"/>
      <c r="H1874" s="230"/>
      <c r="I1874" s="230"/>
      <c r="J1874" s="230"/>
      <c r="K1874" s="230"/>
      <c r="L1874" s="230"/>
      <c r="M1874" s="248"/>
      <c r="N1874" s="292"/>
      <c r="O1874" s="38"/>
      <c r="P1874" s="38"/>
      <c r="Q1874" s="38"/>
      <c r="R1874" s="38"/>
      <c r="S1874" s="38"/>
      <c r="T1874" s="38"/>
      <c r="U1874" s="38"/>
      <c r="V1874" s="38"/>
      <c r="W1874" s="38"/>
      <c r="X1874" s="38"/>
      <c r="Y1874" s="38"/>
      <c r="Z1874" s="38"/>
      <c r="AA1874" s="38"/>
      <c r="AB1874" s="38"/>
      <c r="AC1874" s="38"/>
      <c r="AD1874" s="38"/>
      <c r="AE1874" s="38"/>
      <c r="AF1874" s="38"/>
      <c r="AG1874" s="38"/>
      <c r="AH1874" s="38"/>
      <c r="AI1874" s="38"/>
      <c r="AJ1874" s="38"/>
      <c r="AK1874" s="38"/>
      <c r="AL1874" s="38"/>
      <c r="AM1874" s="38"/>
      <c r="AN1874" s="38"/>
      <c r="AO1874" s="38"/>
      <c r="AP1874" s="38"/>
      <c r="AQ1874" s="38"/>
      <c r="AR1874" s="38"/>
      <c r="AS1874" s="38"/>
      <c r="AT1874" s="38"/>
      <c r="AU1874" s="38"/>
      <c r="AV1874" s="38"/>
      <c r="AW1874" s="38"/>
      <c r="AX1874" s="38"/>
      <c r="AY1874" s="38"/>
      <c r="AZ1874" s="38"/>
      <c r="BA1874" s="38"/>
      <c r="BB1874" s="38"/>
      <c r="BC1874" s="38"/>
      <c r="BD1874" s="38"/>
      <c r="BE1874" s="38"/>
      <c r="BF1874" s="38"/>
      <c r="BG1874" s="38"/>
      <c r="BH1874" s="38"/>
      <c r="BI1874" s="38"/>
      <c r="BJ1874" s="38"/>
      <c r="BK1874" s="38"/>
      <c r="BL1874" s="38"/>
      <c r="BM1874" s="38"/>
      <c r="BN1874" s="38"/>
      <c r="BO1874" s="38"/>
      <c r="BP1874" s="38"/>
      <c r="BQ1874" s="38"/>
      <c r="BR1874" s="38"/>
      <c r="BS1874" s="38"/>
      <c r="BT1874" s="38"/>
      <c r="BU1874" s="38"/>
      <c r="BV1874" s="38"/>
      <c r="BW1874" s="38"/>
      <c r="BX1874" s="38"/>
      <c r="BY1874" s="38"/>
      <c r="BZ1874" s="38"/>
      <c r="CA1874" s="38"/>
      <c r="CB1874" s="38"/>
      <c r="CC1874" s="38"/>
      <c r="CD1874" s="38"/>
      <c r="CE1874" s="38"/>
      <c r="CF1874" s="38"/>
      <c r="CG1874" s="38"/>
      <c r="CH1874" s="38"/>
      <c r="CI1874" s="38"/>
      <c r="CJ1874" s="38"/>
      <c r="CK1874" s="38"/>
      <c r="CL1874" s="38"/>
      <c r="CM1874" s="38"/>
      <c r="CN1874" s="38"/>
      <c r="CO1874" s="38"/>
      <c r="CP1874" s="38"/>
      <c r="CQ1874" s="38"/>
      <c r="CR1874" s="38"/>
      <c r="CS1874" s="38"/>
      <c r="CT1874" s="38"/>
      <c r="CU1874" s="38"/>
      <c r="CV1874" s="38"/>
      <c r="CW1874" s="38"/>
      <c r="CX1874" s="38"/>
      <c r="CY1874" s="38"/>
      <c r="CZ1874" s="38"/>
      <c r="DA1874" s="38"/>
      <c r="DB1874" s="38"/>
      <c r="DC1874" s="38"/>
      <c r="DD1874" s="38"/>
      <c r="DE1874" s="38"/>
      <c r="DF1874" s="38"/>
      <c r="DG1874" s="38"/>
      <c r="DH1874" s="38"/>
      <c r="DI1874" s="38"/>
      <c r="DJ1874" s="38"/>
      <c r="DK1874" s="38"/>
      <c r="DL1874" s="38"/>
      <c r="DM1874" s="38"/>
      <c r="DN1874" s="38"/>
      <c r="DO1874" s="38"/>
      <c r="DP1874" s="38"/>
      <c r="DQ1874" s="38"/>
      <c r="DR1874" s="38"/>
      <c r="DS1874" s="38"/>
      <c r="DT1874" s="38"/>
      <c r="DU1874" s="38"/>
      <c r="DV1874" s="38"/>
      <c r="DW1874" s="38"/>
      <c r="DX1874" s="38"/>
      <c r="DY1874" s="38"/>
      <c r="DZ1874" s="38"/>
      <c r="EA1874" s="38"/>
      <c r="EB1874" s="38"/>
      <c r="EC1874" s="38"/>
      <c r="ED1874" s="38"/>
      <c r="EE1874" s="38"/>
      <c r="EF1874" s="38"/>
      <c r="EG1874" s="38"/>
      <c r="EH1874" s="38"/>
      <c r="EI1874" s="38"/>
      <c r="EJ1874" s="38"/>
      <c r="EK1874" s="38"/>
      <c r="EL1874" s="38"/>
      <c r="EM1874" s="38"/>
      <c r="EN1874" s="38"/>
      <c r="EO1874" s="38"/>
      <c r="EP1874" s="38"/>
      <c r="EQ1874" s="38"/>
      <c r="ER1874" s="38"/>
      <c r="ES1874" s="38"/>
      <c r="ET1874" s="38"/>
      <c r="EU1874" s="38"/>
      <c r="EV1874" s="38"/>
      <c r="EW1874" s="38"/>
      <c r="EX1874" s="38"/>
      <c r="EY1874" s="38"/>
      <c r="EZ1874" s="38"/>
      <c r="FA1874" s="38"/>
      <c r="FB1874" s="38"/>
      <c r="FC1874" s="38"/>
      <c r="FD1874" s="38"/>
      <c r="FE1874" s="38"/>
      <c r="FF1874" s="38"/>
      <c r="FG1874" s="38"/>
      <c r="FH1874" s="38"/>
      <c r="FI1874" s="38"/>
      <c r="FJ1874" s="38"/>
      <c r="FK1874" s="38"/>
      <c r="FL1874" s="38"/>
      <c r="FM1874" s="38"/>
      <c r="FN1874" s="38"/>
      <c r="FO1874" s="38"/>
      <c r="FP1874" s="38"/>
      <c r="FQ1874" s="38"/>
      <c r="FR1874" s="38"/>
      <c r="FS1874" s="38"/>
      <c r="FT1874" s="38"/>
      <c r="FU1874" s="38"/>
      <c r="FV1874" s="38"/>
      <c r="FW1874" s="38"/>
      <c r="FX1874" s="38"/>
      <c r="FY1874" s="38"/>
      <c r="FZ1874" s="38"/>
      <c r="GA1874" s="38"/>
      <c r="GB1874" s="38"/>
      <c r="GC1874" s="38"/>
      <c r="GD1874" s="38"/>
      <c r="GE1874" s="38"/>
      <c r="GF1874" s="38"/>
      <c r="GG1874" s="38"/>
      <c r="GH1874" s="38"/>
      <c r="GI1874" s="38"/>
      <c r="GJ1874" s="38"/>
      <c r="GK1874" s="38"/>
      <c r="GL1874" s="38"/>
      <c r="GM1874" s="38"/>
      <c r="GN1874" s="38"/>
      <c r="GO1874" s="38"/>
      <c r="GP1874" s="38"/>
      <c r="GQ1874" s="38"/>
      <c r="GR1874" s="38"/>
      <c r="GS1874" s="38"/>
      <c r="GT1874" s="38"/>
      <c r="GU1874" s="38"/>
      <c r="GV1874" s="38"/>
      <c r="GW1874" s="38"/>
      <c r="GX1874" s="38"/>
      <c r="GY1874" s="38"/>
      <c r="GZ1874" s="38"/>
      <c r="HA1874" s="38"/>
      <c r="HB1874" s="38"/>
      <c r="HC1874" s="38"/>
      <c r="HD1874" s="38"/>
      <c r="HE1874" s="38"/>
      <c r="HF1874" s="38"/>
      <c r="HG1874" s="38"/>
      <c r="HH1874" s="38"/>
      <c r="HI1874" s="38"/>
      <c r="HJ1874" s="38"/>
      <c r="HK1874" s="38"/>
      <c r="HL1874" s="38"/>
      <c r="HM1874" s="38"/>
      <c r="HN1874" s="38"/>
      <c r="HO1874" s="38"/>
      <c r="HP1874" s="38"/>
      <c r="HQ1874" s="38"/>
      <c r="HR1874" s="38"/>
      <c r="HS1874" s="38"/>
      <c r="HT1874" s="38"/>
      <c r="HU1874" s="38"/>
      <c r="HV1874" s="38"/>
      <c r="HW1874" s="38"/>
      <c r="HX1874" s="38"/>
      <c r="HY1874" s="38"/>
      <c r="HZ1874" s="38"/>
      <c r="IA1874" s="38"/>
      <c r="IB1874" s="38"/>
      <c r="IC1874" s="38"/>
      <c r="ID1874" s="38"/>
      <c r="IE1874" s="38"/>
      <c r="IF1874" s="38"/>
      <c r="IG1874" s="38"/>
      <c r="IH1874" s="38"/>
      <c r="II1874" s="38"/>
      <c r="IJ1874" s="38"/>
      <c r="IK1874" s="38"/>
      <c r="IL1874" s="38"/>
      <c r="IM1874" s="38"/>
      <c r="IN1874" s="38"/>
      <c r="IO1874" s="38"/>
      <c r="IP1874" s="38"/>
      <c r="IQ1874" s="38"/>
      <c r="IR1874" s="38"/>
      <c r="IS1874" s="38"/>
      <c r="IT1874" s="38"/>
      <c r="IU1874" s="38"/>
      <c r="IV1874" s="38"/>
      <c r="IW1874" s="38"/>
      <c r="IX1874" s="38"/>
      <c r="IY1874" s="38"/>
      <c r="IZ1874" s="38"/>
      <c r="JA1874" s="38"/>
      <c r="JB1874" s="38"/>
      <c r="JC1874" s="38"/>
      <c r="JD1874" s="38"/>
      <c r="JE1874" s="38"/>
      <c r="JF1874" s="38"/>
      <c r="JG1874" s="38"/>
      <c r="JH1874" s="38"/>
      <c r="JI1874" s="38"/>
      <c r="JJ1874" s="38"/>
      <c r="JK1874" s="38"/>
      <c r="JL1874" s="38"/>
      <c r="JM1874" s="38"/>
      <c r="JN1874" s="38"/>
      <c r="JO1874" s="38"/>
      <c r="JP1874" s="38"/>
      <c r="JQ1874" s="38"/>
      <c r="JR1874" s="38"/>
      <c r="JS1874" s="38"/>
      <c r="JT1874" s="38"/>
      <c r="JU1874" s="38"/>
      <c r="JV1874" s="38"/>
      <c r="JW1874" s="38"/>
      <c r="JX1874" s="38"/>
      <c r="JY1874" s="38"/>
      <c r="JZ1874" s="38"/>
      <c r="KA1874" s="38"/>
      <c r="KB1874" s="38"/>
      <c r="KC1874" s="38"/>
      <c r="KD1874" s="38"/>
      <c r="KE1874" s="38"/>
      <c r="KF1874" s="38"/>
      <c r="KG1874" s="38"/>
      <c r="KH1874" s="38"/>
      <c r="KI1874" s="38"/>
      <c r="KJ1874" s="38"/>
      <c r="KK1874" s="38"/>
      <c r="KL1874" s="38"/>
      <c r="KM1874" s="38"/>
      <c r="KN1874" s="38"/>
      <c r="KO1874" s="38"/>
      <c r="KP1874" s="38"/>
      <c r="KQ1874" s="38"/>
      <c r="KR1874" s="38"/>
      <c r="KS1874" s="38"/>
      <c r="KT1874" s="38"/>
      <c r="KU1874" s="38"/>
      <c r="KV1874" s="38"/>
      <c r="KW1874" s="38"/>
      <c r="KX1874" s="38"/>
      <c r="KY1874" s="38"/>
      <c r="KZ1874" s="38"/>
      <c r="LA1874" s="38"/>
      <c r="LB1874" s="38"/>
      <c r="LC1874" s="38"/>
      <c r="LD1874" s="38"/>
      <c r="LE1874" s="38"/>
      <c r="LF1874" s="38"/>
      <c r="LG1874" s="38"/>
      <c r="LH1874" s="38"/>
      <c r="LI1874" s="38"/>
      <c r="LJ1874" s="38"/>
      <c r="LK1874" s="38"/>
      <c r="LL1874" s="38"/>
      <c r="LM1874" s="38"/>
      <c r="LN1874" s="38"/>
      <c r="LO1874" s="38"/>
      <c r="LP1874" s="38"/>
      <c r="LQ1874" s="38"/>
      <c r="LR1874" s="38"/>
      <c r="LS1874" s="38"/>
      <c r="LT1874" s="38"/>
      <c r="LU1874" s="38"/>
      <c r="LV1874" s="38"/>
      <c r="LW1874" s="38"/>
      <c r="LX1874" s="38"/>
      <c r="LY1874" s="38"/>
      <c r="LZ1874" s="38"/>
      <c r="MA1874" s="38"/>
      <c r="MB1874" s="38"/>
      <c r="MC1874" s="38"/>
      <c r="MD1874" s="38"/>
      <c r="ME1874" s="38"/>
      <c r="MF1874" s="38"/>
      <c r="MG1874" s="38"/>
      <c r="MH1874" s="38"/>
      <c r="MI1874" s="38"/>
      <c r="MJ1874" s="38"/>
      <c r="MK1874" s="38"/>
      <c r="ML1874" s="38"/>
      <c r="MM1874" s="38"/>
      <c r="MN1874" s="38"/>
      <c r="MO1874" s="38"/>
      <c r="MP1874" s="38"/>
      <c r="MQ1874" s="38"/>
      <c r="MR1874" s="38"/>
      <c r="MS1874" s="38"/>
      <c r="MT1874" s="38"/>
      <c r="MU1874" s="38"/>
      <c r="MV1874" s="38"/>
      <c r="MW1874" s="38"/>
      <c r="MX1874" s="38"/>
      <c r="MY1874" s="38"/>
      <c r="MZ1874" s="38"/>
      <c r="NA1874" s="38"/>
      <c r="NB1874" s="38"/>
      <c r="NC1874" s="38"/>
      <c r="ND1874" s="38"/>
      <c r="NE1874" s="38"/>
      <c r="NF1874" s="38"/>
      <c r="NG1874" s="38"/>
      <c r="NH1874" s="38"/>
      <c r="NI1874" s="38"/>
      <c r="NJ1874" s="38"/>
      <c r="NK1874" s="38"/>
      <c r="NL1874" s="38"/>
      <c r="NM1874" s="38"/>
      <c r="NN1874" s="38"/>
      <c r="NO1874" s="38"/>
      <c r="NP1874" s="38"/>
      <c r="NQ1874" s="38"/>
      <c r="NR1874" s="38"/>
      <c r="NS1874" s="38"/>
      <c r="NT1874" s="38"/>
      <c r="NU1874" s="38"/>
      <c r="NV1874" s="38"/>
      <c r="NW1874" s="38"/>
      <c r="NX1874" s="38"/>
      <c r="NY1874" s="38"/>
      <c r="NZ1874" s="38"/>
      <c r="OA1874" s="38"/>
      <c r="OB1874" s="38"/>
      <c r="OC1874" s="38"/>
      <c r="OD1874" s="38"/>
      <c r="OE1874" s="38"/>
      <c r="OF1874" s="38"/>
      <c r="OG1874" s="38"/>
      <c r="OH1874" s="38"/>
      <c r="OI1874" s="38"/>
      <c r="OJ1874" s="38"/>
      <c r="OK1874" s="38"/>
      <c r="OL1874" s="38"/>
      <c r="OM1874" s="38"/>
      <c r="ON1874" s="38"/>
      <c r="OO1874" s="38"/>
      <c r="OP1874" s="38"/>
      <c r="OQ1874" s="38"/>
      <c r="OR1874" s="38"/>
      <c r="OS1874" s="38"/>
      <c r="OT1874" s="38"/>
      <c r="OU1874" s="38"/>
      <c r="OV1874" s="38"/>
      <c r="OW1874" s="38"/>
      <c r="OX1874" s="38"/>
      <c r="OY1874" s="38"/>
      <c r="OZ1874" s="38"/>
      <c r="PA1874" s="38"/>
      <c r="PB1874" s="38"/>
      <c r="PC1874" s="38"/>
      <c r="PD1874" s="38"/>
      <c r="PE1874" s="38"/>
      <c r="PF1874" s="38"/>
      <c r="PG1874" s="38"/>
      <c r="PH1874" s="38"/>
      <c r="PI1874" s="38"/>
      <c r="PJ1874" s="38"/>
      <c r="PK1874" s="38"/>
      <c r="PL1874" s="38"/>
      <c r="PM1874" s="38"/>
      <c r="PN1874" s="38"/>
      <c r="PO1874" s="38"/>
      <c r="PP1874" s="38"/>
      <c r="PQ1874" s="38"/>
      <c r="PR1874" s="38"/>
      <c r="PS1874" s="38"/>
      <c r="PT1874" s="38"/>
      <c r="PU1874" s="38"/>
      <c r="PV1874" s="38"/>
      <c r="PW1874" s="38"/>
      <c r="PX1874" s="38"/>
      <c r="PY1874" s="38"/>
      <c r="PZ1874" s="38"/>
      <c r="QA1874" s="38"/>
      <c r="QB1874" s="38"/>
      <c r="QC1874" s="38"/>
      <c r="QD1874" s="38"/>
      <c r="QE1874" s="38"/>
      <c r="QF1874" s="38"/>
      <c r="QG1874" s="38"/>
      <c r="QH1874" s="38"/>
      <c r="QI1874" s="38"/>
      <c r="QJ1874" s="38"/>
      <c r="QK1874" s="38"/>
      <c r="QL1874" s="38"/>
      <c r="QM1874" s="38"/>
      <c r="QN1874" s="38"/>
      <c r="QO1874" s="38"/>
      <c r="QP1874" s="38"/>
      <c r="QQ1874" s="38"/>
      <c r="QR1874" s="38"/>
      <c r="QS1874" s="38"/>
      <c r="QT1874" s="38"/>
      <c r="QU1874" s="38"/>
      <c r="QV1874" s="38"/>
      <c r="QW1874" s="38"/>
      <c r="QX1874" s="38"/>
      <c r="QY1874" s="38"/>
      <c r="QZ1874" s="38"/>
      <c r="RA1874" s="38"/>
      <c r="RB1874" s="38"/>
      <c r="RC1874" s="38"/>
      <c r="RD1874" s="38"/>
      <c r="RE1874" s="38"/>
      <c r="RF1874" s="38"/>
      <c r="RG1874" s="38"/>
      <c r="RH1874" s="38"/>
      <c r="RI1874" s="38"/>
      <c r="RJ1874" s="38"/>
      <c r="RK1874" s="38"/>
      <c r="RL1874" s="38"/>
      <c r="RM1874" s="38"/>
      <c r="RN1874" s="38"/>
      <c r="RO1874" s="38"/>
      <c r="RP1874" s="38"/>
      <c r="RQ1874" s="38"/>
      <c r="RR1874" s="38"/>
      <c r="RS1874" s="38"/>
      <c r="RT1874" s="38"/>
      <c r="RU1874" s="38"/>
      <c r="RV1874" s="38"/>
      <c r="RW1874" s="38"/>
      <c r="RX1874" s="38"/>
      <c r="RY1874" s="38"/>
      <c r="RZ1874" s="38"/>
      <c r="SA1874" s="38"/>
      <c r="SB1874" s="38"/>
      <c r="SC1874" s="38"/>
      <c r="SD1874" s="38"/>
      <c r="SE1874" s="38"/>
      <c r="SF1874" s="38"/>
      <c r="SG1874" s="38"/>
      <c r="SH1874" s="38"/>
      <c r="SI1874" s="38"/>
      <c r="SJ1874" s="38"/>
      <c r="SK1874" s="38"/>
      <c r="SL1874" s="38"/>
      <c r="SM1874" s="38"/>
      <c r="SN1874" s="38"/>
      <c r="SO1874" s="38"/>
      <c r="SP1874" s="38"/>
      <c r="SQ1874" s="38"/>
      <c r="SR1874" s="38"/>
      <c r="SS1874" s="38"/>
      <c r="ST1874" s="38"/>
      <c r="SU1874" s="38"/>
      <c r="SV1874" s="38"/>
      <c r="SW1874" s="38"/>
      <c r="SX1874" s="38"/>
      <c r="SY1874" s="38"/>
      <c r="SZ1874" s="38"/>
      <c r="TA1874" s="38"/>
      <c r="TB1874" s="38"/>
      <c r="TC1874" s="38"/>
      <c r="TD1874" s="38"/>
      <c r="TE1874" s="38"/>
      <c r="TF1874" s="38"/>
      <c r="TG1874" s="38"/>
      <c r="TH1874" s="38"/>
      <c r="TI1874" s="38"/>
      <c r="TJ1874" s="38"/>
      <c r="TK1874" s="38"/>
      <c r="TL1874" s="38"/>
      <c r="TM1874" s="38"/>
      <c r="TN1874" s="38"/>
      <c r="TO1874" s="38"/>
      <c r="TP1874" s="38"/>
      <c r="TQ1874" s="38"/>
      <c r="TR1874" s="38"/>
      <c r="TS1874" s="38"/>
      <c r="TT1874" s="38"/>
      <c r="TU1874" s="38"/>
      <c r="TV1874" s="38"/>
      <c r="TW1874" s="38"/>
      <c r="TX1874" s="38"/>
      <c r="TY1874" s="38"/>
      <c r="TZ1874" s="38"/>
      <c r="UA1874" s="38"/>
      <c r="UB1874" s="38"/>
      <c r="UC1874" s="38"/>
      <c r="UD1874" s="38"/>
      <c r="UE1874" s="38"/>
      <c r="UF1874" s="38"/>
      <c r="UG1874" s="38"/>
      <c r="UH1874" s="38"/>
      <c r="UI1874" s="38"/>
      <c r="UJ1874" s="38"/>
      <c r="UK1874" s="38"/>
      <c r="UL1874" s="38"/>
      <c r="UM1874" s="38"/>
      <c r="UN1874" s="38"/>
      <c r="UO1874" s="38"/>
      <c r="UP1874" s="38"/>
      <c r="UQ1874" s="38"/>
      <c r="UR1874" s="38"/>
      <c r="US1874" s="38"/>
      <c r="UT1874" s="38"/>
      <c r="UU1874" s="38"/>
      <c r="UV1874" s="38"/>
      <c r="UW1874" s="38"/>
      <c r="UX1874" s="38"/>
      <c r="UY1874" s="38"/>
      <c r="UZ1874" s="38"/>
      <c r="VA1874" s="38"/>
      <c r="VB1874" s="38"/>
      <c r="VC1874" s="38"/>
      <c r="VD1874" s="38"/>
      <c r="VE1874" s="38"/>
      <c r="VF1874" s="38"/>
      <c r="VG1874" s="38"/>
      <c r="VH1874" s="38"/>
      <c r="VI1874" s="38"/>
      <c r="VJ1874" s="38"/>
      <c r="VK1874" s="38"/>
      <c r="VL1874" s="38"/>
      <c r="VM1874" s="38"/>
      <c r="VN1874" s="38"/>
      <c r="VO1874" s="38"/>
      <c r="VP1874" s="38"/>
      <c r="VQ1874" s="38"/>
      <c r="VR1874" s="38"/>
      <c r="VS1874" s="38"/>
      <c r="VT1874" s="38"/>
      <c r="VU1874" s="38"/>
      <c r="VV1874" s="38"/>
      <c r="VW1874" s="38"/>
      <c r="VX1874" s="38"/>
      <c r="VY1874" s="38"/>
      <c r="VZ1874" s="38"/>
      <c r="WA1874" s="38"/>
      <c r="WB1874" s="38"/>
      <c r="WC1874" s="38"/>
      <c r="WD1874" s="38"/>
      <c r="WE1874" s="38"/>
      <c r="WF1874" s="38"/>
      <c r="WG1874" s="38"/>
      <c r="WH1874" s="38"/>
      <c r="WI1874" s="38"/>
      <c r="WJ1874" s="38"/>
      <c r="WK1874" s="38"/>
      <c r="WL1874" s="38"/>
      <c r="WM1874" s="38"/>
      <c r="WN1874" s="38"/>
      <c r="WO1874" s="38"/>
      <c r="WP1874" s="38"/>
      <c r="WQ1874" s="38"/>
      <c r="WR1874" s="38"/>
      <c r="WS1874" s="38"/>
      <c r="WT1874" s="38"/>
      <c r="WU1874" s="38"/>
      <c r="WV1874" s="38"/>
      <c r="WW1874" s="38"/>
      <c r="WX1874" s="38"/>
      <c r="WY1874" s="38"/>
      <c r="WZ1874" s="38"/>
      <c r="XA1874" s="38"/>
      <c r="XB1874" s="38"/>
      <c r="XC1874" s="38"/>
      <c r="XD1874" s="38"/>
      <c r="XE1874" s="38"/>
      <c r="XF1874" s="38"/>
      <c r="XG1874" s="38"/>
      <c r="XH1874" s="38"/>
      <c r="XI1874" s="38"/>
      <c r="XJ1874" s="38"/>
      <c r="XK1874" s="38"/>
      <c r="XL1874" s="38"/>
      <c r="XM1874" s="38"/>
      <c r="XN1874" s="38"/>
      <c r="XO1874" s="38"/>
      <c r="XP1874" s="38"/>
      <c r="XQ1874" s="38"/>
      <c r="XR1874" s="38"/>
      <c r="XS1874" s="38"/>
      <c r="XT1874" s="38"/>
      <c r="XU1874" s="38"/>
      <c r="XV1874" s="38"/>
      <c r="XW1874" s="38"/>
      <c r="XX1874" s="38"/>
      <c r="XY1874" s="38"/>
      <c r="XZ1874" s="38"/>
      <c r="YA1874" s="38"/>
      <c r="YB1874" s="38"/>
      <c r="YC1874" s="38"/>
      <c r="YD1874" s="38"/>
      <c r="YE1874" s="38"/>
      <c r="YF1874" s="38"/>
      <c r="YG1874" s="38"/>
      <c r="YH1874" s="38"/>
      <c r="YI1874" s="38"/>
      <c r="YJ1874" s="38"/>
      <c r="YK1874" s="38"/>
      <c r="YL1874" s="38"/>
      <c r="YM1874" s="38"/>
      <c r="YN1874" s="38"/>
      <c r="YO1874" s="38"/>
      <c r="YP1874" s="38"/>
      <c r="YQ1874" s="38"/>
      <c r="YR1874" s="38"/>
      <c r="YS1874" s="38"/>
      <c r="YT1874" s="38"/>
      <c r="YU1874" s="38"/>
      <c r="YV1874" s="38"/>
      <c r="YW1874" s="38"/>
      <c r="YX1874" s="38"/>
      <c r="YY1874" s="38"/>
      <c r="YZ1874" s="38"/>
      <c r="ZA1874" s="38"/>
      <c r="ZB1874" s="38"/>
      <c r="ZC1874" s="38"/>
      <c r="ZD1874" s="38"/>
      <c r="ZE1874" s="38"/>
      <c r="ZF1874" s="38"/>
      <c r="ZG1874" s="38"/>
      <c r="ZH1874" s="38"/>
      <c r="ZI1874" s="38"/>
      <c r="ZJ1874" s="38"/>
      <c r="ZK1874" s="38"/>
      <c r="ZL1874" s="38"/>
      <c r="ZM1874" s="38"/>
      <c r="ZN1874" s="38"/>
      <c r="ZO1874" s="38"/>
      <c r="ZP1874" s="38"/>
      <c r="ZQ1874" s="38"/>
      <c r="ZR1874" s="38"/>
      <c r="ZS1874" s="38"/>
      <c r="ZT1874" s="38"/>
      <c r="ZU1874" s="38"/>
      <c r="ZV1874" s="38"/>
      <c r="ZW1874" s="38"/>
      <c r="ZX1874" s="38"/>
      <c r="ZY1874" s="38"/>
      <c r="ZZ1874" s="38"/>
      <c r="AAA1874" s="38"/>
      <c r="AAB1874" s="38"/>
      <c r="AAC1874" s="38"/>
      <c r="AAD1874" s="38"/>
      <c r="AAE1874" s="38"/>
      <c r="AAF1874" s="38"/>
      <c r="AAG1874" s="38"/>
      <c r="AAH1874" s="38"/>
      <c r="AAI1874" s="38"/>
      <c r="AAJ1874" s="38"/>
      <c r="AAK1874" s="38"/>
      <c r="AAL1874" s="38"/>
      <c r="AAM1874" s="38"/>
      <c r="AAN1874" s="38"/>
      <c r="AAO1874" s="38"/>
      <c r="AAP1874" s="38"/>
      <c r="AAQ1874" s="38"/>
      <c r="AAR1874" s="38"/>
      <c r="AAS1874" s="38"/>
      <c r="AAT1874" s="38"/>
      <c r="AAU1874" s="38"/>
      <c r="AAV1874" s="38"/>
      <c r="AAW1874" s="38"/>
      <c r="AAX1874" s="38"/>
      <c r="AAY1874" s="38"/>
      <c r="AAZ1874" s="38"/>
      <c r="ABA1874" s="38"/>
      <c r="ABB1874" s="38"/>
      <c r="ABC1874" s="38"/>
      <c r="ABD1874" s="38"/>
      <c r="ABE1874" s="38"/>
      <c r="ABF1874" s="38"/>
      <c r="ABG1874" s="38"/>
      <c r="ABH1874" s="38"/>
      <c r="ABI1874" s="38"/>
      <c r="ABJ1874" s="38"/>
      <c r="ABK1874" s="38"/>
      <c r="ABL1874" s="38"/>
      <c r="ABM1874" s="38"/>
      <c r="ABN1874" s="38"/>
      <c r="ABO1874" s="38"/>
      <c r="ABP1874" s="38"/>
      <c r="ABQ1874" s="38"/>
      <c r="ABR1874" s="38"/>
      <c r="ABS1874" s="38"/>
      <c r="ABT1874" s="38"/>
      <c r="ABU1874" s="38"/>
      <c r="ABV1874" s="38"/>
      <c r="ABW1874" s="38"/>
      <c r="ABX1874" s="38"/>
      <c r="ABY1874" s="38"/>
      <c r="ABZ1874" s="38"/>
      <c r="ACA1874" s="38"/>
      <c r="ACB1874" s="38"/>
      <c r="ACC1874" s="38"/>
      <c r="ACD1874" s="38"/>
      <c r="ACE1874" s="38"/>
      <c r="ACF1874" s="38"/>
      <c r="ACG1874" s="38"/>
      <c r="ACH1874" s="38"/>
      <c r="ACI1874" s="38"/>
      <c r="ACJ1874" s="38"/>
      <c r="ACK1874" s="38"/>
      <c r="ACL1874" s="38"/>
      <c r="ACM1874" s="38"/>
      <c r="ACN1874" s="38"/>
      <c r="ACO1874" s="38"/>
      <c r="ACP1874" s="38"/>
      <c r="ACQ1874" s="38"/>
      <c r="ACR1874" s="38"/>
      <c r="ACS1874" s="38"/>
      <c r="ACT1874" s="38"/>
      <c r="ACU1874" s="38"/>
      <c r="ACV1874" s="38"/>
      <c r="ACW1874" s="38"/>
      <c r="ACX1874" s="38"/>
      <c r="ACY1874" s="38"/>
      <c r="ACZ1874" s="38"/>
      <c r="ADA1874" s="38"/>
      <c r="ADB1874" s="38"/>
      <c r="ADC1874" s="38"/>
      <c r="ADD1874" s="38"/>
      <c r="ADE1874" s="38"/>
      <c r="ADF1874" s="38"/>
      <c r="ADG1874" s="38"/>
      <c r="ADH1874" s="38"/>
      <c r="ADI1874" s="38"/>
      <c r="ADJ1874" s="38"/>
      <c r="ADK1874" s="38"/>
      <c r="ADL1874" s="38"/>
      <c r="ADM1874" s="38"/>
      <c r="ADN1874" s="38"/>
      <c r="ADO1874" s="38"/>
      <c r="ADP1874" s="38"/>
      <c r="ADQ1874" s="38"/>
      <c r="ADR1874" s="38"/>
      <c r="ADS1874" s="38"/>
      <c r="ADT1874" s="38"/>
      <c r="ADU1874" s="38"/>
      <c r="ADV1874" s="38"/>
      <c r="ADW1874" s="38"/>
      <c r="ADX1874" s="38"/>
      <c r="ADY1874" s="38"/>
      <c r="ADZ1874" s="38"/>
      <c r="AEA1874" s="38"/>
      <c r="AEB1874" s="38"/>
      <c r="AEC1874" s="38"/>
      <c r="AED1874" s="38"/>
      <c r="AEE1874" s="38"/>
      <c r="AEF1874" s="38"/>
      <c r="AEG1874" s="38"/>
      <c r="AEH1874" s="38"/>
      <c r="AEI1874" s="38"/>
      <c r="AEJ1874" s="38"/>
      <c r="AEK1874" s="38"/>
      <c r="AEL1874" s="38"/>
      <c r="AEM1874" s="38"/>
      <c r="AEN1874" s="38"/>
      <c r="AEO1874" s="38"/>
      <c r="AEP1874" s="38"/>
      <c r="AEQ1874" s="38"/>
      <c r="AER1874" s="38"/>
      <c r="AES1874" s="38"/>
      <c r="AET1874" s="38"/>
      <c r="AEU1874" s="38"/>
      <c r="AEV1874" s="38"/>
      <c r="AEW1874" s="38"/>
      <c r="AEX1874" s="38"/>
      <c r="AEY1874" s="38"/>
      <c r="AEZ1874" s="38"/>
      <c r="AFA1874" s="38"/>
      <c r="AFB1874" s="38"/>
      <c r="AFC1874" s="38"/>
      <c r="AFD1874" s="38"/>
      <c r="AFE1874" s="38"/>
      <c r="AFF1874" s="38"/>
      <c r="AFG1874" s="38"/>
      <c r="AFH1874" s="38"/>
      <c r="AFI1874" s="38"/>
      <c r="AFJ1874" s="38"/>
      <c r="AFK1874" s="38"/>
      <c r="AFL1874" s="38"/>
      <c r="AFM1874" s="38"/>
      <c r="AFN1874" s="38"/>
      <c r="AFO1874" s="38"/>
      <c r="AFP1874" s="38"/>
      <c r="AFQ1874" s="38"/>
      <c r="AFR1874" s="38"/>
      <c r="AFS1874" s="38"/>
      <c r="AFT1874" s="38"/>
      <c r="AFU1874" s="38"/>
      <c r="AFV1874" s="38"/>
      <c r="AFW1874" s="38"/>
      <c r="AFX1874" s="38"/>
      <c r="AFY1874" s="38"/>
      <c r="AFZ1874" s="38"/>
      <c r="AGA1874" s="38"/>
      <c r="AGB1874" s="38"/>
      <c r="AGC1874" s="38"/>
      <c r="AGD1874" s="38"/>
      <c r="AGE1874" s="38"/>
      <c r="AGF1874" s="38"/>
      <c r="AGG1874" s="38"/>
      <c r="AGH1874" s="38"/>
      <c r="AGI1874" s="38"/>
      <c r="AGJ1874" s="38"/>
      <c r="AGK1874" s="38"/>
      <c r="AGL1874" s="38"/>
      <c r="AGM1874" s="38"/>
      <c r="AGN1874" s="38"/>
      <c r="AGO1874" s="38"/>
      <c r="AGP1874" s="38"/>
      <c r="AGQ1874" s="38"/>
      <c r="AGR1874" s="38"/>
      <c r="AGS1874" s="38"/>
      <c r="AGT1874" s="38"/>
      <c r="AGU1874" s="38"/>
      <c r="AGV1874" s="38"/>
      <c r="AGW1874" s="38"/>
      <c r="AGX1874" s="38"/>
      <c r="AGY1874" s="38"/>
      <c r="AGZ1874" s="38"/>
      <c r="AHA1874" s="38"/>
      <c r="AHB1874" s="38"/>
      <c r="AHC1874" s="38"/>
      <c r="AHD1874" s="38"/>
      <c r="AHE1874" s="38"/>
      <c r="AHF1874" s="38"/>
      <c r="AHG1874" s="38"/>
      <c r="AHH1874" s="38"/>
      <c r="AHI1874" s="38"/>
      <c r="AHJ1874" s="38"/>
      <c r="AHK1874" s="38"/>
      <c r="AHL1874" s="38"/>
      <c r="AHM1874" s="38"/>
      <c r="AHN1874" s="38"/>
      <c r="AHO1874" s="38"/>
      <c r="AHP1874" s="38"/>
      <c r="AHQ1874" s="38"/>
      <c r="AHR1874" s="38"/>
      <c r="AHS1874" s="38"/>
      <c r="AHT1874" s="38"/>
      <c r="AHU1874" s="38"/>
      <c r="AHV1874" s="38"/>
      <c r="AHW1874" s="38"/>
      <c r="AHX1874" s="38"/>
      <c r="AHY1874" s="38"/>
      <c r="AHZ1874" s="38"/>
      <c r="AIA1874" s="38"/>
      <c r="AIB1874" s="38"/>
      <c r="AIC1874" s="38"/>
      <c r="AID1874" s="38"/>
      <c r="AIE1874" s="38"/>
      <c r="AIF1874" s="38"/>
      <c r="AIG1874" s="38"/>
      <c r="AIH1874" s="38"/>
      <c r="AII1874" s="38"/>
      <c r="AIJ1874" s="38"/>
      <c r="AIK1874" s="38"/>
      <c r="AIL1874" s="38"/>
      <c r="AIM1874" s="38"/>
      <c r="AIN1874" s="38"/>
      <c r="AIO1874" s="38"/>
      <c r="AIP1874" s="38"/>
      <c r="AIQ1874" s="38"/>
      <c r="AIR1874" s="38"/>
      <c r="AIS1874" s="38"/>
      <c r="AIT1874" s="38"/>
      <c r="AIU1874" s="38"/>
      <c r="AIV1874" s="38"/>
      <c r="AIW1874" s="38"/>
      <c r="AIX1874" s="38"/>
      <c r="AIY1874" s="38"/>
      <c r="AIZ1874" s="38"/>
      <c r="AJA1874" s="38"/>
      <c r="AJB1874" s="38"/>
      <c r="AJC1874" s="38"/>
      <c r="AJD1874" s="38"/>
      <c r="AJE1874" s="38"/>
      <c r="AJF1874" s="38"/>
      <c r="AJG1874" s="38"/>
      <c r="AJH1874" s="38"/>
      <c r="AJI1874" s="38"/>
      <c r="AJJ1874" s="38"/>
      <c r="AJK1874" s="38"/>
      <c r="AJL1874" s="38"/>
      <c r="AJM1874" s="38"/>
      <c r="AJN1874" s="38"/>
      <c r="AJO1874" s="38"/>
      <c r="AJP1874" s="38"/>
      <c r="AJQ1874" s="38"/>
      <c r="AJR1874" s="38"/>
      <c r="AJS1874" s="38"/>
      <c r="AJT1874" s="38"/>
      <c r="AJU1874" s="38"/>
      <c r="AJV1874" s="38"/>
      <c r="AJW1874" s="38"/>
      <c r="AJX1874" s="38"/>
      <c r="AJY1874" s="38"/>
      <c r="AJZ1874" s="38"/>
      <c r="AKA1874" s="38"/>
      <c r="AKB1874" s="38"/>
      <c r="AKC1874" s="38"/>
      <c r="AKD1874" s="38"/>
      <c r="AKE1874" s="38"/>
      <c r="AKF1874" s="38"/>
      <c r="AKG1874" s="38"/>
      <c r="AKH1874" s="38"/>
      <c r="AKI1874" s="38"/>
      <c r="AKJ1874" s="38"/>
      <c r="AKK1874" s="38"/>
      <c r="AKL1874" s="38"/>
      <c r="AKM1874" s="38"/>
      <c r="AKN1874" s="38"/>
      <c r="AKO1874" s="38"/>
      <c r="AKP1874" s="38"/>
      <c r="AKQ1874" s="38"/>
      <c r="AKR1874" s="38"/>
      <c r="AKS1874" s="38"/>
      <c r="AKT1874" s="38"/>
      <c r="AKU1874" s="38"/>
      <c r="AKV1874" s="38"/>
      <c r="AKW1874" s="38"/>
      <c r="AKX1874" s="38"/>
      <c r="AKY1874" s="38"/>
      <c r="AKZ1874" s="38"/>
      <c r="ALA1874" s="38"/>
      <c r="ALB1874" s="38"/>
      <c r="ALC1874" s="38"/>
      <c r="ALD1874" s="38"/>
      <c r="ALE1874" s="38"/>
      <c r="ALF1874" s="38"/>
      <c r="ALG1874" s="38"/>
      <c r="ALH1874" s="38"/>
      <c r="ALI1874" s="38"/>
      <c r="ALJ1874" s="38"/>
      <c r="ALK1874" s="38"/>
      <c r="ALL1874" s="38"/>
      <c r="ALM1874" s="38"/>
      <c r="ALN1874" s="38"/>
      <c r="ALO1874" s="38"/>
      <c r="ALP1874" s="38"/>
      <c r="ALQ1874" s="38"/>
      <c r="ALR1874" s="38"/>
      <c r="ALS1874" s="38"/>
      <c r="ALT1874" s="38"/>
      <c r="ALU1874" s="38"/>
      <c r="ALV1874" s="38"/>
      <c r="ALW1874" s="38"/>
      <c r="ALX1874" s="38"/>
      <c r="ALY1874" s="38"/>
      <c r="ALZ1874" s="38"/>
      <c r="AMA1874" s="38"/>
      <c r="AMB1874" s="38"/>
      <c r="AMC1874" s="38"/>
      <c r="AMD1874" s="38"/>
      <c r="AME1874" s="38"/>
      <c r="AMF1874" s="38"/>
      <c r="AMG1874" s="38"/>
      <c r="AMH1874" s="38"/>
      <c r="AMI1874" s="38"/>
      <c r="AMJ1874" s="38"/>
      <c r="AMK1874" s="38"/>
      <c r="AML1874" s="38"/>
      <c r="AMM1874" s="38"/>
      <c r="AMN1874" s="38"/>
      <c r="AMO1874" s="38"/>
      <c r="AMP1874" s="38"/>
      <c r="AMQ1874" s="38"/>
      <c r="AMR1874" s="38"/>
      <c r="AMS1874" s="38"/>
      <c r="AMT1874" s="38"/>
      <c r="AMU1874" s="38"/>
      <c r="AMV1874" s="38"/>
      <c r="AMW1874" s="38"/>
      <c r="AMX1874" s="38"/>
      <c r="AMY1874" s="38"/>
      <c r="AMZ1874" s="38"/>
      <c r="ANA1874" s="38"/>
      <c r="ANB1874" s="38"/>
      <c r="ANC1874" s="38"/>
      <c r="AND1874" s="38"/>
      <c r="ANE1874" s="38"/>
      <c r="ANF1874" s="38"/>
      <c r="ANG1874" s="38"/>
      <c r="ANH1874" s="38"/>
      <c r="ANI1874" s="38"/>
      <c r="ANJ1874" s="38"/>
      <c r="ANK1874" s="38"/>
      <c r="ANL1874" s="38"/>
      <c r="ANM1874" s="38"/>
      <c r="ANN1874" s="38"/>
      <c r="ANO1874" s="38"/>
      <c r="ANP1874" s="38"/>
      <c r="ANQ1874" s="38"/>
      <c r="ANR1874" s="38"/>
      <c r="ANS1874" s="38"/>
      <c r="ANT1874" s="38"/>
      <c r="ANU1874" s="38"/>
      <c r="ANV1874" s="38"/>
      <c r="ANW1874" s="38"/>
      <c r="ANX1874" s="38"/>
      <c r="ANY1874" s="38"/>
      <c r="ANZ1874" s="38"/>
      <c r="AOA1874" s="38"/>
      <c r="AOB1874" s="38"/>
      <c r="AOC1874" s="38"/>
      <c r="AOD1874" s="38"/>
      <c r="AOE1874" s="38"/>
      <c r="AOF1874" s="38"/>
      <c r="AOG1874" s="38"/>
      <c r="AOH1874" s="38"/>
      <c r="AOI1874" s="38"/>
      <c r="AOJ1874" s="38"/>
      <c r="AOK1874" s="38"/>
      <c r="AOL1874" s="38"/>
      <c r="AOM1874" s="38"/>
      <c r="AON1874" s="38"/>
      <c r="AOO1874" s="38"/>
      <c r="AOP1874" s="38"/>
      <c r="AOQ1874" s="38"/>
      <c r="AOR1874" s="38"/>
      <c r="AOS1874" s="38"/>
      <c r="AOT1874" s="38"/>
      <c r="AOU1874" s="38"/>
      <c r="AOV1874" s="38"/>
      <c r="AOW1874" s="38"/>
      <c r="AOX1874" s="38"/>
      <c r="AOY1874" s="38"/>
      <c r="AOZ1874" s="38"/>
      <c r="APA1874" s="38"/>
      <c r="APB1874" s="38"/>
      <c r="APC1874" s="38"/>
    </row>
    <row r="1875" spans="1:1095" s="36" customFormat="1" ht="14.25" customHeight="1">
      <c r="A1875" s="3" t="s">
        <v>1722</v>
      </c>
      <c r="B1875" s="36" t="s">
        <v>2117</v>
      </c>
      <c r="C1875" s="10">
        <v>4099854059957</v>
      </c>
      <c r="D1875" s="224">
        <v>4058075747784</v>
      </c>
      <c r="E1875" s="245" t="s">
        <v>2118</v>
      </c>
      <c r="F1875" s="246"/>
      <c r="G1875" s="66" t="str">
        <f>HYPERLINK("https://ledvance.com/pt/product-datasheet/251530/237047","Ficha de Produto")</f>
        <v>Ficha de Produto</v>
      </c>
      <c r="H1875" s="217">
        <v>6</v>
      </c>
      <c r="I1875" s="34" t="s">
        <v>6349</v>
      </c>
      <c r="J1875" s="34" t="s">
        <v>6356</v>
      </c>
      <c r="K1875" s="34" t="s">
        <v>788</v>
      </c>
      <c r="L1875" s="34" t="s">
        <v>765</v>
      </c>
      <c r="M1875" s="247">
        <v>26.200000000000003</v>
      </c>
      <c r="N1875" s="288" t="s">
        <v>722</v>
      </c>
    </row>
    <row r="1876" spans="1:1095" s="36" customFormat="1" ht="14.25" customHeight="1">
      <c r="A1876" s="3" t="s">
        <v>1722</v>
      </c>
      <c r="B1876" s="36" t="s">
        <v>2119</v>
      </c>
      <c r="C1876" s="10">
        <v>4099854059995</v>
      </c>
      <c r="D1876" s="224">
        <v>4058075747807</v>
      </c>
      <c r="E1876" s="245" t="s">
        <v>2120</v>
      </c>
      <c r="F1876" s="246"/>
      <c r="G1876" s="66" t="str">
        <f>HYPERLINK("https://ledvance.com/pt/product-datasheet/251530/237053","Ficha de Produto")</f>
        <v>Ficha de Produto</v>
      </c>
      <c r="H1876" s="217">
        <v>6</v>
      </c>
      <c r="I1876" s="34" t="s">
        <v>6354</v>
      </c>
      <c r="J1876" s="34" t="s">
        <v>6357</v>
      </c>
      <c r="K1876" s="34" t="s">
        <v>788</v>
      </c>
      <c r="L1876" s="34" t="s">
        <v>765</v>
      </c>
      <c r="M1876" s="247">
        <v>23.8</v>
      </c>
      <c r="N1876" s="288" t="s">
        <v>722</v>
      </c>
    </row>
    <row r="1877" spans="1:1095" s="36" customFormat="1" ht="14.25" customHeight="1">
      <c r="A1877" s="3" t="s">
        <v>1722</v>
      </c>
      <c r="B1877" s="36" t="s">
        <v>2121</v>
      </c>
      <c r="C1877" s="10">
        <v>4099854060052</v>
      </c>
      <c r="D1877" s="246"/>
      <c r="E1877" s="249"/>
      <c r="F1877" s="222" t="s">
        <v>3136</v>
      </c>
      <c r="G1877" s="66" t="str">
        <f>HYPERLINK("https://ledvance.com/pt/product-datasheet/251530/237083","Ficha de Produto")</f>
        <v>Ficha de Produto</v>
      </c>
      <c r="H1877" s="217">
        <v>6</v>
      </c>
      <c r="I1877" s="34" t="s">
        <v>6349</v>
      </c>
      <c r="J1877" s="34" t="s">
        <v>6356</v>
      </c>
      <c r="K1877" s="34" t="s">
        <v>788</v>
      </c>
      <c r="L1877" s="34" t="s">
        <v>765</v>
      </c>
      <c r="M1877" s="247">
        <v>25.5</v>
      </c>
      <c r="N1877" s="288" t="s">
        <v>722</v>
      </c>
    </row>
    <row r="1878" spans="1:1095" s="36" customFormat="1" ht="14.25" customHeight="1">
      <c r="A1878" s="3" t="s">
        <v>1722</v>
      </c>
      <c r="B1878" s="36" t="s">
        <v>2122</v>
      </c>
      <c r="C1878" s="10">
        <v>4099854060090</v>
      </c>
      <c r="D1878" s="246"/>
      <c r="E1878" s="249"/>
      <c r="F1878" s="222" t="s">
        <v>3136</v>
      </c>
      <c r="G1878" s="66" t="str">
        <f>HYPERLINK("https://ledvance.com/pt/product-datasheet/251530/237089","Ficha de Produto")</f>
        <v>Ficha de Produto</v>
      </c>
      <c r="H1878" s="217">
        <v>6</v>
      </c>
      <c r="I1878" s="34" t="s">
        <v>6354</v>
      </c>
      <c r="J1878" s="34" t="s">
        <v>6357</v>
      </c>
      <c r="K1878" s="34" t="s">
        <v>788</v>
      </c>
      <c r="L1878" s="34" t="s">
        <v>765</v>
      </c>
      <c r="M1878" s="247">
        <v>23.3</v>
      </c>
      <c r="N1878" s="288" t="s">
        <v>722</v>
      </c>
    </row>
    <row r="1879" spans="1:1095" s="36" customFormat="1" ht="14.25" customHeight="1">
      <c r="A1879" s="3" t="s">
        <v>1722</v>
      </c>
      <c r="B1879" s="36" t="s">
        <v>2123</v>
      </c>
      <c r="C1879" s="10">
        <v>4099854060113</v>
      </c>
      <c r="D1879" s="246"/>
      <c r="E1879" s="249"/>
      <c r="F1879" s="222" t="s">
        <v>3136</v>
      </c>
      <c r="G1879" s="66" t="str">
        <f>HYPERLINK("https://ledvance.com/pt/product-datasheet/251530/237059","Ficha de Produto")</f>
        <v>Ficha de Produto</v>
      </c>
      <c r="H1879" s="217">
        <v>6</v>
      </c>
      <c r="I1879" s="34" t="s">
        <v>6351</v>
      </c>
      <c r="J1879" s="34" t="s">
        <v>1051</v>
      </c>
      <c r="K1879" s="34" t="s">
        <v>788</v>
      </c>
      <c r="L1879" s="34" t="s">
        <v>765</v>
      </c>
      <c r="M1879" s="247">
        <v>26.7</v>
      </c>
      <c r="N1879" s="288" t="s">
        <v>722</v>
      </c>
    </row>
    <row r="1880" spans="1:1095" s="36" customFormat="1" ht="14.25" customHeight="1">
      <c r="A1880" s="3" t="s">
        <v>1722</v>
      </c>
      <c r="B1880" s="36" t="s">
        <v>2124</v>
      </c>
      <c r="C1880" s="10">
        <v>4099854060151</v>
      </c>
      <c r="D1880" s="246"/>
      <c r="E1880" s="249"/>
      <c r="F1880" s="222" t="s">
        <v>3136</v>
      </c>
      <c r="G1880" s="66" t="str">
        <f>HYPERLINK("https://ledvance.com/pt/product-datasheet/251530/237071","Ficha de Produto")</f>
        <v>Ficha de Produto</v>
      </c>
      <c r="H1880" s="217">
        <v>6</v>
      </c>
      <c r="I1880" s="34" t="s">
        <v>6351</v>
      </c>
      <c r="J1880" s="34" t="s">
        <v>1051</v>
      </c>
      <c r="K1880" s="34" t="s">
        <v>788</v>
      </c>
      <c r="L1880" s="34" t="s">
        <v>765</v>
      </c>
      <c r="M1880" s="247">
        <v>26.7</v>
      </c>
      <c r="N1880" s="288" t="s">
        <v>722</v>
      </c>
    </row>
    <row r="1881" spans="1:1095" s="36" customFormat="1" ht="14.25" customHeight="1">
      <c r="A1881" s="3" t="s">
        <v>1722</v>
      </c>
      <c r="B1881" s="36" t="s">
        <v>2125</v>
      </c>
      <c r="C1881" s="10">
        <v>4099854060199</v>
      </c>
      <c r="D1881" s="246"/>
      <c r="E1881" s="249"/>
      <c r="F1881" s="222" t="s">
        <v>3136</v>
      </c>
      <c r="G1881" s="66" t="str">
        <f>HYPERLINK("https://ledvance.com/pt/product-datasheet/251530/237065","Ficha de Produto")</f>
        <v>Ficha de Produto</v>
      </c>
      <c r="H1881" s="217">
        <v>6</v>
      </c>
      <c r="I1881" s="34" t="s">
        <v>6352</v>
      </c>
      <c r="J1881" s="34" t="s">
        <v>6350</v>
      </c>
      <c r="K1881" s="34" t="s">
        <v>788</v>
      </c>
      <c r="L1881" s="34" t="s">
        <v>765</v>
      </c>
      <c r="M1881" s="247">
        <v>30.8</v>
      </c>
      <c r="N1881" s="288" t="s">
        <v>722</v>
      </c>
    </row>
    <row r="1882" spans="1:1095" s="36" customFormat="1" ht="14.25" customHeight="1">
      <c r="A1882" s="3" t="s">
        <v>1722</v>
      </c>
      <c r="B1882" s="36" t="s">
        <v>2126</v>
      </c>
      <c r="C1882" s="10">
        <v>4099854060212</v>
      </c>
      <c r="D1882" s="246"/>
      <c r="E1882" s="249"/>
      <c r="F1882" s="222" t="s">
        <v>3136</v>
      </c>
      <c r="G1882" s="66" t="str">
        <f>HYPERLINK("https://ledvance.com/pt/product-datasheet/251530/237077","Ficha de Produto")</f>
        <v>Ficha de Produto</v>
      </c>
      <c r="H1882" s="217">
        <v>6</v>
      </c>
      <c r="I1882" s="34" t="s">
        <v>6352</v>
      </c>
      <c r="J1882" s="34" t="s">
        <v>6350</v>
      </c>
      <c r="K1882" s="34" t="s">
        <v>788</v>
      </c>
      <c r="L1882" s="34" t="s">
        <v>765</v>
      </c>
      <c r="M1882" s="247">
        <v>30.8</v>
      </c>
      <c r="N1882" s="288" t="s">
        <v>722</v>
      </c>
    </row>
    <row r="1883" spans="1:1095" s="36" customFormat="1" ht="14.25" customHeight="1">
      <c r="A1883" s="3" t="s">
        <v>1722</v>
      </c>
      <c r="B1883" s="36" t="s">
        <v>2127</v>
      </c>
      <c r="C1883" s="10">
        <v>4099854060250</v>
      </c>
      <c r="D1883" s="246"/>
      <c r="E1883" s="249"/>
      <c r="F1883" s="222" t="s">
        <v>3136</v>
      </c>
      <c r="G1883" s="66" t="str">
        <f>HYPERLINK("https://ledvance.com/pt/product-datasheet/251535/237101","Ficha de Produto")</f>
        <v>Ficha de Produto</v>
      </c>
      <c r="H1883" s="217">
        <v>6</v>
      </c>
      <c r="I1883" s="34" t="s">
        <v>6349</v>
      </c>
      <c r="J1883" s="34" t="s">
        <v>6356</v>
      </c>
      <c r="K1883" s="34" t="s">
        <v>788</v>
      </c>
      <c r="L1883" s="34" t="s">
        <v>765</v>
      </c>
      <c r="M1883" s="247">
        <v>24.6</v>
      </c>
      <c r="N1883" s="288" t="s">
        <v>722</v>
      </c>
    </row>
    <row r="1884" spans="1:1095" s="36" customFormat="1" ht="14.25" customHeight="1">
      <c r="A1884" s="3" t="s">
        <v>1722</v>
      </c>
      <c r="B1884" s="36" t="s">
        <v>2128</v>
      </c>
      <c r="C1884" s="10">
        <v>4099854060274</v>
      </c>
      <c r="D1884" s="246"/>
      <c r="E1884" s="249"/>
      <c r="F1884" s="222" t="s">
        <v>3136</v>
      </c>
      <c r="G1884" s="66" t="str">
        <f>HYPERLINK("https://ledvance.com/pt/product-datasheet/251535/237095","Ficha de Produto")</f>
        <v>Ficha de Produto</v>
      </c>
      <c r="H1884" s="217">
        <v>6</v>
      </c>
      <c r="I1884" s="34" t="s">
        <v>6349</v>
      </c>
      <c r="J1884" s="34" t="s">
        <v>6356</v>
      </c>
      <c r="K1884" s="34" t="s">
        <v>788</v>
      </c>
      <c r="L1884" s="34" t="s">
        <v>765</v>
      </c>
      <c r="M1884" s="247">
        <v>24.6</v>
      </c>
      <c r="N1884" s="288" t="s">
        <v>722</v>
      </c>
    </row>
    <row r="1885" spans="1:1095" s="36" customFormat="1" ht="14.25" customHeight="1">
      <c r="A1885" s="3" t="s">
        <v>1722</v>
      </c>
      <c r="B1885" s="36" t="s">
        <v>2129</v>
      </c>
      <c r="C1885" s="10">
        <v>4099854060236</v>
      </c>
      <c r="D1885" s="246"/>
      <c r="E1885" s="249"/>
      <c r="F1885" s="222" t="s">
        <v>3136</v>
      </c>
      <c r="G1885" s="66" t="str">
        <f>HYPERLINK("https://ledvance.com/pt/product-datasheet/251533/237107","Ficha de Produto")</f>
        <v>Ficha de Produto</v>
      </c>
      <c r="H1885" s="217">
        <v>6</v>
      </c>
      <c r="I1885" s="34" t="s">
        <v>6349</v>
      </c>
      <c r="J1885" s="34" t="s">
        <v>6356</v>
      </c>
      <c r="K1885" s="34" t="s">
        <v>788</v>
      </c>
      <c r="L1885" s="34" t="s">
        <v>765</v>
      </c>
      <c r="M1885" s="247">
        <v>24.6</v>
      </c>
      <c r="N1885" s="288" t="s">
        <v>722</v>
      </c>
    </row>
    <row r="1886" spans="1:1095" s="36" customFormat="1" ht="14.25" customHeight="1">
      <c r="A1886" s="3" t="s">
        <v>1722</v>
      </c>
      <c r="B1886" s="36" t="s">
        <v>2130</v>
      </c>
      <c r="C1886" s="10">
        <v>4099854066597</v>
      </c>
      <c r="D1886" s="246"/>
      <c r="E1886" s="249"/>
      <c r="F1886" s="222" t="s">
        <v>3136</v>
      </c>
      <c r="G1886" s="66" t="str">
        <f>HYPERLINK("https://ledvance.com/pt/product-datasheet/251538/238158","Ficha de Produto")</f>
        <v>Ficha de Produto</v>
      </c>
      <c r="H1886" s="217">
        <v>6</v>
      </c>
      <c r="I1886" s="34" t="s">
        <v>6354</v>
      </c>
      <c r="J1886" s="34" t="s">
        <v>5840</v>
      </c>
      <c r="K1886" s="34" t="s">
        <v>788</v>
      </c>
      <c r="L1886" s="34" t="s">
        <v>765</v>
      </c>
      <c r="M1886" s="247">
        <v>10.9</v>
      </c>
      <c r="N1886" s="288" t="s">
        <v>722</v>
      </c>
    </row>
    <row r="1887" spans="1:1095" s="36" customFormat="1" ht="14.25" customHeight="1">
      <c r="A1887" s="3" t="s">
        <v>1722</v>
      </c>
      <c r="B1887" s="36" t="s">
        <v>2131</v>
      </c>
      <c r="C1887" s="10">
        <v>4058075747821</v>
      </c>
      <c r="D1887" s="246"/>
      <c r="E1887" s="249"/>
      <c r="F1887" s="222" t="s">
        <v>3136</v>
      </c>
      <c r="G1887" s="66" t="str">
        <f>HYPERLINK("https://ledvance.com/pt/product-datasheet/251537/238164","Ficha de Produto")</f>
        <v>Ficha de Produto</v>
      </c>
      <c r="H1887" s="217">
        <v>6</v>
      </c>
      <c r="I1887" s="34" t="s">
        <v>6354</v>
      </c>
      <c r="J1887" s="34" t="s">
        <v>5840</v>
      </c>
      <c r="K1887" s="34" t="s">
        <v>788</v>
      </c>
      <c r="L1887" s="34" t="s">
        <v>765</v>
      </c>
      <c r="M1887" s="247">
        <v>10.6</v>
      </c>
      <c r="N1887" s="288" t="s">
        <v>722</v>
      </c>
    </row>
    <row r="1888" spans="1:1095" s="36" customFormat="1" ht="14.25" customHeight="1">
      <c r="A1888" s="3" t="s">
        <v>1722</v>
      </c>
      <c r="B1888" s="36" t="s">
        <v>2132</v>
      </c>
      <c r="C1888" s="10">
        <v>4099854066641</v>
      </c>
      <c r="D1888" s="246"/>
      <c r="E1888" s="249"/>
      <c r="F1888" s="222" t="s">
        <v>3136</v>
      </c>
      <c r="G1888" s="66" t="str">
        <f>HYPERLINK("https://ledvance.com/pt/product-datasheet/251538/238182","Ficha de Produto")</f>
        <v>Ficha de Produto</v>
      </c>
      <c r="H1888" s="217">
        <v>6</v>
      </c>
      <c r="I1888" s="34" t="s">
        <v>6354</v>
      </c>
      <c r="J1888" s="34" t="s">
        <v>5840</v>
      </c>
      <c r="K1888" s="34" t="s">
        <v>788</v>
      </c>
      <c r="L1888" s="34" t="s">
        <v>765</v>
      </c>
      <c r="M1888" s="247">
        <v>11.2</v>
      </c>
      <c r="N1888" s="288" t="s">
        <v>722</v>
      </c>
    </row>
    <row r="1889" spans="1:1095" s="36" customFormat="1" ht="14.25" customHeight="1">
      <c r="A1889" s="3" t="s">
        <v>1722</v>
      </c>
      <c r="B1889" s="36" t="s">
        <v>2133</v>
      </c>
      <c r="C1889" s="10">
        <v>4099854066467</v>
      </c>
      <c r="D1889" s="246"/>
      <c r="E1889" s="249"/>
      <c r="F1889" s="222" t="s">
        <v>3136</v>
      </c>
      <c r="G1889" s="66" t="str">
        <f>HYPERLINK("https://ledvance.com/pt/product-datasheet/251537/238188","Ficha de Produto")</f>
        <v>Ficha de Produto</v>
      </c>
      <c r="H1889" s="217">
        <v>6</v>
      </c>
      <c r="I1889" s="34" t="s">
        <v>6354</v>
      </c>
      <c r="J1889" s="34" t="s">
        <v>5840</v>
      </c>
      <c r="K1889" s="34" t="s">
        <v>788</v>
      </c>
      <c r="L1889" s="34" t="s">
        <v>765</v>
      </c>
      <c r="M1889" s="247">
        <v>11</v>
      </c>
      <c r="N1889" s="288" t="s">
        <v>722</v>
      </c>
    </row>
    <row r="1890" spans="1:1095" s="39" customFormat="1" ht="14.25" customHeight="1">
      <c r="A1890" s="8" t="s">
        <v>1722</v>
      </c>
      <c r="B1890" s="244" t="s">
        <v>2134</v>
      </c>
      <c r="C1890" s="8"/>
      <c r="D1890" s="7"/>
      <c r="E1890" s="230"/>
      <c r="F1890" s="7"/>
      <c r="G1890" s="68"/>
      <c r="H1890" s="230"/>
      <c r="I1890" s="230"/>
      <c r="J1890" s="230"/>
      <c r="K1890" s="230"/>
      <c r="L1890" s="230"/>
      <c r="M1890" s="248"/>
      <c r="N1890" s="292"/>
      <c r="O1890" s="38"/>
      <c r="P1890" s="38"/>
      <c r="Q1890" s="38"/>
      <c r="R1890" s="38"/>
      <c r="S1890" s="38"/>
      <c r="T1890" s="38"/>
      <c r="U1890" s="38"/>
      <c r="V1890" s="38"/>
      <c r="W1890" s="38"/>
      <c r="X1890" s="38"/>
      <c r="Y1890" s="38"/>
      <c r="Z1890" s="38"/>
      <c r="AA1890" s="38"/>
      <c r="AB1890" s="38"/>
      <c r="AC1890" s="38"/>
      <c r="AD1890" s="38"/>
      <c r="AE1890" s="38"/>
      <c r="AF1890" s="38"/>
      <c r="AG1890" s="38"/>
      <c r="AH1890" s="38"/>
      <c r="AI1890" s="38"/>
      <c r="AJ1890" s="38"/>
      <c r="AK1890" s="38"/>
      <c r="AL1890" s="38"/>
      <c r="AM1890" s="38"/>
      <c r="AN1890" s="38"/>
      <c r="AO1890" s="38"/>
      <c r="AP1890" s="38"/>
      <c r="AQ1890" s="38"/>
      <c r="AR1890" s="38"/>
      <c r="AS1890" s="38"/>
      <c r="AT1890" s="38"/>
      <c r="AU1890" s="38"/>
      <c r="AV1890" s="38"/>
      <c r="AW1890" s="38"/>
      <c r="AX1890" s="38"/>
      <c r="AY1890" s="38"/>
      <c r="AZ1890" s="38"/>
      <c r="BA1890" s="38"/>
      <c r="BB1890" s="38"/>
      <c r="BC1890" s="38"/>
      <c r="BD1890" s="38"/>
      <c r="BE1890" s="38"/>
      <c r="BF1890" s="38"/>
      <c r="BG1890" s="38"/>
      <c r="BH1890" s="38"/>
      <c r="BI1890" s="38"/>
      <c r="BJ1890" s="38"/>
      <c r="BK1890" s="38"/>
      <c r="BL1890" s="38"/>
      <c r="BM1890" s="38"/>
      <c r="BN1890" s="38"/>
      <c r="BO1890" s="38"/>
      <c r="BP1890" s="38"/>
      <c r="BQ1890" s="38"/>
      <c r="BR1890" s="38"/>
      <c r="BS1890" s="38"/>
      <c r="BT1890" s="38"/>
      <c r="BU1890" s="38"/>
      <c r="BV1890" s="38"/>
      <c r="BW1890" s="38"/>
      <c r="BX1890" s="38"/>
      <c r="BY1890" s="38"/>
      <c r="BZ1890" s="38"/>
      <c r="CA1890" s="38"/>
      <c r="CB1890" s="38"/>
      <c r="CC1890" s="38"/>
      <c r="CD1890" s="38"/>
      <c r="CE1890" s="38"/>
      <c r="CF1890" s="38"/>
      <c r="CG1890" s="38"/>
      <c r="CH1890" s="38"/>
      <c r="CI1890" s="38"/>
      <c r="CJ1890" s="38"/>
      <c r="CK1890" s="38"/>
      <c r="CL1890" s="38"/>
      <c r="CM1890" s="38"/>
      <c r="CN1890" s="38"/>
      <c r="CO1890" s="38"/>
      <c r="CP1890" s="38"/>
      <c r="CQ1890" s="38"/>
      <c r="CR1890" s="38"/>
      <c r="CS1890" s="38"/>
      <c r="CT1890" s="38"/>
      <c r="CU1890" s="38"/>
      <c r="CV1890" s="38"/>
      <c r="CW1890" s="38"/>
      <c r="CX1890" s="38"/>
      <c r="CY1890" s="38"/>
      <c r="CZ1890" s="38"/>
      <c r="DA1890" s="38"/>
      <c r="DB1890" s="38"/>
      <c r="DC1890" s="38"/>
      <c r="DD1890" s="38"/>
      <c r="DE1890" s="38"/>
      <c r="DF1890" s="38"/>
      <c r="DG1890" s="38"/>
      <c r="DH1890" s="38"/>
      <c r="DI1890" s="38"/>
      <c r="DJ1890" s="38"/>
      <c r="DK1890" s="38"/>
      <c r="DL1890" s="38"/>
      <c r="DM1890" s="38"/>
      <c r="DN1890" s="38"/>
      <c r="DO1890" s="38"/>
      <c r="DP1890" s="38"/>
      <c r="DQ1890" s="38"/>
      <c r="DR1890" s="38"/>
      <c r="DS1890" s="38"/>
      <c r="DT1890" s="38"/>
      <c r="DU1890" s="38"/>
      <c r="DV1890" s="38"/>
      <c r="DW1890" s="38"/>
      <c r="DX1890" s="38"/>
      <c r="DY1890" s="38"/>
      <c r="DZ1890" s="38"/>
      <c r="EA1890" s="38"/>
      <c r="EB1890" s="38"/>
      <c r="EC1890" s="38"/>
      <c r="ED1890" s="38"/>
      <c r="EE1890" s="38"/>
      <c r="EF1890" s="38"/>
      <c r="EG1890" s="38"/>
      <c r="EH1890" s="38"/>
      <c r="EI1890" s="38"/>
      <c r="EJ1890" s="38"/>
      <c r="EK1890" s="38"/>
      <c r="EL1890" s="38"/>
      <c r="EM1890" s="38"/>
      <c r="EN1890" s="38"/>
      <c r="EO1890" s="38"/>
      <c r="EP1890" s="38"/>
      <c r="EQ1890" s="38"/>
      <c r="ER1890" s="38"/>
      <c r="ES1890" s="38"/>
      <c r="ET1890" s="38"/>
      <c r="EU1890" s="38"/>
      <c r="EV1890" s="38"/>
      <c r="EW1890" s="38"/>
      <c r="EX1890" s="38"/>
      <c r="EY1890" s="38"/>
      <c r="EZ1890" s="38"/>
      <c r="FA1890" s="38"/>
      <c r="FB1890" s="38"/>
      <c r="FC1890" s="38"/>
      <c r="FD1890" s="38"/>
      <c r="FE1890" s="38"/>
      <c r="FF1890" s="38"/>
      <c r="FG1890" s="38"/>
      <c r="FH1890" s="38"/>
      <c r="FI1890" s="38"/>
      <c r="FJ1890" s="38"/>
      <c r="FK1890" s="38"/>
      <c r="FL1890" s="38"/>
      <c r="FM1890" s="38"/>
      <c r="FN1890" s="38"/>
      <c r="FO1890" s="38"/>
      <c r="FP1890" s="38"/>
      <c r="FQ1890" s="38"/>
      <c r="FR1890" s="38"/>
      <c r="FS1890" s="38"/>
      <c r="FT1890" s="38"/>
      <c r="FU1890" s="38"/>
      <c r="FV1890" s="38"/>
      <c r="FW1890" s="38"/>
      <c r="FX1890" s="38"/>
      <c r="FY1890" s="38"/>
      <c r="FZ1890" s="38"/>
      <c r="GA1890" s="38"/>
      <c r="GB1890" s="38"/>
      <c r="GC1890" s="38"/>
      <c r="GD1890" s="38"/>
      <c r="GE1890" s="38"/>
      <c r="GF1890" s="38"/>
      <c r="GG1890" s="38"/>
      <c r="GH1890" s="38"/>
      <c r="GI1890" s="38"/>
      <c r="GJ1890" s="38"/>
      <c r="GK1890" s="38"/>
      <c r="GL1890" s="38"/>
      <c r="GM1890" s="38"/>
      <c r="GN1890" s="38"/>
      <c r="GO1890" s="38"/>
      <c r="GP1890" s="38"/>
      <c r="GQ1890" s="38"/>
      <c r="GR1890" s="38"/>
      <c r="GS1890" s="38"/>
      <c r="GT1890" s="38"/>
      <c r="GU1890" s="38"/>
      <c r="GV1890" s="38"/>
      <c r="GW1890" s="38"/>
      <c r="GX1890" s="38"/>
      <c r="GY1890" s="38"/>
      <c r="GZ1890" s="38"/>
      <c r="HA1890" s="38"/>
      <c r="HB1890" s="38"/>
      <c r="HC1890" s="38"/>
      <c r="HD1890" s="38"/>
      <c r="HE1890" s="38"/>
      <c r="HF1890" s="38"/>
      <c r="HG1890" s="38"/>
      <c r="HH1890" s="38"/>
      <c r="HI1890" s="38"/>
      <c r="HJ1890" s="38"/>
      <c r="HK1890" s="38"/>
      <c r="HL1890" s="38"/>
      <c r="HM1890" s="38"/>
      <c r="HN1890" s="38"/>
      <c r="HO1890" s="38"/>
      <c r="HP1890" s="38"/>
      <c r="HQ1890" s="38"/>
      <c r="HR1890" s="38"/>
      <c r="HS1890" s="38"/>
      <c r="HT1890" s="38"/>
      <c r="HU1890" s="38"/>
      <c r="HV1890" s="38"/>
      <c r="HW1890" s="38"/>
      <c r="HX1890" s="38"/>
      <c r="HY1890" s="38"/>
      <c r="HZ1890" s="38"/>
      <c r="IA1890" s="38"/>
      <c r="IB1890" s="38"/>
      <c r="IC1890" s="38"/>
      <c r="ID1890" s="38"/>
      <c r="IE1890" s="38"/>
      <c r="IF1890" s="38"/>
      <c r="IG1890" s="38"/>
      <c r="IH1890" s="38"/>
      <c r="II1890" s="38"/>
      <c r="IJ1890" s="38"/>
      <c r="IK1890" s="38"/>
      <c r="IL1890" s="38"/>
      <c r="IM1890" s="38"/>
      <c r="IN1890" s="38"/>
      <c r="IO1890" s="38"/>
      <c r="IP1890" s="38"/>
      <c r="IQ1890" s="38"/>
      <c r="IR1890" s="38"/>
      <c r="IS1890" s="38"/>
      <c r="IT1890" s="38"/>
      <c r="IU1890" s="38"/>
      <c r="IV1890" s="38"/>
      <c r="IW1890" s="38"/>
      <c r="IX1890" s="38"/>
      <c r="IY1890" s="38"/>
      <c r="IZ1890" s="38"/>
      <c r="JA1890" s="38"/>
      <c r="JB1890" s="38"/>
      <c r="JC1890" s="38"/>
      <c r="JD1890" s="38"/>
      <c r="JE1890" s="38"/>
      <c r="JF1890" s="38"/>
      <c r="JG1890" s="38"/>
      <c r="JH1890" s="38"/>
      <c r="JI1890" s="38"/>
      <c r="JJ1890" s="38"/>
      <c r="JK1890" s="38"/>
      <c r="JL1890" s="38"/>
      <c r="JM1890" s="38"/>
      <c r="JN1890" s="38"/>
      <c r="JO1890" s="38"/>
      <c r="JP1890" s="38"/>
      <c r="JQ1890" s="38"/>
      <c r="JR1890" s="38"/>
      <c r="JS1890" s="38"/>
      <c r="JT1890" s="38"/>
      <c r="JU1890" s="38"/>
      <c r="JV1890" s="38"/>
      <c r="JW1890" s="38"/>
      <c r="JX1890" s="38"/>
      <c r="JY1890" s="38"/>
      <c r="JZ1890" s="38"/>
      <c r="KA1890" s="38"/>
      <c r="KB1890" s="38"/>
      <c r="KC1890" s="38"/>
      <c r="KD1890" s="38"/>
      <c r="KE1890" s="38"/>
      <c r="KF1890" s="38"/>
      <c r="KG1890" s="38"/>
      <c r="KH1890" s="38"/>
      <c r="KI1890" s="38"/>
      <c r="KJ1890" s="38"/>
      <c r="KK1890" s="38"/>
      <c r="KL1890" s="38"/>
      <c r="KM1890" s="38"/>
      <c r="KN1890" s="38"/>
      <c r="KO1890" s="38"/>
      <c r="KP1890" s="38"/>
      <c r="KQ1890" s="38"/>
      <c r="KR1890" s="38"/>
      <c r="KS1890" s="38"/>
      <c r="KT1890" s="38"/>
      <c r="KU1890" s="38"/>
      <c r="KV1890" s="38"/>
      <c r="KW1890" s="38"/>
      <c r="KX1890" s="38"/>
      <c r="KY1890" s="38"/>
      <c r="KZ1890" s="38"/>
      <c r="LA1890" s="38"/>
      <c r="LB1890" s="38"/>
      <c r="LC1890" s="38"/>
      <c r="LD1890" s="38"/>
      <c r="LE1890" s="38"/>
      <c r="LF1890" s="38"/>
      <c r="LG1890" s="38"/>
      <c r="LH1890" s="38"/>
      <c r="LI1890" s="38"/>
      <c r="LJ1890" s="38"/>
      <c r="LK1890" s="38"/>
      <c r="LL1890" s="38"/>
      <c r="LM1890" s="38"/>
      <c r="LN1890" s="38"/>
      <c r="LO1890" s="38"/>
      <c r="LP1890" s="38"/>
      <c r="LQ1890" s="38"/>
      <c r="LR1890" s="38"/>
      <c r="LS1890" s="38"/>
      <c r="LT1890" s="38"/>
      <c r="LU1890" s="38"/>
      <c r="LV1890" s="38"/>
      <c r="LW1890" s="38"/>
      <c r="LX1890" s="38"/>
      <c r="LY1890" s="38"/>
      <c r="LZ1890" s="38"/>
      <c r="MA1890" s="38"/>
      <c r="MB1890" s="38"/>
      <c r="MC1890" s="38"/>
      <c r="MD1890" s="38"/>
      <c r="ME1890" s="38"/>
      <c r="MF1890" s="38"/>
      <c r="MG1890" s="38"/>
      <c r="MH1890" s="38"/>
      <c r="MI1890" s="38"/>
      <c r="MJ1890" s="38"/>
      <c r="MK1890" s="38"/>
      <c r="ML1890" s="38"/>
      <c r="MM1890" s="38"/>
      <c r="MN1890" s="38"/>
      <c r="MO1890" s="38"/>
      <c r="MP1890" s="38"/>
      <c r="MQ1890" s="38"/>
      <c r="MR1890" s="38"/>
      <c r="MS1890" s="38"/>
      <c r="MT1890" s="38"/>
      <c r="MU1890" s="38"/>
      <c r="MV1890" s="38"/>
      <c r="MW1890" s="38"/>
      <c r="MX1890" s="38"/>
      <c r="MY1890" s="38"/>
      <c r="MZ1890" s="38"/>
      <c r="NA1890" s="38"/>
      <c r="NB1890" s="38"/>
      <c r="NC1890" s="38"/>
      <c r="ND1890" s="38"/>
      <c r="NE1890" s="38"/>
      <c r="NF1890" s="38"/>
      <c r="NG1890" s="38"/>
      <c r="NH1890" s="38"/>
      <c r="NI1890" s="38"/>
      <c r="NJ1890" s="38"/>
      <c r="NK1890" s="38"/>
      <c r="NL1890" s="38"/>
      <c r="NM1890" s="38"/>
      <c r="NN1890" s="38"/>
      <c r="NO1890" s="38"/>
      <c r="NP1890" s="38"/>
      <c r="NQ1890" s="38"/>
      <c r="NR1890" s="38"/>
      <c r="NS1890" s="38"/>
      <c r="NT1890" s="38"/>
      <c r="NU1890" s="38"/>
      <c r="NV1890" s="38"/>
      <c r="NW1890" s="38"/>
      <c r="NX1890" s="38"/>
      <c r="NY1890" s="38"/>
      <c r="NZ1890" s="38"/>
      <c r="OA1890" s="38"/>
      <c r="OB1890" s="38"/>
      <c r="OC1890" s="38"/>
      <c r="OD1890" s="38"/>
      <c r="OE1890" s="38"/>
      <c r="OF1890" s="38"/>
      <c r="OG1890" s="38"/>
      <c r="OH1890" s="38"/>
      <c r="OI1890" s="38"/>
      <c r="OJ1890" s="38"/>
      <c r="OK1890" s="38"/>
      <c r="OL1890" s="38"/>
      <c r="OM1890" s="38"/>
      <c r="ON1890" s="38"/>
      <c r="OO1890" s="38"/>
      <c r="OP1890" s="38"/>
      <c r="OQ1890" s="38"/>
      <c r="OR1890" s="38"/>
      <c r="OS1890" s="38"/>
      <c r="OT1890" s="38"/>
      <c r="OU1890" s="38"/>
      <c r="OV1890" s="38"/>
      <c r="OW1890" s="38"/>
      <c r="OX1890" s="38"/>
      <c r="OY1890" s="38"/>
      <c r="OZ1890" s="38"/>
      <c r="PA1890" s="38"/>
      <c r="PB1890" s="38"/>
      <c r="PC1890" s="38"/>
      <c r="PD1890" s="38"/>
      <c r="PE1890" s="38"/>
      <c r="PF1890" s="38"/>
      <c r="PG1890" s="38"/>
      <c r="PH1890" s="38"/>
      <c r="PI1890" s="38"/>
      <c r="PJ1890" s="38"/>
      <c r="PK1890" s="38"/>
      <c r="PL1890" s="38"/>
      <c r="PM1890" s="38"/>
      <c r="PN1890" s="38"/>
      <c r="PO1890" s="38"/>
      <c r="PP1890" s="38"/>
      <c r="PQ1890" s="38"/>
      <c r="PR1890" s="38"/>
      <c r="PS1890" s="38"/>
      <c r="PT1890" s="38"/>
      <c r="PU1890" s="38"/>
      <c r="PV1890" s="38"/>
      <c r="PW1890" s="38"/>
      <c r="PX1890" s="38"/>
      <c r="PY1890" s="38"/>
      <c r="PZ1890" s="38"/>
      <c r="QA1890" s="38"/>
      <c r="QB1890" s="38"/>
      <c r="QC1890" s="38"/>
      <c r="QD1890" s="38"/>
      <c r="QE1890" s="38"/>
      <c r="QF1890" s="38"/>
      <c r="QG1890" s="38"/>
      <c r="QH1890" s="38"/>
      <c r="QI1890" s="38"/>
      <c r="QJ1890" s="38"/>
      <c r="QK1890" s="38"/>
      <c r="QL1890" s="38"/>
      <c r="QM1890" s="38"/>
      <c r="QN1890" s="38"/>
      <c r="QO1890" s="38"/>
      <c r="QP1890" s="38"/>
      <c r="QQ1890" s="38"/>
      <c r="QR1890" s="38"/>
      <c r="QS1890" s="38"/>
      <c r="QT1890" s="38"/>
      <c r="QU1890" s="38"/>
      <c r="QV1890" s="38"/>
      <c r="QW1890" s="38"/>
      <c r="QX1890" s="38"/>
      <c r="QY1890" s="38"/>
      <c r="QZ1890" s="38"/>
      <c r="RA1890" s="38"/>
      <c r="RB1890" s="38"/>
      <c r="RC1890" s="38"/>
      <c r="RD1890" s="38"/>
      <c r="RE1890" s="38"/>
      <c r="RF1890" s="38"/>
      <c r="RG1890" s="38"/>
      <c r="RH1890" s="38"/>
      <c r="RI1890" s="38"/>
      <c r="RJ1890" s="38"/>
      <c r="RK1890" s="38"/>
      <c r="RL1890" s="38"/>
      <c r="RM1890" s="38"/>
      <c r="RN1890" s="38"/>
      <c r="RO1890" s="38"/>
      <c r="RP1890" s="38"/>
      <c r="RQ1890" s="38"/>
      <c r="RR1890" s="38"/>
      <c r="RS1890" s="38"/>
      <c r="RT1890" s="38"/>
      <c r="RU1890" s="38"/>
      <c r="RV1890" s="38"/>
      <c r="RW1890" s="38"/>
      <c r="RX1890" s="38"/>
      <c r="RY1890" s="38"/>
      <c r="RZ1890" s="38"/>
      <c r="SA1890" s="38"/>
      <c r="SB1890" s="38"/>
      <c r="SC1890" s="38"/>
      <c r="SD1890" s="38"/>
      <c r="SE1890" s="38"/>
      <c r="SF1890" s="38"/>
      <c r="SG1890" s="38"/>
      <c r="SH1890" s="38"/>
      <c r="SI1890" s="38"/>
      <c r="SJ1890" s="38"/>
      <c r="SK1890" s="38"/>
      <c r="SL1890" s="38"/>
      <c r="SM1890" s="38"/>
      <c r="SN1890" s="38"/>
      <c r="SO1890" s="38"/>
      <c r="SP1890" s="38"/>
      <c r="SQ1890" s="38"/>
      <c r="SR1890" s="38"/>
      <c r="SS1890" s="38"/>
      <c r="ST1890" s="38"/>
      <c r="SU1890" s="38"/>
      <c r="SV1890" s="38"/>
      <c r="SW1890" s="38"/>
      <c r="SX1890" s="38"/>
      <c r="SY1890" s="38"/>
      <c r="SZ1890" s="38"/>
      <c r="TA1890" s="38"/>
      <c r="TB1890" s="38"/>
      <c r="TC1890" s="38"/>
      <c r="TD1890" s="38"/>
      <c r="TE1890" s="38"/>
      <c r="TF1890" s="38"/>
      <c r="TG1890" s="38"/>
      <c r="TH1890" s="38"/>
      <c r="TI1890" s="38"/>
      <c r="TJ1890" s="38"/>
      <c r="TK1890" s="38"/>
      <c r="TL1890" s="38"/>
      <c r="TM1890" s="38"/>
      <c r="TN1890" s="38"/>
      <c r="TO1890" s="38"/>
      <c r="TP1890" s="38"/>
      <c r="TQ1890" s="38"/>
      <c r="TR1890" s="38"/>
      <c r="TS1890" s="38"/>
      <c r="TT1890" s="38"/>
      <c r="TU1890" s="38"/>
      <c r="TV1890" s="38"/>
      <c r="TW1890" s="38"/>
      <c r="TX1890" s="38"/>
      <c r="TY1890" s="38"/>
      <c r="TZ1890" s="38"/>
      <c r="UA1890" s="38"/>
      <c r="UB1890" s="38"/>
      <c r="UC1890" s="38"/>
      <c r="UD1890" s="38"/>
      <c r="UE1890" s="38"/>
      <c r="UF1890" s="38"/>
      <c r="UG1890" s="38"/>
      <c r="UH1890" s="38"/>
      <c r="UI1890" s="38"/>
      <c r="UJ1890" s="38"/>
      <c r="UK1890" s="38"/>
      <c r="UL1890" s="38"/>
      <c r="UM1890" s="38"/>
      <c r="UN1890" s="38"/>
      <c r="UO1890" s="38"/>
      <c r="UP1890" s="38"/>
      <c r="UQ1890" s="38"/>
      <c r="UR1890" s="38"/>
      <c r="US1890" s="38"/>
      <c r="UT1890" s="38"/>
      <c r="UU1890" s="38"/>
      <c r="UV1890" s="38"/>
      <c r="UW1890" s="38"/>
      <c r="UX1890" s="38"/>
      <c r="UY1890" s="38"/>
      <c r="UZ1890" s="38"/>
      <c r="VA1890" s="38"/>
      <c r="VB1890" s="38"/>
      <c r="VC1890" s="38"/>
      <c r="VD1890" s="38"/>
      <c r="VE1890" s="38"/>
      <c r="VF1890" s="38"/>
      <c r="VG1890" s="38"/>
      <c r="VH1890" s="38"/>
      <c r="VI1890" s="38"/>
      <c r="VJ1890" s="38"/>
      <c r="VK1890" s="38"/>
      <c r="VL1890" s="38"/>
      <c r="VM1890" s="38"/>
      <c r="VN1890" s="38"/>
      <c r="VO1890" s="38"/>
      <c r="VP1890" s="38"/>
      <c r="VQ1890" s="38"/>
      <c r="VR1890" s="38"/>
      <c r="VS1890" s="38"/>
      <c r="VT1890" s="38"/>
      <c r="VU1890" s="38"/>
      <c r="VV1890" s="38"/>
      <c r="VW1890" s="38"/>
      <c r="VX1890" s="38"/>
      <c r="VY1890" s="38"/>
      <c r="VZ1890" s="38"/>
      <c r="WA1890" s="38"/>
      <c r="WB1890" s="38"/>
      <c r="WC1890" s="38"/>
      <c r="WD1890" s="38"/>
      <c r="WE1890" s="38"/>
      <c r="WF1890" s="38"/>
      <c r="WG1890" s="38"/>
      <c r="WH1890" s="38"/>
      <c r="WI1890" s="38"/>
      <c r="WJ1890" s="38"/>
      <c r="WK1890" s="38"/>
      <c r="WL1890" s="38"/>
      <c r="WM1890" s="38"/>
      <c r="WN1890" s="38"/>
      <c r="WO1890" s="38"/>
      <c r="WP1890" s="38"/>
      <c r="WQ1890" s="38"/>
      <c r="WR1890" s="38"/>
      <c r="WS1890" s="38"/>
      <c r="WT1890" s="38"/>
      <c r="WU1890" s="38"/>
      <c r="WV1890" s="38"/>
      <c r="WW1890" s="38"/>
      <c r="WX1890" s="38"/>
      <c r="WY1890" s="38"/>
      <c r="WZ1890" s="38"/>
      <c r="XA1890" s="38"/>
      <c r="XB1890" s="38"/>
      <c r="XC1890" s="38"/>
      <c r="XD1890" s="38"/>
      <c r="XE1890" s="38"/>
      <c r="XF1890" s="38"/>
      <c r="XG1890" s="38"/>
      <c r="XH1890" s="38"/>
      <c r="XI1890" s="38"/>
      <c r="XJ1890" s="38"/>
      <c r="XK1890" s="38"/>
      <c r="XL1890" s="38"/>
      <c r="XM1890" s="38"/>
      <c r="XN1890" s="38"/>
      <c r="XO1890" s="38"/>
      <c r="XP1890" s="38"/>
      <c r="XQ1890" s="38"/>
      <c r="XR1890" s="38"/>
      <c r="XS1890" s="38"/>
      <c r="XT1890" s="38"/>
      <c r="XU1890" s="38"/>
      <c r="XV1890" s="38"/>
      <c r="XW1890" s="38"/>
      <c r="XX1890" s="38"/>
      <c r="XY1890" s="38"/>
      <c r="XZ1890" s="38"/>
      <c r="YA1890" s="38"/>
      <c r="YB1890" s="38"/>
      <c r="YC1890" s="38"/>
      <c r="YD1890" s="38"/>
      <c r="YE1890" s="38"/>
      <c r="YF1890" s="38"/>
      <c r="YG1890" s="38"/>
      <c r="YH1890" s="38"/>
      <c r="YI1890" s="38"/>
      <c r="YJ1890" s="38"/>
      <c r="YK1890" s="38"/>
      <c r="YL1890" s="38"/>
      <c r="YM1890" s="38"/>
      <c r="YN1890" s="38"/>
      <c r="YO1890" s="38"/>
      <c r="YP1890" s="38"/>
      <c r="YQ1890" s="38"/>
      <c r="YR1890" s="38"/>
      <c r="YS1890" s="38"/>
      <c r="YT1890" s="38"/>
      <c r="YU1890" s="38"/>
      <c r="YV1890" s="38"/>
      <c r="YW1890" s="38"/>
      <c r="YX1890" s="38"/>
      <c r="YY1890" s="38"/>
      <c r="YZ1890" s="38"/>
      <c r="ZA1890" s="38"/>
      <c r="ZB1890" s="38"/>
      <c r="ZC1890" s="38"/>
      <c r="ZD1890" s="38"/>
      <c r="ZE1890" s="38"/>
      <c r="ZF1890" s="38"/>
      <c r="ZG1890" s="38"/>
      <c r="ZH1890" s="38"/>
      <c r="ZI1890" s="38"/>
      <c r="ZJ1890" s="38"/>
      <c r="ZK1890" s="38"/>
      <c r="ZL1890" s="38"/>
      <c r="ZM1890" s="38"/>
      <c r="ZN1890" s="38"/>
      <c r="ZO1890" s="38"/>
      <c r="ZP1890" s="38"/>
      <c r="ZQ1890" s="38"/>
      <c r="ZR1890" s="38"/>
      <c r="ZS1890" s="38"/>
      <c r="ZT1890" s="38"/>
      <c r="ZU1890" s="38"/>
      <c r="ZV1890" s="38"/>
      <c r="ZW1890" s="38"/>
      <c r="ZX1890" s="38"/>
      <c r="ZY1890" s="38"/>
      <c r="ZZ1890" s="38"/>
      <c r="AAA1890" s="38"/>
      <c r="AAB1890" s="38"/>
      <c r="AAC1890" s="38"/>
      <c r="AAD1890" s="38"/>
      <c r="AAE1890" s="38"/>
      <c r="AAF1890" s="38"/>
      <c r="AAG1890" s="38"/>
      <c r="AAH1890" s="38"/>
      <c r="AAI1890" s="38"/>
      <c r="AAJ1890" s="38"/>
      <c r="AAK1890" s="38"/>
      <c r="AAL1890" s="38"/>
      <c r="AAM1890" s="38"/>
      <c r="AAN1890" s="38"/>
      <c r="AAO1890" s="38"/>
      <c r="AAP1890" s="38"/>
      <c r="AAQ1890" s="38"/>
      <c r="AAR1890" s="38"/>
      <c r="AAS1890" s="38"/>
      <c r="AAT1890" s="38"/>
      <c r="AAU1890" s="38"/>
      <c r="AAV1890" s="38"/>
      <c r="AAW1890" s="38"/>
      <c r="AAX1890" s="38"/>
      <c r="AAY1890" s="38"/>
      <c r="AAZ1890" s="38"/>
      <c r="ABA1890" s="38"/>
      <c r="ABB1890" s="38"/>
      <c r="ABC1890" s="38"/>
      <c r="ABD1890" s="38"/>
      <c r="ABE1890" s="38"/>
      <c r="ABF1890" s="38"/>
      <c r="ABG1890" s="38"/>
      <c r="ABH1890" s="38"/>
      <c r="ABI1890" s="38"/>
      <c r="ABJ1890" s="38"/>
      <c r="ABK1890" s="38"/>
      <c r="ABL1890" s="38"/>
      <c r="ABM1890" s="38"/>
      <c r="ABN1890" s="38"/>
      <c r="ABO1890" s="38"/>
      <c r="ABP1890" s="38"/>
      <c r="ABQ1890" s="38"/>
      <c r="ABR1890" s="38"/>
      <c r="ABS1890" s="38"/>
      <c r="ABT1890" s="38"/>
      <c r="ABU1890" s="38"/>
      <c r="ABV1890" s="38"/>
      <c r="ABW1890" s="38"/>
      <c r="ABX1890" s="38"/>
      <c r="ABY1890" s="38"/>
      <c r="ABZ1890" s="38"/>
      <c r="ACA1890" s="38"/>
      <c r="ACB1890" s="38"/>
      <c r="ACC1890" s="38"/>
      <c r="ACD1890" s="38"/>
      <c r="ACE1890" s="38"/>
      <c r="ACF1890" s="38"/>
      <c r="ACG1890" s="38"/>
      <c r="ACH1890" s="38"/>
      <c r="ACI1890" s="38"/>
      <c r="ACJ1890" s="38"/>
      <c r="ACK1890" s="38"/>
      <c r="ACL1890" s="38"/>
      <c r="ACM1890" s="38"/>
      <c r="ACN1890" s="38"/>
      <c r="ACO1890" s="38"/>
      <c r="ACP1890" s="38"/>
      <c r="ACQ1890" s="38"/>
      <c r="ACR1890" s="38"/>
      <c r="ACS1890" s="38"/>
      <c r="ACT1890" s="38"/>
      <c r="ACU1890" s="38"/>
      <c r="ACV1890" s="38"/>
      <c r="ACW1890" s="38"/>
      <c r="ACX1890" s="38"/>
      <c r="ACY1890" s="38"/>
      <c r="ACZ1890" s="38"/>
      <c r="ADA1890" s="38"/>
      <c r="ADB1890" s="38"/>
      <c r="ADC1890" s="38"/>
      <c r="ADD1890" s="38"/>
      <c r="ADE1890" s="38"/>
      <c r="ADF1890" s="38"/>
      <c r="ADG1890" s="38"/>
      <c r="ADH1890" s="38"/>
      <c r="ADI1890" s="38"/>
      <c r="ADJ1890" s="38"/>
      <c r="ADK1890" s="38"/>
      <c r="ADL1890" s="38"/>
      <c r="ADM1890" s="38"/>
      <c r="ADN1890" s="38"/>
      <c r="ADO1890" s="38"/>
      <c r="ADP1890" s="38"/>
      <c r="ADQ1890" s="38"/>
      <c r="ADR1890" s="38"/>
      <c r="ADS1890" s="38"/>
      <c r="ADT1890" s="38"/>
      <c r="ADU1890" s="38"/>
      <c r="ADV1890" s="38"/>
      <c r="ADW1890" s="38"/>
      <c r="ADX1890" s="38"/>
      <c r="ADY1890" s="38"/>
      <c r="ADZ1890" s="38"/>
      <c r="AEA1890" s="38"/>
      <c r="AEB1890" s="38"/>
      <c r="AEC1890" s="38"/>
      <c r="AED1890" s="38"/>
      <c r="AEE1890" s="38"/>
      <c r="AEF1890" s="38"/>
      <c r="AEG1890" s="38"/>
      <c r="AEH1890" s="38"/>
      <c r="AEI1890" s="38"/>
      <c r="AEJ1890" s="38"/>
      <c r="AEK1890" s="38"/>
      <c r="AEL1890" s="38"/>
      <c r="AEM1890" s="38"/>
      <c r="AEN1890" s="38"/>
      <c r="AEO1890" s="38"/>
      <c r="AEP1890" s="38"/>
      <c r="AEQ1890" s="38"/>
      <c r="AER1890" s="38"/>
      <c r="AES1890" s="38"/>
      <c r="AET1890" s="38"/>
      <c r="AEU1890" s="38"/>
      <c r="AEV1890" s="38"/>
      <c r="AEW1890" s="38"/>
      <c r="AEX1890" s="38"/>
      <c r="AEY1890" s="38"/>
      <c r="AEZ1890" s="38"/>
      <c r="AFA1890" s="38"/>
      <c r="AFB1890" s="38"/>
      <c r="AFC1890" s="38"/>
      <c r="AFD1890" s="38"/>
      <c r="AFE1890" s="38"/>
      <c r="AFF1890" s="38"/>
      <c r="AFG1890" s="38"/>
      <c r="AFH1890" s="38"/>
      <c r="AFI1890" s="38"/>
      <c r="AFJ1890" s="38"/>
      <c r="AFK1890" s="38"/>
      <c r="AFL1890" s="38"/>
      <c r="AFM1890" s="38"/>
      <c r="AFN1890" s="38"/>
      <c r="AFO1890" s="38"/>
      <c r="AFP1890" s="38"/>
      <c r="AFQ1890" s="38"/>
      <c r="AFR1890" s="38"/>
      <c r="AFS1890" s="38"/>
      <c r="AFT1890" s="38"/>
      <c r="AFU1890" s="38"/>
      <c r="AFV1890" s="38"/>
      <c r="AFW1890" s="38"/>
      <c r="AFX1890" s="38"/>
      <c r="AFY1890" s="38"/>
      <c r="AFZ1890" s="38"/>
      <c r="AGA1890" s="38"/>
      <c r="AGB1890" s="38"/>
      <c r="AGC1890" s="38"/>
      <c r="AGD1890" s="38"/>
      <c r="AGE1890" s="38"/>
      <c r="AGF1890" s="38"/>
      <c r="AGG1890" s="38"/>
      <c r="AGH1890" s="38"/>
      <c r="AGI1890" s="38"/>
      <c r="AGJ1890" s="38"/>
      <c r="AGK1890" s="38"/>
      <c r="AGL1890" s="38"/>
      <c r="AGM1890" s="38"/>
      <c r="AGN1890" s="38"/>
      <c r="AGO1890" s="38"/>
      <c r="AGP1890" s="38"/>
      <c r="AGQ1890" s="38"/>
      <c r="AGR1890" s="38"/>
      <c r="AGS1890" s="38"/>
      <c r="AGT1890" s="38"/>
      <c r="AGU1890" s="38"/>
      <c r="AGV1890" s="38"/>
      <c r="AGW1890" s="38"/>
      <c r="AGX1890" s="38"/>
      <c r="AGY1890" s="38"/>
      <c r="AGZ1890" s="38"/>
      <c r="AHA1890" s="38"/>
      <c r="AHB1890" s="38"/>
      <c r="AHC1890" s="38"/>
      <c r="AHD1890" s="38"/>
      <c r="AHE1890" s="38"/>
      <c r="AHF1890" s="38"/>
      <c r="AHG1890" s="38"/>
      <c r="AHH1890" s="38"/>
      <c r="AHI1890" s="38"/>
      <c r="AHJ1890" s="38"/>
      <c r="AHK1890" s="38"/>
      <c r="AHL1890" s="38"/>
      <c r="AHM1890" s="38"/>
      <c r="AHN1890" s="38"/>
      <c r="AHO1890" s="38"/>
      <c r="AHP1890" s="38"/>
      <c r="AHQ1890" s="38"/>
      <c r="AHR1890" s="38"/>
      <c r="AHS1890" s="38"/>
      <c r="AHT1890" s="38"/>
      <c r="AHU1890" s="38"/>
      <c r="AHV1890" s="38"/>
      <c r="AHW1890" s="38"/>
      <c r="AHX1890" s="38"/>
      <c r="AHY1890" s="38"/>
      <c r="AHZ1890" s="38"/>
      <c r="AIA1890" s="38"/>
      <c r="AIB1890" s="38"/>
      <c r="AIC1890" s="38"/>
      <c r="AID1890" s="38"/>
      <c r="AIE1890" s="38"/>
      <c r="AIF1890" s="38"/>
      <c r="AIG1890" s="38"/>
      <c r="AIH1890" s="38"/>
      <c r="AII1890" s="38"/>
      <c r="AIJ1890" s="38"/>
      <c r="AIK1890" s="38"/>
      <c r="AIL1890" s="38"/>
      <c r="AIM1890" s="38"/>
      <c r="AIN1890" s="38"/>
      <c r="AIO1890" s="38"/>
      <c r="AIP1890" s="38"/>
      <c r="AIQ1890" s="38"/>
      <c r="AIR1890" s="38"/>
      <c r="AIS1890" s="38"/>
      <c r="AIT1890" s="38"/>
      <c r="AIU1890" s="38"/>
      <c r="AIV1890" s="38"/>
      <c r="AIW1890" s="38"/>
      <c r="AIX1890" s="38"/>
      <c r="AIY1890" s="38"/>
      <c r="AIZ1890" s="38"/>
      <c r="AJA1890" s="38"/>
      <c r="AJB1890" s="38"/>
      <c r="AJC1890" s="38"/>
      <c r="AJD1890" s="38"/>
      <c r="AJE1890" s="38"/>
      <c r="AJF1890" s="38"/>
      <c r="AJG1890" s="38"/>
      <c r="AJH1890" s="38"/>
      <c r="AJI1890" s="38"/>
      <c r="AJJ1890" s="38"/>
      <c r="AJK1890" s="38"/>
      <c r="AJL1890" s="38"/>
      <c r="AJM1890" s="38"/>
      <c r="AJN1890" s="38"/>
      <c r="AJO1890" s="38"/>
      <c r="AJP1890" s="38"/>
      <c r="AJQ1890" s="38"/>
      <c r="AJR1890" s="38"/>
      <c r="AJS1890" s="38"/>
      <c r="AJT1890" s="38"/>
      <c r="AJU1890" s="38"/>
      <c r="AJV1890" s="38"/>
      <c r="AJW1890" s="38"/>
      <c r="AJX1890" s="38"/>
      <c r="AJY1890" s="38"/>
      <c r="AJZ1890" s="38"/>
      <c r="AKA1890" s="38"/>
      <c r="AKB1890" s="38"/>
      <c r="AKC1890" s="38"/>
      <c r="AKD1890" s="38"/>
      <c r="AKE1890" s="38"/>
      <c r="AKF1890" s="38"/>
      <c r="AKG1890" s="38"/>
      <c r="AKH1890" s="38"/>
      <c r="AKI1890" s="38"/>
      <c r="AKJ1890" s="38"/>
      <c r="AKK1890" s="38"/>
      <c r="AKL1890" s="38"/>
      <c r="AKM1890" s="38"/>
      <c r="AKN1890" s="38"/>
      <c r="AKO1890" s="38"/>
      <c r="AKP1890" s="38"/>
      <c r="AKQ1890" s="38"/>
      <c r="AKR1890" s="38"/>
      <c r="AKS1890" s="38"/>
      <c r="AKT1890" s="38"/>
      <c r="AKU1890" s="38"/>
      <c r="AKV1890" s="38"/>
      <c r="AKW1890" s="38"/>
      <c r="AKX1890" s="38"/>
      <c r="AKY1890" s="38"/>
      <c r="AKZ1890" s="38"/>
      <c r="ALA1890" s="38"/>
      <c r="ALB1890" s="38"/>
      <c r="ALC1890" s="38"/>
      <c r="ALD1890" s="38"/>
      <c r="ALE1890" s="38"/>
      <c r="ALF1890" s="38"/>
      <c r="ALG1890" s="38"/>
      <c r="ALH1890" s="38"/>
      <c r="ALI1890" s="38"/>
      <c r="ALJ1890" s="38"/>
      <c r="ALK1890" s="38"/>
      <c r="ALL1890" s="38"/>
      <c r="ALM1890" s="38"/>
      <c r="ALN1890" s="38"/>
      <c r="ALO1890" s="38"/>
      <c r="ALP1890" s="38"/>
      <c r="ALQ1890" s="38"/>
      <c r="ALR1890" s="38"/>
      <c r="ALS1890" s="38"/>
      <c r="ALT1890" s="38"/>
      <c r="ALU1890" s="38"/>
      <c r="ALV1890" s="38"/>
      <c r="ALW1890" s="38"/>
      <c r="ALX1890" s="38"/>
      <c r="ALY1890" s="38"/>
      <c r="ALZ1890" s="38"/>
      <c r="AMA1890" s="38"/>
      <c r="AMB1890" s="38"/>
      <c r="AMC1890" s="38"/>
      <c r="AMD1890" s="38"/>
      <c r="AME1890" s="38"/>
      <c r="AMF1890" s="38"/>
      <c r="AMG1890" s="38"/>
      <c r="AMH1890" s="38"/>
      <c r="AMI1890" s="38"/>
      <c r="AMJ1890" s="38"/>
      <c r="AMK1890" s="38"/>
      <c r="AML1890" s="38"/>
      <c r="AMM1890" s="38"/>
      <c r="AMN1890" s="38"/>
      <c r="AMO1890" s="38"/>
      <c r="AMP1890" s="38"/>
      <c r="AMQ1890" s="38"/>
      <c r="AMR1890" s="38"/>
      <c r="AMS1890" s="38"/>
      <c r="AMT1890" s="38"/>
      <c r="AMU1890" s="38"/>
      <c r="AMV1890" s="38"/>
      <c r="AMW1890" s="38"/>
      <c r="AMX1890" s="38"/>
      <c r="AMY1890" s="38"/>
      <c r="AMZ1890" s="38"/>
      <c r="ANA1890" s="38"/>
      <c r="ANB1890" s="38"/>
      <c r="ANC1890" s="38"/>
      <c r="AND1890" s="38"/>
      <c r="ANE1890" s="38"/>
      <c r="ANF1890" s="38"/>
      <c r="ANG1890" s="38"/>
      <c r="ANH1890" s="38"/>
      <c r="ANI1890" s="38"/>
      <c r="ANJ1890" s="38"/>
      <c r="ANK1890" s="38"/>
      <c r="ANL1890" s="38"/>
      <c r="ANM1890" s="38"/>
      <c r="ANN1890" s="38"/>
      <c r="ANO1890" s="38"/>
      <c r="ANP1890" s="38"/>
      <c r="ANQ1890" s="38"/>
      <c r="ANR1890" s="38"/>
      <c r="ANS1890" s="38"/>
      <c r="ANT1890" s="38"/>
      <c r="ANU1890" s="38"/>
      <c r="ANV1890" s="38"/>
      <c r="ANW1890" s="38"/>
      <c r="ANX1890" s="38"/>
      <c r="ANY1890" s="38"/>
      <c r="ANZ1890" s="38"/>
      <c r="AOA1890" s="38"/>
      <c r="AOB1890" s="38"/>
      <c r="AOC1890" s="38"/>
      <c r="AOD1890" s="38"/>
      <c r="AOE1890" s="38"/>
      <c r="AOF1890" s="38"/>
      <c r="AOG1890" s="38"/>
      <c r="AOH1890" s="38"/>
      <c r="AOI1890" s="38"/>
      <c r="AOJ1890" s="38"/>
      <c r="AOK1890" s="38"/>
      <c r="AOL1890" s="38"/>
      <c r="AOM1890" s="38"/>
      <c r="AON1890" s="38"/>
      <c r="AOO1890" s="38"/>
      <c r="AOP1890" s="38"/>
      <c r="AOQ1890" s="38"/>
      <c r="AOR1890" s="38"/>
      <c r="AOS1890" s="38"/>
      <c r="AOT1890" s="38"/>
      <c r="AOU1890" s="38"/>
      <c r="AOV1890" s="38"/>
      <c r="AOW1890" s="38"/>
      <c r="AOX1890" s="38"/>
      <c r="AOY1890" s="38"/>
      <c r="AOZ1890" s="38"/>
      <c r="APA1890" s="38"/>
      <c r="APB1890" s="38"/>
      <c r="APC1890" s="38"/>
    </row>
    <row r="1891" spans="1:1095" s="36" customFormat="1" ht="14.25" customHeight="1">
      <c r="A1891" s="3" t="s">
        <v>1722</v>
      </c>
      <c r="B1891" s="36" t="s">
        <v>2135</v>
      </c>
      <c r="C1891" s="10">
        <v>4099854065866</v>
      </c>
      <c r="D1891" s="246"/>
      <c r="E1891" s="249"/>
      <c r="F1891" s="222" t="s">
        <v>3136</v>
      </c>
      <c r="G1891" s="66" t="str">
        <f>HYPERLINK("https://ledvance.com/pt/product-datasheet/251539/238094","Ficha de Produto")</f>
        <v>Ficha de Produto</v>
      </c>
      <c r="H1891" s="217">
        <v>6</v>
      </c>
      <c r="I1891" s="34" t="s">
        <v>6349</v>
      </c>
      <c r="J1891" s="34" t="s">
        <v>6358</v>
      </c>
      <c r="K1891" s="34" t="s">
        <v>788</v>
      </c>
      <c r="L1891" s="34" t="s">
        <v>765</v>
      </c>
      <c r="M1891" s="247">
        <v>16.200000000000003</v>
      </c>
      <c r="N1891" s="288" t="s">
        <v>722</v>
      </c>
    </row>
    <row r="1892" spans="1:1095" s="36" customFormat="1" ht="14.25" customHeight="1">
      <c r="A1892" s="3" t="s">
        <v>1722</v>
      </c>
      <c r="B1892" s="36" t="s">
        <v>2136</v>
      </c>
      <c r="C1892" s="10">
        <v>4099854065880</v>
      </c>
      <c r="D1892" s="246"/>
      <c r="E1892" s="249"/>
      <c r="F1892" s="222" t="s">
        <v>3136</v>
      </c>
      <c r="G1892" s="66" t="str">
        <f>HYPERLINK("https://ledvance.com/pt/product-datasheet/251539/238104","Ficha de Produto")</f>
        <v>Ficha de Produto</v>
      </c>
      <c r="H1892" s="217">
        <v>6</v>
      </c>
      <c r="I1892" s="34" t="s">
        <v>6359</v>
      </c>
      <c r="J1892" s="34" t="s">
        <v>6360</v>
      </c>
      <c r="K1892" s="34" t="s">
        <v>788</v>
      </c>
      <c r="L1892" s="34" t="s">
        <v>765</v>
      </c>
      <c r="M1892" s="247">
        <v>13.6</v>
      </c>
      <c r="N1892" s="288" t="s">
        <v>722</v>
      </c>
    </row>
    <row r="1893" spans="1:1095" s="36" customFormat="1" ht="14.25" customHeight="1">
      <c r="A1893" s="3" t="s">
        <v>1722</v>
      </c>
      <c r="B1893" s="36" t="s">
        <v>2137</v>
      </c>
      <c r="C1893" s="10">
        <v>4099854065903</v>
      </c>
      <c r="D1893" s="246"/>
      <c r="E1893" s="249"/>
      <c r="F1893" s="222" t="s">
        <v>3136</v>
      </c>
      <c r="G1893" s="66" t="str">
        <f>HYPERLINK("https://ledvance.com/pt/product-datasheet/251539/238110","Ficha de Produto")</f>
        <v>Ficha de Produto</v>
      </c>
      <c r="H1893" s="217">
        <v>6</v>
      </c>
      <c r="I1893" s="34" t="s">
        <v>6351</v>
      </c>
      <c r="J1893" s="34" t="s">
        <v>6361</v>
      </c>
      <c r="K1893" s="34" t="s">
        <v>788</v>
      </c>
      <c r="L1893" s="34" t="s">
        <v>765</v>
      </c>
      <c r="M1893" s="247">
        <v>17.5</v>
      </c>
      <c r="N1893" s="288" t="s">
        <v>722</v>
      </c>
    </row>
    <row r="1894" spans="1:1095" s="36" customFormat="1" ht="14.25" customHeight="1">
      <c r="A1894" s="3" t="s">
        <v>1722</v>
      </c>
      <c r="B1894" s="36" t="s">
        <v>2138</v>
      </c>
      <c r="C1894" s="10">
        <v>4099854065927</v>
      </c>
      <c r="D1894" s="246"/>
      <c r="E1894" s="249"/>
      <c r="F1894" s="222" t="s">
        <v>3136</v>
      </c>
      <c r="G1894" s="66" t="str">
        <f>HYPERLINK("https://ledvance.com/pt/product-datasheet/251539/238116","Ficha de Produto")</f>
        <v>Ficha de Produto</v>
      </c>
      <c r="H1894" s="217">
        <v>6</v>
      </c>
      <c r="I1894" s="34" t="s">
        <v>6352</v>
      </c>
      <c r="J1894" s="34" t="s">
        <v>6362</v>
      </c>
      <c r="K1894" s="34" t="s">
        <v>788</v>
      </c>
      <c r="L1894" s="34" t="s">
        <v>765</v>
      </c>
      <c r="M1894" s="247">
        <v>18.8</v>
      </c>
      <c r="N1894" s="288" t="s">
        <v>722</v>
      </c>
    </row>
    <row r="1895" spans="1:1095" s="36" customFormat="1" ht="14.25" customHeight="1">
      <c r="A1895" s="3" t="s">
        <v>1722</v>
      </c>
      <c r="B1895" s="36" t="s">
        <v>2139</v>
      </c>
      <c r="C1895" s="10">
        <v>4099854065941</v>
      </c>
      <c r="D1895" s="246"/>
      <c r="E1895" s="249"/>
      <c r="F1895" s="222" t="s">
        <v>3136</v>
      </c>
      <c r="G1895" s="66" t="str">
        <f>HYPERLINK("https://ledvance.com/pt/product-datasheet/251539/238122","Ficha de Produto")</f>
        <v>Ficha de Produto</v>
      </c>
      <c r="H1895" s="217">
        <v>6</v>
      </c>
      <c r="I1895" s="34" t="s">
        <v>6351</v>
      </c>
      <c r="J1895" s="34" t="s">
        <v>6361</v>
      </c>
      <c r="K1895" s="34" t="s">
        <v>788</v>
      </c>
      <c r="L1895" s="34" t="s">
        <v>765</v>
      </c>
      <c r="M1895" s="247">
        <v>17.8</v>
      </c>
      <c r="N1895" s="288" t="s">
        <v>722</v>
      </c>
    </row>
    <row r="1896" spans="1:1095" s="36" customFormat="1" ht="14.25" customHeight="1">
      <c r="A1896" s="3" t="s">
        <v>1722</v>
      </c>
      <c r="B1896" s="36" t="s">
        <v>2140</v>
      </c>
      <c r="C1896" s="10">
        <v>4099854065965</v>
      </c>
      <c r="D1896" s="246"/>
      <c r="E1896" s="249"/>
      <c r="F1896" s="222" t="s">
        <v>3136</v>
      </c>
      <c r="G1896" s="66" t="str">
        <f>HYPERLINK("https://ledvance.com/pt/product-datasheet/251539/238128","Ficha de Produto")</f>
        <v>Ficha de Produto</v>
      </c>
      <c r="H1896" s="217">
        <v>6</v>
      </c>
      <c r="I1896" s="34" t="s">
        <v>6352</v>
      </c>
      <c r="J1896" s="34" t="s">
        <v>6362</v>
      </c>
      <c r="K1896" s="34" t="s">
        <v>788</v>
      </c>
      <c r="L1896" s="34" t="s">
        <v>765</v>
      </c>
      <c r="M1896" s="247">
        <v>19.200000000000003</v>
      </c>
      <c r="N1896" s="288" t="s">
        <v>722</v>
      </c>
    </row>
    <row r="1897" spans="1:1095" s="36" customFormat="1" ht="14.25" customHeight="1">
      <c r="A1897" s="3" t="s">
        <v>1722</v>
      </c>
      <c r="B1897" s="36" t="s">
        <v>2141</v>
      </c>
      <c r="C1897" s="10">
        <v>4099854066146</v>
      </c>
      <c r="D1897" s="246"/>
      <c r="E1897" s="249"/>
      <c r="F1897" s="222" t="s">
        <v>3136</v>
      </c>
      <c r="G1897" s="66" t="str">
        <f>HYPERLINK("https://ledvance.com/pt/product-datasheet/251539/238134","Ficha de Produto")</f>
        <v>Ficha de Produto</v>
      </c>
      <c r="H1897" s="217">
        <v>6</v>
      </c>
      <c r="I1897" s="34" t="s">
        <v>6349</v>
      </c>
      <c r="J1897" s="34" t="s">
        <v>6358</v>
      </c>
      <c r="K1897" s="34" t="s">
        <v>788</v>
      </c>
      <c r="L1897" s="34" t="s">
        <v>765</v>
      </c>
      <c r="M1897" s="247">
        <v>16.5</v>
      </c>
      <c r="N1897" s="288" t="s">
        <v>722</v>
      </c>
    </row>
    <row r="1898" spans="1:1095" s="36" customFormat="1" ht="14.25" customHeight="1">
      <c r="A1898" s="3" t="s">
        <v>1722</v>
      </c>
      <c r="B1898" s="36" t="s">
        <v>2142</v>
      </c>
      <c r="C1898" s="10">
        <v>4099854066221</v>
      </c>
      <c r="D1898" s="246"/>
      <c r="E1898" s="249"/>
      <c r="F1898" s="222" t="s">
        <v>3136</v>
      </c>
      <c r="G1898" s="66" t="str">
        <f>HYPERLINK("https://ledvance.com/pt/product-datasheet/251539/238140","Ficha de Produto")</f>
        <v>Ficha de Produto</v>
      </c>
      <c r="H1898" s="217">
        <v>6</v>
      </c>
      <c r="I1898" s="34" t="s">
        <v>6359</v>
      </c>
      <c r="J1898" s="34" t="s">
        <v>6360</v>
      </c>
      <c r="K1898" s="34" t="s">
        <v>788</v>
      </c>
      <c r="L1898" s="34" t="s">
        <v>765</v>
      </c>
      <c r="M1898" s="247">
        <v>14</v>
      </c>
      <c r="N1898" s="288" t="s">
        <v>722</v>
      </c>
    </row>
    <row r="1899" spans="1:1095" s="36" customFormat="1" ht="14.25" customHeight="1">
      <c r="A1899" s="3" t="s">
        <v>1722</v>
      </c>
      <c r="B1899" s="36" t="s">
        <v>2143</v>
      </c>
      <c r="C1899" s="10">
        <v>4099854066535</v>
      </c>
      <c r="D1899" s="246"/>
      <c r="E1899" s="249"/>
      <c r="F1899" s="222" t="s">
        <v>3136</v>
      </c>
      <c r="G1899" s="66" t="str">
        <f>HYPERLINK("https://ledvance.com/pt/product-datasheet/251541/238146","Ficha de Produto")</f>
        <v>Ficha de Produto</v>
      </c>
      <c r="H1899" s="217">
        <v>6</v>
      </c>
      <c r="I1899" s="34" t="s">
        <v>6354</v>
      </c>
      <c r="J1899" s="34" t="s">
        <v>5868</v>
      </c>
      <c r="K1899" s="34" t="s">
        <v>788</v>
      </c>
      <c r="L1899" s="34" t="s">
        <v>765</v>
      </c>
      <c r="M1899" s="247">
        <v>12.799999999999999</v>
      </c>
      <c r="N1899" s="288" t="s">
        <v>722</v>
      </c>
    </row>
    <row r="1900" spans="1:1095" s="36" customFormat="1" ht="14.25" customHeight="1">
      <c r="A1900" s="3" t="s">
        <v>1722</v>
      </c>
      <c r="B1900" s="36" t="s">
        <v>2144</v>
      </c>
      <c r="C1900" s="10">
        <v>4058075747845</v>
      </c>
      <c r="D1900" s="246"/>
      <c r="E1900" s="249"/>
      <c r="F1900" s="222" t="s">
        <v>3136</v>
      </c>
      <c r="G1900" s="66" t="str">
        <f>HYPERLINK("https://ledvance.com/pt/product-datasheet/251541/238170","Ficha de Produto")</f>
        <v>Ficha de Produto</v>
      </c>
      <c r="H1900" s="217">
        <v>6</v>
      </c>
      <c r="I1900" s="34" t="s">
        <v>6354</v>
      </c>
      <c r="J1900" s="34" t="s">
        <v>5868</v>
      </c>
      <c r="K1900" s="34" t="s">
        <v>788</v>
      </c>
      <c r="L1900" s="34" t="s">
        <v>765</v>
      </c>
      <c r="M1900" s="247">
        <v>12.799999999999999</v>
      </c>
      <c r="N1900" s="288" t="s">
        <v>722</v>
      </c>
    </row>
    <row r="1901" spans="1:1095" s="36" customFormat="1" ht="14.25" customHeight="1">
      <c r="A1901" s="3" t="s">
        <v>1722</v>
      </c>
      <c r="B1901" s="36" t="s">
        <v>2145</v>
      </c>
      <c r="C1901" s="10">
        <v>4099854066276</v>
      </c>
      <c r="D1901" s="246"/>
      <c r="E1901" s="249"/>
      <c r="F1901" s="222" t="s">
        <v>3136</v>
      </c>
      <c r="G1901" s="66" t="str">
        <f>HYPERLINK("https://ledvance.com/pt/product-datasheet/251540/238152","Ficha de Produto")</f>
        <v>Ficha de Produto</v>
      </c>
      <c r="H1901" s="217">
        <v>6</v>
      </c>
      <c r="I1901" s="34" t="s">
        <v>6354</v>
      </c>
      <c r="J1901" s="34" t="s">
        <v>5868</v>
      </c>
      <c r="K1901" s="34" t="s">
        <v>788</v>
      </c>
      <c r="L1901" s="34" t="s">
        <v>765</v>
      </c>
      <c r="M1901" s="247">
        <v>12.7</v>
      </c>
      <c r="N1901" s="288" t="s">
        <v>722</v>
      </c>
    </row>
    <row r="1902" spans="1:1095" s="36" customFormat="1" ht="14.25" customHeight="1">
      <c r="A1902" s="3" t="s">
        <v>1722</v>
      </c>
      <c r="B1902" s="36" t="s">
        <v>2146</v>
      </c>
      <c r="C1902" s="10">
        <v>4099854066382</v>
      </c>
      <c r="D1902" s="246"/>
      <c r="E1902" s="249"/>
      <c r="F1902" s="222" t="s">
        <v>3136</v>
      </c>
      <c r="G1902" s="66" t="str">
        <f>HYPERLINK("https://ledvance.com/pt/product-datasheet/251540/238176","Ficha de Produto")</f>
        <v>Ficha de Produto</v>
      </c>
      <c r="H1902" s="217">
        <v>6</v>
      </c>
      <c r="I1902" s="34" t="s">
        <v>6354</v>
      </c>
      <c r="J1902" s="34" t="s">
        <v>5868</v>
      </c>
      <c r="K1902" s="34" t="s">
        <v>788</v>
      </c>
      <c r="L1902" s="34" t="s">
        <v>765</v>
      </c>
      <c r="M1902" s="247">
        <v>12.7</v>
      </c>
      <c r="N1902" s="288" t="s">
        <v>722</v>
      </c>
    </row>
    <row r="1903" spans="1:1095" s="39" customFormat="1" ht="14.25" customHeight="1">
      <c r="A1903" s="8" t="s">
        <v>1722</v>
      </c>
      <c r="B1903" s="244" t="s">
        <v>2147</v>
      </c>
      <c r="C1903" s="8"/>
      <c r="D1903" s="7"/>
      <c r="E1903" s="230"/>
      <c r="F1903" s="7"/>
      <c r="G1903" s="68" t="s">
        <v>6505</v>
      </c>
      <c r="H1903" s="230"/>
      <c r="I1903" s="230"/>
      <c r="J1903" s="230"/>
      <c r="K1903" s="230"/>
      <c r="L1903" s="230"/>
      <c r="M1903" s="248"/>
      <c r="N1903" s="292"/>
      <c r="O1903" s="38"/>
      <c r="P1903" s="38"/>
      <c r="Q1903" s="38"/>
      <c r="R1903" s="38"/>
      <c r="S1903" s="38"/>
      <c r="T1903" s="38"/>
      <c r="U1903" s="38"/>
      <c r="V1903" s="38"/>
      <c r="W1903" s="38"/>
      <c r="X1903" s="38"/>
      <c r="Y1903" s="38"/>
      <c r="Z1903" s="38"/>
      <c r="AA1903" s="38"/>
      <c r="AB1903" s="38"/>
      <c r="AC1903" s="38"/>
      <c r="AD1903" s="38"/>
      <c r="AE1903" s="38"/>
      <c r="AF1903" s="38"/>
      <c r="AG1903" s="38"/>
      <c r="AH1903" s="38"/>
      <c r="AI1903" s="38"/>
      <c r="AJ1903" s="38"/>
      <c r="AK1903" s="38"/>
      <c r="AL1903" s="38"/>
      <c r="AM1903" s="38"/>
      <c r="AN1903" s="38"/>
      <c r="AO1903" s="38"/>
      <c r="AP1903" s="38"/>
      <c r="AQ1903" s="38"/>
      <c r="AR1903" s="38"/>
      <c r="AS1903" s="38"/>
      <c r="AT1903" s="38"/>
      <c r="AU1903" s="38"/>
      <c r="AV1903" s="38"/>
      <c r="AW1903" s="38"/>
      <c r="AX1903" s="38"/>
      <c r="AY1903" s="38"/>
      <c r="AZ1903" s="38"/>
      <c r="BA1903" s="38"/>
      <c r="BB1903" s="38"/>
      <c r="BC1903" s="38"/>
      <c r="BD1903" s="38"/>
      <c r="BE1903" s="38"/>
      <c r="BF1903" s="38"/>
      <c r="BG1903" s="38"/>
      <c r="BH1903" s="38"/>
      <c r="BI1903" s="38"/>
      <c r="BJ1903" s="38"/>
      <c r="BK1903" s="38"/>
      <c r="BL1903" s="38"/>
      <c r="BM1903" s="38"/>
      <c r="BN1903" s="38"/>
      <c r="BO1903" s="38"/>
      <c r="BP1903" s="38"/>
      <c r="BQ1903" s="38"/>
      <c r="BR1903" s="38"/>
      <c r="BS1903" s="38"/>
      <c r="BT1903" s="38"/>
      <c r="BU1903" s="38"/>
      <c r="BV1903" s="38"/>
      <c r="BW1903" s="38"/>
      <c r="BX1903" s="38"/>
      <c r="BY1903" s="38"/>
      <c r="BZ1903" s="38"/>
      <c r="CA1903" s="38"/>
      <c r="CB1903" s="38"/>
      <c r="CC1903" s="38"/>
      <c r="CD1903" s="38"/>
      <c r="CE1903" s="38"/>
      <c r="CF1903" s="38"/>
      <c r="CG1903" s="38"/>
      <c r="CH1903" s="38"/>
      <c r="CI1903" s="38"/>
      <c r="CJ1903" s="38"/>
      <c r="CK1903" s="38"/>
      <c r="CL1903" s="38"/>
      <c r="CM1903" s="38"/>
      <c r="CN1903" s="38"/>
      <c r="CO1903" s="38"/>
      <c r="CP1903" s="38"/>
      <c r="CQ1903" s="38"/>
      <c r="CR1903" s="38"/>
      <c r="CS1903" s="38"/>
      <c r="CT1903" s="38"/>
      <c r="CU1903" s="38"/>
      <c r="CV1903" s="38"/>
      <c r="CW1903" s="38"/>
      <c r="CX1903" s="38"/>
      <c r="CY1903" s="38"/>
      <c r="CZ1903" s="38"/>
      <c r="DA1903" s="38"/>
      <c r="DB1903" s="38"/>
      <c r="DC1903" s="38"/>
      <c r="DD1903" s="38"/>
      <c r="DE1903" s="38"/>
      <c r="DF1903" s="38"/>
      <c r="DG1903" s="38"/>
      <c r="DH1903" s="38"/>
      <c r="DI1903" s="38"/>
      <c r="DJ1903" s="38"/>
      <c r="DK1903" s="38"/>
      <c r="DL1903" s="38"/>
      <c r="DM1903" s="38"/>
      <c r="DN1903" s="38"/>
      <c r="DO1903" s="38"/>
      <c r="DP1903" s="38"/>
      <c r="DQ1903" s="38"/>
      <c r="DR1903" s="38"/>
      <c r="DS1903" s="38"/>
      <c r="DT1903" s="38"/>
      <c r="DU1903" s="38"/>
      <c r="DV1903" s="38"/>
      <c r="DW1903" s="38"/>
      <c r="DX1903" s="38"/>
      <c r="DY1903" s="38"/>
      <c r="DZ1903" s="38"/>
      <c r="EA1903" s="38"/>
      <c r="EB1903" s="38"/>
      <c r="EC1903" s="38"/>
      <c r="ED1903" s="38"/>
      <c r="EE1903" s="38"/>
      <c r="EF1903" s="38"/>
      <c r="EG1903" s="38"/>
      <c r="EH1903" s="38"/>
      <c r="EI1903" s="38"/>
      <c r="EJ1903" s="38"/>
      <c r="EK1903" s="38"/>
      <c r="EL1903" s="38"/>
      <c r="EM1903" s="38"/>
      <c r="EN1903" s="38"/>
      <c r="EO1903" s="38"/>
      <c r="EP1903" s="38"/>
      <c r="EQ1903" s="38"/>
      <c r="ER1903" s="38"/>
      <c r="ES1903" s="38"/>
      <c r="ET1903" s="38"/>
      <c r="EU1903" s="38"/>
      <c r="EV1903" s="38"/>
      <c r="EW1903" s="38"/>
      <c r="EX1903" s="38"/>
      <c r="EY1903" s="38"/>
      <c r="EZ1903" s="38"/>
      <c r="FA1903" s="38"/>
      <c r="FB1903" s="38"/>
      <c r="FC1903" s="38"/>
      <c r="FD1903" s="38"/>
      <c r="FE1903" s="38"/>
      <c r="FF1903" s="38"/>
      <c r="FG1903" s="38"/>
      <c r="FH1903" s="38"/>
      <c r="FI1903" s="38"/>
      <c r="FJ1903" s="38"/>
      <c r="FK1903" s="38"/>
      <c r="FL1903" s="38"/>
      <c r="FM1903" s="38"/>
      <c r="FN1903" s="38"/>
      <c r="FO1903" s="38"/>
      <c r="FP1903" s="38"/>
      <c r="FQ1903" s="38"/>
      <c r="FR1903" s="38"/>
      <c r="FS1903" s="38"/>
      <c r="FT1903" s="38"/>
      <c r="FU1903" s="38"/>
      <c r="FV1903" s="38"/>
      <c r="FW1903" s="38"/>
      <c r="FX1903" s="38"/>
      <c r="FY1903" s="38"/>
      <c r="FZ1903" s="38"/>
      <c r="GA1903" s="38"/>
      <c r="GB1903" s="38"/>
      <c r="GC1903" s="38"/>
      <c r="GD1903" s="38"/>
      <c r="GE1903" s="38"/>
      <c r="GF1903" s="38"/>
      <c r="GG1903" s="38"/>
      <c r="GH1903" s="38"/>
      <c r="GI1903" s="38"/>
      <c r="GJ1903" s="38"/>
      <c r="GK1903" s="38"/>
      <c r="GL1903" s="38"/>
      <c r="GM1903" s="38"/>
      <c r="GN1903" s="38"/>
      <c r="GO1903" s="38"/>
      <c r="GP1903" s="38"/>
      <c r="GQ1903" s="38"/>
      <c r="GR1903" s="38"/>
      <c r="GS1903" s="38"/>
      <c r="GT1903" s="38"/>
      <c r="GU1903" s="38"/>
      <c r="GV1903" s="38"/>
      <c r="GW1903" s="38"/>
      <c r="GX1903" s="38"/>
      <c r="GY1903" s="38"/>
      <c r="GZ1903" s="38"/>
      <c r="HA1903" s="38"/>
      <c r="HB1903" s="38"/>
      <c r="HC1903" s="38"/>
      <c r="HD1903" s="38"/>
      <c r="HE1903" s="38"/>
      <c r="HF1903" s="38"/>
      <c r="HG1903" s="38"/>
      <c r="HH1903" s="38"/>
      <c r="HI1903" s="38"/>
      <c r="HJ1903" s="38"/>
      <c r="HK1903" s="38"/>
      <c r="HL1903" s="38"/>
      <c r="HM1903" s="38"/>
      <c r="HN1903" s="38"/>
      <c r="HO1903" s="38"/>
      <c r="HP1903" s="38"/>
      <c r="HQ1903" s="38"/>
      <c r="HR1903" s="38"/>
      <c r="HS1903" s="38"/>
      <c r="HT1903" s="38"/>
      <c r="HU1903" s="38"/>
      <c r="HV1903" s="38"/>
      <c r="HW1903" s="38"/>
      <c r="HX1903" s="38"/>
      <c r="HY1903" s="38"/>
      <c r="HZ1903" s="38"/>
      <c r="IA1903" s="38"/>
      <c r="IB1903" s="38"/>
      <c r="IC1903" s="38"/>
      <c r="ID1903" s="38"/>
      <c r="IE1903" s="38"/>
      <c r="IF1903" s="38"/>
      <c r="IG1903" s="38"/>
      <c r="IH1903" s="38"/>
      <c r="II1903" s="38"/>
      <c r="IJ1903" s="38"/>
      <c r="IK1903" s="38"/>
      <c r="IL1903" s="38"/>
      <c r="IM1903" s="38"/>
      <c r="IN1903" s="38"/>
      <c r="IO1903" s="38"/>
      <c r="IP1903" s="38"/>
      <c r="IQ1903" s="38"/>
      <c r="IR1903" s="38"/>
      <c r="IS1903" s="38"/>
      <c r="IT1903" s="38"/>
      <c r="IU1903" s="38"/>
      <c r="IV1903" s="38"/>
      <c r="IW1903" s="38"/>
      <c r="IX1903" s="38"/>
      <c r="IY1903" s="38"/>
      <c r="IZ1903" s="38"/>
      <c r="JA1903" s="38"/>
      <c r="JB1903" s="38"/>
      <c r="JC1903" s="38"/>
      <c r="JD1903" s="38"/>
      <c r="JE1903" s="38"/>
      <c r="JF1903" s="38"/>
      <c r="JG1903" s="38"/>
      <c r="JH1903" s="38"/>
      <c r="JI1903" s="38"/>
      <c r="JJ1903" s="38"/>
      <c r="JK1903" s="38"/>
      <c r="JL1903" s="38"/>
      <c r="JM1903" s="38"/>
      <c r="JN1903" s="38"/>
      <c r="JO1903" s="38"/>
      <c r="JP1903" s="38"/>
      <c r="JQ1903" s="38"/>
      <c r="JR1903" s="38"/>
      <c r="JS1903" s="38"/>
      <c r="JT1903" s="38"/>
      <c r="JU1903" s="38"/>
      <c r="JV1903" s="38"/>
      <c r="JW1903" s="38"/>
      <c r="JX1903" s="38"/>
      <c r="JY1903" s="38"/>
      <c r="JZ1903" s="38"/>
      <c r="KA1903" s="38"/>
      <c r="KB1903" s="38"/>
      <c r="KC1903" s="38"/>
      <c r="KD1903" s="38"/>
      <c r="KE1903" s="38"/>
      <c r="KF1903" s="38"/>
      <c r="KG1903" s="38"/>
      <c r="KH1903" s="38"/>
      <c r="KI1903" s="38"/>
      <c r="KJ1903" s="38"/>
      <c r="KK1903" s="38"/>
      <c r="KL1903" s="38"/>
      <c r="KM1903" s="38"/>
      <c r="KN1903" s="38"/>
      <c r="KO1903" s="38"/>
      <c r="KP1903" s="38"/>
      <c r="KQ1903" s="38"/>
      <c r="KR1903" s="38"/>
      <c r="KS1903" s="38"/>
      <c r="KT1903" s="38"/>
      <c r="KU1903" s="38"/>
      <c r="KV1903" s="38"/>
      <c r="KW1903" s="38"/>
      <c r="KX1903" s="38"/>
      <c r="KY1903" s="38"/>
      <c r="KZ1903" s="38"/>
      <c r="LA1903" s="38"/>
      <c r="LB1903" s="38"/>
      <c r="LC1903" s="38"/>
      <c r="LD1903" s="38"/>
      <c r="LE1903" s="38"/>
      <c r="LF1903" s="38"/>
      <c r="LG1903" s="38"/>
      <c r="LH1903" s="38"/>
      <c r="LI1903" s="38"/>
      <c r="LJ1903" s="38"/>
      <c r="LK1903" s="38"/>
      <c r="LL1903" s="38"/>
      <c r="LM1903" s="38"/>
      <c r="LN1903" s="38"/>
      <c r="LO1903" s="38"/>
      <c r="LP1903" s="38"/>
      <c r="LQ1903" s="38"/>
      <c r="LR1903" s="38"/>
      <c r="LS1903" s="38"/>
      <c r="LT1903" s="38"/>
      <c r="LU1903" s="38"/>
      <c r="LV1903" s="38"/>
      <c r="LW1903" s="38"/>
      <c r="LX1903" s="38"/>
      <c r="LY1903" s="38"/>
      <c r="LZ1903" s="38"/>
      <c r="MA1903" s="38"/>
      <c r="MB1903" s="38"/>
      <c r="MC1903" s="38"/>
      <c r="MD1903" s="38"/>
      <c r="ME1903" s="38"/>
      <c r="MF1903" s="38"/>
      <c r="MG1903" s="38"/>
      <c r="MH1903" s="38"/>
      <c r="MI1903" s="38"/>
      <c r="MJ1903" s="38"/>
      <c r="MK1903" s="38"/>
      <c r="ML1903" s="38"/>
      <c r="MM1903" s="38"/>
      <c r="MN1903" s="38"/>
      <c r="MO1903" s="38"/>
      <c r="MP1903" s="38"/>
      <c r="MQ1903" s="38"/>
      <c r="MR1903" s="38"/>
      <c r="MS1903" s="38"/>
      <c r="MT1903" s="38"/>
      <c r="MU1903" s="38"/>
      <c r="MV1903" s="38"/>
      <c r="MW1903" s="38"/>
      <c r="MX1903" s="38"/>
      <c r="MY1903" s="38"/>
      <c r="MZ1903" s="38"/>
      <c r="NA1903" s="38"/>
      <c r="NB1903" s="38"/>
      <c r="NC1903" s="38"/>
      <c r="ND1903" s="38"/>
      <c r="NE1903" s="38"/>
      <c r="NF1903" s="38"/>
      <c r="NG1903" s="38"/>
      <c r="NH1903" s="38"/>
      <c r="NI1903" s="38"/>
      <c r="NJ1903" s="38"/>
      <c r="NK1903" s="38"/>
      <c r="NL1903" s="38"/>
      <c r="NM1903" s="38"/>
      <c r="NN1903" s="38"/>
      <c r="NO1903" s="38"/>
      <c r="NP1903" s="38"/>
      <c r="NQ1903" s="38"/>
      <c r="NR1903" s="38"/>
      <c r="NS1903" s="38"/>
      <c r="NT1903" s="38"/>
      <c r="NU1903" s="38"/>
      <c r="NV1903" s="38"/>
      <c r="NW1903" s="38"/>
      <c r="NX1903" s="38"/>
      <c r="NY1903" s="38"/>
      <c r="NZ1903" s="38"/>
      <c r="OA1903" s="38"/>
      <c r="OB1903" s="38"/>
      <c r="OC1903" s="38"/>
      <c r="OD1903" s="38"/>
      <c r="OE1903" s="38"/>
      <c r="OF1903" s="38"/>
      <c r="OG1903" s="38"/>
      <c r="OH1903" s="38"/>
      <c r="OI1903" s="38"/>
      <c r="OJ1903" s="38"/>
      <c r="OK1903" s="38"/>
      <c r="OL1903" s="38"/>
      <c r="OM1903" s="38"/>
      <c r="ON1903" s="38"/>
      <c r="OO1903" s="38"/>
      <c r="OP1903" s="38"/>
      <c r="OQ1903" s="38"/>
      <c r="OR1903" s="38"/>
      <c r="OS1903" s="38"/>
      <c r="OT1903" s="38"/>
      <c r="OU1903" s="38"/>
      <c r="OV1903" s="38"/>
      <c r="OW1903" s="38"/>
      <c r="OX1903" s="38"/>
      <c r="OY1903" s="38"/>
      <c r="OZ1903" s="38"/>
      <c r="PA1903" s="38"/>
      <c r="PB1903" s="38"/>
      <c r="PC1903" s="38"/>
      <c r="PD1903" s="38"/>
      <c r="PE1903" s="38"/>
      <c r="PF1903" s="38"/>
      <c r="PG1903" s="38"/>
      <c r="PH1903" s="38"/>
      <c r="PI1903" s="38"/>
      <c r="PJ1903" s="38"/>
      <c r="PK1903" s="38"/>
      <c r="PL1903" s="38"/>
      <c r="PM1903" s="38"/>
      <c r="PN1903" s="38"/>
      <c r="PO1903" s="38"/>
      <c r="PP1903" s="38"/>
      <c r="PQ1903" s="38"/>
      <c r="PR1903" s="38"/>
      <c r="PS1903" s="38"/>
      <c r="PT1903" s="38"/>
      <c r="PU1903" s="38"/>
      <c r="PV1903" s="38"/>
      <c r="PW1903" s="38"/>
      <c r="PX1903" s="38"/>
      <c r="PY1903" s="38"/>
      <c r="PZ1903" s="38"/>
      <c r="QA1903" s="38"/>
      <c r="QB1903" s="38"/>
      <c r="QC1903" s="38"/>
      <c r="QD1903" s="38"/>
      <c r="QE1903" s="38"/>
      <c r="QF1903" s="38"/>
      <c r="QG1903" s="38"/>
      <c r="QH1903" s="38"/>
      <c r="QI1903" s="38"/>
      <c r="QJ1903" s="38"/>
      <c r="QK1903" s="38"/>
      <c r="QL1903" s="38"/>
      <c r="QM1903" s="38"/>
      <c r="QN1903" s="38"/>
      <c r="QO1903" s="38"/>
      <c r="QP1903" s="38"/>
      <c r="QQ1903" s="38"/>
      <c r="QR1903" s="38"/>
      <c r="QS1903" s="38"/>
      <c r="QT1903" s="38"/>
      <c r="QU1903" s="38"/>
      <c r="QV1903" s="38"/>
      <c r="QW1903" s="38"/>
      <c r="QX1903" s="38"/>
      <c r="QY1903" s="38"/>
      <c r="QZ1903" s="38"/>
      <c r="RA1903" s="38"/>
      <c r="RB1903" s="38"/>
      <c r="RC1903" s="38"/>
      <c r="RD1903" s="38"/>
      <c r="RE1903" s="38"/>
      <c r="RF1903" s="38"/>
      <c r="RG1903" s="38"/>
      <c r="RH1903" s="38"/>
      <c r="RI1903" s="38"/>
      <c r="RJ1903" s="38"/>
      <c r="RK1903" s="38"/>
      <c r="RL1903" s="38"/>
      <c r="RM1903" s="38"/>
      <c r="RN1903" s="38"/>
      <c r="RO1903" s="38"/>
      <c r="RP1903" s="38"/>
      <c r="RQ1903" s="38"/>
      <c r="RR1903" s="38"/>
      <c r="RS1903" s="38"/>
      <c r="RT1903" s="38"/>
      <c r="RU1903" s="38"/>
      <c r="RV1903" s="38"/>
      <c r="RW1903" s="38"/>
      <c r="RX1903" s="38"/>
      <c r="RY1903" s="38"/>
      <c r="RZ1903" s="38"/>
      <c r="SA1903" s="38"/>
      <c r="SB1903" s="38"/>
      <c r="SC1903" s="38"/>
      <c r="SD1903" s="38"/>
      <c r="SE1903" s="38"/>
      <c r="SF1903" s="38"/>
      <c r="SG1903" s="38"/>
      <c r="SH1903" s="38"/>
      <c r="SI1903" s="38"/>
      <c r="SJ1903" s="38"/>
      <c r="SK1903" s="38"/>
      <c r="SL1903" s="38"/>
      <c r="SM1903" s="38"/>
      <c r="SN1903" s="38"/>
      <c r="SO1903" s="38"/>
      <c r="SP1903" s="38"/>
      <c r="SQ1903" s="38"/>
      <c r="SR1903" s="38"/>
      <c r="SS1903" s="38"/>
      <c r="ST1903" s="38"/>
      <c r="SU1903" s="38"/>
      <c r="SV1903" s="38"/>
      <c r="SW1903" s="38"/>
      <c r="SX1903" s="38"/>
      <c r="SY1903" s="38"/>
      <c r="SZ1903" s="38"/>
      <c r="TA1903" s="38"/>
      <c r="TB1903" s="38"/>
      <c r="TC1903" s="38"/>
      <c r="TD1903" s="38"/>
      <c r="TE1903" s="38"/>
      <c r="TF1903" s="38"/>
      <c r="TG1903" s="38"/>
      <c r="TH1903" s="38"/>
      <c r="TI1903" s="38"/>
      <c r="TJ1903" s="38"/>
      <c r="TK1903" s="38"/>
      <c r="TL1903" s="38"/>
      <c r="TM1903" s="38"/>
      <c r="TN1903" s="38"/>
      <c r="TO1903" s="38"/>
      <c r="TP1903" s="38"/>
      <c r="TQ1903" s="38"/>
      <c r="TR1903" s="38"/>
      <c r="TS1903" s="38"/>
      <c r="TT1903" s="38"/>
      <c r="TU1903" s="38"/>
      <c r="TV1903" s="38"/>
      <c r="TW1903" s="38"/>
      <c r="TX1903" s="38"/>
      <c r="TY1903" s="38"/>
      <c r="TZ1903" s="38"/>
      <c r="UA1903" s="38"/>
      <c r="UB1903" s="38"/>
      <c r="UC1903" s="38"/>
      <c r="UD1903" s="38"/>
      <c r="UE1903" s="38"/>
      <c r="UF1903" s="38"/>
      <c r="UG1903" s="38"/>
      <c r="UH1903" s="38"/>
      <c r="UI1903" s="38"/>
      <c r="UJ1903" s="38"/>
      <c r="UK1903" s="38"/>
      <c r="UL1903" s="38"/>
      <c r="UM1903" s="38"/>
      <c r="UN1903" s="38"/>
      <c r="UO1903" s="38"/>
      <c r="UP1903" s="38"/>
      <c r="UQ1903" s="38"/>
      <c r="UR1903" s="38"/>
      <c r="US1903" s="38"/>
      <c r="UT1903" s="38"/>
      <c r="UU1903" s="38"/>
      <c r="UV1903" s="38"/>
      <c r="UW1903" s="38"/>
      <c r="UX1903" s="38"/>
      <c r="UY1903" s="38"/>
      <c r="UZ1903" s="38"/>
      <c r="VA1903" s="38"/>
      <c r="VB1903" s="38"/>
      <c r="VC1903" s="38"/>
      <c r="VD1903" s="38"/>
      <c r="VE1903" s="38"/>
      <c r="VF1903" s="38"/>
      <c r="VG1903" s="38"/>
      <c r="VH1903" s="38"/>
      <c r="VI1903" s="38"/>
      <c r="VJ1903" s="38"/>
      <c r="VK1903" s="38"/>
      <c r="VL1903" s="38"/>
      <c r="VM1903" s="38"/>
      <c r="VN1903" s="38"/>
      <c r="VO1903" s="38"/>
      <c r="VP1903" s="38"/>
      <c r="VQ1903" s="38"/>
      <c r="VR1903" s="38"/>
      <c r="VS1903" s="38"/>
      <c r="VT1903" s="38"/>
      <c r="VU1903" s="38"/>
      <c r="VV1903" s="38"/>
      <c r="VW1903" s="38"/>
      <c r="VX1903" s="38"/>
      <c r="VY1903" s="38"/>
      <c r="VZ1903" s="38"/>
      <c r="WA1903" s="38"/>
      <c r="WB1903" s="38"/>
      <c r="WC1903" s="38"/>
      <c r="WD1903" s="38"/>
      <c r="WE1903" s="38"/>
      <c r="WF1903" s="38"/>
      <c r="WG1903" s="38"/>
      <c r="WH1903" s="38"/>
      <c r="WI1903" s="38"/>
      <c r="WJ1903" s="38"/>
      <c r="WK1903" s="38"/>
      <c r="WL1903" s="38"/>
      <c r="WM1903" s="38"/>
      <c r="WN1903" s="38"/>
      <c r="WO1903" s="38"/>
      <c r="WP1903" s="38"/>
      <c r="WQ1903" s="38"/>
      <c r="WR1903" s="38"/>
      <c r="WS1903" s="38"/>
      <c r="WT1903" s="38"/>
      <c r="WU1903" s="38"/>
      <c r="WV1903" s="38"/>
      <c r="WW1903" s="38"/>
      <c r="WX1903" s="38"/>
      <c r="WY1903" s="38"/>
      <c r="WZ1903" s="38"/>
      <c r="XA1903" s="38"/>
      <c r="XB1903" s="38"/>
      <c r="XC1903" s="38"/>
      <c r="XD1903" s="38"/>
      <c r="XE1903" s="38"/>
      <c r="XF1903" s="38"/>
      <c r="XG1903" s="38"/>
      <c r="XH1903" s="38"/>
      <c r="XI1903" s="38"/>
      <c r="XJ1903" s="38"/>
      <c r="XK1903" s="38"/>
      <c r="XL1903" s="38"/>
      <c r="XM1903" s="38"/>
      <c r="XN1903" s="38"/>
      <c r="XO1903" s="38"/>
      <c r="XP1903" s="38"/>
      <c r="XQ1903" s="38"/>
      <c r="XR1903" s="38"/>
      <c r="XS1903" s="38"/>
      <c r="XT1903" s="38"/>
      <c r="XU1903" s="38"/>
      <c r="XV1903" s="38"/>
      <c r="XW1903" s="38"/>
      <c r="XX1903" s="38"/>
      <c r="XY1903" s="38"/>
      <c r="XZ1903" s="38"/>
      <c r="YA1903" s="38"/>
      <c r="YB1903" s="38"/>
      <c r="YC1903" s="38"/>
      <c r="YD1903" s="38"/>
      <c r="YE1903" s="38"/>
      <c r="YF1903" s="38"/>
      <c r="YG1903" s="38"/>
      <c r="YH1903" s="38"/>
      <c r="YI1903" s="38"/>
      <c r="YJ1903" s="38"/>
      <c r="YK1903" s="38"/>
      <c r="YL1903" s="38"/>
      <c r="YM1903" s="38"/>
      <c r="YN1903" s="38"/>
      <c r="YO1903" s="38"/>
      <c r="YP1903" s="38"/>
      <c r="YQ1903" s="38"/>
      <c r="YR1903" s="38"/>
      <c r="YS1903" s="38"/>
      <c r="YT1903" s="38"/>
      <c r="YU1903" s="38"/>
      <c r="YV1903" s="38"/>
      <c r="YW1903" s="38"/>
      <c r="YX1903" s="38"/>
      <c r="YY1903" s="38"/>
      <c r="YZ1903" s="38"/>
      <c r="ZA1903" s="38"/>
      <c r="ZB1903" s="38"/>
      <c r="ZC1903" s="38"/>
      <c r="ZD1903" s="38"/>
      <c r="ZE1903" s="38"/>
      <c r="ZF1903" s="38"/>
      <c r="ZG1903" s="38"/>
      <c r="ZH1903" s="38"/>
      <c r="ZI1903" s="38"/>
      <c r="ZJ1903" s="38"/>
      <c r="ZK1903" s="38"/>
      <c r="ZL1903" s="38"/>
      <c r="ZM1903" s="38"/>
      <c r="ZN1903" s="38"/>
      <c r="ZO1903" s="38"/>
      <c r="ZP1903" s="38"/>
      <c r="ZQ1903" s="38"/>
      <c r="ZR1903" s="38"/>
      <c r="ZS1903" s="38"/>
      <c r="ZT1903" s="38"/>
      <c r="ZU1903" s="38"/>
      <c r="ZV1903" s="38"/>
      <c r="ZW1903" s="38"/>
      <c r="ZX1903" s="38"/>
      <c r="ZY1903" s="38"/>
      <c r="ZZ1903" s="38"/>
      <c r="AAA1903" s="38"/>
      <c r="AAB1903" s="38"/>
      <c r="AAC1903" s="38"/>
      <c r="AAD1903" s="38"/>
      <c r="AAE1903" s="38"/>
      <c r="AAF1903" s="38"/>
      <c r="AAG1903" s="38"/>
      <c r="AAH1903" s="38"/>
      <c r="AAI1903" s="38"/>
      <c r="AAJ1903" s="38"/>
      <c r="AAK1903" s="38"/>
      <c r="AAL1903" s="38"/>
      <c r="AAM1903" s="38"/>
      <c r="AAN1903" s="38"/>
      <c r="AAO1903" s="38"/>
      <c r="AAP1903" s="38"/>
      <c r="AAQ1903" s="38"/>
      <c r="AAR1903" s="38"/>
      <c r="AAS1903" s="38"/>
      <c r="AAT1903" s="38"/>
      <c r="AAU1903" s="38"/>
      <c r="AAV1903" s="38"/>
      <c r="AAW1903" s="38"/>
      <c r="AAX1903" s="38"/>
      <c r="AAY1903" s="38"/>
      <c r="AAZ1903" s="38"/>
      <c r="ABA1903" s="38"/>
      <c r="ABB1903" s="38"/>
      <c r="ABC1903" s="38"/>
      <c r="ABD1903" s="38"/>
      <c r="ABE1903" s="38"/>
      <c r="ABF1903" s="38"/>
      <c r="ABG1903" s="38"/>
      <c r="ABH1903" s="38"/>
      <c r="ABI1903" s="38"/>
      <c r="ABJ1903" s="38"/>
      <c r="ABK1903" s="38"/>
      <c r="ABL1903" s="38"/>
      <c r="ABM1903" s="38"/>
      <c r="ABN1903" s="38"/>
      <c r="ABO1903" s="38"/>
      <c r="ABP1903" s="38"/>
      <c r="ABQ1903" s="38"/>
      <c r="ABR1903" s="38"/>
      <c r="ABS1903" s="38"/>
      <c r="ABT1903" s="38"/>
      <c r="ABU1903" s="38"/>
      <c r="ABV1903" s="38"/>
      <c r="ABW1903" s="38"/>
      <c r="ABX1903" s="38"/>
      <c r="ABY1903" s="38"/>
      <c r="ABZ1903" s="38"/>
      <c r="ACA1903" s="38"/>
      <c r="ACB1903" s="38"/>
      <c r="ACC1903" s="38"/>
      <c r="ACD1903" s="38"/>
      <c r="ACE1903" s="38"/>
      <c r="ACF1903" s="38"/>
      <c r="ACG1903" s="38"/>
      <c r="ACH1903" s="38"/>
      <c r="ACI1903" s="38"/>
      <c r="ACJ1903" s="38"/>
      <c r="ACK1903" s="38"/>
      <c r="ACL1903" s="38"/>
      <c r="ACM1903" s="38"/>
      <c r="ACN1903" s="38"/>
      <c r="ACO1903" s="38"/>
      <c r="ACP1903" s="38"/>
      <c r="ACQ1903" s="38"/>
      <c r="ACR1903" s="38"/>
      <c r="ACS1903" s="38"/>
      <c r="ACT1903" s="38"/>
      <c r="ACU1903" s="38"/>
      <c r="ACV1903" s="38"/>
      <c r="ACW1903" s="38"/>
      <c r="ACX1903" s="38"/>
      <c r="ACY1903" s="38"/>
      <c r="ACZ1903" s="38"/>
      <c r="ADA1903" s="38"/>
      <c r="ADB1903" s="38"/>
      <c r="ADC1903" s="38"/>
      <c r="ADD1903" s="38"/>
      <c r="ADE1903" s="38"/>
      <c r="ADF1903" s="38"/>
      <c r="ADG1903" s="38"/>
      <c r="ADH1903" s="38"/>
      <c r="ADI1903" s="38"/>
      <c r="ADJ1903" s="38"/>
      <c r="ADK1903" s="38"/>
      <c r="ADL1903" s="38"/>
      <c r="ADM1903" s="38"/>
      <c r="ADN1903" s="38"/>
      <c r="ADO1903" s="38"/>
      <c r="ADP1903" s="38"/>
      <c r="ADQ1903" s="38"/>
      <c r="ADR1903" s="38"/>
      <c r="ADS1903" s="38"/>
      <c r="ADT1903" s="38"/>
      <c r="ADU1903" s="38"/>
      <c r="ADV1903" s="38"/>
      <c r="ADW1903" s="38"/>
      <c r="ADX1903" s="38"/>
      <c r="ADY1903" s="38"/>
      <c r="ADZ1903" s="38"/>
      <c r="AEA1903" s="38"/>
      <c r="AEB1903" s="38"/>
      <c r="AEC1903" s="38"/>
      <c r="AED1903" s="38"/>
      <c r="AEE1903" s="38"/>
      <c r="AEF1903" s="38"/>
      <c r="AEG1903" s="38"/>
      <c r="AEH1903" s="38"/>
      <c r="AEI1903" s="38"/>
      <c r="AEJ1903" s="38"/>
      <c r="AEK1903" s="38"/>
      <c r="AEL1903" s="38"/>
      <c r="AEM1903" s="38"/>
      <c r="AEN1903" s="38"/>
      <c r="AEO1903" s="38"/>
      <c r="AEP1903" s="38"/>
      <c r="AEQ1903" s="38"/>
      <c r="AER1903" s="38"/>
      <c r="AES1903" s="38"/>
      <c r="AET1903" s="38"/>
      <c r="AEU1903" s="38"/>
      <c r="AEV1903" s="38"/>
      <c r="AEW1903" s="38"/>
      <c r="AEX1903" s="38"/>
      <c r="AEY1903" s="38"/>
      <c r="AEZ1903" s="38"/>
      <c r="AFA1903" s="38"/>
      <c r="AFB1903" s="38"/>
      <c r="AFC1903" s="38"/>
      <c r="AFD1903" s="38"/>
      <c r="AFE1903" s="38"/>
      <c r="AFF1903" s="38"/>
      <c r="AFG1903" s="38"/>
      <c r="AFH1903" s="38"/>
      <c r="AFI1903" s="38"/>
      <c r="AFJ1903" s="38"/>
      <c r="AFK1903" s="38"/>
      <c r="AFL1903" s="38"/>
      <c r="AFM1903" s="38"/>
      <c r="AFN1903" s="38"/>
      <c r="AFO1903" s="38"/>
      <c r="AFP1903" s="38"/>
      <c r="AFQ1903" s="38"/>
      <c r="AFR1903" s="38"/>
      <c r="AFS1903" s="38"/>
      <c r="AFT1903" s="38"/>
      <c r="AFU1903" s="38"/>
      <c r="AFV1903" s="38"/>
      <c r="AFW1903" s="38"/>
      <c r="AFX1903" s="38"/>
      <c r="AFY1903" s="38"/>
      <c r="AFZ1903" s="38"/>
      <c r="AGA1903" s="38"/>
      <c r="AGB1903" s="38"/>
      <c r="AGC1903" s="38"/>
      <c r="AGD1903" s="38"/>
      <c r="AGE1903" s="38"/>
      <c r="AGF1903" s="38"/>
      <c r="AGG1903" s="38"/>
      <c r="AGH1903" s="38"/>
      <c r="AGI1903" s="38"/>
      <c r="AGJ1903" s="38"/>
      <c r="AGK1903" s="38"/>
      <c r="AGL1903" s="38"/>
      <c r="AGM1903" s="38"/>
      <c r="AGN1903" s="38"/>
      <c r="AGO1903" s="38"/>
      <c r="AGP1903" s="38"/>
      <c r="AGQ1903" s="38"/>
      <c r="AGR1903" s="38"/>
      <c r="AGS1903" s="38"/>
      <c r="AGT1903" s="38"/>
      <c r="AGU1903" s="38"/>
      <c r="AGV1903" s="38"/>
      <c r="AGW1903" s="38"/>
      <c r="AGX1903" s="38"/>
      <c r="AGY1903" s="38"/>
      <c r="AGZ1903" s="38"/>
      <c r="AHA1903" s="38"/>
      <c r="AHB1903" s="38"/>
      <c r="AHC1903" s="38"/>
      <c r="AHD1903" s="38"/>
      <c r="AHE1903" s="38"/>
      <c r="AHF1903" s="38"/>
      <c r="AHG1903" s="38"/>
      <c r="AHH1903" s="38"/>
      <c r="AHI1903" s="38"/>
      <c r="AHJ1903" s="38"/>
      <c r="AHK1903" s="38"/>
      <c r="AHL1903" s="38"/>
      <c r="AHM1903" s="38"/>
      <c r="AHN1903" s="38"/>
      <c r="AHO1903" s="38"/>
      <c r="AHP1903" s="38"/>
      <c r="AHQ1903" s="38"/>
      <c r="AHR1903" s="38"/>
      <c r="AHS1903" s="38"/>
      <c r="AHT1903" s="38"/>
      <c r="AHU1903" s="38"/>
      <c r="AHV1903" s="38"/>
      <c r="AHW1903" s="38"/>
      <c r="AHX1903" s="38"/>
      <c r="AHY1903" s="38"/>
      <c r="AHZ1903" s="38"/>
      <c r="AIA1903" s="38"/>
      <c r="AIB1903" s="38"/>
      <c r="AIC1903" s="38"/>
      <c r="AID1903" s="38"/>
      <c r="AIE1903" s="38"/>
      <c r="AIF1903" s="38"/>
      <c r="AIG1903" s="38"/>
      <c r="AIH1903" s="38"/>
      <c r="AII1903" s="38"/>
      <c r="AIJ1903" s="38"/>
      <c r="AIK1903" s="38"/>
      <c r="AIL1903" s="38"/>
      <c r="AIM1903" s="38"/>
      <c r="AIN1903" s="38"/>
      <c r="AIO1903" s="38"/>
      <c r="AIP1903" s="38"/>
      <c r="AIQ1903" s="38"/>
      <c r="AIR1903" s="38"/>
      <c r="AIS1903" s="38"/>
      <c r="AIT1903" s="38"/>
      <c r="AIU1903" s="38"/>
      <c r="AIV1903" s="38"/>
      <c r="AIW1903" s="38"/>
      <c r="AIX1903" s="38"/>
      <c r="AIY1903" s="38"/>
      <c r="AIZ1903" s="38"/>
      <c r="AJA1903" s="38"/>
      <c r="AJB1903" s="38"/>
      <c r="AJC1903" s="38"/>
      <c r="AJD1903" s="38"/>
      <c r="AJE1903" s="38"/>
      <c r="AJF1903" s="38"/>
      <c r="AJG1903" s="38"/>
      <c r="AJH1903" s="38"/>
      <c r="AJI1903" s="38"/>
      <c r="AJJ1903" s="38"/>
      <c r="AJK1903" s="38"/>
      <c r="AJL1903" s="38"/>
      <c r="AJM1903" s="38"/>
      <c r="AJN1903" s="38"/>
      <c r="AJO1903" s="38"/>
      <c r="AJP1903" s="38"/>
      <c r="AJQ1903" s="38"/>
      <c r="AJR1903" s="38"/>
      <c r="AJS1903" s="38"/>
      <c r="AJT1903" s="38"/>
      <c r="AJU1903" s="38"/>
      <c r="AJV1903" s="38"/>
      <c r="AJW1903" s="38"/>
      <c r="AJX1903" s="38"/>
      <c r="AJY1903" s="38"/>
      <c r="AJZ1903" s="38"/>
      <c r="AKA1903" s="38"/>
      <c r="AKB1903" s="38"/>
      <c r="AKC1903" s="38"/>
      <c r="AKD1903" s="38"/>
      <c r="AKE1903" s="38"/>
      <c r="AKF1903" s="38"/>
      <c r="AKG1903" s="38"/>
      <c r="AKH1903" s="38"/>
      <c r="AKI1903" s="38"/>
      <c r="AKJ1903" s="38"/>
      <c r="AKK1903" s="38"/>
      <c r="AKL1903" s="38"/>
      <c r="AKM1903" s="38"/>
      <c r="AKN1903" s="38"/>
      <c r="AKO1903" s="38"/>
      <c r="AKP1903" s="38"/>
      <c r="AKQ1903" s="38"/>
      <c r="AKR1903" s="38"/>
      <c r="AKS1903" s="38"/>
      <c r="AKT1903" s="38"/>
      <c r="AKU1903" s="38"/>
      <c r="AKV1903" s="38"/>
      <c r="AKW1903" s="38"/>
      <c r="AKX1903" s="38"/>
      <c r="AKY1903" s="38"/>
      <c r="AKZ1903" s="38"/>
      <c r="ALA1903" s="38"/>
      <c r="ALB1903" s="38"/>
      <c r="ALC1903" s="38"/>
      <c r="ALD1903" s="38"/>
      <c r="ALE1903" s="38"/>
      <c r="ALF1903" s="38"/>
      <c r="ALG1903" s="38"/>
      <c r="ALH1903" s="38"/>
      <c r="ALI1903" s="38"/>
      <c r="ALJ1903" s="38"/>
      <c r="ALK1903" s="38"/>
      <c r="ALL1903" s="38"/>
      <c r="ALM1903" s="38"/>
      <c r="ALN1903" s="38"/>
      <c r="ALO1903" s="38"/>
      <c r="ALP1903" s="38"/>
      <c r="ALQ1903" s="38"/>
      <c r="ALR1903" s="38"/>
      <c r="ALS1903" s="38"/>
      <c r="ALT1903" s="38"/>
      <c r="ALU1903" s="38"/>
      <c r="ALV1903" s="38"/>
      <c r="ALW1903" s="38"/>
      <c r="ALX1903" s="38"/>
      <c r="ALY1903" s="38"/>
      <c r="ALZ1903" s="38"/>
      <c r="AMA1903" s="38"/>
      <c r="AMB1903" s="38"/>
      <c r="AMC1903" s="38"/>
      <c r="AMD1903" s="38"/>
      <c r="AME1903" s="38"/>
      <c r="AMF1903" s="38"/>
      <c r="AMG1903" s="38"/>
      <c r="AMH1903" s="38"/>
      <c r="AMI1903" s="38"/>
      <c r="AMJ1903" s="38"/>
      <c r="AMK1903" s="38"/>
      <c r="AML1903" s="38"/>
      <c r="AMM1903" s="38"/>
      <c r="AMN1903" s="38"/>
      <c r="AMO1903" s="38"/>
      <c r="AMP1903" s="38"/>
      <c r="AMQ1903" s="38"/>
      <c r="AMR1903" s="38"/>
      <c r="AMS1903" s="38"/>
      <c r="AMT1903" s="38"/>
      <c r="AMU1903" s="38"/>
      <c r="AMV1903" s="38"/>
      <c r="AMW1903" s="38"/>
      <c r="AMX1903" s="38"/>
      <c r="AMY1903" s="38"/>
      <c r="AMZ1903" s="38"/>
      <c r="ANA1903" s="38"/>
      <c r="ANB1903" s="38"/>
      <c r="ANC1903" s="38"/>
      <c r="AND1903" s="38"/>
      <c r="ANE1903" s="38"/>
      <c r="ANF1903" s="38"/>
      <c r="ANG1903" s="38"/>
      <c r="ANH1903" s="38"/>
      <c r="ANI1903" s="38"/>
      <c r="ANJ1903" s="38"/>
      <c r="ANK1903" s="38"/>
      <c r="ANL1903" s="38"/>
      <c r="ANM1903" s="38"/>
      <c r="ANN1903" s="38"/>
      <c r="ANO1903" s="38"/>
      <c r="ANP1903" s="38"/>
      <c r="ANQ1903" s="38"/>
      <c r="ANR1903" s="38"/>
      <c r="ANS1903" s="38"/>
      <c r="ANT1903" s="38"/>
      <c r="ANU1903" s="38"/>
      <c r="ANV1903" s="38"/>
      <c r="ANW1903" s="38"/>
      <c r="ANX1903" s="38"/>
      <c r="ANY1903" s="38"/>
      <c r="ANZ1903" s="38"/>
      <c r="AOA1903" s="38"/>
      <c r="AOB1903" s="38"/>
      <c r="AOC1903" s="38"/>
      <c r="AOD1903" s="38"/>
      <c r="AOE1903" s="38"/>
      <c r="AOF1903" s="38"/>
      <c r="AOG1903" s="38"/>
      <c r="AOH1903" s="38"/>
      <c r="AOI1903" s="38"/>
      <c r="AOJ1903" s="38"/>
      <c r="AOK1903" s="38"/>
      <c r="AOL1903" s="38"/>
      <c r="AOM1903" s="38"/>
      <c r="AON1903" s="38"/>
      <c r="AOO1903" s="38"/>
      <c r="AOP1903" s="38"/>
      <c r="AOQ1903" s="38"/>
      <c r="AOR1903" s="38"/>
      <c r="AOS1903" s="38"/>
      <c r="AOT1903" s="38"/>
      <c r="AOU1903" s="38"/>
      <c r="AOV1903" s="38"/>
      <c r="AOW1903" s="38"/>
      <c r="AOX1903" s="38"/>
      <c r="AOY1903" s="38"/>
      <c r="AOZ1903" s="38"/>
      <c r="APA1903" s="38"/>
      <c r="APB1903" s="38"/>
      <c r="APC1903" s="38"/>
    </row>
    <row r="1904" spans="1:1095" s="36" customFormat="1" ht="14.25" customHeight="1">
      <c r="A1904" s="3" t="s">
        <v>1722</v>
      </c>
      <c r="B1904" s="36" t="s">
        <v>2148</v>
      </c>
      <c r="C1904" s="10">
        <v>4099854071690</v>
      </c>
      <c r="D1904" s="246"/>
      <c r="E1904" s="249"/>
      <c r="F1904" s="222" t="s">
        <v>3136</v>
      </c>
      <c r="G1904" s="66" t="str">
        <f>HYPERLINK("https://ledvance.com/pt/product-datasheet/260938/239372","Ficha de Produto")</f>
        <v>Ficha de Produto</v>
      </c>
      <c r="H1904" s="217">
        <v>6</v>
      </c>
      <c r="I1904" s="34" t="s">
        <v>6338</v>
      </c>
      <c r="J1904" s="34" t="s">
        <v>1104</v>
      </c>
      <c r="K1904" s="34" t="s">
        <v>788</v>
      </c>
      <c r="L1904" s="34" t="s">
        <v>793</v>
      </c>
      <c r="M1904" s="247">
        <v>45.1</v>
      </c>
      <c r="N1904" s="288" t="s">
        <v>722</v>
      </c>
    </row>
    <row r="1905" spans="1:1095" s="39" customFormat="1" ht="14.25" customHeight="1">
      <c r="A1905" s="8" t="s">
        <v>1722</v>
      </c>
      <c r="B1905" s="244" t="s">
        <v>2149</v>
      </c>
      <c r="C1905" s="8"/>
      <c r="D1905" s="7"/>
      <c r="E1905" s="230"/>
      <c r="F1905" s="7"/>
      <c r="G1905" s="68"/>
      <c r="H1905" s="230"/>
      <c r="I1905" s="230"/>
      <c r="J1905" s="230"/>
      <c r="K1905" s="230"/>
      <c r="L1905" s="230"/>
      <c r="M1905" s="248"/>
      <c r="N1905" s="292"/>
      <c r="O1905" s="38"/>
      <c r="P1905" s="38"/>
      <c r="Q1905" s="38"/>
      <c r="R1905" s="38"/>
      <c r="S1905" s="38"/>
      <c r="T1905" s="38"/>
      <c r="U1905" s="38"/>
      <c r="V1905" s="38"/>
      <c r="W1905" s="38"/>
      <c r="X1905" s="38"/>
      <c r="Y1905" s="38"/>
      <c r="Z1905" s="38"/>
      <c r="AA1905" s="38"/>
      <c r="AB1905" s="38"/>
      <c r="AC1905" s="38"/>
      <c r="AD1905" s="38"/>
      <c r="AE1905" s="38"/>
      <c r="AF1905" s="38"/>
      <c r="AG1905" s="38"/>
      <c r="AH1905" s="38"/>
      <c r="AI1905" s="38"/>
      <c r="AJ1905" s="38"/>
      <c r="AK1905" s="38"/>
      <c r="AL1905" s="38"/>
      <c r="AM1905" s="38"/>
      <c r="AN1905" s="38"/>
      <c r="AO1905" s="38"/>
      <c r="AP1905" s="38"/>
      <c r="AQ1905" s="38"/>
      <c r="AR1905" s="38"/>
      <c r="AS1905" s="38"/>
      <c r="AT1905" s="38"/>
      <c r="AU1905" s="38"/>
      <c r="AV1905" s="38"/>
      <c r="AW1905" s="38"/>
      <c r="AX1905" s="38"/>
      <c r="AY1905" s="38"/>
      <c r="AZ1905" s="38"/>
      <c r="BA1905" s="38"/>
      <c r="BB1905" s="38"/>
      <c r="BC1905" s="38"/>
      <c r="BD1905" s="38"/>
      <c r="BE1905" s="38"/>
      <c r="BF1905" s="38"/>
      <c r="BG1905" s="38"/>
      <c r="BH1905" s="38"/>
      <c r="BI1905" s="38"/>
      <c r="BJ1905" s="38"/>
      <c r="BK1905" s="38"/>
      <c r="BL1905" s="38"/>
      <c r="BM1905" s="38"/>
      <c r="BN1905" s="38"/>
      <c r="BO1905" s="38"/>
      <c r="BP1905" s="38"/>
      <c r="BQ1905" s="38"/>
      <c r="BR1905" s="38"/>
      <c r="BS1905" s="38"/>
      <c r="BT1905" s="38"/>
      <c r="BU1905" s="38"/>
      <c r="BV1905" s="38"/>
      <c r="BW1905" s="38"/>
      <c r="BX1905" s="38"/>
      <c r="BY1905" s="38"/>
      <c r="BZ1905" s="38"/>
      <c r="CA1905" s="38"/>
      <c r="CB1905" s="38"/>
      <c r="CC1905" s="38"/>
      <c r="CD1905" s="38"/>
      <c r="CE1905" s="38"/>
      <c r="CF1905" s="38"/>
      <c r="CG1905" s="38"/>
      <c r="CH1905" s="38"/>
      <c r="CI1905" s="38"/>
      <c r="CJ1905" s="38"/>
      <c r="CK1905" s="38"/>
      <c r="CL1905" s="38"/>
      <c r="CM1905" s="38"/>
      <c r="CN1905" s="38"/>
      <c r="CO1905" s="38"/>
      <c r="CP1905" s="38"/>
      <c r="CQ1905" s="38"/>
      <c r="CR1905" s="38"/>
      <c r="CS1905" s="38"/>
      <c r="CT1905" s="38"/>
      <c r="CU1905" s="38"/>
      <c r="CV1905" s="38"/>
      <c r="CW1905" s="38"/>
      <c r="CX1905" s="38"/>
      <c r="CY1905" s="38"/>
      <c r="CZ1905" s="38"/>
      <c r="DA1905" s="38"/>
      <c r="DB1905" s="38"/>
      <c r="DC1905" s="38"/>
      <c r="DD1905" s="38"/>
      <c r="DE1905" s="38"/>
      <c r="DF1905" s="38"/>
      <c r="DG1905" s="38"/>
      <c r="DH1905" s="38"/>
      <c r="DI1905" s="38"/>
      <c r="DJ1905" s="38"/>
      <c r="DK1905" s="38"/>
      <c r="DL1905" s="38"/>
      <c r="DM1905" s="38"/>
      <c r="DN1905" s="38"/>
      <c r="DO1905" s="38"/>
      <c r="DP1905" s="38"/>
      <c r="DQ1905" s="38"/>
      <c r="DR1905" s="38"/>
      <c r="DS1905" s="38"/>
      <c r="DT1905" s="38"/>
      <c r="DU1905" s="38"/>
      <c r="DV1905" s="38"/>
      <c r="DW1905" s="38"/>
      <c r="DX1905" s="38"/>
      <c r="DY1905" s="38"/>
      <c r="DZ1905" s="38"/>
      <c r="EA1905" s="38"/>
      <c r="EB1905" s="38"/>
      <c r="EC1905" s="38"/>
      <c r="ED1905" s="38"/>
      <c r="EE1905" s="38"/>
      <c r="EF1905" s="38"/>
      <c r="EG1905" s="38"/>
      <c r="EH1905" s="38"/>
      <c r="EI1905" s="38"/>
      <c r="EJ1905" s="38"/>
      <c r="EK1905" s="38"/>
      <c r="EL1905" s="38"/>
      <c r="EM1905" s="38"/>
      <c r="EN1905" s="38"/>
      <c r="EO1905" s="38"/>
      <c r="EP1905" s="38"/>
      <c r="EQ1905" s="38"/>
      <c r="ER1905" s="38"/>
      <c r="ES1905" s="38"/>
      <c r="ET1905" s="38"/>
      <c r="EU1905" s="38"/>
      <c r="EV1905" s="38"/>
      <c r="EW1905" s="38"/>
      <c r="EX1905" s="38"/>
      <c r="EY1905" s="38"/>
      <c r="EZ1905" s="38"/>
      <c r="FA1905" s="38"/>
      <c r="FB1905" s="38"/>
      <c r="FC1905" s="38"/>
      <c r="FD1905" s="38"/>
      <c r="FE1905" s="38"/>
      <c r="FF1905" s="38"/>
      <c r="FG1905" s="38"/>
      <c r="FH1905" s="38"/>
      <c r="FI1905" s="38"/>
      <c r="FJ1905" s="38"/>
      <c r="FK1905" s="38"/>
      <c r="FL1905" s="38"/>
      <c r="FM1905" s="38"/>
      <c r="FN1905" s="38"/>
      <c r="FO1905" s="38"/>
      <c r="FP1905" s="38"/>
      <c r="FQ1905" s="38"/>
      <c r="FR1905" s="38"/>
      <c r="FS1905" s="38"/>
      <c r="FT1905" s="38"/>
      <c r="FU1905" s="38"/>
      <c r="FV1905" s="38"/>
      <c r="FW1905" s="38"/>
      <c r="FX1905" s="38"/>
      <c r="FY1905" s="38"/>
      <c r="FZ1905" s="38"/>
      <c r="GA1905" s="38"/>
      <c r="GB1905" s="38"/>
      <c r="GC1905" s="38"/>
      <c r="GD1905" s="38"/>
      <c r="GE1905" s="38"/>
      <c r="GF1905" s="38"/>
      <c r="GG1905" s="38"/>
      <c r="GH1905" s="38"/>
      <c r="GI1905" s="38"/>
      <c r="GJ1905" s="38"/>
      <c r="GK1905" s="38"/>
      <c r="GL1905" s="38"/>
      <c r="GM1905" s="38"/>
      <c r="GN1905" s="38"/>
      <c r="GO1905" s="38"/>
      <c r="GP1905" s="38"/>
      <c r="GQ1905" s="38"/>
      <c r="GR1905" s="38"/>
      <c r="GS1905" s="38"/>
      <c r="GT1905" s="38"/>
      <c r="GU1905" s="38"/>
      <c r="GV1905" s="38"/>
      <c r="GW1905" s="38"/>
      <c r="GX1905" s="38"/>
      <c r="GY1905" s="38"/>
      <c r="GZ1905" s="38"/>
      <c r="HA1905" s="38"/>
      <c r="HB1905" s="38"/>
      <c r="HC1905" s="38"/>
      <c r="HD1905" s="38"/>
      <c r="HE1905" s="38"/>
      <c r="HF1905" s="38"/>
      <c r="HG1905" s="38"/>
      <c r="HH1905" s="38"/>
      <c r="HI1905" s="38"/>
      <c r="HJ1905" s="38"/>
      <c r="HK1905" s="38"/>
      <c r="HL1905" s="38"/>
      <c r="HM1905" s="38"/>
      <c r="HN1905" s="38"/>
      <c r="HO1905" s="38"/>
      <c r="HP1905" s="38"/>
      <c r="HQ1905" s="38"/>
      <c r="HR1905" s="38"/>
      <c r="HS1905" s="38"/>
      <c r="HT1905" s="38"/>
      <c r="HU1905" s="38"/>
      <c r="HV1905" s="38"/>
      <c r="HW1905" s="38"/>
      <c r="HX1905" s="38"/>
      <c r="HY1905" s="38"/>
      <c r="HZ1905" s="38"/>
      <c r="IA1905" s="38"/>
      <c r="IB1905" s="38"/>
      <c r="IC1905" s="38"/>
      <c r="ID1905" s="38"/>
      <c r="IE1905" s="38"/>
      <c r="IF1905" s="38"/>
      <c r="IG1905" s="38"/>
      <c r="IH1905" s="38"/>
      <c r="II1905" s="38"/>
      <c r="IJ1905" s="38"/>
      <c r="IK1905" s="38"/>
      <c r="IL1905" s="38"/>
      <c r="IM1905" s="38"/>
      <c r="IN1905" s="38"/>
      <c r="IO1905" s="38"/>
      <c r="IP1905" s="38"/>
      <c r="IQ1905" s="38"/>
      <c r="IR1905" s="38"/>
      <c r="IS1905" s="38"/>
      <c r="IT1905" s="38"/>
      <c r="IU1905" s="38"/>
      <c r="IV1905" s="38"/>
      <c r="IW1905" s="38"/>
      <c r="IX1905" s="38"/>
      <c r="IY1905" s="38"/>
      <c r="IZ1905" s="38"/>
      <c r="JA1905" s="38"/>
      <c r="JB1905" s="38"/>
      <c r="JC1905" s="38"/>
      <c r="JD1905" s="38"/>
      <c r="JE1905" s="38"/>
      <c r="JF1905" s="38"/>
      <c r="JG1905" s="38"/>
      <c r="JH1905" s="38"/>
      <c r="JI1905" s="38"/>
      <c r="JJ1905" s="38"/>
      <c r="JK1905" s="38"/>
      <c r="JL1905" s="38"/>
      <c r="JM1905" s="38"/>
      <c r="JN1905" s="38"/>
      <c r="JO1905" s="38"/>
      <c r="JP1905" s="38"/>
      <c r="JQ1905" s="38"/>
      <c r="JR1905" s="38"/>
      <c r="JS1905" s="38"/>
      <c r="JT1905" s="38"/>
      <c r="JU1905" s="38"/>
      <c r="JV1905" s="38"/>
      <c r="JW1905" s="38"/>
      <c r="JX1905" s="38"/>
      <c r="JY1905" s="38"/>
      <c r="JZ1905" s="38"/>
      <c r="KA1905" s="38"/>
      <c r="KB1905" s="38"/>
      <c r="KC1905" s="38"/>
      <c r="KD1905" s="38"/>
      <c r="KE1905" s="38"/>
      <c r="KF1905" s="38"/>
      <c r="KG1905" s="38"/>
      <c r="KH1905" s="38"/>
      <c r="KI1905" s="38"/>
      <c r="KJ1905" s="38"/>
      <c r="KK1905" s="38"/>
      <c r="KL1905" s="38"/>
      <c r="KM1905" s="38"/>
      <c r="KN1905" s="38"/>
      <c r="KO1905" s="38"/>
      <c r="KP1905" s="38"/>
      <c r="KQ1905" s="38"/>
      <c r="KR1905" s="38"/>
      <c r="KS1905" s="38"/>
      <c r="KT1905" s="38"/>
      <c r="KU1905" s="38"/>
      <c r="KV1905" s="38"/>
      <c r="KW1905" s="38"/>
      <c r="KX1905" s="38"/>
      <c r="KY1905" s="38"/>
      <c r="KZ1905" s="38"/>
      <c r="LA1905" s="38"/>
      <c r="LB1905" s="38"/>
      <c r="LC1905" s="38"/>
      <c r="LD1905" s="38"/>
      <c r="LE1905" s="38"/>
      <c r="LF1905" s="38"/>
      <c r="LG1905" s="38"/>
      <c r="LH1905" s="38"/>
      <c r="LI1905" s="38"/>
      <c r="LJ1905" s="38"/>
      <c r="LK1905" s="38"/>
      <c r="LL1905" s="38"/>
      <c r="LM1905" s="38"/>
      <c r="LN1905" s="38"/>
      <c r="LO1905" s="38"/>
      <c r="LP1905" s="38"/>
      <c r="LQ1905" s="38"/>
      <c r="LR1905" s="38"/>
      <c r="LS1905" s="38"/>
      <c r="LT1905" s="38"/>
      <c r="LU1905" s="38"/>
      <c r="LV1905" s="38"/>
      <c r="LW1905" s="38"/>
      <c r="LX1905" s="38"/>
      <c r="LY1905" s="38"/>
      <c r="LZ1905" s="38"/>
      <c r="MA1905" s="38"/>
      <c r="MB1905" s="38"/>
      <c r="MC1905" s="38"/>
      <c r="MD1905" s="38"/>
      <c r="ME1905" s="38"/>
      <c r="MF1905" s="38"/>
      <c r="MG1905" s="38"/>
      <c r="MH1905" s="38"/>
      <c r="MI1905" s="38"/>
      <c r="MJ1905" s="38"/>
      <c r="MK1905" s="38"/>
      <c r="ML1905" s="38"/>
      <c r="MM1905" s="38"/>
      <c r="MN1905" s="38"/>
      <c r="MO1905" s="38"/>
      <c r="MP1905" s="38"/>
      <c r="MQ1905" s="38"/>
      <c r="MR1905" s="38"/>
      <c r="MS1905" s="38"/>
      <c r="MT1905" s="38"/>
      <c r="MU1905" s="38"/>
      <c r="MV1905" s="38"/>
      <c r="MW1905" s="38"/>
      <c r="MX1905" s="38"/>
      <c r="MY1905" s="38"/>
      <c r="MZ1905" s="38"/>
      <c r="NA1905" s="38"/>
      <c r="NB1905" s="38"/>
      <c r="NC1905" s="38"/>
      <c r="ND1905" s="38"/>
      <c r="NE1905" s="38"/>
      <c r="NF1905" s="38"/>
      <c r="NG1905" s="38"/>
      <c r="NH1905" s="38"/>
      <c r="NI1905" s="38"/>
      <c r="NJ1905" s="38"/>
      <c r="NK1905" s="38"/>
      <c r="NL1905" s="38"/>
      <c r="NM1905" s="38"/>
      <c r="NN1905" s="38"/>
      <c r="NO1905" s="38"/>
      <c r="NP1905" s="38"/>
      <c r="NQ1905" s="38"/>
      <c r="NR1905" s="38"/>
      <c r="NS1905" s="38"/>
      <c r="NT1905" s="38"/>
      <c r="NU1905" s="38"/>
      <c r="NV1905" s="38"/>
      <c r="NW1905" s="38"/>
      <c r="NX1905" s="38"/>
      <c r="NY1905" s="38"/>
      <c r="NZ1905" s="38"/>
      <c r="OA1905" s="38"/>
      <c r="OB1905" s="38"/>
      <c r="OC1905" s="38"/>
      <c r="OD1905" s="38"/>
      <c r="OE1905" s="38"/>
      <c r="OF1905" s="38"/>
      <c r="OG1905" s="38"/>
      <c r="OH1905" s="38"/>
      <c r="OI1905" s="38"/>
      <c r="OJ1905" s="38"/>
      <c r="OK1905" s="38"/>
      <c r="OL1905" s="38"/>
      <c r="OM1905" s="38"/>
      <c r="ON1905" s="38"/>
      <c r="OO1905" s="38"/>
      <c r="OP1905" s="38"/>
      <c r="OQ1905" s="38"/>
      <c r="OR1905" s="38"/>
      <c r="OS1905" s="38"/>
      <c r="OT1905" s="38"/>
      <c r="OU1905" s="38"/>
      <c r="OV1905" s="38"/>
      <c r="OW1905" s="38"/>
      <c r="OX1905" s="38"/>
      <c r="OY1905" s="38"/>
      <c r="OZ1905" s="38"/>
      <c r="PA1905" s="38"/>
      <c r="PB1905" s="38"/>
      <c r="PC1905" s="38"/>
      <c r="PD1905" s="38"/>
      <c r="PE1905" s="38"/>
      <c r="PF1905" s="38"/>
      <c r="PG1905" s="38"/>
      <c r="PH1905" s="38"/>
      <c r="PI1905" s="38"/>
      <c r="PJ1905" s="38"/>
      <c r="PK1905" s="38"/>
      <c r="PL1905" s="38"/>
      <c r="PM1905" s="38"/>
      <c r="PN1905" s="38"/>
      <c r="PO1905" s="38"/>
      <c r="PP1905" s="38"/>
      <c r="PQ1905" s="38"/>
      <c r="PR1905" s="38"/>
      <c r="PS1905" s="38"/>
      <c r="PT1905" s="38"/>
      <c r="PU1905" s="38"/>
      <c r="PV1905" s="38"/>
      <c r="PW1905" s="38"/>
      <c r="PX1905" s="38"/>
      <c r="PY1905" s="38"/>
      <c r="PZ1905" s="38"/>
      <c r="QA1905" s="38"/>
      <c r="QB1905" s="38"/>
      <c r="QC1905" s="38"/>
      <c r="QD1905" s="38"/>
      <c r="QE1905" s="38"/>
      <c r="QF1905" s="38"/>
      <c r="QG1905" s="38"/>
      <c r="QH1905" s="38"/>
      <c r="QI1905" s="38"/>
      <c r="QJ1905" s="38"/>
      <c r="QK1905" s="38"/>
      <c r="QL1905" s="38"/>
      <c r="QM1905" s="38"/>
      <c r="QN1905" s="38"/>
      <c r="QO1905" s="38"/>
      <c r="QP1905" s="38"/>
      <c r="QQ1905" s="38"/>
      <c r="QR1905" s="38"/>
      <c r="QS1905" s="38"/>
      <c r="QT1905" s="38"/>
      <c r="QU1905" s="38"/>
      <c r="QV1905" s="38"/>
      <c r="QW1905" s="38"/>
      <c r="QX1905" s="38"/>
      <c r="QY1905" s="38"/>
      <c r="QZ1905" s="38"/>
      <c r="RA1905" s="38"/>
      <c r="RB1905" s="38"/>
      <c r="RC1905" s="38"/>
      <c r="RD1905" s="38"/>
      <c r="RE1905" s="38"/>
      <c r="RF1905" s="38"/>
      <c r="RG1905" s="38"/>
      <c r="RH1905" s="38"/>
      <c r="RI1905" s="38"/>
      <c r="RJ1905" s="38"/>
      <c r="RK1905" s="38"/>
      <c r="RL1905" s="38"/>
      <c r="RM1905" s="38"/>
      <c r="RN1905" s="38"/>
      <c r="RO1905" s="38"/>
      <c r="RP1905" s="38"/>
      <c r="RQ1905" s="38"/>
      <c r="RR1905" s="38"/>
      <c r="RS1905" s="38"/>
      <c r="RT1905" s="38"/>
      <c r="RU1905" s="38"/>
      <c r="RV1905" s="38"/>
      <c r="RW1905" s="38"/>
      <c r="RX1905" s="38"/>
      <c r="RY1905" s="38"/>
      <c r="RZ1905" s="38"/>
      <c r="SA1905" s="38"/>
      <c r="SB1905" s="38"/>
      <c r="SC1905" s="38"/>
      <c r="SD1905" s="38"/>
      <c r="SE1905" s="38"/>
      <c r="SF1905" s="38"/>
      <c r="SG1905" s="38"/>
      <c r="SH1905" s="38"/>
      <c r="SI1905" s="38"/>
      <c r="SJ1905" s="38"/>
      <c r="SK1905" s="38"/>
      <c r="SL1905" s="38"/>
      <c r="SM1905" s="38"/>
      <c r="SN1905" s="38"/>
      <c r="SO1905" s="38"/>
      <c r="SP1905" s="38"/>
      <c r="SQ1905" s="38"/>
      <c r="SR1905" s="38"/>
      <c r="SS1905" s="38"/>
      <c r="ST1905" s="38"/>
      <c r="SU1905" s="38"/>
      <c r="SV1905" s="38"/>
      <c r="SW1905" s="38"/>
      <c r="SX1905" s="38"/>
      <c r="SY1905" s="38"/>
      <c r="SZ1905" s="38"/>
      <c r="TA1905" s="38"/>
      <c r="TB1905" s="38"/>
      <c r="TC1905" s="38"/>
      <c r="TD1905" s="38"/>
      <c r="TE1905" s="38"/>
      <c r="TF1905" s="38"/>
      <c r="TG1905" s="38"/>
      <c r="TH1905" s="38"/>
      <c r="TI1905" s="38"/>
      <c r="TJ1905" s="38"/>
      <c r="TK1905" s="38"/>
      <c r="TL1905" s="38"/>
      <c r="TM1905" s="38"/>
      <c r="TN1905" s="38"/>
      <c r="TO1905" s="38"/>
      <c r="TP1905" s="38"/>
      <c r="TQ1905" s="38"/>
      <c r="TR1905" s="38"/>
      <c r="TS1905" s="38"/>
      <c r="TT1905" s="38"/>
      <c r="TU1905" s="38"/>
      <c r="TV1905" s="38"/>
      <c r="TW1905" s="38"/>
      <c r="TX1905" s="38"/>
      <c r="TY1905" s="38"/>
      <c r="TZ1905" s="38"/>
      <c r="UA1905" s="38"/>
      <c r="UB1905" s="38"/>
      <c r="UC1905" s="38"/>
      <c r="UD1905" s="38"/>
      <c r="UE1905" s="38"/>
      <c r="UF1905" s="38"/>
      <c r="UG1905" s="38"/>
      <c r="UH1905" s="38"/>
      <c r="UI1905" s="38"/>
      <c r="UJ1905" s="38"/>
      <c r="UK1905" s="38"/>
      <c r="UL1905" s="38"/>
      <c r="UM1905" s="38"/>
      <c r="UN1905" s="38"/>
      <c r="UO1905" s="38"/>
      <c r="UP1905" s="38"/>
      <c r="UQ1905" s="38"/>
      <c r="UR1905" s="38"/>
      <c r="US1905" s="38"/>
      <c r="UT1905" s="38"/>
      <c r="UU1905" s="38"/>
      <c r="UV1905" s="38"/>
      <c r="UW1905" s="38"/>
      <c r="UX1905" s="38"/>
      <c r="UY1905" s="38"/>
      <c r="UZ1905" s="38"/>
      <c r="VA1905" s="38"/>
      <c r="VB1905" s="38"/>
      <c r="VC1905" s="38"/>
      <c r="VD1905" s="38"/>
      <c r="VE1905" s="38"/>
      <c r="VF1905" s="38"/>
      <c r="VG1905" s="38"/>
      <c r="VH1905" s="38"/>
      <c r="VI1905" s="38"/>
      <c r="VJ1905" s="38"/>
      <c r="VK1905" s="38"/>
      <c r="VL1905" s="38"/>
      <c r="VM1905" s="38"/>
      <c r="VN1905" s="38"/>
      <c r="VO1905" s="38"/>
      <c r="VP1905" s="38"/>
      <c r="VQ1905" s="38"/>
      <c r="VR1905" s="38"/>
      <c r="VS1905" s="38"/>
      <c r="VT1905" s="38"/>
      <c r="VU1905" s="38"/>
      <c r="VV1905" s="38"/>
      <c r="VW1905" s="38"/>
      <c r="VX1905" s="38"/>
      <c r="VY1905" s="38"/>
      <c r="VZ1905" s="38"/>
      <c r="WA1905" s="38"/>
      <c r="WB1905" s="38"/>
      <c r="WC1905" s="38"/>
      <c r="WD1905" s="38"/>
      <c r="WE1905" s="38"/>
      <c r="WF1905" s="38"/>
      <c r="WG1905" s="38"/>
      <c r="WH1905" s="38"/>
      <c r="WI1905" s="38"/>
      <c r="WJ1905" s="38"/>
      <c r="WK1905" s="38"/>
      <c r="WL1905" s="38"/>
      <c r="WM1905" s="38"/>
      <c r="WN1905" s="38"/>
      <c r="WO1905" s="38"/>
      <c r="WP1905" s="38"/>
      <c r="WQ1905" s="38"/>
      <c r="WR1905" s="38"/>
      <c r="WS1905" s="38"/>
      <c r="WT1905" s="38"/>
      <c r="WU1905" s="38"/>
      <c r="WV1905" s="38"/>
      <c r="WW1905" s="38"/>
      <c r="WX1905" s="38"/>
      <c r="WY1905" s="38"/>
      <c r="WZ1905" s="38"/>
      <c r="XA1905" s="38"/>
      <c r="XB1905" s="38"/>
      <c r="XC1905" s="38"/>
      <c r="XD1905" s="38"/>
      <c r="XE1905" s="38"/>
      <c r="XF1905" s="38"/>
      <c r="XG1905" s="38"/>
      <c r="XH1905" s="38"/>
      <c r="XI1905" s="38"/>
      <c r="XJ1905" s="38"/>
      <c r="XK1905" s="38"/>
      <c r="XL1905" s="38"/>
      <c r="XM1905" s="38"/>
      <c r="XN1905" s="38"/>
      <c r="XO1905" s="38"/>
      <c r="XP1905" s="38"/>
      <c r="XQ1905" s="38"/>
      <c r="XR1905" s="38"/>
      <c r="XS1905" s="38"/>
      <c r="XT1905" s="38"/>
      <c r="XU1905" s="38"/>
      <c r="XV1905" s="38"/>
      <c r="XW1905" s="38"/>
      <c r="XX1905" s="38"/>
      <c r="XY1905" s="38"/>
      <c r="XZ1905" s="38"/>
      <c r="YA1905" s="38"/>
      <c r="YB1905" s="38"/>
      <c r="YC1905" s="38"/>
      <c r="YD1905" s="38"/>
      <c r="YE1905" s="38"/>
      <c r="YF1905" s="38"/>
      <c r="YG1905" s="38"/>
      <c r="YH1905" s="38"/>
      <c r="YI1905" s="38"/>
      <c r="YJ1905" s="38"/>
      <c r="YK1905" s="38"/>
      <c r="YL1905" s="38"/>
      <c r="YM1905" s="38"/>
      <c r="YN1905" s="38"/>
      <c r="YO1905" s="38"/>
      <c r="YP1905" s="38"/>
      <c r="YQ1905" s="38"/>
      <c r="YR1905" s="38"/>
      <c r="YS1905" s="38"/>
      <c r="YT1905" s="38"/>
      <c r="YU1905" s="38"/>
      <c r="YV1905" s="38"/>
      <c r="YW1905" s="38"/>
      <c r="YX1905" s="38"/>
      <c r="YY1905" s="38"/>
      <c r="YZ1905" s="38"/>
      <c r="ZA1905" s="38"/>
      <c r="ZB1905" s="38"/>
      <c r="ZC1905" s="38"/>
      <c r="ZD1905" s="38"/>
      <c r="ZE1905" s="38"/>
      <c r="ZF1905" s="38"/>
      <c r="ZG1905" s="38"/>
      <c r="ZH1905" s="38"/>
      <c r="ZI1905" s="38"/>
      <c r="ZJ1905" s="38"/>
      <c r="ZK1905" s="38"/>
      <c r="ZL1905" s="38"/>
      <c r="ZM1905" s="38"/>
      <c r="ZN1905" s="38"/>
      <c r="ZO1905" s="38"/>
      <c r="ZP1905" s="38"/>
      <c r="ZQ1905" s="38"/>
      <c r="ZR1905" s="38"/>
      <c r="ZS1905" s="38"/>
      <c r="ZT1905" s="38"/>
      <c r="ZU1905" s="38"/>
      <c r="ZV1905" s="38"/>
      <c r="ZW1905" s="38"/>
      <c r="ZX1905" s="38"/>
      <c r="ZY1905" s="38"/>
      <c r="ZZ1905" s="38"/>
      <c r="AAA1905" s="38"/>
      <c r="AAB1905" s="38"/>
      <c r="AAC1905" s="38"/>
      <c r="AAD1905" s="38"/>
      <c r="AAE1905" s="38"/>
      <c r="AAF1905" s="38"/>
      <c r="AAG1905" s="38"/>
      <c r="AAH1905" s="38"/>
      <c r="AAI1905" s="38"/>
      <c r="AAJ1905" s="38"/>
      <c r="AAK1905" s="38"/>
      <c r="AAL1905" s="38"/>
      <c r="AAM1905" s="38"/>
      <c r="AAN1905" s="38"/>
      <c r="AAO1905" s="38"/>
      <c r="AAP1905" s="38"/>
      <c r="AAQ1905" s="38"/>
      <c r="AAR1905" s="38"/>
      <c r="AAS1905" s="38"/>
      <c r="AAT1905" s="38"/>
      <c r="AAU1905" s="38"/>
      <c r="AAV1905" s="38"/>
      <c r="AAW1905" s="38"/>
      <c r="AAX1905" s="38"/>
      <c r="AAY1905" s="38"/>
      <c r="AAZ1905" s="38"/>
      <c r="ABA1905" s="38"/>
      <c r="ABB1905" s="38"/>
      <c r="ABC1905" s="38"/>
      <c r="ABD1905" s="38"/>
      <c r="ABE1905" s="38"/>
      <c r="ABF1905" s="38"/>
      <c r="ABG1905" s="38"/>
      <c r="ABH1905" s="38"/>
      <c r="ABI1905" s="38"/>
      <c r="ABJ1905" s="38"/>
      <c r="ABK1905" s="38"/>
      <c r="ABL1905" s="38"/>
      <c r="ABM1905" s="38"/>
      <c r="ABN1905" s="38"/>
      <c r="ABO1905" s="38"/>
      <c r="ABP1905" s="38"/>
      <c r="ABQ1905" s="38"/>
      <c r="ABR1905" s="38"/>
      <c r="ABS1905" s="38"/>
      <c r="ABT1905" s="38"/>
      <c r="ABU1905" s="38"/>
      <c r="ABV1905" s="38"/>
      <c r="ABW1905" s="38"/>
      <c r="ABX1905" s="38"/>
      <c r="ABY1905" s="38"/>
      <c r="ABZ1905" s="38"/>
      <c r="ACA1905" s="38"/>
      <c r="ACB1905" s="38"/>
      <c r="ACC1905" s="38"/>
      <c r="ACD1905" s="38"/>
      <c r="ACE1905" s="38"/>
      <c r="ACF1905" s="38"/>
      <c r="ACG1905" s="38"/>
      <c r="ACH1905" s="38"/>
      <c r="ACI1905" s="38"/>
      <c r="ACJ1905" s="38"/>
      <c r="ACK1905" s="38"/>
      <c r="ACL1905" s="38"/>
      <c r="ACM1905" s="38"/>
      <c r="ACN1905" s="38"/>
      <c r="ACO1905" s="38"/>
      <c r="ACP1905" s="38"/>
      <c r="ACQ1905" s="38"/>
      <c r="ACR1905" s="38"/>
      <c r="ACS1905" s="38"/>
      <c r="ACT1905" s="38"/>
      <c r="ACU1905" s="38"/>
      <c r="ACV1905" s="38"/>
      <c r="ACW1905" s="38"/>
      <c r="ACX1905" s="38"/>
      <c r="ACY1905" s="38"/>
      <c r="ACZ1905" s="38"/>
      <c r="ADA1905" s="38"/>
      <c r="ADB1905" s="38"/>
      <c r="ADC1905" s="38"/>
      <c r="ADD1905" s="38"/>
      <c r="ADE1905" s="38"/>
      <c r="ADF1905" s="38"/>
      <c r="ADG1905" s="38"/>
      <c r="ADH1905" s="38"/>
      <c r="ADI1905" s="38"/>
      <c r="ADJ1905" s="38"/>
      <c r="ADK1905" s="38"/>
      <c r="ADL1905" s="38"/>
      <c r="ADM1905" s="38"/>
      <c r="ADN1905" s="38"/>
      <c r="ADO1905" s="38"/>
      <c r="ADP1905" s="38"/>
      <c r="ADQ1905" s="38"/>
      <c r="ADR1905" s="38"/>
      <c r="ADS1905" s="38"/>
      <c r="ADT1905" s="38"/>
      <c r="ADU1905" s="38"/>
      <c r="ADV1905" s="38"/>
      <c r="ADW1905" s="38"/>
      <c r="ADX1905" s="38"/>
      <c r="ADY1905" s="38"/>
      <c r="ADZ1905" s="38"/>
      <c r="AEA1905" s="38"/>
      <c r="AEB1905" s="38"/>
      <c r="AEC1905" s="38"/>
      <c r="AED1905" s="38"/>
      <c r="AEE1905" s="38"/>
      <c r="AEF1905" s="38"/>
      <c r="AEG1905" s="38"/>
      <c r="AEH1905" s="38"/>
      <c r="AEI1905" s="38"/>
      <c r="AEJ1905" s="38"/>
      <c r="AEK1905" s="38"/>
      <c r="AEL1905" s="38"/>
      <c r="AEM1905" s="38"/>
      <c r="AEN1905" s="38"/>
      <c r="AEO1905" s="38"/>
      <c r="AEP1905" s="38"/>
      <c r="AEQ1905" s="38"/>
      <c r="AER1905" s="38"/>
      <c r="AES1905" s="38"/>
      <c r="AET1905" s="38"/>
      <c r="AEU1905" s="38"/>
      <c r="AEV1905" s="38"/>
      <c r="AEW1905" s="38"/>
      <c r="AEX1905" s="38"/>
      <c r="AEY1905" s="38"/>
      <c r="AEZ1905" s="38"/>
      <c r="AFA1905" s="38"/>
      <c r="AFB1905" s="38"/>
      <c r="AFC1905" s="38"/>
      <c r="AFD1905" s="38"/>
      <c r="AFE1905" s="38"/>
      <c r="AFF1905" s="38"/>
      <c r="AFG1905" s="38"/>
      <c r="AFH1905" s="38"/>
      <c r="AFI1905" s="38"/>
      <c r="AFJ1905" s="38"/>
      <c r="AFK1905" s="38"/>
      <c r="AFL1905" s="38"/>
      <c r="AFM1905" s="38"/>
      <c r="AFN1905" s="38"/>
      <c r="AFO1905" s="38"/>
      <c r="AFP1905" s="38"/>
      <c r="AFQ1905" s="38"/>
      <c r="AFR1905" s="38"/>
      <c r="AFS1905" s="38"/>
      <c r="AFT1905" s="38"/>
      <c r="AFU1905" s="38"/>
      <c r="AFV1905" s="38"/>
      <c r="AFW1905" s="38"/>
      <c r="AFX1905" s="38"/>
      <c r="AFY1905" s="38"/>
      <c r="AFZ1905" s="38"/>
      <c r="AGA1905" s="38"/>
      <c r="AGB1905" s="38"/>
      <c r="AGC1905" s="38"/>
      <c r="AGD1905" s="38"/>
      <c r="AGE1905" s="38"/>
      <c r="AGF1905" s="38"/>
      <c r="AGG1905" s="38"/>
      <c r="AGH1905" s="38"/>
      <c r="AGI1905" s="38"/>
      <c r="AGJ1905" s="38"/>
      <c r="AGK1905" s="38"/>
      <c r="AGL1905" s="38"/>
      <c r="AGM1905" s="38"/>
      <c r="AGN1905" s="38"/>
      <c r="AGO1905" s="38"/>
      <c r="AGP1905" s="38"/>
      <c r="AGQ1905" s="38"/>
      <c r="AGR1905" s="38"/>
      <c r="AGS1905" s="38"/>
      <c r="AGT1905" s="38"/>
      <c r="AGU1905" s="38"/>
      <c r="AGV1905" s="38"/>
      <c r="AGW1905" s="38"/>
      <c r="AGX1905" s="38"/>
      <c r="AGY1905" s="38"/>
      <c r="AGZ1905" s="38"/>
      <c r="AHA1905" s="38"/>
      <c r="AHB1905" s="38"/>
      <c r="AHC1905" s="38"/>
      <c r="AHD1905" s="38"/>
      <c r="AHE1905" s="38"/>
      <c r="AHF1905" s="38"/>
      <c r="AHG1905" s="38"/>
      <c r="AHH1905" s="38"/>
      <c r="AHI1905" s="38"/>
      <c r="AHJ1905" s="38"/>
      <c r="AHK1905" s="38"/>
      <c r="AHL1905" s="38"/>
      <c r="AHM1905" s="38"/>
      <c r="AHN1905" s="38"/>
      <c r="AHO1905" s="38"/>
      <c r="AHP1905" s="38"/>
      <c r="AHQ1905" s="38"/>
      <c r="AHR1905" s="38"/>
      <c r="AHS1905" s="38"/>
      <c r="AHT1905" s="38"/>
      <c r="AHU1905" s="38"/>
      <c r="AHV1905" s="38"/>
      <c r="AHW1905" s="38"/>
      <c r="AHX1905" s="38"/>
      <c r="AHY1905" s="38"/>
      <c r="AHZ1905" s="38"/>
      <c r="AIA1905" s="38"/>
      <c r="AIB1905" s="38"/>
      <c r="AIC1905" s="38"/>
      <c r="AID1905" s="38"/>
      <c r="AIE1905" s="38"/>
      <c r="AIF1905" s="38"/>
      <c r="AIG1905" s="38"/>
      <c r="AIH1905" s="38"/>
      <c r="AII1905" s="38"/>
      <c r="AIJ1905" s="38"/>
      <c r="AIK1905" s="38"/>
      <c r="AIL1905" s="38"/>
      <c r="AIM1905" s="38"/>
      <c r="AIN1905" s="38"/>
      <c r="AIO1905" s="38"/>
      <c r="AIP1905" s="38"/>
      <c r="AIQ1905" s="38"/>
      <c r="AIR1905" s="38"/>
      <c r="AIS1905" s="38"/>
      <c r="AIT1905" s="38"/>
      <c r="AIU1905" s="38"/>
      <c r="AIV1905" s="38"/>
      <c r="AIW1905" s="38"/>
      <c r="AIX1905" s="38"/>
      <c r="AIY1905" s="38"/>
      <c r="AIZ1905" s="38"/>
      <c r="AJA1905" s="38"/>
      <c r="AJB1905" s="38"/>
      <c r="AJC1905" s="38"/>
      <c r="AJD1905" s="38"/>
      <c r="AJE1905" s="38"/>
      <c r="AJF1905" s="38"/>
      <c r="AJG1905" s="38"/>
      <c r="AJH1905" s="38"/>
      <c r="AJI1905" s="38"/>
      <c r="AJJ1905" s="38"/>
      <c r="AJK1905" s="38"/>
      <c r="AJL1905" s="38"/>
      <c r="AJM1905" s="38"/>
      <c r="AJN1905" s="38"/>
      <c r="AJO1905" s="38"/>
      <c r="AJP1905" s="38"/>
      <c r="AJQ1905" s="38"/>
      <c r="AJR1905" s="38"/>
      <c r="AJS1905" s="38"/>
      <c r="AJT1905" s="38"/>
      <c r="AJU1905" s="38"/>
      <c r="AJV1905" s="38"/>
      <c r="AJW1905" s="38"/>
      <c r="AJX1905" s="38"/>
      <c r="AJY1905" s="38"/>
      <c r="AJZ1905" s="38"/>
      <c r="AKA1905" s="38"/>
      <c r="AKB1905" s="38"/>
      <c r="AKC1905" s="38"/>
      <c r="AKD1905" s="38"/>
      <c r="AKE1905" s="38"/>
      <c r="AKF1905" s="38"/>
      <c r="AKG1905" s="38"/>
      <c r="AKH1905" s="38"/>
      <c r="AKI1905" s="38"/>
      <c r="AKJ1905" s="38"/>
      <c r="AKK1905" s="38"/>
      <c r="AKL1905" s="38"/>
      <c r="AKM1905" s="38"/>
      <c r="AKN1905" s="38"/>
      <c r="AKO1905" s="38"/>
      <c r="AKP1905" s="38"/>
      <c r="AKQ1905" s="38"/>
      <c r="AKR1905" s="38"/>
      <c r="AKS1905" s="38"/>
      <c r="AKT1905" s="38"/>
      <c r="AKU1905" s="38"/>
      <c r="AKV1905" s="38"/>
      <c r="AKW1905" s="38"/>
      <c r="AKX1905" s="38"/>
      <c r="AKY1905" s="38"/>
      <c r="AKZ1905" s="38"/>
      <c r="ALA1905" s="38"/>
      <c r="ALB1905" s="38"/>
      <c r="ALC1905" s="38"/>
      <c r="ALD1905" s="38"/>
      <c r="ALE1905" s="38"/>
      <c r="ALF1905" s="38"/>
      <c r="ALG1905" s="38"/>
      <c r="ALH1905" s="38"/>
      <c r="ALI1905" s="38"/>
      <c r="ALJ1905" s="38"/>
      <c r="ALK1905" s="38"/>
      <c r="ALL1905" s="38"/>
      <c r="ALM1905" s="38"/>
      <c r="ALN1905" s="38"/>
      <c r="ALO1905" s="38"/>
      <c r="ALP1905" s="38"/>
      <c r="ALQ1905" s="38"/>
      <c r="ALR1905" s="38"/>
      <c r="ALS1905" s="38"/>
      <c r="ALT1905" s="38"/>
      <c r="ALU1905" s="38"/>
      <c r="ALV1905" s="38"/>
      <c r="ALW1905" s="38"/>
      <c r="ALX1905" s="38"/>
      <c r="ALY1905" s="38"/>
      <c r="ALZ1905" s="38"/>
      <c r="AMA1905" s="38"/>
      <c r="AMB1905" s="38"/>
      <c r="AMC1905" s="38"/>
      <c r="AMD1905" s="38"/>
      <c r="AME1905" s="38"/>
      <c r="AMF1905" s="38"/>
      <c r="AMG1905" s="38"/>
      <c r="AMH1905" s="38"/>
      <c r="AMI1905" s="38"/>
      <c r="AMJ1905" s="38"/>
      <c r="AMK1905" s="38"/>
      <c r="AML1905" s="38"/>
      <c r="AMM1905" s="38"/>
      <c r="AMN1905" s="38"/>
      <c r="AMO1905" s="38"/>
      <c r="AMP1905" s="38"/>
      <c r="AMQ1905" s="38"/>
      <c r="AMR1905" s="38"/>
      <c r="AMS1905" s="38"/>
      <c r="AMT1905" s="38"/>
      <c r="AMU1905" s="38"/>
      <c r="AMV1905" s="38"/>
      <c r="AMW1905" s="38"/>
      <c r="AMX1905" s="38"/>
      <c r="AMY1905" s="38"/>
      <c r="AMZ1905" s="38"/>
      <c r="ANA1905" s="38"/>
      <c r="ANB1905" s="38"/>
      <c r="ANC1905" s="38"/>
      <c r="AND1905" s="38"/>
      <c r="ANE1905" s="38"/>
      <c r="ANF1905" s="38"/>
      <c r="ANG1905" s="38"/>
      <c r="ANH1905" s="38"/>
      <c r="ANI1905" s="38"/>
      <c r="ANJ1905" s="38"/>
      <c r="ANK1905" s="38"/>
      <c r="ANL1905" s="38"/>
      <c r="ANM1905" s="38"/>
      <c r="ANN1905" s="38"/>
      <c r="ANO1905" s="38"/>
      <c r="ANP1905" s="38"/>
      <c r="ANQ1905" s="38"/>
      <c r="ANR1905" s="38"/>
      <c r="ANS1905" s="38"/>
      <c r="ANT1905" s="38"/>
      <c r="ANU1905" s="38"/>
      <c r="ANV1905" s="38"/>
      <c r="ANW1905" s="38"/>
      <c r="ANX1905" s="38"/>
      <c r="ANY1905" s="38"/>
      <c r="ANZ1905" s="38"/>
      <c r="AOA1905" s="38"/>
      <c r="AOB1905" s="38"/>
      <c r="AOC1905" s="38"/>
      <c r="AOD1905" s="38"/>
      <c r="AOE1905" s="38"/>
      <c r="AOF1905" s="38"/>
      <c r="AOG1905" s="38"/>
      <c r="AOH1905" s="38"/>
      <c r="AOI1905" s="38"/>
      <c r="AOJ1905" s="38"/>
      <c r="AOK1905" s="38"/>
      <c r="AOL1905" s="38"/>
      <c r="AOM1905" s="38"/>
      <c r="AON1905" s="38"/>
      <c r="AOO1905" s="38"/>
      <c r="AOP1905" s="38"/>
      <c r="AOQ1905" s="38"/>
      <c r="AOR1905" s="38"/>
      <c r="AOS1905" s="38"/>
      <c r="AOT1905" s="38"/>
      <c r="AOU1905" s="38"/>
      <c r="AOV1905" s="38"/>
      <c r="AOW1905" s="38"/>
      <c r="AOX1905" s="38"/>
      <c r="AOY1905" s="38"/>
      <c r="AOZ1905" s="38"/>
      <c r="APA1905" s="38"/>
      <c r="APB1905" s="38"/>
      <c r="APC1905" s="38"/>
    </row>
    <row r="1906" spans="1:1095" s="36" customFormat="1" ht="14.25" customHeight="1">
      <c r="A1906" s="3" t="s">
        <v>1722</v>
      </c>
      <c r="B1906" s="36" t="s">
        <v>2150</v>
      </c>
      <c r="C1906" s="10">
        <v>4099854060892</v>
      </c>
      <c r="D1906" s="224">
        <v>4058075758926</v>
      </c>
      <c r="E1906" s="245" t="s">
        <v>2151</v>
      </c>
      <c r="F1906" s="246"/>
      <c r="G1906" s="66" t="str">
        <f>HYPERLINK("https://ledvance.com/pt/product-datasheet/251544/237196","Ficha de Produto")</f>
        <v>Ficha de Produto</v>
      </c>
      <c r="H1906" s="217">
        <v>10</v>
      </c>
      <c r="I1906" s="34" t="s">
        <v>6349</v>
      </c>
      <c r="J1906" s="34" t="s">
        <v>6363</v>
      </c>
      <c r="K1906" s="34" t="s">
        <v>788</v>
      </c>
      <c r="L1906" s="34" t="s">
        <v>765</v>
      </c>
      <c r="M1906" s="247">
        <v>8.3000000000000007</v>
      </c>
      <c r="N1906" s="288" t="s">
        <v>722</v>
      </c>
    </row>
    <row r="1907" spans="1:1095" s="36" customFormat="1" ht="14.25" customHeight="1">
      <c r="A1907" s="3" t="s">
        <v>1722</v>
      </c>
      <c r="B1907" s="36" t="s">
        <v>2152</v>
      </c>
      <c r="C1907" s="10">
        <v>4099854060953</v>
      </c>
      <c r="D1907" s="224">
        <v>4058075758964</v>
      </c>
      <c r="E1907" s="245" t="s">
        <v>2153</v>
      </c>
      <c r="F1907" s="246"/>
      <c r="G1907" s="66" t="str">
        <f>HYPERLINK("https://ledvance.com/pt/product-datasheet/251544/237208","Ficha de Produto")</f>
        <v>Ficha de Produto</v>
      </c>
      <c r="H1907" s="217">
        <v>10</v>
      </c>
      <c r="I1907" s="34" t="s">
        <v>6349</v>
      </c>
      <c r="J1907" s="34" t="s">
        <v>6363</v>
      </c>
      <c r="K1907" s="34" t="s">
        <v>788</v>
      </c>
      <c r="L1907" s="34" t="s">
        <v>765</v>
      </c>
      <c r="M1907" s="247">
        <v>8.3000000000000007</v>
      </c>
      <c r="N1907" s="288" t="s">
        <v>722</v>
      </c>
    </row>
    <row r="1908" spans="1:1095" s="36" customFormat="1" ht="14.25" customHeight="1">
      <c r="A1908" s="3" t="s">
        <v>1722</v>
      </c>
      <c r="B1908" s="36" t="s">
        <v>2154</v>
      </c>
      <c r="C1908" s="10">
        <v>4099854061035</v>
      </c>
      <c r="D1908" s="224">
        <v>4058075759008</v>
      </c>
      <c r="E1908" s="245" t="s">
        <v>2155</v>
      </c>
      <c r="F1908" s="246"/>
      <c r="G1908" s="66" t="str">
        <f>HYPERLINK("https://ledvance.com/pt/product-datasheet/251544/237222","Ficha de Produto")</f>
        <v>Ficha de Produto</v>
      </c>
      <c r="H1908" s="217">
        <v>10</v>
      </c>
      <c r="I1908" s="34" t="s">
        <v>6351</v>
      </c>
      <c r="J1908" s="34" t="s">
        <v>6292</v>
      </c>
      <c r="K1908" s="34" t="s">
        <v>788</v>
      </c>
      <c r="L1908" s="34" t="s">
        <v>765</v>
      </c>
      <c r="M1908" s="247">
        <v>12.3</v>
      </c>
      <c r="N1908" s="288" t="s">
        <v>722</v>
      </c>
    </row>
    <row r="1909" spans="1:1095" s="36" customFormat="1" ht="14.25" customHeight="1">
      <c r="A1909" s="3" t="s">
        <v>1722</v>
      </c>
      <c r="B1909" s="36" t="s">
        <v>2156</v>
      </c>
      <c r="C1909" s="10">
        <v>4099854061073</v>
      </c>
      <c r="D1909" s="224">
        <v>4058075759107</v>
      </c>
      <c r="E1909" s="245" t="s">
        <v>2157</v>
      </c>
      <c r="F1909" s="246"/>
      <c r="G1909" s="66" t="str">
        <f>HYPERLINK("https://ledvance.com/pt/product-datasheet/251544/237235","Ficha de Produto")</f>
        <v>Ficha de Produto</v>
      </c>
      <c r="H1909" s="217">
        <v>10</v>
      </c>
      <c r="I1909" s="34" t="s">
        <v>6351</v>
      </c>
      <c r="J1909" s="34" t="s">
        <v>6292</v>
      </c>
      <c r="K1909" s="34" t="s">
        <v>788</v>
      </c>
      <c r="L1909" s="34" t="s">
        <v>765</v>
      </c>
      <c r="M1909" s="247">
        <v>12.3</v>
      </c>
      <c r="N1909" s="288" t="s">
        <v>722</v>
      </c>
    </row>
    <row r="1910" spans="1:1095" s="36" customFormat="1" ht="14.25" customHeight="1">
      <c r="A1910" s="3" t="s">
        <v>1722</v>
      </c>
      <c r="B1910" s="36" t="s">
        <v>2158</v>
      </c>
      <c r="C1910" s="10">
        <v>4099854061134</v>
      </c>
      <c r="D1910" s="224">
        <v>4058075758742</v>
      </c>
      <c r="E1910" s="245" t="s">
        <v>2159</v>
      </c>
      <c r="F1910" s="246"/>
      <c r="G1910" s="66" t="str">
        <f>HYPERLINK("https://ledvance.com/pt/product-datasheet/251544/237250","Ficha de Produto")</f>
        <v>Ficha de Produto</v>
      </c>
      <c r="H1910" s="217">
        <v>10</v>
      </c>
      <c r="I1910" s="34" t="s">
        <v>6352</v>
      </c>
      <c r="J1910" s="34" t="s">
        <v>1053</v>
      </c>
      <c r="K1910" s="34" t="s">
        <v>788</v>
      </c>
      <c r="L1910" s="34" t="s">
        <v>765</v>
      </c>
      <c r="M1910" s="247">
        <v>16.400000000000002</v>
      </c>
      <c r="N1910" s="288" t="s">
        <v>722</v>
      </c>
    </row>
    <row r="1911" spans="1:1095" s="36" customFormat="1" ht="14.25" customHeight="1">
      <c r="A1911" s="3" t="s">
        <v>1722</v>
      </c>
      <c r="B1911" s="36" t="s">
        <v>2160</v>
      </c>
      <c r="C1911" s="10">
        <v>4099854061233</v>
      </c>
      <c r="D1911" s="224">
        <v>4058075758841</v>
      </c>
      <c r="E1911" s="245" t="s">
        <v>2161</v>
      </c>
      <c r="F1911" s="246"/>
      <c r="G1911" s="66" t="str">
        <f>HYPERLINK("https://ledvance.com/pt/product-datasheet/251544/237262","Ficha de Produto")</f>
        <v>Ficha de Produto</v>
      </c>
      <c r="H1911" s="217">
        <v>10</v>
      </c>
      <c r="I1911" s="34" t="s">
        <v>6352</v>
      </c>
      <c r="J1911" s="34" t="s">
        <v>1053</v>
      </c>
      <c r="K1911" s="34" t="s">
        <v>788</v>
      </c>
      <c r="L1911" s="34" t="s">
        <v>765</v>
      </c>
      <c r="M1911" s="247">
        <v>16.400000000000002</v>
      </c>
      <c r="N1911" s="288" t="s">
        <v>722</v>
      </c>
    </row>
    <row r="1912" spans="1:1095" s="36" customFormat="1" ht="14.25" customHeight="1">
      <c r="A1912" s="3" t="s">
        <v>1722</v>
      </c>
      <c r="B1912" s="36" t="s">
        <v>2162</v>
      </c>
      <c r="C1912" s="10">
        <v>4099854061271</v>
      </c>
      <c r="D1912" s="224">
        <v>4058075758940</v>
      </c>
      <c r="E1912" s="245" t="s">
        <v>2163</v>
      </c>
      <c r="F1912" s="246"/>
      <c r="G1912" s="66" t="str">
        <f>HYPERLINK("https://ledvance.com/pt/product-datasheet/251544/237276","Ficha de Produto")</f>
        <v>Ficha de Produto</v>
      </c>
      <c r="H1912" s="217">
        <v>10</v>
      </c>
      <c r="I1912" s="34" t="s">
        <v>6349</v>
      </c>
      <c r="J1912" s="34" t="s">
        <v>6363</v>
      </c>
      <c r="K1912" s="34" t="s">
        <v>788</v>
      </c>
      <c r="L1912" s="34" t="s">
        <v>765</v>
      </c>
      <c r="M1912" s="247">
        <v>8.4</v>
      </c>
      <c r="N1912" s="288" t="s">
        <v>722</v>
      </c>
    </row>
    <row r="1913" spans="1:1095" s="36" customFormat="1" ht="14.25" customHeight="1">
      <c r="A1913" s="3" t="s">
        <v>1722</v>
      </c>
      <c r="B1913" s="36" t="s">
        <v>2164</v>
      </c>
      <c r="C1913" s="10">
        <v>4099854061332</v>
      </c>
      <c r="D1913" s="224">
        <v>4058075758988</v>
      </c>
      <c r="E1913" s="245" t="s">
        <v>2165</v>
      </c>
      <c r="F1913" s="246"/>
      <c r="G1913" s="66" t="str">
        <f>HYPERLINK("https://ledvance.com/pt/product-datasheet/251544/237288","Ficha de Produto")</f>
        <v>Ficha de Produto</v>
      </c>
      <c r="H1913" s="217">
        <v>10</v>
      </c>
      <c r="I1913" s="34" t="s">
        <v>6349</v>
      </c>
      <c r="J1913" s="34" t="s">
        <v>6363</v>
      </c>
      <c r="K1913" s="34" t="s">
        <v>788</v>
      </c>
      <c r="L1913" s="34" t="s">
        <v>765</v>
      </c>
      <c r="M1913" s="247">
        <v>8.4</v>
      </c>
      <c r="N1913" s="288" t="s">
        <v>722</v>
      </c>
    </row>
    <row r="1914" spans="1:1095" s="36" customFormat="1" ht="14.25" customHeight="1">
      <c r="A1914" s="3" t="s">
        <v>1722</v>
      </c>
      <c r="B1914" s="36" t="s">
        <v>2166</v>
      </c>
      <c r="C1914" s="10">
        <v>4099854061356</v>
      </c>
      <c r="D1914" s="224">
        <v>4058075759046</v>
      </c>
      <c r="E1914" s="245" t="s">
        <v>2167</v>
      </c>
      <c r="F1914" s="246"/>
      <c r="G1914" s="66" t="str">
        <f>HYPERLINK("https://ledvance.com/pt/product-datasheet/251544/237303","Ficha de Produto")</f>
        <v>Ficha de Produto</v>
      </c>
      <c r="H1914" s="217">
        <v>10</v>
      </c>
      <c r="I1914" s="34" t="s">
        <v>6351</v>
      </c>
      <c r="J1914" s="34" t="s">
        <v>6292</v>
      </c>
      <c r="K1914" s="34" t="s">
        <v>788</v>
      </c>
      <c r="L1914" s="34" t="s">
        <v>765</v>
      </c>
      <c r="M1914" s="247">
        <v>12.4</v>
      </c>
      <c r="N1914" s="288" t="s">
        <v>722</v>
      </c>
    </row>
    <row r="1915" spans="1:1095" s="36" customFormat="1" ht="14.25" customHeight="1">
      <c r="A1915" s="3" t="s">
        <v>1722</v>
      </c>
      <c r="B1915" s="36" t="s">
        <v>2168</v>
      </c>
      <c r="C1915" s="10">
        <v>4099854061394</v>
      </c>
      <c r="D1915" s="224">
        <v>4058075759220</v>
      </c>
      <c r="E1915" s="245" t="s">
        <v>2169</v>
      </c>
      <c r="F1915" s="246"/>
      <c r="G1915" s="66" t="str">
        <f>HYPERLINK("https://ledvance.com/pt/product-datasheet/251544/237316","Ficha de Produto")</f>
        <v>Ficha de Produto</v>
      </c>
      <c r="H1915" s="217">
        <v>10</v>
      </c>
      <c r="I1915" s="34" t="s">
        <v>6351</v>
      </c>
      <c r="J1915" s="34" t="s">
        <v>6292</v>
      </c>
      <c r="K1915" s="34" t="s">
        <v>788</v>
      </c>
      <c r="L1915" s="34" t="s">
        <v>765</v>
      </c>
      <c r="M1915" s="247">
        <v>12.4</v>
      </c>
      <c r="N1915" s="288" t="s">
        <v>722</v>
      </c>
    </row>
    <row r="1916" spans="1:1095" s="36" customFormat="1" ht="14.25" customHeight="1">
      <c r="A1916" s="3" t="s">
        <v>1722</v>
      </c>
      <c r="B1916" s="36" t="s">
        <v>2170</v>
      </c>
      <c r="C1916" s="10">
        <v>4099854061431</v>
      </c>
      <c r="D1916" s="224">
        <v>4058075758780</v>
      </c>
      <c r="E1916" s="245" t="s">
        <v>2171</v>
      </c>
      <c r="F1916" s="246"/>
      <c r="G1916" s="66" t="str">
        <f>HYPERLINK("https://ledvance.com/pt/product-datasheet/251544/237330","Ficha de Produto")</f>
        <v>Ficha de Produto</v>
      </c>
      <c r="H1916" s="217">
        <v>10</v>
      </c>
      <c r="I1916" s="34" t="s">
        <v>6352</v>
      </c>
      <c r="J1916" s="34" t="s">
        <v>1053</v>
      </c>
      <c r="K1916" s="34" t="s">
        <v>788</v>
      </c>
      <c r="L1916" s="34" t="s">
        <v>765</v>
      </c>
      <c r="M1916" s="247">
        <v>16.5</v>
      </c>
      <c r="N1916" s="288" t="s">
        <v>722</v>
      </c>
    </row>
    <row r="1917" spans="1:1095" s="36" customFormat="1" ht="14.25" customHeight="1">
      <c r="A1917" s="3" t="s">
        <v>1722</v>
      </c>
      <c r="B1917" s="36" t="s">
        <v>2172</v>
      </c>
      <c r="C1917" s="10">
        <v>4099854061479</v>
      </c>
      <c r="D1917" s="224">
        <v>4058075758865</v>
      </c>
      <c r="E1917" s="245" t="s">
        <v>2173</v>
      </c>
      <c r="F1917" s="246"/>
      <c r="G1917" s="66" t="str">
        <f>HYPERLINK("https://ledvance.com/pt/product-datasheet/251544/237342","Ficha de Produto")</f>
        <v>Ficha de Produto</v>
      </c>
      <c r="H1917" s="217">
        <v>10</v>
      </c>
      <c r="I1917" s="34" t="s">
        <v>6352</v>
      </c>
      <c r="J1917" s="34" t="s">
        <v>1053</v>
      </c>
      <c r="K1917" s="34" t="s">
        <v>788</v>
      </c>
      <c r="L1917" s="34" t="s">
        <v>765</v>
      </c>
      <c r="M1917" s="247">
        <v>16.5</v>
      </c>
      <c r="N1917" s="288" t="s">
        <v>722</v>
      </c>
    </row>
    <row r="1918" spans="1:1095" s="36" customFormat="1" ht="14.25" customHeight="1">
      <c r="A1918" s="3" t="s">
        <v>1722</v>
      </c>
      <c r="B1918" s="36" t="s">
        <v>2174</v>
      </c>
      <c r="C1918" s="10">
        <v>4099854061516</v>
      </c>
      <c r="D1918" s="224">
        <v>4058075758803</v>
      </c>
      <c r="E1918" s="245" t="s">
        <v>2175</v>
      </c>
      <c r="F1918" s="246"/>
      <c r="G1918" s="66" t="str">
        <f>HYPERLINK("https://ledvance.com/pt/product-datasheet/251544/237180","Ficha de Produto")</f>
        <v>Ficha de Produto</v>
      </c>
      <c r="H1918" s="217">
        <v>10</v>
      </c>
      <c r="I1918" s="34" t="s">
        <v>6352</v>
      </c>
      <c r="J1918" s="34" t="s">
        <v>1053</v>
      </c>
      <c r="K1918" s="34" t="s">
        <v>788</v>
      </c>
      <c r="L1918" s="34" t="s">
        <v>765</v>
      </c>
      <c r="M1918" s="247">
        <v>16.5</v>
      </c>
      <c r="N1918" s="288" t="s">
        <v>722</v>
      </c>
    </row>
    <row r="1919" spans="1:1095" s="36" customFormat="1" ht="14.25" customHeight="1">
      <c r="A1919" s="3" t="s">
        <v>1722</v>
      </c>
      <c r="B1919" s="36" t="s">
        <v>2176</v>
      </c>
      <c r="C1919" s="10">
        <v>4099854061592</v>
      </c>
      <c r="D1919" s="224">
        <v>4058075758889</v>
      </c>
      <c r="E1919" s="245" t="s">
        <v>2177</v>
      </c>
      <c r="F1919" s="246"/>
      <c r="G1919" s="66" t="str">
        <f>HYPERLINK("https://ledvance.com/pt/product-datasheet/251544/237186","Ficha de Produto")</f>
        <v>Ficha de Produto</v>
      </c>
      <c r="H1919" s="217">
        <v>10</v>
      </c>
      <c r="I1919" s="34" t="s">
        <v>6352</v>
      </c>
      <c r="J1919" s="34" t="s">
        <v>1053</v>
      </c>
      <c r="K1919" s="34" t="s">
        <v>788</v>
      </c>
      <c r="L1919" s="34" t="s">
        <v>765</v>
      </c>
      <c r="M1919" s="247">
        <v>16.5</v>
      </c>
      <c r="N1919" s="288" t="s">
        <v>722</v>
      </c>
    </row>
    <row r="1920" spans="1:1095" s="39" customFormat="1" ht="14.25" customHeight="1">
      <c r="A1920" s="8" t="s">
        <v>1722</v>
      </c>
      <c r="B1920" s="244" t="s">
        <v>2178</v>
      </c>
      <c r="C1920" s="8"/>
      <c r="D1920" s="7"/>
      <c r="E1920" s="230"/>
      <c r="F1920" s="7"/>
      <c r="G1920" s="68"/>
      <c r="H1920" s="230"/>
      <c r="I1920" s="230"/>
      <c r="J1920" s="230"/>
      <c r="K1920" s="230"/>
      <c r="L1920" s="230"/>
      <c r="M1920" s="248"/>
      <c r="N1920" s="292"/>
      <c r="O1920" s="38"/>
      <c r="P1920" s="38"/>
      <c r="Q1920" s="38"/>
      <c r="R1920" s="38"/>
      <c r="S1920" s="38"/>
      <c r="T1920" s="38"/>
      <c r="U1920" s="38"/>
      <c r="V1920" s="38"/>
      <c r="W1920" s="38"/>
      <c r="X1920" s="38"/>
      <c r="Y1920" s="38"/>
      <c r="Z1920" s="38"/>
      <c r="AA1920" s="38"/>
      <c r="AB1920" s="38"/>
      <c r="AC1920" s="38"/>
      <c r="AD1920" s="38"/>
      <c r="AE1920" s="38"/>
      <c r="AF1920" s="38"/>
      <c r="AG1920" s="38"/>
      <c r="AH1920" s="38"/>
      <c r="AI1920" s="38"/>
      <c r="AJ1920" s="38"/>
      <c r="AK1920" s="38"/>
      <c r="AL1920" s="38"/>
      <c r="AM1920" s="38"/>
      <c r="AN1920" s="38"/>
      <c r="AO1920" s="38"/>
      <c r="AP1920" s="38"/>
      <c r="AQ1920" s="38"/>
      <c r="AR1920" s="38"/>
      <c r="AS1920" s="38"/>
      <c r="AT1920" s="38"/>
      <c r="AU1920" s="38"/>
      <c r="AV1920" s="38"/>
      <c r="AW1920" s="38"/>
      <c r="AX1920" s="38"/>
      <c r="AY1920" s="38"/>
      <c r="AZ1920" s="38"/>
      <c r="BA1920" s="38"/>
      <c r="BB1920" s="38"/>
      <c r="BC1920" s="38"/>
      <c r="BD1920" s="38"/>
      <c r="BE1920" s="38"/>
      <c r="BF1920" s="38"/>
      <c r="BG1920" s="38"/>
      <c r="BH1920" s="38"/>
      <c r="BI1920" s="38"/>
      <c r="BJ1920" s="38"/>
      <c r="BK1920" s="38"/>
      <c r="BL1920" s="38"/>
      <c r="BM1920" s="38"/>
      <c r="BN1920" s="38"/>
      <c r="BO1920" s="38"/>
      <c r="BP1920" s="38"/>
      <c r="BQ1920" s="38"/>
      <c r="BR1920" s="38"/>
      <c r="BS1920" s="38"/>
      <c r="BT1920" s="38"/>
      <c r="BU1920" s="38"/>
      <c r="BV1920" s="38"/>
      <c r="BW1920" s="38"/>
      <c r="BX1920" s="38"/>
      <c r="BY1920" s="38"/>
      <c r="BZ1920" s="38"/>
      <c r="CA1920" s="38"/>
      <c r="CB1920" s="38"/>
      <c r="CC1920" s="38"/>
      <c r="CD1920" s="38"/>
      <c r="CE1920" s="38"/>
      <c r="CF1920" s="38"/>
      <c r="CG1920" s="38"/>
      <c r="CH1920" s="38"/>
      <c r="CI1920" s="38"/>
      <c r="CJ1920" s="38"/>
      <c r="CK1920" s="38"/>
      <c r="CL1920" s="38"/>
      <c r="CM1920" s="38"/>
      <c r="CN1920" s="38"/>
      <c r="CO1920" s="38"/>
      <c r="CP1920" s="38"/>
      <c r="CQ1920" s="38"/>
      <c r="CR1920" s="38"/>
      <c r="CS1920" s="38"/>
      <c r="CT1920" s="38"/>
      <c r="CU1920" s="38"/>
      <c r="CV1920" s="38"/>
      <c r="CW1920" s="38"/>
      <c r="CX1920" s="38"/>
      <c r="CY1920" s="38"/>
      <c r="CZ1920" s="38"/>
      <c r="DA1920" s="38"/>
      <c r="DB1920" s="38"/>
      <c r="DC1920" s="38"/>
      <c r="DD1920" s="38"/>
      <c r="DE1920" s="38"/>
      <c r="DF1920" s="38"/>
      <c r="DG1920" s="38"/>
      <c r="DH1920" s="38"/>
      <c r="DI1920" s="38"/>
      <c r="DJ1920" s="38"/>
      <c r="DK1920" s="38"/>
      <c r="DL1920" s="38"/>
      <c r="DM1920" s="38"/>
      <c r="DN1920" s="38"/>
      <c r="DO1920" s="38"/>
      <c r="DP1920" s="38"/>
      <c r="DQ1920" s="38"/>
      <c r="DR1920" s="38"/>
      <c r="DS1920" s="38"/>
      <c r="DT1920" s="38"/>
      <c r="DU1920" s="38"/>
      <c r="DV1920" s="38"/>
      <c r="DW1920" s="38"/>
      <c r="DX1920" s="38"/>
      <c r="DY1920" s="38"/>
      <c r="DZ1920" s="38"/>
      <c r="EA1920" s="38"/>
      <c r="EB1920" s="38"/>
      <c r="EC1920" s="38"/>
      <c r="ED1920" s="38"/>
      <c r="EE1920" s="38"/>
      <c r="EF1920" s="38"/>
      <c r="EG1920" s="38"/>
      <c r="EH1920" s="38"/>
      <c r="EI1920" s="38"/>
      <c r="EJ1920" s="38"/>
      <c r="EK1920" s="38"/>
      <c r="EL1920" s="38"/>
      <c r="EM1920" s="38"/>
      <c r="EN1920" s="38"/>
      <c r="EO1920" s="38"/>
      <c r="EP1920" s="38"/>
      <c r="EQ1920" s="38"/>
      <c r="ER1920" s="38"/>
      <c r="ES1920" s="38"/>
      <c r="ET1920" s="38"/>
      <c r="EU1920" s="38"/>
      <c r="EV1920" s="38"/>
      <c r="EW1920" s="38"/>
      <c r="EX1920" s="38"/>
      <c r="EY1920" s="38"/>
      <c r="EZ1920" s="38"/>
      <c r="FA1920" s="38"/>
      <c r="FB1920" s="38"/>
      <c r="FC1920" s="38"/>
      <c r="FD1920" s="38"/>
      <c r="FE1920" s="38"/>
      <c r="FF1920" s="38"/>
      <c r="FG1920" s="38"/>
      <c r="FH1920" s="38"/>
      <c r="FI1920" s="38"/>
      <c r="FJ1920" s="38"/>
      <c r="FK1920" s="38"/>
      <c r="FL1920" s="38"/>
      <c r="FM1920" s="38"/>
      <c r="FN1920" s="38"/>
      <c r="FO1920" s="38"/>
      <c r="FP1920" s="38"/>
      <c r="FQ1920" s="38"/>
      <c r="FR1920" s="38"/>
      <c r="FS1920" s="38"/>
      <c r="FT1920" s="38"/>
      <c r="FU1920" s="38"/>
      <c r="FV1920" s="38"/>
      <c r="FW1920" s="38"/>
      <c r="FX1920" s="38"/>
      <c r="FY1920" s="38"/>
      <c r="FZ1920" s="38"/>
      <c r="GA1920" s="38"/>
      <c r="GB1920" s="38"/>
      <c r="GC1920" s="38"/>
      <c r="GD1920" s="38"/>
      <c r="GE1920" s="38"/>
      <c r="GF1920" s="38"/>
      <c r="GG1920" s="38"/>
      <c r="GH1920" s="38"/>
      <c r="GI1920" s="38"/>
      <c r="GJ1920" s="38"/>
      <c r="GK1920" s="38"/>
      <c r="GL1920" s="38"/>
      <c r="GM1920" s="38"/>
      <c r="GN1920" s="38"/>
      <c r="GO1920" s="38"/>
      <c r="GP1920" s="38"/>
      <c r="GQ1920" s="38"/>
      <c r="GR1920" s="38"/>
      <c r="GS1920" s="38"/>
      <c r="GT1920" s="38"/>
      <c r="GU1920" s="38"/>
      <c r="GV1920" s="38"/>
      <c r="GW1920" s="38"/>
      <c r="GX1920" s="38"/>
      <c r="GY1920" s="38"/>
      <c r="GZ1920" s="38"/>
      <c r="HA1920" s="38"/>
      <c r="HB1920" s="38"/>
      <c r="HC1920" s="38"/>
      <c r="HD1920" s="38"/>
      <c r="HE1920" s="38"/>
      <c r="HF1920" s="38"/>
      <c r="HG1920" s="38"/>
      <c r="HH1920" s="38"/>
      <c r="HI1920" s="38"/>
      <c r="HJ1920" s="38"/>
      <c r="HK1920" s="38"/>
      <c r="HL1920" s="38"/>
      <c r="HM1920" s="38"/>
      <c r="HN1920" s="38"/>
      <c r="HO1920" s="38"/>
      <c r="HP1920" s="38"/>
      <c r="HQ1920" s="38"/>
      <c r="HR1920" s="38"/>
      <c r="HS1920" s="38"/>
      <c r="HT1920" s="38"/>
      <c r="HU1920" s="38"/>
      <c r="HV1920" s="38"/>
      <c r="HW1920" s="38"/>
      <c r="HX1920" s="38"/>
      <c r="HY1920" s="38"/>
      <c r="HZ1920" s="38"/>
      <c r="IA1920" s="38"/>
      <c r="IB1920" s="38"/>
      <c r="IC1920" s="38"/>
      <c r="ID1920" s="38"/>
      <c r="IE1920" s="38"/>
      <c r="IF1920" s="38"/>
      <c r="IG1920" s="38"/>
      <c r="IH1920" s="38"/>
      <c r="II1920" s="38"/>
      <c r="IJ1920" s="38"/>
      <c r="IK1920" s="38"/>
      <c r="IL1920" s="38"/>
      <c r="IM1920" s="38"/>
      <c r="IN1920" s="38"/>
      <c r="IO1920" s="38"/>
      <c r="IP1920" s="38"/>
      <c r="IQ1920" s="38"/>
      <c r="IR1920" s="38"/>
      <c r="IS1920" s="38"/>
      <c r="IT1920" s="38"/>
      <c r="IU1920" s="38"/>
      <c r="IV1920" s="38"/>
      <c r="IW1920" s="38"/>
      <c r="IX1920" s="38"/>
      <c r="IY1920" s="38"/>
      <c r="IZ1920" s="38"/>
      <c r="JA1920" s="38"/>
      <c r="JB1920" s="38"/>
      <c r="JC1920" s="38"/>
      <c r="JD1920" s="38"/>
      <c r="JE1920" s="38"/>
      <c r="JF1920" s="38"/>
      <c r="JG1920" s="38"/>
      <c r="JH1920" s="38"/>
      <c r="JI1920" s="38"/>
      <c r="JJ1920" s="38"/>
      <c r="JK1920" s="38"/>
      <c r="JL1920" s="38"/>
      <c r="JM1920" s="38"/>
      <c r="JN1920" s="38"/>
      <c r="JO1920" s="38"/>
      <c r="JP1920" s="38"/>
      <c r="JQ1920" s="38"/>
      <c r="JR1920" s="38"/>
      <c r="JS1920" s="38"/>
      <c r="JT1920" s="38"/>
      <c r="JU1920" s="38"/>
      <c r="JV1920" s="38"/>
      <c r="JW1920" s="38"/>
      <c r="JX1920" s="38"/>
      <c r="JY1920" s="38"/>
      <c r="JZ1920" s="38"/>
      <c r="KA1920" s="38"/>
      <c r="KB1920" s="38"/>
      <c r="KC1920" s="38"/>
      <c r="KD1920" s="38"/>
      <c r="KE1920" s="38"/>
      <c r="KF1920" s="38"/>
      <c r="KG1920" s="38"/>
      <c r="KH1920" s="38"/>
      <c r="KI1920" s="38"/>
      <c r="KJ1920" s="38"/>
      <c r="KK1920" s="38"/>
      <c r="KL1920" s="38"/>
      <c r="KM1920" s="38"/>
      <c r="KN1920" s="38"/>
      <c r="KO1920" s="38"/>
      <c r="KP1920" s="38"/>
      <c r="KQ1920" s="38"/>
      <c r="KR1920" s="38"/>
      <c r="KS1920" s="38"/>
      <c r="KT1920" s="38"/>
      <c r="KU1920" s="38"/>
      <c r="KV1920" s="38"/>
      <c r="KW1920" s="38"/>
      <c r="KX1920" s="38"/>
      <c r="KY1920" s="38"/>
      <c r="KZ1920" s="38"/>
      <c r="LA1920" s="38"/>
      <c r="LB1920" s="38"/>
      <c r="LC1920" s="38"/>
      <c r="LD1920" s="38"/>
      <c r="LE1920" s="38"/>
      <c r="LF1920" s="38"/>
      <c r="LG1920" s="38"/>
      <c r="LH1920" s="38"/>
      <c r="LI1920" s="38"/>
      <c r="LJ1920" s="38"/>
      <c r="LK1920" s="38"/>
      <c r="LL1920" s="38"/>
      <c r="LM1920" s="38"/>
      <c r="LN1920" s="38"/>
      <c r="LO1920" s="38"/>
      <c r="LP1920" s="38"/>
      <c r="LQ1920" s="38"/>
      <c r="LR1920" s="38"/>
      <c r="LS1920" s="38"/>
      <c r="LT1920" s="38"/>
      <c r="LU1920" s="38"/>
      <c r="LV1920" s="38"/>
      <c r="LW1920" s="38"/>
      <c r="LX1920" s="38"/>
      <c r="LY1920" s="38"/>
      <c r="LZ1920" s="38"/>
      <c r="MA1920" s="38"/>
      <c r="MB1920" s="38"/>
      <c r="MC1920" s="38"/>
      <c r="MD1920" s="38"/>
      <c r="ME1920" s="38"/>
      <c r="MF1920" s="38"/>
      <c r="MG1920" s="38"/>
      <c r="MH1920" s="38"/>
      <c r="MI1920" s="38"/>
      <c r="MJ1920" s="38"/>
      <c r="MK1920" s="38"/>
      <c r="ML1920" s="38"/>
      <c r="MM1920" s="38"/>
      <c r="MN1920" s="38"/>
      <c r="MO1920" s="38"/>
      <c r="MP1920" s="38"/>
      <c r="MQ1920" s="38"/>
      <c r="MR1920" s="38"/>
      <c r="MS1920" s="38"/>
      <c r="MT1920" s="38"/>
      <c r="MU1920" s="38"/>
      <c r="MV1920" s="38"/>
      <c r="MW1920" s="38"/>
      <c r="MX1920" s="38"/>
      <c r="MY1920" s="38"/>
      <c r="MZ1920" s="38"/>
      <c r="NA1920" s="38"/>
      <c r="NB1920" s="38"/>
      <c r="NC1920" s="38"/>
      <c r="ND1920" s="38"/>
      <c r="NE1920" s="38"/>
      <c r="NF1920" s="38"/>
      <c r="NG1920" s="38"/>
      <c r="NH1920" s="38"/>
      <c r="NI1920" s="38"/>
      <c r="NJ1920" s="38"/>
      <c r="NK1920" s="38"/>
      <c r="NL1920" s="38"/>
      <c r="NM1920" s="38"/>
      <c r="NN1920" s="38"/>
      <c r="NO1920" s="38"/>
      <c r="NP1920" s="38"/>
      <c r="NQ1920" s="38"/>
      <c r="NR1920" s="38"/>
      <c r="NS1920" s="38"/>
      <c r="NT1920" s="38"/>
      <c r="NU1920" s="38"/>
      <c r="NV1920" s="38"/>
      <c r="NW1920" s="38"/>
      <c r="NX1920" s="38"/>
      <c r="NY1920" s="38"/>
      <c r="NZ1920" s="38"/>
      <c r="OA1920" s="38"/>
      <c r="OB1920" s="38"/>
      <c r="OC1920" s="38"/>
      <c r="OD1920" s="38"/>
      <c r="OE1920" s="38"/>
      <c r="OF1920" s="38"/>
      <c r="OG1920" s="38"/>
      <c r="OH1920" s="38"/>
      <c r="OI1920" s="38"/>
      <c r="OJ1920" s="38"/>
      <c r="OK1920" s="38"/>
      <c r="OL1920" s="38"/>
      <c r="OM1920" s="38"/>
      <c r="ON1920" s="38"/>
      <c r="OO1920" s="38"/>
      <c r="OP1920" s="38"/>
      <c r="OQ1920" s="38"/>
      <c r="OR1920" s="38"/>
      <c r="OS1920" s="38"/>
      <c r="OT1920" s="38"/>
      <c r="OU1920" s="38"/>
      <c r="OV1920" s="38"/>
      <c r="OW1920" s="38"/>
      <c r="OX1920" s="38"/>
      <c r="OY1920" s="38"/>
      <c r="OZ1920" s="38"/>
      <c r="PA1920" s="38"/>
      <c r="PB1920" s="38"/>
      <c r="PC1920" s="38"/>
      <c r="PD1920" s="38"/>
      <c r="PE1920" s="38"/>
      <c r="PF1920" s="38"/>
      <c r="PG1920" s="38"/>
      <c r="PH1920" s="38"/>
      <c r="PI1920" s="38"/>
      <c r="PJ1920" s="38"/>
      <c r="PK1920" s="38"/>
      <c r="PL1920" s="38"/>
      <c r="PM1920" s="38"/>
      <c r="PN1920" s="38"/>
      <c r="PO1920" s="38"/>
      <c r="PP1920" s="38"/>
      <c r="PQ1920" s="38"/>
      <c r="PR1920" s="38"/>
      <c r="PS1920" s="38"/>
      <c r="PT1920" s="38"/>
      <c r="PU1920" s="38"/>
      <c r="PV1920" s="38"/>
      <c r="PW1920" s="38"/>
      <c r="PX1920" s="38"/>
      <c r="PY1920" s="38"/>
      <c r="PZ1920" s="38"/>
      <c r="QA1920" s="38"/>
      <c r="QB1920" s="38"/>
      <c r="QC1920" s="38"/>
      <c r="QD1920" s="38"/>
      <c r="QE1920" s="38"/>
      <c r="QF1920" s="38"/>
      <c r="QG1920" s="38"/>
      <c r="QH1920" s="38"/>
      <c r="QI1920" s="38"/>
      <c r="QJ1920" s="38"/>
      <c r="QK1920" s="38"/>
      <c r="QL1920" s="38"/>
      <c r="QM1920" s="38"/>
      <c r="QN1920" s="38"/>
      <c r="QO1920" s="38"/>
      <c r="QP1920" s="38"/>
      <c r="QQ1920" s="38"/>
      <c r="QR1920" s="38"/>
      <c r="QS1920" s="38"/>
      <c r="QT1920" s="38"/>
      <c r="QU1920" s="38"/>
      <c r="QV1920" s="38"/>
      <c r="QW1920" s="38"/>
      <c r="QX1920" s="38"/>
      <c r="QY1920" s="38"/>
      <c r="QZ1920" s="38"/>
      <c r="RA1920" s="38"/>
      <c r="RB1920" s="38"/>
      <c r="RC1920" s="38"/>
      <c r="RD1920" s="38"/>
      <c r="RE1920" s="38"/>
      <c r="RF1920" s="38"/>
      <c r="RG1920" s="38"/>
      <c r="RH1920" s="38"/>
      <c r="RI1920" s="38"/>
      <c r="RJ1920" s="38"/>
      <c r="RK1920" s="38"/>
      <c r="RL1920" s="38"/>
      <c r="RM1920" s="38"/>
      <c r="RN1920" s="38"/>
      <c r="RO1920" s="38"/>
      <c r="RP1920" s="38"/>
      <c r="RQ1920" s="38"/>
      <c r="RR1920" s="38"/>
      <c r="RS1920" s="38"/>
      <c r="RT1920" s="38"/>
      <c r="RU1920" s="38"/>
      <c r="RV1920" s="38"/>
      <c r="RW1920" s="38"/>
      <c r="RX1920" s="38"/>
      <c r="RY1920" s="38"/>
      <c r="RZ1920" s="38"/>
      <c r="SA1920" s="38"/>
      <c r="SB1920" s="38"/>
      <c r="SC1920" s="38"/>
      <c r="SD1920" s="38"/>
      <c r="SE1920" s="38"/>
      <c r="SF1920" s="38"/>
      <c r="SG1920" s="38"/>
      <c r="SH1920" s="38"/>
      <c r="SI1920" s="38"/>
      <c r="SJ1920" s="38"/>
      <c r="SK1920" s="38"/>
      <c r="SL1920" s="38"/>
      <c r="SM1920" s="38"/>
      <c r="SN1920" s="38"/>
      <c r="SO1920" s="38"/>
      <c r="SP1920" s="38"/>
      <c r="SQ1920" s="38"/>
      <c r="SR1920" s="38"/>
      <c r="SS1920" s="38"/>
      <c r="ST1920" s="38"/>
      <c r="SU1920" s="38"/>
      <c r="SV1920" s="38"/>
      <c r="SW1920" s="38"/>
      <c r="SX1920" s="38"/>
      <c r="SY1920" s="38"/>
      <c r="SZ1920" s="38"/>
      <c r="TA1920" s="38"/>
      <c r="TB1920" s="38"/>
      <c r="TC1920" s="38"/>
      <c r="TD1920" s="38"/>
      <c r="TE1920" s="38"/>
      <c r="TF1920" s="38"/>
      <c r="TG1920" s="38"/>
      <c r="TH1920" s="38"/>
      <c r="TI1920" s="38"/>
      <c r="TJ1920" s="38"/>
      <c r="TK1920" s="38"/>
      <c r="TL1920" s="38"/>
      <c r="TM1920" s="38"/>
      <c r="TN1920" s="38"/>
      <c r="TO1920" s="38"/>
      <c r="TP1920" s="38"/>
      <c r="TQ1920" s="38"/>
      <c r="TR1920" s="38"/>
      <c r="TS1920" s="38"/>
      <c r="TT1920" s="38"/>
      <c r="TU1920" s="38"/>
      <c r="TV1920" s="38"/>
      <c r="TW1920" s="38"/>
      <c r="TX1920" s="38"/>
      <c r="TY1920" s="38"/>
      <c r="TZ1920" s="38"/>
      <c r="UA1920" s="38"/>
      <c r="UB1920" s="38"/>
      <c r="UC1920" s="38"/>
      <c r="UD1920" s="38"/>
      <c r="UE1920" s="38"/>
      <c r="UF1920" s="38"/>
      <c r="UG1920" s="38"/>
      <c r="UH1920" s="38"/>
      <c r="UI1920" s="38"/>
      <c r="UJ1920" s="38"/>
      <c r="UK1920" s="38"/>
      <c r="UL1920" s="38"/>
      <c r="UM1920" s="38"/>
      <c r="UN1920" s="38"/>
      <c r="UO1920" s="38"/>
      <c r="UP1920" s="38"/>
      <c r="UQ1920" s="38"/>
      <c r="UR1920" s="38"/>
      <c r="US1920" s="38"/>
      <c r="UT1920" s="38"/>
      <c r="UU1920" s="38"/>
      <c r="UV1920" s="38"/>
      <c r="UW1920" s="38"/>
      <c r="UX1920" s="38"/>
      <c r="UY1920" s="38"/>
      <c r="UZ1920" s="38"/>
      <c r="VA1920" s="38"/>
      <c r="VB1920" s="38"/>
      <c r="VC1920" s="38"/>
      <c r="VD1920" s="38"/>
      <c r="VE1920" s="38"/>
      <c r="VF1920" s="38"/>
      <c r="VG1920" s="38"/>
      <c r="VH1920" s="38"/>
      <c r="VI1920" s="38"/>
      <c r="VJ1920" s="38"/>
      <c r="VK1920" s="38"/>
      <c r="VL1920" s="38"/>
      <c r="VM1920" s="38"/>
      <c r="VN1920" s="38"/>
      <c r="VO1920" s="38"/>
      <c r="VP1920" s="38"/>
      <c r="VQ1920" s="38"/>
      <c r="VR1920" s="38"/>
      <c r="VS1920" s="38"/>
      <c r="VT1920" s="38"/>
      <c r="VU1920" s="38"/>
      <c r="VV1920" s="38"/>
      <c r="VW1920" s="38"/>
      <c r="VX1920" s="38"/>
      <c r="VY1920" s="38"/>
      <c r="VZ1920" s="38"/>
      <c r="WA1920" s="38"/>
      <c r="WB1920" s="38"/>
      <c r="WC1920" s="38"/>
      <c r="WD1920" s="38"/>
      <c r="WE1920" s="38"/>
      <c r="WF1920" s="38"/>
      <c r="WG1920" s="38"/>
      <c r="WH1920" s="38"/>
      <c r="WI1920" s="38"/>
      <c r="WJ1920" s="38"/>
      <c r="WK1920" s="38"/>
      <c r="WL1920" s="38"/>
      <c r="WM1920" s="38"/>
      <c r="WN1920" s="38"/>
      <c r="WO1920" s="38"/>
      <c r="WP1920" s="38"/>
      <c r="WQ1920" s="38"/>
      <c r="WR1920" s="38"/>
      <c r="WS1920" s="38"/>
      <c r="WT1920" s="38"/>
      <c r="WU1920" s="38"/>
      <c r="WV1920" s="38"/>
      <c r="WW1920" s="38"/>
      <c r="WX1920" s="38"/>
      <c r="WY1920" s="38"/>
      <c r="WZ1920" s="38"/>
      <c r="XA1920" s="38"/>
      <c r="XB1920" s="38"/>
      <c r="XC1920" s="38"/>
      <c r="XD1920" s="38"/>
      <c r="XE1920" s="38"/>
      <c r="XF1920" s="38"/>
      <c r="XG1920" s="38"/>
      <c r="XH1920" s="38"/>
      <c r="XI1920" s="38"/>
      <c r="XJ1920" s="38"/>
      <c r="XK1920" s="38"/>
      <c r="XL1920" s="38"/>
      <c r="XM1920" s="38"/>
      <c r="XN1920" s="38"/>
      <c r="XO1920" s="38"/>
      <c r="XP1920" s="38"/>
      <c r="XQ1920" s="38"/>
      <c r="XR1920" s="38"/>
      <c r="XS1920" s="38"/>
      <c r="XT1920" s="38"/>
      <c r="XU1920" s="38"/>
      <c r="XV1920" s="38"/>
      <c r="XW1920" s="38"/>
      <c r="XX1920" s="38"/>
      <c r="XY1920" s="38"/>
      <c r="XZ1920" s="38"/>
      <c r="YA1920" s="38"/>
      <c r="YB1920" s="38"/>
      <c r="YC1920" s="38"/>
      <c r="YD1920" s="38"/>
      <c r="YE1920" s="38"/>
      <c r="YF1920" s="38"/>
      <c r="YG1920" s="38"/>
      <c r="YH1920" s="38"/>
      <c r="YI1920" s="38"/>
      <c r="YJ1920" s="38"/>
      <c r="YK1920" s="38"/>
      <c r="YL1920" s="38"/>
      <c r="YM1920" s="38"/>
      <c r="YN1920" s="38"/>
      <c r="YO1920" s="38"/>
      <c r="YP1920" s="38"/>
      <c r="YQ1920" s="38"/>
      <c r="YR1920" s="38"/>
      <c r="YS1920" s="38"/>
      <c r="YT1920" s="38"/>
      <c r="YU1920" s="38"/>
      <c r="YV1920" s="38"/>
      <c r="YW1920" s="38"/>
      <c r="YX1920" s="38"/>
      <c r="YY1920" s="38"/>
      <c r="YZ1920" s="38"/>
      <c r="ZA1920" s="38"/>
      <c r="ZB1920" s="38"/>
      <c r="ZC1920" s="38"/>
      <c r="ZD1920" s="38"/>
      <c r="ZE1920" s="38"/>
      <c r="ZF1920" s="38"/>
      <c r="ZG1920" s="38"/>
      <c r="ZH1920" s="38"/>
      <c r="ZI1920" s="38"/>
      <c r="ZJ1920" s="38"/>
      <c r="ZK1920" s="38"/>
      <c r="ZL1920" s="38"/>
      <c r="ZM1920" s="38"/>
      <c r="ZN1920" s="38"/>
      <c r="ZO1920" s="38"/>
      <c r="ZP1920" s="38"/>
      <c r="ZQ1920" s="38"/>
      <c r="ZR1920" s="38"/>
      <c r="ZS1920" s="38"/>
      <c r="ZT1920" s="38"/>
      <c r="ZU1920" s="38"/>
      <c r="ZV1920" s="38"/>
      <c r="ZW1920" s="38"/>
      <c r="ZX1920" s="38"/>
      <c r="ZY1920" s="38"/>
      <c r="ZZ1920" s="38"/>
      <c r="AAA1920" s="38"/>
      <c r="AAB1920" s="38"/>
      <c r="AAC1920" s="38"/>
      <c r="AAD1920" s="38"/>
      <c r="AAE1920" s="38"/>
      <c r="AAF1920" s="38"/>
      <c r="AAG1920" s="38"/>
      <c r="AAH1920" s="38"/>
      <c r="AAI1920" s="38"/>
      <c r="AAJ1920" s="38"/>
      <c r="AAK1920" s="38"/>
      <c r="AAL1920" s="38"/>
      <c r="AAM1920" s="38"/>
      <c r="AAN1920" s="38"/>
      <c r="AAO1920" s="38"/>
      <c r="AAP1920" s="38"/>
      <c r="AAQ1920" s="38"/>
      <c r="AAR1920" s="38"/>
      <c r="AAS1920" s="38"/>
      <c r="AAT1920" s="38"/>
      <c r="AAU1920" s="38"/>
      <c r="AAV1920" s="38"/>
      <c r="AAW1920" s="38"/>
      <c r="AAX1920" s="38"/>
      <c r="AAY1920" s="38"/>
      <c r="AAZ1920" s="38"/>
      <c r="ABA1920" s="38"/>
      <c r="ABB1920" s="38"/>
      <c r="ABC1920" s="38"/>
      <c r="ABD1920" s="38"/>
      <c r="ABE1920" s="38"/>
      <c r="ABF1920" s="38"/>
      <c r="ABG1920" s="38"/>
      <c r="ABH1920" s="38"/>
      <c r="ABI1920" s="38"/>
      <c r="ABJ1920" s="38"/>
      <c r="ABK1920" s="38"/>
      <c r="ABL1920" s="38"/>
      <c r="ABM1920" s="38"/>
      <c r="ABN1920" s="38"/>
      <c r="ABO1920" s="38"/>
      <c r="ABP1920" s="38"/>
      <c r="ABQ1920" s="38"/>
      <c r="ABR1920" s="38"/>
      <c r="ABS1920" s="38"/>
      <c r="ABT1920" s="38"/>
      <c r="ABU1920" s="38"/>
      <c r="ABV1920" s="38"/>
      <c r="ABW1920" s="38"/>
      <c r="ABX1920" s="38"/>
      <c r="ABY1920" s="38"/>
      <c r="ABZ1920" s="38"/>
      <c r="ACA1920" s="38"/>
      <c r="ACB1920" s="38"/>
      <c r="ACC1920" s="38"/>
      <c r="ACD1920" s="38"/>
      <c r="ACE1920" s="38"/>
      <c r="ACF1920" s="38"/>
      <c r="ACG1920" s="38"/>
      <c r="ACH1920" s="38"/>
      <c r="ACI1920" s="38"/>
      <c r="ACJ1920" s="38"/>
      <c r="ACK1920" s="38"/>
      <c r="ACL1920" s="38"/>
      <c r="ACM1920" s="38"/>
      <c r="ACN1920" s="38"/>
      <c r="ACO1920" s="38"/>
      <c r="ACP1920" s="38"/>
      <c r="ACQ1920" s="38"/>
      <c r="ACR1920" s="38"/>
      <c r="ACS1920" s="38"/>
      <c r="ACT1920" s="38"/>
      <c r="ACU1920" s="38"/>
      <c r="ACV1920" s="38"/>
      <c r="ACW1920" s="38"/>
      <c r="ACX1920" s="38"/>
      <c r="ACY1920" s="38"/>
      <c r="ACZ1920" s="38"/>
      <c r="ADA1920" s="38"/>
      <c r="ADB1920" s="38"/>
      <c r="ADC1920" s="38"/>
      <c r="ADD1920" s="38"/>
      <c r="ADE1920" s="38"/>
      <c r="ADF1920" s="38"/>
      <c r="ADG1920" s="38"/>
      <c r="ADH1920" s="38"/>
      <c r="ADI1920" s="38"/>
      <c r="ADJ1920" s="38"/>
      <c r="ADK1920" s="38"/>
      <c r="ADL1920" s="38"/>
      <c r="ADM1920" s="38"/>
      <c r="ADN1920" s="38"/>
      <c r="ADO1920" s="38"/>
      <c r="ADP1920" s="38"/>
      <c r="ADQ1920" s="38"/>
      <c r="ADR1920" s="38"/>
      <c r="ADS1920" s="38"/>
      <c r="ADT1920" s="38"/>
      <c r="ADU1920" s="38"/>
      <c r="ADV1920" s="38"/>
      <c r="ADW1920" s="38"/>
      <c r="ADX1920" s="38"/>
      <c r="ADY1920" s="38"/>
      <c r="ADZ1920" s="38"/>
      <c r="AEA1920" s="38"/>
      <c r="AEB1920" s="38"/>
      <c r="AEC1920" s="38"/>
      <c r="AED1920" s="38"/>
      <c r="AEE1920" s="38"/>
      <c r="AEF1920" s="38"/>
      <c r="AEG1920" s="38"/>
      <c r="AEH1920" s="38"/>
      <c r="AEI1920" s="38"/>
      <c r="AEJ1920" s="38"/>
      <c r="AEK1920" s="38"/>
      <c r="AEL1920" s="38"/>
      <c r="AEM1920" s="38"/>
      <c r="AEN1920" s="38"/>
      <c r="AEO1920" s="38"/>
      <c r="AEP1920" s="38"/>
      <c r="AEQ1920" s="38"/>
      <c r="AER1920" s="38"/>
      <c r="AES1920" s="38"/>
      <c r="AET1920" s="38"/>
      <c r="AEU1920" s="38"/>
      <c r="AEV1920" s="38"/>
      <c r="AEW1920" s="38"/>
      <c r="AEX1920" s="38"/>
      <c r="AEY1920" s="38"/>
      <c r="AEZ1920" s="38"/>
      <c r="AFA1920" s="38"/>
      <c r="AFB1920" s="38"/>
      <c r="AFC1920" s="38"/>
      <c r="AFD1920" s="38"/>
      <c r="AFE1920" s="38"/>
      <c r="AFF1920" s="38"/>
      <c r="AFG1920" s="38"/>
      <c r="AFH1920" s="38"/>
      <c r="AFI1920" s="38"/>
      <c r="AFJ1920" s="38"/>
      <c r="AFK1920" s="38"/>
      <c r="AFL1920" s="38"/>
      <c r="AFM1920" s="38"/>
      <c r="AFN1920" s="38"/>
      <c r="AFO1920" s="38"/>
      <c r="AFP1920" s="38"/>
      <c r="AFQ1920" s="38"/>
      <c r="AFR1920" s="38"/>
      <c r="AFS1920" s="38"/>
      <c r="AFT1920" s="38"/>
      <c r="AFU1920" s="38"/>
      <c r="AFV1920" s="38"/>
      <c r="AFW1920" s="38"/>
      <c r="AFX1920" s="38"/>
      <c r="AFY1920" s="38"/>
      <c r="AFZ1920" s="38"/>
      <c r="AGA1920" s="38"/>
      <c r="AGB1920" s="38"/>
      <c r="AGC1920" s="38"/>
      <c r="AGD1920" s="38"/>
      <c r="AGE1920" s="38"/>
      <c r="AGF1920" s="38"/>
      <c r="AGG1920" s="38"/>
      <c r="AGH1920" s="38"/>
      <c r="AGI1920" s="38"/>
      <c r="AGJ1920" s="38"/>
      <c r="AGK1920" s="38"/>
      <c r="AGL1920" s="38"/>
      <c r="AGM1920" s="38"/>
      <c r="AGN1920" s="38"/>
      <c r="AGO1920" s="38"/>
      <c r="AGP1920" s="38"/>
      <c r="AGQ1920" s="38"/>
      <c r="AGR1920" s="38"/>
      <c r="AGS1920" s="38"/>
      <c r="AGT1920" s="38"/>
      <c r="AGU1920" s="38"/>
      <c r="AGV1920" s="38"/>
      <c r="AGW1920" s="38"/>
      <c r="AGX1920" s="38"/>
      <c r="AGY1920" s="38"/>
      <c r="AGZ1920" s="38"/>
      <c r="AHA1920" s="38"/>
      <c r="AHB1920" s="38"/>
      <c r="AHC1920" s="38"/>
      <c r="AHD1920" s="38"/>
      <c r="AHE1920" s="38"/>
      <c r="AHF1920" s="38"/>
      <c r="AHG1920" s="38"/>
      <c r="AHH1920" s="38"/>
      <c r="AHI1920" s="38"/>
      <c r="AHJ1920" s="38"/>
      <c r="AHK1920" s="38"/>
      <c r="AHL1920" s="38"/>
      <c r="AHM1920" s="38"/>
      <c r="AHN1920" s="38"/>
      <c r="AHO1920" s="38"/>
      <c r="AHP1920" s="38"/>
      <c r="AHQ1920" s="38"/>
      <c r="AHR1920" s="38"/>
      <c r="AHS1920" s="38"/>
      <c r="AHT1920" s="38"/>
      <c r="AHU1920" s="38"/>
      <c r="AHV1920" s="38"/>
      <c r="AHW1920" s="38"/>
      <c r="AHX1920" s="38"/>
      <c r="AHY1920" s="38"/>
      <c r="AHZ1920" s="38"/>
      <c r="AIA1920" s="38"/>
      <c r="AIB1920" s="38"/>
      <c r="AIC1920" s="38"/>
      <c r="AID1920" s="38"/>
      <c r="AIE1920" s="38"/>
      <c r="AIF1920" s="38"/>
      <c r="AIG1920" s="38"/>
      <c r="AIH1920" s="38"/>
      <c r="AII1920" s="38"/>
      <c r="AIJ1920" s="38"/>
      <c r="AIK1920" s="38"/>
      <c r="AIL1920" s="38"/>
      <c r="AIM1920" s="38"/>
      <c r="AIN1920" s="38"/>
      <c r="AIO1920" s="38"/>
      <c r="AIP1920" s="38"/>
      <c r="AIQ1920" s="38"/>
      <c r="AIR1920" s="38"/>
      <c r="AIS1920" s="38"/>
      <c r="AIT1920" s="38"/>
      <c r="AIU1920" s="38"/>
      <c r="AIV1920" s="38"/>
      <c r="AIW1920" s="38"/>
      <c r="AIX1920" s="38"/>
      <c r="AIY1920" s="38"/>
      <c r="AIZ1920" s="38"/>
      <c r="AJA1920" s="38"/>
      <c r="AJB1920" s="38"/>
      <c r="AJC1920" s="38"/>
      <c r="AJD1920" s="38"/>
      <c r="AJE1920" s="38"/>
      <c r="AJF1920" s="38"/>
      <c r="AJG1920" s="38"/>
      <c r="AJH1920" s="38"/>
      <c r="AJI1920" s="38"/>
      <c r="AJJ1920" s="38"/>
      <c r="AJK1920" s="38"/>
      <c r="AJL1920" s="38"/>
      <c r="AJM1920" s="38"/>
      <c r="AJN1920" s="38"/>
      <c r="AJO1920" s="38"/>
      <c r="AJP1920" s="38"/>
      <c r="AJQ1920" s="38"/>
      <c r="AJR1920" s="38"/>
      <c r="AJS1920" s="38"/>
      <c r="AJT1920" s="38"/>
      <c r="AJU1920" s="38"/>
      <c r="AJV1920" s="38"/>
      <c r="AJW1920" s="38"/>
      <c r="AJX1920" s="38"/>
      <c r="AJY1920" s="38"/>
      <c r="AJZ1920" s="38"/>
      <c r="AKA1920" s="38"/>
      <c r="AKB1920" s="38"/>
      <c r="AKC1920" s="38"/>
      <c r="AKD1920" s="38"/>
      <c r="AKE1920" s="38"/>
      <c r="AKF1920" s="38"/>
      <c r="AKG1920" s="38"/>
      <c r="AKH1920" s="38"/>
      <c r="AKI1920" s="38"/>
      <c r="AKJ1920" s="38"/>
      <c r="AKK1920" s="38"/>
      <c r="AKL1920" s="38"/>
      <c r="AKM1920" s="38"/>
      <c r="AKN1920" s="38"/>
      <c r="AKO1920" s="38"/>
      <c r="AKP1920" s="38"/>
      <c r="AKQ1920" s="38"/>
      <c r="AKR1920" s="38"/>
      <c r="AKS1920" s="38"/>
      <c r="AKT1920" s="38"/>
      <c r="AKU1920" s="38"/>
      <c r="AKV1920" s="38"/>
      <c r="AKW1920" s="38"/>
      <c r="AKX1920" s="38"/>
      <c r="AKY1920" s="38"/>
      <c r="AKZ1920" s="38"/>
      <c r="ALA1920" s="38"/>
      <c r="ALB1920" s="38"/>
      <c r="ALC1920" s="38"/>
      <c r="ALD1920" s="38"/>
      <c r="ALE1920" s="38"/>
      <c r="ALF1920" s="38"/>
      <c r="ALG1920" s="38"/>
      <c r="ALH1920" s="38"/>
      <c r="ALI1920" s="38"/>
      <c r="ALJ1920" s="38"/>
      <c r="ALK1920" s="38"/>
      <c r="ALL1920" s="38"/>
      <c r="ALM1920" s="38"/>
      <c r="ALN1920" s="38"/>
      <c r="ALO1920" s="38"/>
      <c r="ALP1920" s="38"/>
      <c r="ALQ1920" s="38"/>
      <c r="ALR1920" s="38"/>
      <c r="ALS1920" s="38"/>
      <c r="ALT1920" s="38"/>
      <c r="ALU1920" s="38"/>
      <c r="ALV1920" s="38"/>
      <c r="ALW1920" s="38"/>
      <c r="ALX1920" s="38"/>
      <c r="ALY1920" s="38"/>
      <c r="ALZ1920" s="38"/>
      <c r="AMA1920" s="38"/>
      <c r="AMB1920" s="38"/>
      <c r="AMC1920" s="38"/>
      <c r="AMD1920" s="38"/>
      <c r="AME1920" s="38"/>
      <c r="AMF1920" s="38"/>
      <c r="AMG1920" s="38"/>
      <c r="AMH1920" s="38"/>
      <c r="AMI1920" s="38"/>
      <c r="AMJ1920" s="38"/>
      <c r="AMK1920" s="38"/>
      <c r="AML1920" s="38"/>
      <c r="AMM1920" s="38"/>
      <c r="AMN1920" s="38"/>
      <c r="AMO1920" s="38"/>
      <c r="AMP1920" s="38"/>
      <c r="AMQ1920" s="38"/>
      <c r="AMR1920" s="38"/>
      <c r="AMS1920" s="38"/>
      <c r="AMT1920" s="38"/>
      <c r="AMU1920" s="38"/>
      <c r="AMV1920" s="38"/>
      <c r="AMW1920" s="38"/>
      <c r="AMX1920" s="38"/>
      <c r="AMY1920" s="38"/>
      <c r="AMZ1920" s="38"/>
      <c r="ANA1920" s="38"/>
      <c r="ANB1920" s="38"/>
      <c r="ANC1920" s="38"/>
      <c r="AND1920" s="38"/>
      <c r="ANE1920" s="38"/>
      <c r="ANF1920" s="38"/>
      <c r="ANG1920" s="38"/>
      <c r="ANH1920" s="38"/>
      <c r="ANI1920" s="38"/>
      <c r="ANJ1920" s="38"/>
      <c r="ANK1920" s="38"/>
      <c r="ANL1920" s="38"/>
      <c r="ANM1920" s="38"/>
      <c r="ANN1920" s="38"/>
      <c r="ANO1920" s="38"/>
      <c r="ANP1920" s="38"/>
      <c r="ANQ1920" s="38"/>
      <c r="ANR1920" s="38"/>
      <c r="ANS1920" s="38"/>
      <c r="ANT1920" s="38"/>
      <c r="ANU1920" s="38"/>
      <c r="ANV1920" s="38"/>
      <c r="ANW1920" s="38"/>
      <c r="ANX1920" s="38"/>
      <c r="ANY1920" s="38"/>
      <c r="ANZ1920" s="38"/>
      <c r="AOA1920" s="38"/>
      <c r="AOB1920" s="38"/>
      <c r="AOC1920" s="38"/>
      <c r="AOD1920" s="38"/>
      <c r="AOE1920" s="38"/>
      <c r="AOF1920" s="38"/>
      <c r="AOG1920" s="38"/>
      <c r="AOH1920" s="38"/>
      <c r="AOI1920" s="38"/>
      <c r="AOJ1920" s="38"/>
      <c r="AOK1920" s="38"/>
      <c r="AOL1920" s="38"/>
      <c r="AOM1920" s="38"/>
      <c r="AON1920" s="38"/>
      <c r="AOO1920" s="38"/>
      <c r="AOP1920" s="38"/>
      <c r="AOQ1920" s="38"/>
      <c r="AOR1920" s="38"/>
      <c r="AOS1920" s="38"/>
      <c r="AOT1920" s="38"/>
      <c r="AOU1920" s="38"/>
      <c r="AOV1920" s="38"/>
      <c r="AOW1920" s="38"/>
      <c r="AOX1920" s="38"/>
      <c r="AOY1920" s="38"/>
      <c r="AOZ1920" s="38"/>
      <c r="APA1920" s="38"/>
      <c r="APB1920" s="38"/>
      <c r="APC1920" s="38"/>
    </row>
    <row r="1921" spans="1:1095" s="36" customFormat="1" ht="14.25" customHeight="1">
      <c r="A1921" s="3" t="s">
        <v>1722</v>
      </c>
      <c r="B1921" s="36" t="s">
        <v>2179</v>
      </c>
      <c r="C1921" s="10">
        <v>4099854061653</v>
      </c>
      <c r="D1921" s="224">
        <v>4058075758261</v>
      </c>
      <c r="E1921" s="245" t="s">
        <v>2180</v>
      </c>
      <c r="F1921" s="246"/>
      <c r="G1921" s="66" t="str">
        <f>HYPERLINK("https://ledvance.com/pt/product-datasheet/251548/237195","Ficha de Produto")</f>
        <v>Ficha de Produto</v>
      </c>
      <c r="H1921" s="217">
        <v>10</v>
      </c>
      <c r="I1921" s="34" t="s">
        <v>6354</v>
      </c>
      <c r="J1921" s="34" t="s">
        <v>6364</v>
      </c>
      <c r="K1921" s="34" t="s">
        <v>788</v>
      </c>
      <c r="L1921" s="34" t="s">
        <v>765</v>
      </c>
      <c r="M1921" s="247">
        <v>8.4</v>
      </c>
      <c r="N1921" s="288" t="s">
        <v>722</v>
      </c>
    </row>
    <row r="1922" spans="1:1095" s="36" customFormat="1" ht="14.25" customHeight="1">
      <c r="A1922" s="3" t="s">
        <v>1722</v>
      </c>
      <c r="B1922" s="36" t="s">
        <v>2181</v>
      </c>
      <c r="C1922" s="10">
        <v>4099854061714</v>
      </c>
      <c r="D1922" s="224">
        <v>4058075758322</v>
      </c>
      <c r="E1922" s="245" t="s">
        <v>2182</v>
      </c>
      <c r="F1922" s="246"/>
      <c r="G1922" s="66" t="str">
        <f>HYPERLINK("https://ledvance.com/pt/product-datasheet/251548/237207","Ficha de Produto")</f>
        <v>Ficha de Produto</v>
      </c>
      <c r="H1922" s="217">
        <v>10</v>
      </c>
      <c r="I1922" s="34" t="s">
        <v>6354</v>
      </c>
      <c r="J1922" s="34" t="s">
        <v>6364</v>
      </c>
      <c r="K1922" s="34" t="s">
        <v>788</v>
      </c>
      <c r="L1922" s="34" t="s">
        <v>765</v>
      </c>
      <c r="M1922" s="247">
        <v>8.4</v>
      </c>
      <c r="N1922" s="288" t="s">
        <v>722</v>
      </c>
    </row>
    <row r="1923" spans="1:1095" s="36" customFormat="1" ht="14.25" customHeight="1">
      <c r="A1923" s="3" t="s">
        <v>1722</v>
      </c>
      <c r="B1923" s="36" t="s">
        <v>2183</v>
      </c>
      <c r="C1923" s="10">
        <v>4099854061738</v>
      </c>
      <c r="D1923" s="224">
        <v>4058075758285</v>
      </c>
      <c r="E1923" s="245" t="s">
        <v>2184</v>
      </c>
      <c r="F1923" s="246"/>
      <c r="G1923" s="66" t="str">
        <f>HYPERLINK("https://ledvance.com/pt/product-datasheet/251548/237220","Ficha de Produto")</f>
        <v>Ficha de Produto</v>
      </c>
      <c r="H1923" s="217">
        <v>10</v>
      </c>
      <c r="I1923" s="34" t="s">
        <v>6354</v>
      </c>
      <c r="J1923" s="34" t="s">
        <v>6364</v>
      </c>
      <c r="K1923" s="34" t="s">
        <v>788</v>
      </c>
      <c r="L1923" s="34" t="s">
        <v>765</v>
      </c>
      <c r="M1923" s="247">
        <v>8.4</v>
      </c>
      <c r="N1923" s="288" t="s">
        <v>722</v>
      </c>
    </row>
    <row r="1924" spans="1:1095" s="36" customFormat="1" ht="14.25" customHeight="1">
      <c r="A1924" s="3" t="s">
        <v>1722</v>
      </c>
      <c r="B1924" s="36" t="s">
        <v>2185</v>
      </c>
      <c r="C1924" s="10">
        <v>4099854061790</v>
      </c>
      <c r="D1924" s="224">
        <v>4058075758346</v>
      </c>
      <c r="E1924" s="245" t="s">
        <v>2186</v>
      </c>
      <c r="F1924" s="246"/>
      <c r="G1924" s="66" t="str">
        <f>HYPERLINK("https://ledvance.com/pt/product-datasheet/251548/237230","Ficha de Produto")</f>
        <v>Ficha de Produto</v>
      </c>
      <c r="H1924" s="217">
        <v>10</v>
      </c>
      <c r="I1924" s="34" t="s">
        <v>6354</v>
      </c>
      <c r="J1924" s="34" t="s">
        <v>6364</v>
      </c>
      <c r="K1924" s="34" t="s">
        <v>788</v>
      </c>
      <c r="L1924" s="34" t="s">
        <v>765</v>
      </c>
      <c r="M1924" s="247">
        <v>8.4</v>
      </c>
      <c r="N1924" s="288" t="s">
        <v>722</v>
      </c>
    </row>
    <row r="1925" spans="1:1095" s="36" customFormat="1" ht="14.25" customHeight="1">
      <c r="A1925" s="3" t="s">
        <v>1722</v>
      </c>
      <c r="B1925" s="36" t="s">
        <v>2187</v>
      </c>
      <c r="C1925" s="10">
        <v>4099854062001</v>
      </c>
      <c r="D1925" s="224">
        <v>4058075758308</v>
      </c>
      <c r="E1925" s="245" t="s">
        <v>2188</v>
      </c>
      <c r="F1925" s="246"/>
      <c r="G1925" s="66" t="str">
        <f>HYPERLINK("https://ledvance.com/pt/product-datasheet/251548/237243","Ficha de Produto")</f>
        <v>Ficha de Produto</v>
      </c>
      <c r="H1925" s="217">
        <v>10</v>
      </c>
      <c r="I1925" s="34" t="s">
        <v>6354</v>
      </c>
      <c r="J1925" s="34" t="s">
        <v>6364</v>
      </c>
      <c r="K1925" s="34" t="s">
        <v>788</v>
      </c>
      <c r="L1925" s="34" t="s">
        <v>765</v>
      </c>
      <c r="M1925" s="247">
        <v>8.4</v>
      </c>
      <c r="N1925" s="288" t="s">
        <v>722</v>
      </c>
    </row>
    <row r="1926" spans="1:1095" s="36" customFormat="1" ht="14.25" customHeight="1">
      <c r="A1926" s="3" t="s">
        <v>1722</v>
      </c>
      <c r="B1926" s="36" t="s">
        <v>2189</v>
      </c>
      <c r="C1926" s="10">
        <v>4099854060618</v>
      </c>
      <c r="D1926" s="224">
        <v>4058075758360</v>
      </c>
      <c r="E1926" s="245" t="s">
        <v>2190</v>
      </c>
      <c r="F1926" s="246"/>
      <c r="G1926" s="66" t="str">
        <f>HYPERLINK("https://ledvance.com/pt/product-datasheet/251551/237249","Ficha de Produto")</f>
        <v>Ficha de Produto</v>
      </c>
      <c r="H1926" s="217">
        <v>10</v>
      </c>
      <c r="I1926" s="34" t="s">
        <v>6354</v>
      </c>
      <c r="J1926" s="34" t="s">
        <v>6364</v>
      </c>
      <c r="K1926" s="34" t="s">
        <v>788</v>
      </c>
      <c r="L1926" s="34" t="s">
        <v>765</v>
      </c>
      <c r="M1926" s="247">
        <v>8.4</v>
      </c>
      <c r="N1926" s="288" t="s">
        <v>722</v>
      </c>
    </row>
    <row r="1927" spans="1:1095" s="36" customFormat="1" ht="14.25" customHeight="1">
      <c r="A1927" s="3" t="s">
        <v>1722</v>
      </c>
      <c r="B1927" s="36" t="s">
        <v>2191</v>
      </c>
      <c r="C1927" s="10">
        <v>4099854060632</v>
      </c>
      <c r="D1927" s="224">
        <v>4058075758407</v>
      </c>
      <c r="E1927" s="245" t="s">
        <v>2192</v>
      </c>
      <c r="F1927" s="246"/>
      <c r="G1927" s="66" t="str">
        <f>HYPERLINK("https://ledvance.com/pt/product-datasheet/251553/237263","Ficha de Produto")</f>
        <v>Ficha de Produto</v>
      </c>
      <c r="H1927" s="217">
        <v>10</v>
      </c>
      <c r="I1927" s="34" t="s">
        <v>6354</v>
      </c>
      <c r="J1927" s="34" t="s">
        <v>6364</v>
      </c>
      <c r="K1927" s="34" t="s">
        <v>788</v>
      </c>
      <c r="L1927" s="34" t="s">
        <v>765</v>
      </c>
      <c r="M1927" s="247">
        <v>8.4</v>
      </c>
      <c r="N1927" s="288" t="s">
        <v>722</v>
      </c>
    </row>
    <row r="1928" spans="1:1095" s="36" customFormat="1" ht="14.25" customHeight="1">
      <c r="A1928" s="3" t="s">
        <v>1722</v>
      </c>
      <c r="B1928" s="36" t="s">
        <v>2193</v>
      </c>
      <c r="C1928" s="10">
        <v>4099854060694</v>
      </c>
      <c r="D1928" s="224">
        <v>4058075758384</v>
      </c>
      <c r="E1928" s="245" t="s">
        <v>2194</v>
      </c>
      <c r="F1928" s="246"/>
      <c r="G1928" s="66" t="str">
        <f>HYPERLINK("https://ledvance.com/pt/product-datasheet/251553/237277","Ficha de Produto")</f>
        <v>Ficha de Produto</v>
      </c>
      <c r="H1928" s="217">
        <v>10</v>
      </c>
      <c r="I1928" s="34" t="s">
        <v>6354</v>
      </c>
      <c r="J1928" s="34" t="s">
        <v>6364</v>
      </c>
      <c r="K1928" s="34" t="s">
        <v>788</v>
      </c>
      <c r="L1928" s="34" t="s">
        <v>765</v>
      </c>
      <c r="M1928" s="247">
        <v>8.4</v>
      </c>
      <c r="N1928" s="288" t="s">
        <v>722</v>
      </c>
    </row>
    <row r="1929" spans="1:1095" s="36" customFormat="1" ht="14.25" customHeight="1">
      <c r="A1929" s="3" t="s">
        <v>1722</v>
      </c>
      <c r="B1929" s="36" t="s">
        <v>2195</v>
      </c>
      <c r="C1929" s="10">
        <v>4099854060779</v>
      </c>
      <c r="D1929" s="224">
        <v>4058075758421</v>
      </c>
      <c r="E1929" s="245" t="s">
        <v>2196</v>
      </c>
      <c r="F1929" s="246"/>
      <c r="G1929" s="66" t="str">
        <f>HYPERLINK("https://ledvance.com/pt/product-datasheet/251553/237289","Ficha de Produto")</f>
        <v>Ficha de Produto</v>
      </c>
      <c r="H1929" s="217">
        <v>10</v>
      </c>
      <c r="I1929" s="34" t="s">
        <v>6354</v>
      </c>
      <c r="J1929" s="34" t="s">
        <v>6364</v>
      </c>
      <c r="K1929" s="34" t="s">
        <v>788</v>
      </c>
      <c r="L1929" s="34" t="s">
        <v>765</v>
      </c>
      <c r="M1929" s="247">
        <v>8.4</v>
      </c>
      <c r="N1929" s="288" t="s">
        <v>722</v>
      </c>
    </row>
    <row r="1930" spans="1:1095" s="39" customFormat="1" ht="14.25" customHeight="1">
      <c r="A1930" s="8" t="s">
        <v>1722</v>
      </c>
      <c r="B1930" s="244" t="s">
        <v>2197</v>
      </c>
      <c r="C1930" s="8"/>
      <c r="D1930" s="7"/>
      <c r="E1930" s="230"/>
      <c r="F1930" s="7"/>
      <c r="G1930" s="68" t="s">
        <v>6505</v>
      </c>
      <c r="H1930" s="230"/>
      <c r="I1930" s="230"/>
      <c r="J1930" s="230"/>
      <c r="K1930" s="230"/>
      <c r="L1930" s="230"/>
      <c r="M1930" s="248"/>
      <c r="N1930" s="289"/>
      <c r="O1930" s="38"/>
      <c r="P1930" s="38"/>
      <c r="Q1930" s="38"/>
      <c r="R1930" s="38"/>
      <c r="S1930" s="38"/>
      <c r="T1930" s="38"/>
      <c r="U1930" s="38"/>
      <c r="V1930" s="38"/>
      <c r="W1930" s="38"/>
      <c r="X1930" s="38"/>
      <c r="Y1930" s="38"/>
      <c r="Z1930" s="38"/>
      <c r="AA1930" s="38"/>
      <c r="AB1930" s="38"/>
      <c r="AC1930" s="38"/>
      <c r="AD1930" s="38"/>
      <c r="AE1930" s="38"/>
      <c r="AF1930" s="38"/>
      <c r="AG1930" s="38"/>
      <c r="AH1930" s="38"/>
      <c r="AI1930" s="38"/>
      <c r="AJ1930" s="38"/>
      <c r="AK1930" s="38"/>
      <c r="AL1930" s="38"/>
      <c r="AM1930" s="38"/>
      <c r="AN1930" s="38"/>
      <c r="AO1930" s="38"/>
      <c r="AP1930" s="38"/>
      <c r="AQ1930" s="38"/>
      <c r="AR1930" s="38"/>
      <c r="AS1930" s="38"/>
      <c r="AT1930" s="38"/>
      <c r="AU1930" s="38"/>
      <c r="AV1930" s="38"/>
      <c r="AW1930" s="38"/>
      <c r="AX1930" s="38"/>
      <c r="AY1930" s="38"/>
      <c r="AZ1930" s="38"/>
      <c r="BA1930" s="38"/>
      <c r="BB1930" s="38"/>
      <c r="BC1930" s="38"/>
      <c r="BD1930" s="38"/>
      <c r="BE1930" s="38"/>
      <c r="BF1930" s="38"/>
      <c r="BG1930" s="38"/>
      <c r="BH1930" s="38"/>
      <c r="BI1930" s="38"/>
      <c r="BJ1930" s="38"/>
      <c r="BK1930" s="38"/>
      <c r="BL1930" s="38"/>
      <c r="BM1930" s="38"/>
      <c r="BN1930" s="38"/>
      <c r="BO1930" s="38"/>
      <c r="BP1930" s="38"/>
      <c r="BQ1930" s="38"/>
      <c r="BR1930" s="38"/>
      <c r="BS1930" s="38"/>
      <c r="BT1930" s="38"/>
      <c r="BU1930" s="38"/>
      <c r="BV1930" s="38"/>
      <c r="BW1930" s="38"/>
      <c r="BX1930" s="38"/>
      <c r="BY1930" s="38"/>
      <c r="BZ1930" s="38"/>
      <c r="CA1930" s="38"/>
      <c r="CB1930" s="38"/>
      <c r="CC1930" s="38"/>
      <c r="CD1930" s="38"/>
      <c r="CE1930" s="38"/>
      <c r="CF1930" s="38"/>
      <c r="CG1930" s="38"/>
      <c r="CH1930" s="38"/>
      <c r="CI1930" s="38"/>
      <c r="CJ1930" s="38"/>
      <c r="CK1930" s="38"/>
      <c r="CL1930" s="38"/>
      <c r="CM1930" s="38"/>
      <c r="CN1930" s="38"/>
      <c r="CO1930" s="38"/>
      <c r="CP1930" s="38"/>
      <c r="CQ1930" s="38"/>
      <c r="CR1930" s="38"/>
      <c r="CS1930" s="38"/>
      <c r="CT1930" s="38"/>
      <c r="CU1930" s="38"/>
      <c r="CV1930" s="38"/>
      <c r="CW1930" s="38"/>
      <c r="CX1930" s="38"/>
      <c r="CY1930" s="38"/>
      <c r="CZ1930" s="38"/>
      <c r="DA1930" s="38"/>
      <c r="DB1930" s="38"/>
      <c r="DC1930" s="38"/>
      <c r="DD1930" s="38"/>
      <c r="DE1930" s="38"/>
      <c r="DF1930" s="38"/>
      <c r="DG1930" s="38"/>
      <c r="DH1930" s="38"/>
      <c r="DI1930" s="38"/>
      <c r="DJ1930" s="38"/>
      <c r="DK1930" s="38"/>
      <c r="DL1930" s="38"/>
      <c r="DM1930" s="38"/>
      <c r="DN1930" s="38"/>
      <c r="DO1930" s="38"/>
      <c r="DP1930" s="38"/>
      <c r="DQ1930" s="38"/>
      <c r="DR1930" s="38"/>
      <c r="DS1930" s="38"/>
      <c r="DT1930" s="38"/>
      <c r="DU1930" s="38"/>
      <c r="DV1930" s="38"/>
      <c r="DW1930" s="38"/>
      <c r="DX1930" s="38"/>
      <c r="DY1930" s="38"/>
      <c r="DZ1930" s="38"/>
      <c r="EA1930" s="38"/>
      <c r="EB1930" s="38"/>
      <c r="EC1930" s="38"/>
      <c r="ED1930" s="38"/>
      <c r="EE1930" s="38"/>
      <c r="EF1930" s="38"/>
      <c r="EG1930" s="38"/>
      <c r="EH1930" s="38"/>
      <c r="EI1930" s="38"/>
      <c r="EJ1930" s="38"/>
      <c r="EK1930" s="38"/>
      <c r="EL1930" s="38"/>
      <c r="EM1930" s="38"/>
      <c r="EN1930" s="38"/>
      <c r="EO1930" s="38"/>
      <c r="EP1930" s="38"/>
      <c r="EQ1930" s="38"/>
      <c r="ER1930" s="38"/>
      <c r="ES1930" s="38"/>
      <c r="ET1930" s="38"/>
      <c r="EU1930" s="38"/>
      <c r="EV1930" s="38"/>
      <c r="EW1930" s="38"/>
      <c r="EX1930" s="38"/>
      <c r="EY1930" s="38"/>
      <c r="EZ1930" s="38"/>
      <c r="FA1930" s="38"/>
      <c r="FB1930" s="38"/>
      <c r="FC1930" s="38"/>
      <c r="FD1930" s="38"/>
      <c r="FE1930" s="38"/>
      <c r="FF1930" s="38"/>
      <c r="FG1930" s="38"/>
      <c r="FH1930" s="38"/>
      <c r="FI1930" s="38"/>
      <c r="FJ1930" s="38"/>
      <c r="FK1930" s="38"/>
      <c r="FL1930" s="38"/>
      <c r="FM1930" s="38"/>
      <c r="FN1930" s="38"/>
      <c r="FO1930" s="38"/>
      <c r="FP1930" s="38"/>
      <c r="FQ1930" s="38"/>
      <c r="FR1930" s="38"/>
      <c r="FS1930" s="38"/>
      <c r="FT1930" s="38"/>
      <c r="FU1930" s="38"/>
      <c r="FV1930" s="38"/>
      <c r="FW1930" s="38"/>
      <c r="FX1930" s="38"/>
      <c r="FY1930" s="38"/>
      <c r="FZ1930" s="38"/>
      <c r="GA1930" s="38"/>
      <c r="GB1930" s="38"/>
      <c r="GC1930" s="38"/>
      <c r="GD1930" s="38"/>
      <c r="GE1930" s="38"/>
      <c r="GF1930" s="38"/>
      <c r="GG1930" s="38"/>
      <c r="GH1930" s="38"/>
      <c r="GI1930" s="38"/>
      <c r="GJ1930" s="38"/>
      <c r="GK1930" s="38"/>
      <c r="GL1930" s="38"/>
      <c r="GM1930" s="38"/>
      <c r="GN1930" s="38"/>
      <c r="GO1930" s="38"/>
      <c r="GP1930" s="38"/>
      <c r="GQ1930" s="38"/>
      <c r="GR1930" s="38"/>
      <c r="GS1930" s="38"/>
      <c r="GT1930" s="38"/>
      <c r="GU1930" s="38"/>
      <c r="GV1930" s="38"/>
      <c r="GW1930" s="38"/>
      <c r="GX1930" s="38"/>
      <c r="GY1930" s="38"/>
      <c r="GZ1930" s="38"/>
      <c r="HA1930" s="38"/>
      <c r="HB1930" s="38"/>
      <c r="HC1930" s="38"/>
      <c r="HD1930" s="38"/>
      <c r="HE1930" s="38"/>
      <c r="HF1930" s="38"/>
      <c r="HG1930" s="38"/>
      <c r="HH1930" s="38"/>
      <c r="HI1930" s="38"/>
      <c r="HJ1930" s="38"/>
      <c r="HK1930" s="38"/>
      <c r="HL1930" s="38"/>
      <c r="HM1930" s="38"/>
      <c r="HN1930" s="38"/>
      <c r="HO1930" s="38"/>
      <c r="HP1930" s="38"/>
      <c r="HQ1930" s="38"/>
      <c r="HR1930" s="38"/>
      <c r="HS1930" s="38"/>
      <c r="HT1930" s="38"/>
      <c r="HU1930" s="38"/>
      <c r="HV1930" s="38"/>
      <c r="HW1930" s="38"/>
      <c r="HX1930" s="38"/>
      <c r="HY1930" s="38"/>
      <c r="HZ1930" s="38"/>
      <c r="IA1930" s="38"/>
      <c r="IB1930" s="38"/>
      <c r="IC1930" s="38"/>
      <c r="ID1930" s="38"/>
      <c r="IE1930" s="38"/>
      <c r="IF1930" s="38"/>
      <c r="IG1930" s="38"/>
      <c r="IH1930" s="38"/>
      <c r="II1930" s="38"/>
      <c r="IJ1930" s="38"/>
      <c r="IK1930" s="38"/>
      <c r="IL1930" s="38"/>
      <c r="IM1930" s="38"/>
      <c r="IN1930" s="38"/>
      <c r="IO1930" s="38"/>
      <c r="IP1930" s="38"/>
      <c r="IQ1930" s="38"/>
      <c r="IR1930" s="38"/>
      <c r="IS1930" s="38"/>
      <c r="IT1930" s="38"/>
      <c r="IU1930" s="38"/>
      <c r="IV1930" s="38"/>
      <c r="IW1930" s="38"/>
      <c r="IX1930" s="38"/>
      <c r="IY1930" s="38"/>
      <c r="IZ1930" s="38"/>
      <c r="JA1930" s="38"/>
      <c r="JB1930" s="38"/>
      <c r="JC1930" s="38"/>
      <c r="JD1930" s="38"/>
      <c r="JE1930" s="38"/>
      <c r="JF1930" s="38"/>
      <c r="JG1930" s="38"/>
      <c r="JH1930" s="38"/>
      <c r="JI1930" s="38"/>
      <c r="JJ1930" s="38"/>
      <c r="JK1930" s="38"/>
      <c r="JL1930" s="38"/>
      <c r="JM1930" s="38"/>
      <c r="JN1930" s="38"/>
      <c r="JO1930" s="38"/>
      <c r="JP1930" s="38"/>
      <c r="JQ1930" s="38"/>
      <c r="JR1930" s="38"/>
      <c r="JS1930" s="38"/>
      <c r="JT1930" s="38"/>
      <c r="JU1930" s="38"/>
      <c r="JV1930" s="38"/>
      <c r="JW1930" s="38"/>
      <c r="JX1930" s="38"/>
      <c r="JY1930" s="38"/>
      <c r="JZ1930" s="38"/>
      <c r="KA1930" s="38"/>
      <c r="KB1930" s="38"/>
      <c r="KC1930" s="38"/>
      <c r="KD1930" s="38"/>
      <c r="KE1930" s="38"/>
      <c r="KF1930" s="38"/>
      <c r="KG1930" s="38"/>
      <c r="KH1930" s="38"/>
      <c r="KI1930" s="38"/>
      <c r="KJ1930" s="38"/>
      <c r="KK1930" s="38"/>
      <c r="KL1930" s="38"/>
      <c r="KM1930" s="38"/>
      <c r="KN1930" s="38"/>
      <c r="KO1930" s="38"/>
      <c r="KP1930" s="38"/>
      <c r="KQ1930" s="38"/>
      <c r="KR1930" s="38"/>
      <c r="KS1930" s="38"/>
      <c r="KT1930" s="38"/>
      <c r="KU1930" s="38"/>
      <c r="KV1930" s="38"/>
      <c r="KW1930" s="38"/>
      <c r="KX1930" s="38"/>
      <c r="KY1930" s="38"/>
      <c r="KZ1930" s="38"/>
      <c r="LA1930" s="38"/>
      <c r="LB1930" s="38"/>
      <c r="LC1930" s="38"/>
      <c r="LD1930" s="38"/>
      <c r="LE1930" s="38"/>
      <c r="LF1930" s="38"/>
      <c r="LG1930" s="38"/>
      <c r="LH1930" s="38"/>
      <c r="LI1930" s="38"/>
      <c r="LJ1930" s="38"/>
      <c r="LK1930" s="38"/>
      <c r="LL1930" s="38"/>
      <c r="LM1930" s="38"/>
      <c r="LN1930" s="38"/>
      <c r="LO1930" s="38"/>
      <c r="LP1930" s="38"/>
      <c r="LQ1930" s="38"/>
      <c r="LR1930" s="38"/>
      <c r="LS1930" s="38"/>
      <c r="LT1930" s="38"/>
      <c r="LU1930" s="38"/>
      <c r="LV1930" s="38"/>
      <c r="LW1930" s="38"/>
      <c r="LX1930" s="38"/>
      <c r="LY1930" s="38"/>
      <c r="LZ1930" s="38"/>
      <c r="MA1930" s="38"/>
      <c r="MB1930" s="38"/>
      <c r="MC1930" s="38"/>
      <c r="MD1930" s="38"/>
      <c r="ME1930" s="38"/>
      <c r="MF1930" s="38"/>
      <c r="MG1930" s="38"/>
      <c r="MH1930" s="38"/>
      <c r="MI1930" s="38"/>
      <c r="MJ1930" s="38"/>
      <c r="MK1930" s="38"/>
      <c r="ML1930" s="38"/>
      <c r="MM1930" s="38"/>
      <c r="MN1930" s="38"/>
      <c r="MO1930" s="38"/>
      <c r="MP1930" s="38"/>
      <c r="MQ1930" s="38"/>
      <c r="MR1930" s="38"/>
      <c r="MS1930" s="38"/>
      <c r="MT1930" s="38"/>
      <c r="MU1930" s="38"/>
      <c r="MV1930" s="38"/>
      <c r="MW1930" s="38"/>
      <c r="MX1930" s="38"/>
      <c r="MY1930" s="38"/>
      <c r="MZ1930" s="38"/>
      <c r="NA1930" s="38"/>
      <c r="NB1930" s="38"/>
      <c r="NC1930" s="38"/>
      <c r="ND1930" s="38"/>
      <c r="NE1930" s="38"/>
      <c r="NF1930" s="38"/>
      <c r="NG1930" s="38"/>
      <c r="NH1930" s="38"/>
      <c r="NI1930" s="38"/>
      <c r="NJ1930" s="38"/>
      <c r="NK1930" s="38"/>
      <c r="NL1930" s="38"/>
      <c r="NM1930" s="38"/>
      <c r="NN1930" s="38"/>
      <c r="NO1930" s="38"/>
      <c r="NP1930" s="38"/>
      <c r="NQ1930" s="38"/>
      <c r="NR1930" s="38"/>
      <c r="NS1930" s="38"/>
      <c r="NT1930" s="38"/>
      <c r="NU1930" s="38"/>
      <c r="NV1930" s="38"/>
      <c r="NW1930" s="38"/>
      <c r="NX1930" s="38"/>
      <c r="NY1930" s="38"/>
      <c r="NZ1930" s="38"/>
      <c r="OA1930" s="38"/>
      <c r="OB1930" s="38"/>
      <c r="OC1930" s="38"/>
      <c r="OD1930" s="38"/>
      <c r="OE1930" s="38"/>
      <c r="OF1930" s="38"/>
      <c r="OG1930" s="38"/>
      <c r="OH1930" s="38"/>
      <c r="OI1930" s="38"/>
      <c r="OJ1930" s="38"/>
      <c r="OK1930" s="38"/>
      <c r="OL1930" s="38"/>
      <c r="OM1930" s="38"/>
      <c r="ON1930" s="38"/>
      <c r="OO1930" s="38"/>
      <c r="OP1930" s="38"/>
      <c r="OQ1930" s="38"/>
      <c r="OR1930" s="38"/>
      <c r="OS1930" s="38"/>
      <c r="OT1930" s="38"/>
      <c r="OU1930" s="38"/>
      <c r="OV1930" s="38"/>
      <c r="OW1930" s="38"/>
      <c r="OX1930" s="38"/>
      <c r="OY1930" s="38"/>
      <c r="OZ1930" s="38"/>
      <c r="PA1930" s="38"/>
      <c r="PB1930" s="38"/>
      <c r="PC1930" s="38"/>
      <c r="PD1930" s="38"/>
      <c r="PE1930" s="38"/>
      <c r="PF1930" s="38"/>
      <c r="PG1930" s="38"/>
      <c r="PH1930" s="38"/>
      <c r="PI1930" s="38"/>
      <c r="PJ1930" s="38"/>
      <c r="PK1930" s="38"/>
      <c r="PL1930" s="38"/>
      <c r="PM1930" s="38"/>
      <c r="PN1930" s="38"/>
      <c r="PO1930" s="38"/>
      <c r="PP1930" s="38"/>
      <c r="PQ1930" s="38"/>
      <c r="PR1930" s="38"/>
      <c r="PS1930" s="38"/>
      <c r="PT1930" s="38"/>
      <c r="PU1930" s="38"/>
      <c r="PV1930" s="38"/>
      <c r="PW1930" s="38"/>
      <c r="PX1930" s="38"/>
      <c r="PY1930" s="38"/>
      <c r="PZ1930" s="38"/>
      <c r="QA1930" s="38"/>
      <c r="QB1930" s="38"/>
      <c r="QC1930" s="38"/>
      <c r="QD1930" s="38"/>
      <c r="QE1930" s="38"/>
      <c r="QF1930" s="38"/>
      <c r="QG1930" s="38"/>
      <c r="QH1930" s="38"/>
      <c r="QI1930" s="38"/>
      <c r="QJ1930" s="38"/>
      <c r="QK1930" s="38"/>
      <c r="QL1930" s="38"/>
      <c r="QM1930" s="38"/>
      <c r="QN1930" s="38"/>
      <c r="QO1930" s="38"/>
      <c r="QP1930" s="38"/>
      <c r="QQ1930" s="38"/>
      <c r="QR1930" s="38"/>
      <c r="QS1930" s="38"/>
      <c r="QT1930" s="38"/>
      <c r="QU1930" s="38"/>
      <c r="QV1930" s="38"/>
      <c r="QW1930" s="38"/>
      <c r="QX1930" s="38"/>
      <c r="QY1930" s="38"/>
      <c r="QZ1930" s="38"/>
      <c r="RA1930" s="38"/>
      <c r="RB1930" s="38"/>
      <c r="RC1930" s="38"/>
      <c r="RD1930" s="38"/>
      <c r="RE1930" s="38"/>
      <c r="RF1930" s="38"/>
      <c r="RG1930" s="38"/>
      <c r="RH1930" s="38"/>
      <c r="RI1930" s="38"/>
      <c r="RJ1930" s="38"/>
      <c r="RK1930" s="38"/>
      <c r="RL1930" s="38"/>
      <c r="RM1930" s="38"/>
      <c r="RN1930" s="38"/>
      <c r="RO1930" s="38"/>
      <c r="RP1930" s="38"/>
      <c r="RQ1930" s="38"/>
      <c r="RR1930" s="38"/>
      <c r="RS1930" s="38"/>
      <c r="RT1930" s="38"/>
      <c r="RU1930" s="38"/>
      <c r="RV1930" s="38"/>
      <c r="RW1930" s="38"/>
      <c r="RX1930" s="38"/>
      <c r="RY1930" s="38"/>
      <c r="RZ1930" s="38"/>
      <c r="SA1930" s="38"/>
      <c r="SB1930" s="38"/>
      <c r="SC1930" s="38"/>
      <c r="SD1930" s="38"/>
      <c r="SE1930" s="38"/>
      <c r="SF1930" s="38"/>
      <c r="SG1930" s="38"/>
      <c r="SH1930" s="38"/>
      <c r="SI1930" s="38"/>
      <c r="SJ1930" s="38"/>
      <c r="SK1930" s="38"/>
      <c r="SL1930" s="38"/>
      <c r="SM1930" s="38"/>
      <c r="SN1930" s="38"/>
      <c r="SO1930" s="38"/>
      <c r="SP1930" s="38"/>
      <c r="SQ1930" s="38"/>
      <c r="SR1930" s="38"/>
      <c r="SS1930" s="38"/>
      <c r="ST1930" s="38"/>
      <c r="SU1930" s="38"/>
      <c r="SV1930" s="38"/>
      <c r="SW1930" s="38"/>
      <c r="SX1930" s="38"/>
      <c r="SY1930" s="38"/>
      <c r="SZ1930" s="38"/>
      <c r="TA1930" s="38"/>
      <c r="TB1930" s="38"/>
      <c r="TC1930" s="38"/>
      <c r="TD1930" s="38"/>
      <c r="TE1930" s="38"/>
      <c r="TF1930" s="38"/>
      <c r="TG1930" s="38"/>
      <c r="TH1930" s="38"/>
      <c r="TI1930" s="38"/>
      <c r="TJ1930" s="38"/>
      <c r="TK1930" s="38"/>
      <c r="TL1930" s="38"/>
      <c r="TM1930" s="38"/>
      <c r="TN1930" s="38"/>
      <c r="TO1930" s="38"/>
      <c r="TP1930" s="38"/>
      <c r="TQ1930" s="38"/>
      <c r="TR1930" s="38"/>
      <c r="TS1930" s="38"/>
      <c r="TT1930" s="38"/>
      <c r="TU1930" s="38"/>
      <c r="TV1930" s="38"/>
      <c r="TW1930" s="38"/>
      <c r="TX1930" s="38"/>
      <c r="TY1930" s="38"/>
      <c r="TZ1930" s="38"/>
      <c r="UA1930" s="38"/>
      <c r="UB1930" s="38"/>
      <c r="UC1930" s="38"/>
      <c r="UD1930" s="38"/>
      <c r="UE1930" s="38"/>
      <c r="UF1930" s="38"/>
      <c r="UG1930" s="38"/>
      <c r="UH1930" s="38"/>
      <c r="UI1930" s="38"/>
      <c r="UJ1930" s="38"/>
      <c r="UK1930" s="38"/>
      <c r="UL1930" s="38"/>
      <c r="UM1930" s="38"/>
      <c r="UN1930" s="38"/>
      <c r="UO1930" s="38"/>
      <c r="UP1930" s="38"/>
      <c r="UQ1930" s="38"/>
      <c r="UR1930" s="38"/>
      <c r="US1930" s="38"/>
      <c r="UT1930" s="38"/>
      <c r="UU1930" s="38"/>
      <c r="UV1930" s="38"/>
      <c r="UW1930" s="38"/>
      <c r="UX1930" s="38"/>
      <c r="UY1930" s="38"/>
      <c r="UZ1930" s="38"/>
      <c r="VA1930" s="38"/>
      <c r="VB1930" s="38"/>
      <c r="VC1930" s="38"/>
      <c r="VD1930" s="38"/>
      <c r="VE1930" s="38"/>
      <c r="VF1930" s="38"/>
      <c r="VG1930" s="38"/>
      <c r="VH1930" s="38"/>
      <c r="VI1930" s="38"/>
      <c r="VJ1930" s="38"/>
      <c r="VK1930" s="38"/>
      <c r="VL1930" s="38"/>
      <c r="VM1930" s="38"/>
      <c r="VN1930" s="38"/>
      <c r="VO1930" s="38"/>
      <c r="VP1930" s="38"/>
      <c r="VQ1930" s="38"/>
      <c r="VR1930" s="38"/>
      <c r="VS1930" s="38"/>
      <c r="VT1930" s="38"/>
      <c r="VU1930" s="38"/>
      <c r="VV1930" s="38"/>
      <c r="VW1930" s="38"/>
      <c r="VX1930" s="38"/>
      <c r="VY1930" s="38"/>
      <c r="VZ1930" s="38"/>
      <c r="WA1930" s="38"/>
      <c r="WB1930" s="38"/>
      <c r="WC1930" s="38"/>
      <c r="WD1930" s="38"/>
      <c r="WE1930" s="38"/>
      <c r="WF1930" s="38"/>
      <c r="WG1930" s="38"/>
      <c r="WH1930" s="38"/>
      <c r="WI1930" s="38"/>
      <c r="WJ1930" s="38"/>
      <c r="WK1930" s="38"/>
      <c r="WL1930" s="38"/>
      <c r="WM1930" s="38"/>
      <c r="WN1930" s="38"/>
      <c r="WO1930" s="38"/>
      <c r="WP1930" s="38"/>
      <c r="WQ1930" s="38"/>
      <c r="WR1930" s="38"/>
      <c r="WS1930" s="38"/>
      <c r="WT1930" s="38"/>
      <c r="WU1930" s="38"/>
      <c r="WV1930" s="38"/>
      <c r="WW1930" s="38"/>
      <c r="WX1930" s="38"/>
      <c r="WY1930" s="38"/>
      <c r="WZ1930" s="38"/>
      <c r="XA1930" s="38"/>
      <c r="XB1930" s="38"/>
      <c r="XC1930" s="38"/>
      <c r="XD1930" s="38"/>
      <c r="XE1930" s="38"/>
      <c r="XF1930" s="38"/>
      <c r="XG1930" s="38"/>
      <c r="XH1930" s="38"/>
      <c r="XI1930" s="38"/>
      <c r="XJ1930" s="38"/>
      <c r="XK1930" s="38"/>
      <c r="XL1930" s="38"/>
      <c r="XM1930" s="38"/>
      <c r="XN1930" s="38"/>
      <c r="XO1930" s="38"/>
      <c r="XP1930" s="38"/>
      <c r="XQ1930" s="38"/>
      <c r="XR1930" s="38"/>
      <c r="XS1930" s="38"/>
      <c r="XT1930" s="38"/>
      <c r="XU1930" s="38"/>
      <c r="XV1930" s="38"/>
      <c r="XW1930" s="38"/>
      <c r="XX1930" s="38"/>
      <c r="XY1930" s="38"/>
      <c r="XZ1930" s="38"/>
      <c r="YA1930" s="38"/>
      <c r="YB1930" s="38"/>
      <c r="YC1930" s="38"/>
      <c r="YD1930" s="38"/>
      <c r="YE1930" s="38"/>
      <c r="YF1930" s="38"/>
      <c r="YG1930" s="38"/>
      <c r="YH1930" s="38"/>
      <c r="YI1930" s="38"/>
      <c r="YJ1930" s="38"/>
      <c r="YK1930" s="38"/>
      <c r="YL1930" s="38"/>
      <c r="YM1930" s="38"/>
      <c r="YN1930" s="38"/>
      <c r="YO1930" s="38"/>
      <c r="YP1930" s="38"/>
      <c r="YQ1930" s="38"/>
      <c r="YR1930" s="38"/>
      <c r="YS1930" s="38"/>
      <c r="YT1930" s="38"/>
      <c r="YU1930" s="38"/>
      <c r="YV1930" s="38"/>
      <c r="YW1930" s="38"/>
      <c r="YX1930" s="38"/>
      <c r="YY1930" s="38"/>
      <c r="YZ1930" s="38"/>
      <c r="ZA1930" s="38"/>
      <c r="ZB1930" s="38"/>
      <c r="ZC1930" s="38"/>
      <c r="ZD1930" s="38"/>
      <c r="ZE1930" s="38"/>
      <c r="ZF1930" s="38"/>
      <c r="ZG1930" s="38"/>
      <c r="ZH1930" s="38"/>
      <c r="ZI1930" s="38"/>
      <c r="ZJ1930" s="38"/>
      <c r="ZK1930" s="38"/>
      <c r="ZL1930" s="38"/>
      <c r="ZM1930" s="38"/>
      <c r="ZN1930" s="38"/>
      <c r="ZO1930" s="38"/>
      <c r="ZP1930" s="38"/>
      <c r="ZQ1930" s="38"/>
      <c r="ZR1930" s="38"/>
      <c r="ZS1930" s="38"/>
      <c r="ZT1930" s="38"/>
      <c r="ZU1930" s="38"/>
      <c r="ZV1930" s="38"/>
      <c r="ZW1930" s="38"/>
      <c r="ZX1930" s="38"/>
      <c r="ZY1930" s="38"/>
      <c r="ZZ1930" s="38"/>
      <c r="AAA1930" s="38"/>
      <c r="AAB1930" s="38"/>
      <c r="AAC1930" s="38"/>
      <c r="AAD1930" s="38"/>
      <c r="AAE1930" s="38"/>
      <c r="AAF1930" s="38"/>
      <c r="AAG1930" s="38"/>
      <c r="AAH1930" s="38"/>
      <c r="AAI1930" s="38"/>
      <c r="AAJ1930" s="38"/>
      <c r="AAK1930" s="38"/>
      <c r="AAL1930" s="38"/>
      <c r="AAM1930" s="38"/>
      <c r="AAN1930" s="38"/>
      <c r="AAO1930" s="38"/>
      <c r="AAP1930" s="38"/>
      <c r="AAQ1930" s="38"/>
      <c r="AAR1930" s="38"/>
      <c r="AAS1930" s="38"/>
      <c r="AAT1930" s="38"/>
      <c r="AAU1930" s="38"/>
      <c r="AAV1930" s="38"/>
      <c r="AAW1930" s="38"/>
      <c r="AAX1930" s="38"/>
      <c r="AAY1930" s="38"/>
      <c r="AAZ1930" s="38"/>
      <c r="ABA1930" s="38"/>
      <c r="ABB1930" s="38"/>
      <c r="ABC1930" s="38"/>
      <c r="ABD1930" s="38"/>
      <c r="ABE1930" s="38"/>
      <c r="ABF1930" s="38"/>
      <c r="ABG1930" s="38"/>
      <c r="ABH1930" s="38"/>
      <c r="ABI1930" s="38"/>
      <c r="ABJ1930" s="38"/>
      <c r="ABK1930" s="38"/>
      <c r="ABL1930" s="38"/>
      <c r="ABM1930" s="38"/>
      <c r="ABN1930" s="38"/>
      <c r="ABO1930" s="38"/>
      <c r="ABP1930" s="38"/>
      <c r="ABQ1930" s="38"/>
      <c r="ABR1930" s="38"/>
      <c r="ABS1930" s="38"/>
      <c r="ABT1930" s="38"/>
      <c r="ABU1930" s="38"/>
      <c r="ABV1930" s="38"/>
      <c r="ABW1930" s="38"/>
      <c r="ABX1930" s="38"/>
      <c r="ABY1930" s="38"/>
      <c r="ABZ1930" s="38"/>
      <c r="ACA1930" s="38"/>
      <c r="ACB1930" s="38"/>
      <c r="ACC1930" s="38"/>
      <c r="ACD1930" s="38"/>
      <c r="ACE1930" s="38"/>
      <c r="ACF1930" s="38"/>
      <c r="ACG1930" s="38"/>
      <c r="ACH1930" s="38"/>
      <c r="ACI1930" s="38"/>
      <c r="ACJ1930" s="38"/>
      <c r="ACK1930" s="38"/>
      <c r="ACL1930" s="38"/>
      <c r="ACM1930" s="38"/>
      <c r="ACN1930" s="38"/>
      <c r="ACO1930" s="38"/>
      <c r="ACP1930" s="38"/>
      <c r="ACQ1930" s="38"/>
      <c r="ACR1930" s="38"/>
      <c r="ACS1930" s="38"/>
      <c r="ACT1930" s="38"/>
      <c r="ACU1930" s="38"/>
      <c r="ACV1930" s="38"/>
      <c r="ACW1930" s="38"/>
      <c r="ACX1930" s="38"/>
      <c r="ACY1930" s="38"/>
      <c r="ACZ1930" s="38"/>
      <c r="ADA1930" s="38"/>
      <c r="ADB1930" s="38"/>
      <c r="ADC1930" s="38"/>
      <c r="ADD1930" s="38"/>
      <c r="ADE1930" s="38"/>
      <c r="ADF1930" s="38"/>
      <c r="ADG1930" s="38"/>
      <c r="ADH1930" s="38"/>
      <c r="ADI1930" s="38"/>
      <c r="ADJ1930" s="38"/>
      <c r="ADK1930" s="38"/>
      <c r="ADL1930" s="38"/>
      <c r="ADM1930" s="38"/>
      <c r="ADN1930" s="38"/>
      <c r="ADO1930" s="38"/>
      <c r="ADP1930" s="38"/>
      <c r="ADQ1930" s="38"/>
      <c r="ADR1930" s="38"/>
      <c r="ADS1930" s="38"/>
      <c r="ADT1930" s="38"/>
      <c r="ADU1930" s="38"/>
      <c r="ADV1930" s="38"/>
      <c r="ADW1930" s="38"/>
      <c r="ADX1930" s="38"/>
      <c r="ADY1930" s="38"/>
      <c r="ADZ1930" s="38"/>
      <c r="AEA1930" s="38"/>
      <c r="AEB1930" s="38"/>
      <c r="AEC1930" s="38"/>
      <c r="AED1930" s="38"/>
      <c r="AEE1930" s="38"/>
      <c r="AEF1930" s="38"/>
      <c r="AEG1930" s="38"/>
      <c r="AEH1930" s="38"/>
      <c r="AEI1930" s="38"/>
      <c r="AEJ1930" s="38"/>
      <c r="AEK1930" s="38"/>
      <c r="AEL1930" s="38"/>
      <c r="AEM1930" s="38"/>
      <c r="AEN1930" s="38"/>
      <c r="AEO1930" s="38"/>
      <c r="AEP1930" s="38"/>
      <c r="AEQ1930" s="38"/>
      <c r="AER1930" s="38"/>
      <c r="AES1930" s="38"/>
      <c r="AET1930" s="38"/>
      <c r="AEU1930" s="38"/>
      <c r="AEV1930" s="38"/>
      <c r="AEW1930" s="38"/>
      <c r="AEX1930" s="38"/>
      <c r="AEY1930" s="38"/>
      <c r="AEZ1930" s="38"/>
      <c r="AFA1930" s="38"/>
      <c r="AFB1930" s="38"/>
      <c r="AFC1930" s="38"/>
      <c r="AFD1930" s="38"/>
      <c r="AFE1930" s="38"/>
      <c r="AFF1930" s="38"/>
      <c r="AFG1930" s="38"/>
      <c r="AFH1930" s="38"/>
      <c r="AFI1930" s="38"/>
      <c r="AFJ1930" s="38"/>
      <c r="AFK1930" s="38"/>
      <c r="AFL1930" s="38"/>
      <c r="AFM1930" s="38"/>
      <c r="AFN1930" s="38"/>
      <c r="AFO1930" s="38"/>
      <c r="AFP1930" s="38"/>
      <c r="AFQ1930" s="38"/>
      <c r="AFR1930" s="38"/>
      <c r="AFS1930" s="38"/>
      <c r="AFT1930" s="38"/>
      <c r="AFU1930" s="38"/>
      <c r="AFV1930" s="38"/>
      <c r="AFW1930" s="38"/>
      <c r="AFX1930" s="38"/>
      <c r="AFY1930" s="38"/>
      <c r="AFZ1930" s="38"/>
      <c r="AGA1930" s="38"/>
      <c r="AGB1930" s="38"/>
      <c r="AGC1930" s="38"/>
      <c r="AGD1930" s="38"/>
      <c r="AGE1930" s="38"/>
      <c r="AGF1930" s="38"/>
      <c r="AGG1930" s="38"/>
      <c r="AGH1930" s="38"/>
      <c r="AGI1930" s="38"/>
      <c r="AGJ1930" s="38"/>
      <c r="AGK1930" s="38"/>
      <c r="AGL1930" s="38"/>
      <c r="AGM1930" s="38"/>
      <c r="AGN1930" s="38"/>
      <c r="AGO1930" s="38"/>
      <c r="AGP1930" s="38"/>
      <c r="AGQ1930" s="38"/>
      <c r="AGR1930" s="38"/>
      <c r="AGS1930" s="38"/>
      <c r="AGT1930" s="38"/>
      <c r="AGU1930" s="38"/>
      <c r="AGV1930" s="38"/>
      <c r="AGW1930" s="38"/>
      <c r="AGX1930" s="38"/>
      <c r="AGY1930" s="38"/>
      <c r="AGZ1930" s="38"/>
      <c r="AHA1930" s="38"/>
      <c r="AHB1930" s="38"/>
      <c r="AHC1930" s="38"/>
      <c r="AHD1930" s="38"/>
      <c r="AHE1930" s="38"/>
      <c r="AHF1930" s="38"/>
      <c r="AHG1930" s="38"/>
      <c r="AHH1930" s="38"/>
      <c r="AHI1930" s="38"/>
      <c r="AHJ1930" s="38"/>
      <c r="AHK1930" s="38"/>
      <c r="AHL1930" s="38"/>
      <c r="AHM1930" s="38"/>
      <c r="AHN1930" s="38"/>
      <c r="AHO1930" s="38"/>
      <c r="AHP1930" s="38"/>
      <c r="AHQ1930" s="38"/>
      <c r="AHR1930" s="38"/>
      <c r="AHS1930" s="38"/>
      <c r="AHT1930" s="38"/>
      <c r="AHU1930" s="38"/>
      <c r="AHV1930" s="38"/>
      <c r="AHW1930" s="38"/>
      <c r="AHX1930" s="38"/>
      <c r="AHY1930" s="38"/>
      <c r="AHZ1930" s="38"/>
      <c r="AIA1930" s="38"/>
      <c r="AIB1930" s="38"/>
      <c r="AIC1930" s="38"/>
      <c r="AID1930" s="38"/>
      <c r="AIE1930" s="38"/>
      <c r="AIF1930" s="38"/>
      <c r="AIG1930" s="38"/>
      <c r="AIH1930" s="38"/>
      <c r="AII1930" s="38"/>
      <c r="AIJ1930" s="38"/>
      <c r="AIK1930" s="38"/>
      <c r="AIL1930" s="38"/>
      <c r="AIM1930" s="38"/>
      <c r="AIN1930" s="38"/>
      <c r="AIO1930" s="38"/>
      <c r="AIP1930" s="38"/>
      <c r="AIQ1930" s="38"/>
      <c r="AIR1930" s="38"/>
      <c r="AIS1930" s="38"/>
      <c r="AIT1930" s="38"/>
      <c r="AIU1930" s="38"/>
      <c r="AIV1930" s="38"/>
      <c r="AIW1930" s="38"/>
      <c r="AIX1930" s="38"/>
      <c r="AIY1930" s="38"/>
      <c r="AIZ1930" s="38"/>
      <c r="AJA1930" s="38"/>
      <c r="AJB1930" s="38"/>
      <c r="AJC1930" s="38"/>
      <c r="AJD1930" s="38"/>
      <c r="AJE1930" s="38"/>
      <c r="AJF1930" s="38"/>
      <c r="AJG1930" s="38"/>
      <c r="AJH1930" s="38"/>
      <c r="AJI1930" s="38"/>
      <c r="AJJ1930" s="38"/>
      <c r="AJK1930" s="38"/>
      <c r="AJL1930" s="38"/>
      <c r="AJM1930" s="38"/>
      <c r="AJN1930" s="38"/>
      <c r="AJO1930" s="38"/>
      <c r="AJP1930" s="38"/>
      <c r="AJQ1930" s="38"/>
      <c r="AJR1930" s="38"/>
      <c r="AJS1930" s="38"/>
      <c r="AJT1930" s="38"/>
      <c r="AJU1930" s="38"/>
      <c r="AJV1930" s="38"/>
      <c r="AJW1930" s="38"/>
      <c r="AJX1930" s="38"/>
      <c r="AJY1930" s="38"/>
      <c r="AJZ1930" s="38"/>
      <c r="AKA1930" s="38"/>
      <c r="AKB1930" s="38"/>
      <c r="AKC1930" s="38"/>
      <c r="AKD1930" s="38"/>
      <c r="AKE1930" s="38"/>
      <c r="AKF1930" s="38"/>
      <c r="AKG1930" s="38"/>
      <c r="AKH1930" s="38"/>
      <c r="AKI1930" s="38"/>
      <c r="AKJ1930" s="38"/>
      <c r="AKK1930" s="38"/>
      <c r="AKL1930" s="38"/>
      <c r="AKM1930" s="38"/>
      <c r="AKN1930" s="38"/>
      <c r="AKO1930" s="38"/>
      <c r="AKP1930" s="38"/>
      <c r="AKQ1930" s="38"/>
      <c r="AKR1930" s="38"/>
      <c r="AKS1930" s="38"/>
      <c r="AKT1930" s="38"/>
      <c r="AKU1930" s="38"/>
      <c r="AKV1930" s="38"/>
      <c r="AKW1930" s="38"/>
      <c r="AKX1930" s="38"/>
      <c r="AKY1930" s="38"/>
      <c r="AKZ1930" s="38"/>
      <c r="ALA1930" s="38"/>
      <c r="ALB1930" s="38"/>
      <c r="ALC1930" s="38"/>
      <c r="ALD1930" s="38"/>
      <c r="ALE1930" s="38"/>
      <c r="ALF1930" s="38"/>
      <c r="ALG1930" s="38"/>
      <c r="ALH1930" s="38"/>
      <c r="ALI1930" s="38"/>
      <c r="ALJ1930" s="38"/>
      <c r="ALK1930" s="38"/>
      <c r="ALL1930" s="38"/>
      <c r="ALM1930" s="38"/>
      <c r="ALN1930" s="38"/>
      <c r="ALO1930" s="38"/>
      <c r="ALP1930" s="38"/>
      <c r="ALQ1930" s="38"/>
      <c r="ALR1930" s="38"/>
      <c r="ALS1930" s="38"/>
      <c r="ALT1930" s="38"/>
      <c r="ALU1930" s="38"/>
      <c r="ALV1930" s="38"/>
      <c r="ALW1930" s="38"/>
      <c r="ALX1930" s="38"/>
      <c r="ALY1930" s="38"/>
      <c r="ALZ1930" s="38"/>
      <c r="AMA1930" s="38"/>
      <c r="AMB1930" s="38"/>
      <c r="AMC1930" s="38"/>
      <c r="AMD1930" s="38"/>
      <c r="AME1930" s="38"/>
      <c r="AMF1930" s="38"/>
      <c r="AMG1930" s="38"/>
      <c r="AMH1930" s="38"/>
      <c r="AMI1930" s="38"/>
      <c r="AMJ1930" s="38"/>
      <c r="AMK1930" s="38"/>
      <c r="AML1930" s="38"/>
      <c r="AMM1930" s="38"/>
      <c r="AMN1930" s="38"/>
      <c r="AMO1930" s="38"/>
      <c r="AMP1930" s="38"/>
      <c r="AMQ1930" s="38"/>
      <c r="AMR1930" s="38"/>
      <c r="AMS1930" s="38"/>
      <c r="AMT1930" s="38"/>
      <c r="AMU1930" s="38"/>
      <c r="AMV1930" s="38"/>
      <c r="AMW1930" s="38"/>
      <c r="AMX1930" s="38"/>
      <c r="AMY1930" s="38"/>
      <c r="AMZ1930" s="38"/>
      <c r="ANA1930" s="38"/>
      <c r="ANB1930" s="38"/>
      <c r="ANC1930" s="38"/>
      <c r="AND1930" s="38"/>
      <c r="ANE1930" s="38"/>
      <c r="ANF1930" s="38"/>
      <c r="ANG1930" s="38"/>
      <c r="ANH1930" s="38"/>
      <c r="ANI1930" s="38"/>
      <c r="ANJ1930" s="38"/>
      <c r="ANK1930" s="38"/>
      <c r="ANL1930" s="38"/>
      <c r="ANM1930" s="38"/>
      <c r="ANN1930" s="38"/>
      <c r="ANO1930" s="38"/>
      <c r="ANP1930" s="38"/>
      <c r="ANQ1930" s="38"/>
      <c r="ANR1930" s="38"/>
      <c r="ANS1930" s="38"/>
      <c r="ANT1930" s="38"/>
      <c r="ANU1930" s="38"/>
      <c r="ANV1930" s="38"/>
      <c r="ANW1930" s="38"/>
      <c r="ANX1930" s="38"/>
      <c r="ANY1930" s="38"/>
      <c r="ANZ1930" s="38"/>
      <c r="AOA1930" s="38"/>
      <c r="AOB1930" s="38"/>
      <c r="AOC1930" s="38"/>
      <c r="AOD1930" s="38"/>
      <c r="AOE1930" s="38"/>
      <c r="AOF1930" s="38"/>
      <c r="AOG1930" s="38"/>
      <c r="AOH1930" s="38"/>
      <c r="AOI1930" s="38"/>
      <c r="AOJ1930" s="38"/>
      <c r="AOK1930" s="38"/>
      <c r="AOL1930" s="38"/>
      <c r="AOM1930" s="38"/>
      <c r="AON1930" s="38"/>
      <c r="AOO1930" s="38"/>
      <c r="AOP1930" s="38"/>
      <c r="AOQ1930" s="38"/>
      <c r="AOR1930" s="38"/>
      <c r="AOS1930" s="38"/>
      <c r="AOT1930" s="38"/>
      <c r="AOU1930" s="38"/>
      <c r="AOV1930" s="38"/>
      <c r="AOW1930" s="38"/>
      <c r="AOX1930" s="38"/>
      <c r="AOY1930" s="38"/>
      <c r="AOZ1930" s="38"/>
      <c r="APA1930" s="38"/>
      <c r="APB1930" s="38"/>
      <c r="APC1930" s="38"/>
    </row>
    <row r="1931" spans="1:1095" s="36" customFormat="1" ht="14.25" customHeight="1">
      <c r="A1931" s="3" t="s">
        <v>1722</v>
      </c>
      <c r="B1931" s="36" t="s">
        <v>2198</v>
      </c>
      <c r="C1931" s="10">
        <v>4099854062964</v>
      </c>
      <c r="D1931" s="224">
        <v>4058075758469</v>
      </c>
      <c r="E1931" s="245" t="s">
        <v>2199</v>
      </c>
      <c r="F1931" s="246"/>
      <c r="G1931" s="66" t="str">
        <f>HYPERLINK("https://ledvance.com/pt/product-datasheet/251561/237364","Ficha de Produto")</f>
        <v>Ficha de Produto</v>
      </c>
      <c r="H1931" s="217">
        <v>10</v>
      </c>
      <c r="I1931" s="34" t="s">
        <v>6354</v>
      </c>
      <c r="J1931" s="34" t="s">
        <v>6364</v>
      </c>
      <c r="K1931" s="34" t="s">
        <v>788</v>
      </c>
      <c r="L1931" s="34" t="s">
        <v>765</v>
      </c>
      <c r="M1931" s="247">
        <v>8.4</v>
      </c>
      <c r="N1931" s="288" t="s">
        <v>722</v>
      </c>
    </row>
    <row r="1932" spans="1:1095" s="36" customFormat="1" ht="14.25" customHeight="1">
      <c r="A1932" s="3" t="s">
        <v>1722</v>
      </c>
      <c r="B1932" s="36" t="s">
        <v>2200</v>
      </c>
      <c r="C1932" s="10">
        <v>4099854063008</v>
      </c>
      <c r="D1932" s="224">
        <v>4058075758544</v>
      </c>
      <c r="E1932" s="245" t="s">
        <v>2201</v>
      </c>
      <c r="F1932" s="246"/>
      <c r="G1932" s="66" t="str">
        <f>HYPERLINK("https://ledvance.com/pt/product-datasheet/251561/237370","Ficha de Produto")</f>
        <v>Ficha de Produto</v>
      </c>
      <c r="H1932" s="217">
        <v>10</v>
      </c>
      <c r="I1932" s="34" t="s">
        <v>6354</v>
      </c>
      <c r="J1932" s="34" t="s">
        <v>6364</v>
      </c>
      <c r="K1932" s="34" t="s">
        <v>788</v>
      </c>
      <c r="L1932" s="34" t="s">
        <v>765</v>
      </c>
      <c r="M1932" s="247">
        <v>8.4</v>
      </c>
      <c r="N1932" s="288" t="s">
        <v>722</v>
      </c>
    </row>
    <row r="1933" spans="1:1095" s="36" customFormat="1" ht="14.25" customHeight="1">
      <c r="A1933" s="3" t="s">
        <v>1722</v>
      </c>
      <c r="B1933" s="36" t="s">
        <v>2202</v>
      </c>
      <c r="C1933" s="10">
        <v>4099854063145</v>
      </c>
      <c r="D1933" s="224">
        <v>4058075758506</v>
      </c>
      <c r="E1933" s="245" t="s">
        <v>2203</v>
      </c>
      <c r="F1933" s="246"/>
      <c r="G1933" s="66" t="str">
        <f>HYPERLINK("https://ledvance.com/pt/product-datasheet/251561/237376","Ficha de Produto")</f>
        <v>Ficha de Produto</v>
      </c>
      <c r="H1933" s="217">
        <v>10</v>
      </c>
      <c r="I1933" s="34" t="s">
        <v>6354</v>
      </c>
      <c r="J1933" s="34" t="s">
        <v>6364</v>
      </c>
      <c r="K1933" s="34" t="s">
        <v>788</v>
      </c>
      <c r="L1933" s="34" t="s">
        <v>765</v>
      </c>
      <c r="M1933" s="247">
        <v>8.4</v>
      </c>
      <c r="N1933" s="288" t="s">
        <v>722</v>
      </c>
    </row>
    <row r="1934" spans="1:1095" s="36" customFormat="1" ht="14.25" customHeight="1">
      <c r="A1934" s="3" t="s">
        <v>1722</v>
      </c>
      <c r="B1934" s="36" t="s">
        <v>2204</v>
      </c>
      <c r="C1934" s="10">
        <v>4099854063206</v>
      </c>
      <c r="D1934" s="224">
        <v>4058075758582</v>
      </c>
      <c r="E1934" s="245" t="s">
        <v>2205</v>
      </c>
      <c r="F1934" s="246"/>
      <c r="G1934" s="66" t="str">
        <f>HYPERLINK("https://ledvance.com/pt/product-datasheet/251561/237382","Ficha de Produto")</f>
        <v>Ficha de Produto</v>
      </c>
      <c r="H1934" s="217">
        <v>10</v>
      </c>
      <c r="I1934" s="34" t="s">
        <v>6354</v>
      </c>
      <c r="J1934" s="34" t="s">
        <v>6364</v>
      </c>
      <c r="K1934" s="34" t="s">
        <v>788</v>
      </c>
      <c r="L1934" s="34" t="s">
        <v>765</v>
      </c>
      <c r="M1934" s="247">
        <v>8.4</v>
      </c>
      <c r="N1934" s="288" t="s">
        <v>722</v>
      </c>
    </row>
    <row r="1935" spans="1:1095" s="36" customFormat="1" ht="14.25" customHeight="1">
      <c r="A1935" s="3" t="s">
        <v>1722</v>
      </c>
      <c r="B1935" s="36" t="s">
        <v>2206</v>
      </c>
      <c r="C1935" s="10">
        <v>4099854063244</v>
      </c>
      <c r="D1935" s="224">
        <v>4058075758445</v>
      </c>
      <c r="E1935" s="245" t="s">
        <v>2207</v>
      </c>
      <c r="F1935" s="246"/>
      <c r="G1935" s="66" t="str">
        <f>HYPERLINK("https://ledvance.com/pt/product-datasheet/251561/237388","Ficha de Produto")</f>
        <v>Ficha de Produto</v>
      </c>
      <c r="H1935" s="217">
        <v>10</v>
      </c>
      <c r="I1935" s="34" t="s">
        <v>6354</v>
      </c>
      <c r="J1935" s="34" t="s">
        <v>6364</v>
      </c>
      <c r="K1935" s="34" t="s">
        <v>788</v>
      </c>
      <c r="L1935" s="34" t="s">
        <v>765</v>
      </c>
      <c r="M1935" s="247">
        <v>8.4</v>
      </c>
      <c r="N1935" s="288" t="s">
        <v>722</v>
      </c>
    </row>
    <row r="1936" spans="1:1095" s="36" customFormat="1" ht="14.25" customHeight="1">
      <c r="A1936" s="3" t="s">
        <v>1722</v>
      </c>
      <c r="B1936" s="36" t="s">
        <v>2208</v>
      </c>
      <c r="C1936" s="10">
        <v>4099854063329</v>
      </c>
      <c r="D1936" s="224">
        <v>4058075758520</v>
      </c>
      <c r="E1936" s="245" t="s">
        <v>2209</v>
      </c>
      <c r="F1936" s="246"/>
      <c r="G1936" s="66" t="str">
        <f>HYPERLINK("https://ledvance.com/pt/product-datasheet/251561/237394","Ficha de Produto")</f>
        <v>Ficha de Produto</v>
      </c>
      <c r="H1936" s="217">
        <v>10</v>
      </c>
      <c r="I1936" s="34" t="s">
        <v>6354</v>
      </c>
      <c r="J1936" s="34" t="s">
        <v>6364</v>
      </c>
      <c r="K1936" s="34" t="s">
        <v>788</v>
      </c>
      <c r="L1936" s="34" t="s">
        <v>765</v>
      </c>
      <c r="M1936" s="247">
        <v>8.4</v>
      </c>
      <c r="N1936" s="288" t="s">
        <v>722</v>
      </c>
    </row>
    <row r="1937" spans="1:1095" s="36" customFormat="1" ht="14.25" customHeight="1">
      <c r="A1937" s="3" t="s">
        <v>1722</v>
      </c>
      <c r="B1937" s="36" t="s">
        <v>2210</v>
      </c>
      <c r="C1937" s="10">
        <v>4099854063343</v>
      </c>
      <c r="D1937" s="224">
        <v>4058075758483</v>
      </c>
      <c r="E1937" s="245" t="s">
        <v>2211</v>
      </c>
      <c r="F1937" s="246"/>
      <c r="G1937" s="66" t="str">
        <f>HYPERLINK("https://ledvance.com/pt/product-datasheet/251561/237400","Ficha de Produto")</f>
        <v>Ficha de Produto</v>
      </c>
      <c r="H1937" s="217">
        <v>10</v>
      </c>
      <c r="I1937" s="34" t="s">
        <v>6354</v>
      </c>
      <c r="J1937" s="34" t="s">
        <v>6364</v>
      </c>
      <c r="K1937" s="34" t="s">
        <v>788</v>
      </c>
      <c r="L1937" s="34" t="s">
        <v>6506</v>
      </c>
      <c r="M1937" s="247">
        <v>8.4</v>
      </c>
      <c r="N1937" s="288" t="s">
        <v>722</v>
      </c>
    </row>
    <row r="1938" spans="1:1095" s="36" customFormat="1" ht="14.25" customHeight="1">
      <c r="A1938" s="3" t="s">
        <v>1722</v>
      </c>
      <c r="B1938" s="36" t="s">
        <v>2212</v>
      </c>
      <c r="C1938" s="10">
        <v>4099854063404</v>
      </c>
      <c r="D1938" s="224">
        <v>4058075758568</v>
      </c>
      <c r="E1938" s="245" t="s">
        <v>2213</v>
      </c>
      <c r="F1938" s="246"/>
      <c r="G1938" s="66" t="str">
        <f>HYPERLINK("https://ledvance.com/pt/product-datasheet/251561/237406","Ficha de Produto")</f>
        <v>Ficha de Produto</v>
      </c>
      <c r="H1938" s="217">
        <v>10</v>
      </c>
      <c r="I1938" s="34" t="s">
        <v>6354</v>
      </c>
      <c r="J1938" s="34" t="s">
        <v>6364</v>
      </c>
      <c r="K1938" s="34" t="s">
        <v>788</v>
      </c>
      <c r="L1938" s="34" t="s">
        <v>765</v>
      </c>
      <c r="M1938" s="247">
        <v>8.4</v>
      </c>
      <c r="N1938" s="288" t="s">
        <v>722</v>
      </c>
    </row>
    <row r="1939" spans="1:1095" s="39" customFormat="1" ht="14.25" customHeight="1">
      <c r="A1939" s="8" t="s">
        <v>1722</v>
      </c>
      <c r="B1939" s="244" t="s">
        <v>2214</v>
      </c>
      <c r="C1939" s="8"/>
      <c r="D1939" s="7"/>
      <c r="E1939" s="230"/>
      <c r="F1939" s="7"/>
      <c r="G1939" s="68"/>
      <c r="H1939" s="230"/>
      <c r="I1939" s="230"/>
      <c r="J1939" s="230"/>
      <c r="K1939" s="230"/>
      <c r="L1939" s="230"/>
      <c r="M1939" s="248"/>
      <c r="N1939" s="284"/>
      <c r="O1939" s="38"/>
      <c r="P1939" s="38"/>
      <c r="Q1939" s="38"/>
      <c r="R1939" s="38"/>
      <c r="S1939" s="38"/>
      <c r="T1939" s="38"/>
      <c r="U1939" s="38"/>
      <c r="V1939" s="38"/>
      <c r="W1939" s="38"/>
      <c r="X1939" s="38"/>
      <c r="Y1939" s="38"/>
      <c r="Z1939" s="38"/>
      <c r="AA1939" s="38"/>
      <c r="AB1939" s="38"/>
      <c r="AC1939" s="38"/>
      <c r="AD1939" s="38"/>
      <c r="AE1939" s="38"/>
      <c r="AF1939" s="38"/>
      <c r="AG1939" s="38"/>
      <c r="AH1939" s="38"/>
      <c r="AI1939" s="38"/>
      <c r="AJ1939" s="38"/>
      <c r="AK1939" s="38"/>
      <c r="AL1939" s="38"/>
      <c r="AM1939" s="38"/>
      <c r="AN1939" s="38"/>
      <c r="AO1939" s="38"/>
      <c r="AP1939" s="38"/>
      <c r="AQ1939" s="38"/>
      <c r="AR1939" s="38"/>
      <c r="AS1939" s="38"/>
      <c r="AT1939" s="38"/>
      <c r="AU1939" s="38"/>
      <c r="AV1939" s="38"/>
      <c r="AW1939" s="38"/>
      <c r="AX1939" s="38"/>
      <c r="AY1939" s="38"/>
      <c r="AZ1939" s="38"/>
      <c r="BA1939" s="38"/>
      <c r="BB1939" s="38"/>
      <c r="BC1939" s="38"/>
      <c r="BD1939" s="38"/>
      <c r="BE1939" s="38"/>
      <c r="BF1939" s="38"/>
      <c r="BG1939" s="38"/>
      <c r="BH1939" s="38"/>
      <c r="BI1939" s="38"/>
      <c r="BJ1939" s="38"/>
      <c r="BK1939" s="38"/>
      <c r="BL1939" s="38"/>
      <c r="BM1939" s="38"/>
      <c r="BN1939" s="38"/>
      <c r="BO1939" s="38"/>
      <c r="BP1939" s="38"/>
      <c r="BQ1939" s="38"/>
      <c r="BR1939" s="38"/>
      <c r="BS1939" s="38"/>
      <c r="BT1939" s="38"/>
      <c r="BU1939" s="38"/>
      <c r="BV1939" s="38"/>
      <c r="BW1939" s="38"/>
      <c r="BX1939" s="38"/>
      <c r="BY1939" s="38"/>
      <c r="BZ1939" s="38"/>
      <c r="CA1939" s="38"/>
      <c r="CB1939" s="38"/>
      <c r="CC1939" s="38"/>
      <c r="CD1939" s="38"/>
      <c r="CE1939" s="38"/>
      <c r="CF1939" s="38"/>
      <c r="CG1939" s="38"/>
      <c r="CH1939" s="38"/>
      <c r="CI1939" s="38"/>
      <c r="CJ1939" s="38"/>
      <c r="CK1939" s="38"/>
      <c r="CL1939" s="38"/>
      <c r="CM1939" s="38"/>
      <c r="CN1939" s="38"/>
      <c r="CO1939" s="38"/>
      <c r="CP1939" s="38"/>
      <c r="CQ1939" s="38"/>
      <c r="CR1939" s="38"/>
      <c r="CS1939" s="38"/>
      <c r="CT1939" s="38"/>
      <c r="CU1939" s="38"/>
      <c r="CV1939" s="38"/>
      <c r="CW1939" s="38"/>
      <c r="CX1939" s="38"/>
      <c r="CY1939" s="38"/>
      <c r="CZ1939" s="38"/>
      <c r="DA1939" s="38"/>
      <c r="DB1939" s="38"/>
      <c r="DC1939" s="38"/>
      <c r="DD1939" s="38"/>
      <c r="DE1939" s="38"/>
      <c r="DF1939" s="38"/>
      <c r="DG1939" s="38"/>
      <c r="DH1939" s="38"/>
      <c r="DI1939" s="38"/>
      <c r="DJ1939" s="38"/>
      <c r="DK1939" s="38"/>
      <c r="DL1939" s="38"/>
      <c r="DM1939" s="38"/>
      <c r="DN1939" s="38"/>
      <c r="DO1939" s="38"/>
      <c r="DP1939" s="38"/>
      <c r="DQ1939" s="38"/>
      <c r="DR1939" s="38"/>
      <c r="DS1939" s="38"/>
      <c r="DT1939" s="38"/>
      <c r="DU1939" s="38"/>
      <c r="DV1939" s="38"/>
      <c r="DW1939" s="38"/>
      <c r="DX1939" s="38"/>
      <c r="DY1939" s="38"/>
      <c r="DZ1939" s="38"/>
      <c r="EA1939" s="38"/>
      <c r="EB1939" s="38"/>
      <c r="EC1939" s="38"/>
      <c r="ED1939" s="38"/>
      <c r="EE1939" s="38"/>
      <c r="EF1939" s="38"/>
      <c r="EG1939" s="38"/>
      <c r="EH1939" s="38"/>
      <c r="EI1939" s="38"/>
      <c r="EJ1939" s="38"/>
      <c r="EK1939" s="38"/>
      <c r="EL1939" s="38"/>
      <c r="EM1939" s="38"/>
      <c r="EN1939" s="38"/>
      <c r="EO1939" s="38"/>
      <c r="EP1939" s="38"/>
      <c r="EQ1939" s="38"/>
      <c r="ER1939" s="38"/>
      <c r="ES1939" s="38"/>
      <c r="ET1939" s="38"/>
      <c r="EU1939" s="38"/>
      <c r="EV1939" s="38"/>
      <c r="EW1939" s="38"/>
      <c r="EX1939" s="38"/>
      <c r="EY1939" s="38"/>
      <c r="EZ1939" s="38"/>
      <c r="FA1939" s="38"/>
      <c r="FB1939" s="38"/>
      <c r="FC1939" s="38"/>
      <c r="FD1939" s="38"/>
      <c r="FE1939" s="38"/>
      <c r="FF1939" s="38"/>
      <c r="FG1939" s="38"/>
      <c r="FH1939" s="38"/>
      <c r="FI1939" s="38"/>
      <c r="FJ1939" s="38"/>
      <c r="FK1939" s="38"/>
      <c r="FL1939" s="38"/>
      <c r="FM1939" s="38"/>
      <c r="FN1939" s="38"/>
      <c r="FO1939" s="38"/>
      <c r="FP1939" s="38"/>
      <c r="FQ1939" s="38"/>
      <c r="FR1939" s="38"/>
      <c r="FS1939" s="38"/>
      <c r="FT1939" s="38"/>
      <c r="FU1939" s="38"/>
      <c r="FV1939" s="38"/>
      <c r="FW1939" s="38"/>
      <c r="FX1939" s="38"/>
      <c r="FY1939" s="38"/>
      <c r="FZ1939" s="38"/>
      <c r="GA1939" s="38"/>
      <c r="GB1939" s="38"/>
      <c r="GC1939" s="38"/>
      <c r="GD1939" s="38"/>
      <c r="GE1939" s="38"/>
      <c r="GF1939" s="38"/>
      <c r="GG1939" s="38"/>
      <c r="GH1939" s="38"/>
      <c r="GI1939" s="38"/>
      <c r="GJ1939" s="38"/>
      <c r="GK1939" s="38"/>
      <c r="GL1939" s="38"/>
      <c r="GM1939" s="38"/>
      <c r="GN1939" s="38"/>
      <c r="GO1939" s="38"/>
      <c r="GP1939" s="38"/>
      <c r="GQ1939" s="38"/>
      <c r="GR1939" s="38"/>
      <c r="GS1939" s="38"/>
      <c r="GT1939" s="38"/>
      <c r="GU1939" s="38"/>
      <c r="GV1939" s="38"/>
      <c r="GW1939" s="38"/>
      <c r="GX1939" s="38"/>
      <c r="GY1939" s="38"/>
      <c r="GZ1939" s="38"/>
      <c r="HA1939" s="38"/>
      <c r="HB1939" s="38"/>
      <c r="HC1939" s="38"/>
      <c r="HD1939" s="38"/>
      <c r="HE1939" s="38"/>
      <c r="HF1939" s="38"/>
      <c r="HG1939" s="38"/>
      <c r="HH1939" s="38"/>
      <c r="HI1939" s="38"/>
      <c r="HJ1939" s="38"/>
      <c r="HK1939" s="38"/>
      <c r="HL1939" s="38"/>
      <c r="HM1939" s="38"/>
      <c r="HN1939" s="38"/>
      <c r="HO1939" s="38"/>
      <c r="HP1939" s="38"/>
      <c r="HQ1939" s="38"/>
      <c r="HR1939" s="38"/>
      <c r="HS1939" s="38"/>
      <c r="HT1939" s="38"/>
      <c r="HU1939" s="38"/>
      <c r="HV1939" s="38"/>
      <c r="HW1939" s="38"/>
      <c r="HX1939" s="38"/>
      <c r="HY1939" s="38"/>
      <c r="HZ1939" s="38"/>
      <c r="IA1939" s="38"/>
      <c r="IB1939" s="38"/>
      <c r="IC1939" s="38"/>
      <c r="ID1939" s="38"/>
      <c r="IE1939" s="38"/>
      <c r="IF1939" s="38"/>
      <c r="IG1939" s="38"/>
      <c r="IH1939" s="38"/>
      <c r="II1939" s="38"/>
      <c r="IJ1939" s="38"/>
      <c r="IK1939" s="38"/>
      <c r="IL1939" s="38"/>
      <c r="IM1939" s="38"/>
      <c r="IN1939" s="38"/>
      <c r="IO1939" s="38"/>
      <c r="IP1939" s="38"/>
      <c r="IQ1939" s="38"/>
      <c r="IR1939" s="38"/>
      <c r="IS1939" s="38"/>
      <c r="IT1939" s="38"/>
      <c r="IU1939" s="38"/>
      <c r="IV1939" s="38"/>
      <c r="IW1939" s="38"/>
      <c r="IX1939" s="38"/>
      <c r="IY1939" s="38"/>
      <c r="IZ1939" s="38"/>
      <c r="JA1939" s="38"/>
      <c r="JB1939" s="38"/>
      <c r="JC1939" s="38"/>
      <c r="JD1939" s="38"/>
      <c r="JE1939" s="38"/>
      <c r="JF1939" s="38"/>
      <c r="JG1939" s="38"/>
      <c r="JH1939" s="38"/>
      <c r="JI1939" s="38"/>
      <c r="JJ1939" s="38"/>
      <c r="JK1939" s="38"/>
      <c r="JL1939" s="38"/>
      <c r="JM1939" s="38"/>
      <c r="JN1939" s="38"/>
      <c r="JO1939" s="38"/>
      <c r="JP1939" s="38"/>
      <c r="JQ1939" s="38"/>
      <c r="JR1939" s="38"/>
      <c r="JS1939" s="38"/>
      <c r="JT1939" s="38"/>
      <c r="JU1939" s="38"/>
      <c r="JV1939" s="38"/>
      <c r="JW1939" s="38"/>
      <c r="JX1939" s="38"/>
      <c r="JY1939" s="38"/>
      <c r="JZ1939" s="38"/>
      <c r="KA1939" s="38"/>
      <c r="KB1939" s="38"/>
      <c r="KC1939" s="38"/>
      <c r="KD1939" s="38"/>
      <c r="KE1939" s="38"/>
      <c r="KF1939" s="38"/>
      <c r="KG1939" s="38"/>
      <c r="KH1939" s="38"/>
      <c r="KI1939" s="38"/>
      <c r="KJ1939" s="38"/>
      <c r="KK1939" s="38"/>
      <c r="KL1939" s="38"/>
      <c r="KM1939" s="38"/>
      <c r="KN1939" s="38"/>
      <c r="KO1939" s="38"/>
      <c r="KP1939" s="38"/>
      <c r="KQ1939" s="38"/>
      <c r="KR1939" s="38"/>
      <c r="KS1939" s="38"/>
      <c r="KT1939" s="38"/>
      <c r="KU1939" s="38"/>
      <c r="KV1939" s="38"/>
      <c r="KW1939" s="38"/>
      <c r="KX1939" s="38"/>
      <c r="KY1939" s="38"/>
      <c r="KZ1939" s="38"/>
      <c r="LA1939" s="38"/>
      <c r="LB1939" s="38"/>
      <c r="LC1939" s="38"/>
      <c r="LD1939" s="38"/>
      <c r="LE1939" s="38"/>
      <c r="LF1939" s="38"/>
      <c r="LG1939" s="38"/>
      <c r="LH1939" s="38"/>
      <c r="LI1939" s="38"/>
      <c r="LJ1939" s="38"/>
      <c r="LK1939" s="38"/>
      <c r="LL1939" s="38"/>
      <c r="LM1939" s="38"/>
      <c r="LN1939" s="38"/>
      <c r="LO1939" s="38"/>
      <c r="LP1939" s="38"/>
      <c r="LQ1939" s="38"/>
      <c r="LR1939" s="38"/>
      <c r="LS1939" s="38"/>
      <c r="LT1939" s="38"/>
      <c r="LU1939" s="38"/>
      <c r="LV1939" s="38"/>
      <c r="LW1939" s="38"/>
      <c r="LX1939" s="38"/>
      <c r="LY1939" s="38"/>
      <c r="LZ1939" s="38"/>
      <c r="MA1939" s="38"/>
      <c r="MB1939" s="38"/>
      <c r="MC1939" s="38"/>
      <c r="MD1939" s="38"/>
      <c r="ME1939" s="38"/>
      <c r="MF1939" s="38"/>
      <c r="MG1939" s="38"/>
      <c r="MH1939" s="38"/>
      <c r="MI1939" s="38"/>
      <c r="MJ1939" s="38"/>
      <c r="MK1939" s="38"/>
      <c r="ML1939" s="38"/>
      <c r="MM1939" s="38"/>
      <c r="MN1939" s="38"/>
      <c r="MO1939" s="38"/>
      <c r="MP1939" s="38"/>
      <c r="MQ1939" s="38"/>
      <c r="MR1939" s="38"/>
      <c r="MS1939" s="38"/>
      <c r="MT1939" s="38"/>
      <c r="MU1939" s="38"/>
      <c r="MV1939" s="38"/>
      <c r="MW1939" s="38"/>
      <c r="MX1939" s="38"/>
      <c r="MY1939" s="38"/>
      <c r="MZ1939" s="38"/>
      <c r="NA1939" s="38"/>
      <c r="NB1939" s="38"/>
      <c r="NC1939" s="38"/>
      <c r="ND1939" s="38"/>
      <c r="NE1939" s="38"/>
      <c r="NF1939" s="38"/>
      <c r="NG1939" s="38"/>
      <c r="NH1939" s="38"/>
      <c r="NI1939" s="38"/>
      <c r="NJ1939" s="38"/>
      <c r="NK1939" s="38"/>
      <c r="NL1939" s="38"/>
      <c r="NM1939" s="38"/>
      <c r="NN1939" s="38"/>
      <c r="NO1939" s="38"/>
      <c r="NP1939" s="38"/>
      <c r="NQ1939" s="38"/>
      <c r="NR1939" s="38"/>
      <c r="NS1939" s="38"/>
      <c r="NT1939" s="38"/>
      <c r="NU1939" s="38"/>
      <c r="NV1939" s="38"/>
      <c r="NW1939" s="38"/>
      <c r="NX1939" s="38"/>
      <c r="NY1939" s="38"/>
      <c r="NZ1939" s="38"/>
      <c r="OA1939" s="38"/>
      <c r="OB1939" s="38"/>
      <c r="OC1939" s="38"/>
      <c r="OD1939" s="38"/>
      <c r="OE1939" s="38"/>
      <c r="OF1939" s="38"/>
      <c r="OG1939" s="38"/>
      <c r="OH1939" s="38"/>
      <c r="OI1939" s="38"/>
      <c r="OJ1939" s="38"/>
      <c r="OK1939" s="38"/>
      <c r="OL1939" s="38"/>
      <c r="OM1939" s="38"/>
      <c r="ON1939" s="38"/>
      <c r="OO1939" s="38"/>
      <c r="OP1939" s="38"/>
      <c r="OQ1939" s="38"/>
      <c r="OR1939" s="38"/>
      <c r="OS1939" s="38"/>
      <c r="OT1939" s="38"/>
      <c r="OU1939" s="38"/>
      <c r="OV1939" s="38"/>
      <c r="OW1939" s="38"/>
      <c r="OX1939" s="38"/>
      <c r="OY1939" s="38"/>
      <c r="OZ1939" s="38"/>
      <c r="PA1939" s="38"/>
      <c r="PB1939" s="38"/>
      <c r="PC1939" s="38"/>
      <c r="PD1939" s="38"/>
      <c r="PE1939" s="38"/>
      <c r="PF1939" s="38"/>
      <c r="PG1939" s="38"/>
      <c r="PH1939" s="38"/>
      <c r="PI1939" s="38"/>
      <c r="PJ1939" s="38"/>
      <c r="PK1939" s="38"/>
      <c r="PL1939" s="38"/>
      <c r="PM1939" s="38"/>
      <c r="PN1939" s="38"/>
      <c r="PO1939" s="38"/>
      <c r="PP1939" s="38"/>
      <c r="PQ1939" s="38"/>
      <c r="PR1939" s="38"/>
      <c r="PS1939" s="38"/>
      <c r="PT1939" s="38"/>
      <c r="PU1939" s="38"/>
      <c r="PV1939" s="38"/>
      <c r="PW1939" s="38"/>
      <c r="PX1939" s="38"/>
      <c r="PY1939" s="38"/>
      <c r="PZ1939" s="38"/>
      <c r="QA1939" s="38"/>
      <c r="QB1939" s="38"/>
      <c r="QC1939" s="38"/>
      <c r="QD1939" s="38"/>
      <c r="QE1939" s="38"/>
      <c r="QF1939" s="38"/>
      <c r="QG1939" s="38"/>
      <c r="QH1939" s="38"/>
      <c r="QI1939" s="38"/>
      <c r="QJ1939" s="38"/>
      <c r="QK1939" s="38"/>
      <c r="QL1939" s="38"/>
      <c r="QM1939" s="38"/>
      <c r="QN1939" s="38"/>
      <c r="QO1939" s="38"/>
      <c r="QP1939" s="38"/>
      <c r="QQ1939" s="38"/>
      <c r="QR1939" s="38"/>
      <c r="QS1939" s="38"/>
      <c r="QT1939" s="38"/>
      <c r="QU1939" s="38"/>
      <c r="QV1939" s="38"/>
      <c r="QW1939" s="38"/>
      <c r="QX1939" s="38"/>
      <c r="QY1939" s="38"/>
      <c r="QZ1939" s="38"/>
      <c r="RA1939" s="38"/>
      <c r="RB1939" s="38"/>
      <c r="RC1939" s="38"/>
      <c r="RD1939" s="38"/>
      <c r="RE1939" s="38"/>
      <c r="RF1939" s="38"/>
      <c r="RG1939" s="38"/>
      <c r="RH1939" s="38"/>
      <c r="RI1939" s="38"/>
      <c r="RJ1939" s="38"/>
      <c r="RK1939" s="38"/>
      <c r="RL1939" s="38"/>
      <c r="RM1939" s="38"/>
      <c r="RN1939" s="38"/>
      <c r="RO1939" s="38"/>
      <c r="RP1939" s="38"/>
      <c r="RQ1939" s="38"/>
      <c r="RR1939" s="38"/>
      <c r="RS1939" s="38"/>
      <c r="RT1939" s="38"/>
      <c r="RU1939" s="38"/>
      <c r="RV1939" s="38"/>
      <c r="RW1939" s="38"/>
      <c r="RX1939" s="38"/>
      <c r="RY1939" s="38"/>
      <c r="RZ1939" s="38"/>
      <c r="SA1939" s="38"/>
      <c r="SB1939" s="38"/>
      <c r="SC1939" s="38"/>
      <c r="SD1939" s="38"/>
      <c r="SE1939" s="38"/>
      <c r="SF1939" s="38"/>
      <c r="SG1939" s="38"/>
      <c r="SH1939" s="38"/>
      <c r="SI1939" s="38"/>
      <c r="SJ1939" s="38"/>
      <c r="SK1939" s="38"/>
      <c r="SL1939" s="38"/>
      <c r="SM1939" s="38"/>
      <c r="SN1939" s="38"/>
      <c r="SO1939" s="38"/>
      <c r="SP1939" s="38"/>
      <c r="SQ1939" s="38"/>
      <c r="SR1939" s="38"/>
      <c r="SS1939" s="38"/>
      <c r="ST1939" s="38"/>
      <c r="SU1939" s="38"/>
      <c r="SV1939" s="38"/>
      <c r="SW1939" s="38"/>
      <c r="SX1939" s="38"/>
      <c r="SY1939" s="38"/>
      <c r="SZ1939" s="38"/>
      <c r="TA1939" s="38"/>
      <c r="TB1939" s="38"/>
      <c r="TC1939" s="38"/>
      <c r="TD1939" s="38"/>
      <c r="TE1939" s="38"/>
      <c r="TF1939" s="38"/>
      <c r="TG1939" s="38"/>
      <c r="TH1939" s="38"/>
      <c r="TI1939" s="38"/>
      <c r="TJ1939" s="38"/>
      <c r="TK1939" s="38"/>
      <c r="TL1939" s="38"/>
      <c r="TM1939" s="38"/>
      <c r="TN1939" s="38"/>
      <c r="TO1939" s="38"/>
      <c r="TP1939" s="38"/>
      <c r="TQ1939" s="38"/>
      <c r="TR1939" s="38"/>
      <c r="TS1939" s="38"/>
      <c r="TT1939" s="38"/>
      <c r="TU1939" s="38"/>
      <c r="TV1939" s="38"/>
      <c r="TW1939" s="38"/>
      <c r="TX1939" s="38"/>
      <c r="TY1939" s="38"/>
      <c r="TZ1939" s="38"/>
      <c r="UA1939" s="38"/>
      <c r="UB1939" s="38"/>
      <c r="UC1939" s="38"/>
      <c r="UD1939" s="38"/>
      <c r="UE1939" s="38"/>
      <c r="UF1939" s="38"/>
      <c r="UG1939" s="38"/>
      <c r="UH1939" s="38"/>
      <c r="UI1939" s="38"/>
      <c r="UJ1939" s="38"/>
      <c r="UK1939" s="38"/>
      <c r="UL1939" s="38"/>
      <c r="UM1939" s="38"/>
      <c r="UN1939" s="38"/>
      <c r="UO1939" s="38"/>
      <c r="UP1939" s="38"/>
      <c r="UQ1939" s="38"/>
      <c r="UR1939" s="38"/>
      <c r="US1939" s="38"/>
      <c r="UT1939" s="38"/>
      <c r="UU1939" s="38"/>
      <c r="UV1939" s="38"/>
      <c r="UW1939" s="38"/>
      <c r="UX1939" s="38"/>
      <c r="UY1939" s="38"/>
      <c r="UZ1939" s="38"/>
      <c r="VA1939" s="38"/>
      <c r="VB1939" s="38"/>
      <c r="VC1939" s="38"/>
      <c r="VD1939" s="38"/>
      <c r="VE1939" s="38"/>
      <c r="VF1939" s="38"/>
      <c r="VG1939" s="38"/>
      <c r="VH1939" s="38"/>
      <c r="VI1939" s="38"/>
      <c r="VJ1939" s="38"/>
      <c r="VK1939" s="38"/>
      <c r="VL1939" s="38"/>
      <c r="VM1939" s="38"/>
      <c r="VN1939" s="38"/>
      <c r="VO1939" s="38"/>
      <c r="VP1939" s="38"/>
      <c r="VQ1939" s="38"/>
      <c r="VR1939" s="38"/>
      <c r="VS1939" s="38"/>
      <c r="VT1939" s="38"/>
      <c r="VU1939" s="38"/>
      <c r="VV1939" s="38"/>
      <c r="VW1939" s="38"/>
      <c r="VX1939" s="38"/>
      <c r="VY1939" s="38"/>
      <c r="VZ1939" s="38"/>
      <c r="WA1939" s="38"/>
      <c r="WB1939" s="38"/>
      <c r="WC1939" s="38"/>
      <c r="WD1939" s="38"/>
      <c r="WE1939" s="38"/>
      <c r="WF1939" s="38"/>
      <c r="WG1939" s="38"/>
      <c r="WH1939" s="38"/>
      <c r="WI1939" s="38"/>
      <c r="WJ1939" s="38"/>
      <c r="WK1939" s="38"/>
      <c r="WL1939" s="38"/>
      <c r="WM1939" s="38"/>
      <c r="WN1939" s="38"/>
      <c r="WO1939" s="38"/>
      <c r="WP1939" s="38"/>
      <c r="WQ1939" s="38"/>
      <c r="WR1939" s="38"/>
      <c r="WS1939" s="38"/>
      <c r="WT1939" s="38"/>
      <c r="WU1939" s="38"/>
      <c r="WV1939" s="38"/>
      <c r="WW1939" s="38"/>
      <c r="WX1939" s="38"/>
      <c r="WY1939" s="38"/>
      <c r="WZ1939" s="38"/>
      <c r="XA1939" s="38"/>
      <c r="XB1939" s="38"/>
      <c r="XC1939" s="38"/>
      <c r="XD1939" s="38"/>
      <c r="XE1939" s="38"/>
      <c r="XF1939" s="38"/>
      <c r="XG1939" s="38"/>
      <c r="XH1939" s="38"/>
      <c r="XI1939" s="38"/>
      <c r="XJ1939" s="38"/>
      <c r="XK1939" s="38"/>
      <c r="XL1939" s="38"/>
      <c r="XM1939" s="38"/>
      <c r="XN1939" s="38"/>
      <c r="XO1939" s="38"/>
      <c r="XP1939" s="38"/>
      <c r="XQ1939" s="38"/>
      <c r="XR1939" s="38"/>
      <c r="XS1939" s="38"/>
      <c r="XT1939" s="38"/>
      <c r="XU1939" s="38"/>
      <c r="XV1939" s="38"/>
      <c r="XW1939" s="38"/>
      <c r="XX1939" s="38"/>
      <c r="XY1939" s="38"/>
      <c r="XZ1939" s="38"/>
      <c r="YA1939" s="38"/>
      <c r="YB1939" s="38"/>
      <c r="YC1939" s="38"/>
      <c r="YD1939" s="38"/>
      <c r="YE1939" s="38"/>
      <c r="YF1939" s="38"/>
      <c r="YG1939" s="38"/>
      <c r="YH1939" s="38"/>
      <c r="YI1939" s="38"/>
      <c r="YJ1939" s="38"/>
      <c r="YK1939" s="38"/>
      <c r="YL1939" s="38"/>
      <c r="YM1939" s="38"/>
      <c r="YN1939" s="38"/>
      <c r="YO1939" s="38"/>
      <c r="YP1939" s="38"/>
      <c r="YQ1939" s="38"/>
      <c r="YR1939" s="38"/>
      <c r="YS1939" s="38"/>
      <c r="YT1939" s="38"/>
      <c r="YU1939" s="38"/>
      <c r="YV1939" s="38"/>
      <c r="YW1939" s="38"/>
      <c r="YX1939" s="38"/>
      <c r="YY1939" s="38"/>
      <c r="YZ1939" s="38"/>
      <c r="ZA1939" s="38"/>
      <c r="ZB1939" s="38"/>
      <c r="ZC1939" s="38"/>
      <c r="ZD1939" s="38"/>
      <c r="ZE1939" s="38"/>
      <c r="ZF1939" s="38"/>
      <c r="ZG1939" s="38"/>
      <c r="ZH1939" s="38"/>
      <c r="ZI1939" s="38"/>
      <c r="ZJ1939" s="38"/>
      <c r="ZK1939" s="38"/>
      <c r="ZL1939" s="38"/>
      <c r="ZM1939" s="38"/>
      <c r="ZN1939" s="38"/>
      <c r="ZO1939" s="38"/>
      <c r="ZP1939" s="38"/>
      <c r="ZQ1939" s="38"/>
      <c r="ZR1939" s="38"/>
      <c r="ZS1939" s="38"/>
      <c r="ZT1939" s="38"/>
      <c r="ZU1939" s="38"/>
      <c r="ZV1939" s="38"/>
      <c r="ZW1939" s="38"/>
      <c r="ZX1939" s="38"/>
      <c r="ZY1939" s="38"/>
      <c r="ZZ1939" s="38"/>
      <c r="AAA1939" s="38"/>
      <c r="AAB1939" s="38"/>
      <c r="AAC1939" s="38"/>
      <c r="AAD1939" s="38"/>
      <c r="AAE1939" s="38"/>
      <c r="AAF1939" s="38"/>
      <c r="AAG1939" s="38"/>
      <c r="AAH1939" s="38"/>
      <c r="AAI1939" s="38"/>
      <c r="AAJ1939" s="38"/>
      <c r="AAK1939" s="38"/>
      <c r="AAL1939" s="38"/>
      <c r="AAM1939" s="38"/>
      <c r="AAN1939" s="38"/>
      <c r="AAO1939" s="38"/>
      <c r="AAP1939" s="38"/>
      <c r="AAQ1939" s="38"/>
      <c r="AAR1939" s="38"/>
      <c r="AAS1939" s="38"/>
      <c r="AAT1939" s="38"/>
      <c r="AAU1939" s="38"/>
      <c r="AAV1939" s="38"/>
      <c r="AAW1939" s="38"/>
      <c r="AAX1939" s="38"/>
      <c r="AAY1939" s="38"/>
      <c r="AAZ1939" s="38"/>
      <c r="ABA1939" s="38"/>
      <c r="ABB1939" s="38"/>
      <c r="ABC1939" s="38"/>
      <c r="ABD1939" s="38"/>
      <c r="ABE1939" s="38"/>
      <c r="ABF1939" s="38"/>
      <c r="ABG1939" s="38"/>
      <c r="ABH1939" s="38"/>
      <c r="ABI1939" s="38"/>
      <c r="ABJ1939" s="38"/>
      <c r="ABK1939" s="38"/>
      <c r="ABL1939" s="38"/>
      <c r="ABM1939" s="38"/>
      <c r="ABN1939" s="38"/>
      <c r="ABO1939" s="38"/>
      <c r="ABP1939" s="38"/>
      <c r="ABQ1939" s="38"/>
      <c r="ABR1939" s="38"/>
      <c r="ABS1939" s="38"/>
      <c r="ABT1939" s="38"/>
      <c r="ABU1939" s="38"/>
      <c r="ABV1939" s="38"/>
      <c r="ABW1939" s="38"/>
      <c r="ABX1939" s="38"/>
      <c r="ABY1939" s="38"/>
      <c r="ABZ1939" s="38"/>
      <c r="ACA1939" s="38"/>
      <c r="ACB1939" s="38"/>
      <c r="ACC1939" s="38"/>
      <c r="ACD1939" s="38"/>
      <c r="ACE1939" s="38"/>
      <c r="ACF1939" s="38"/>
      <c r="ACG1939" s="38"/>
      <c r="ACH1939" s="38"/>
      <c r="ACI1939" s="38"/>
      <c r="ACJ1939" s="38"/>
      <c r="ACK1939" s="38"/>
      <c r="ACL1939" s="38"/>
      <c r="ACM1939" s="38"/>
      <c r="ACN1939" s="38"/>
      <c r="ACO1939" s="38"/>
      <c r="ACP1939" s="38"/>
      <c r="ACQ1939" s="38"/>
      <c r="ACR1939" s="38"/>
      <c r="ACS1939" s="38"/>
      <c r="ACT1939" s="38"/>
      <c r="ACU1939" s="38"/>
      <c r="ACV1939" s="38"/>
      <c r="ACW1939" s="38"/>
      <c r="ACX1939" s="38"/>
      <c r="ACY1939" s="38"/>
      <c r="ACZ1939" s="38"/>
      <c r="ADA1939" s="38"/>
      <c r="ADB1939" s="38"/>
      <c r="ADC1939" s="38"/>
      <c r="ADD1939" s="38"/>
      <c r="ADE1939" s="38"/>
      <c r="ADF1939" s="38"/>
      <c r="ADG1939" s="38"/>
      <c r="ADH1939" s="38"/>
      <c r="ADI1939" s="38"/>
      <c r="ADJ1939" s="38"/>
      <c r="ADK1939" s="38"/>
      <c r="ADL1939" s="38"/>
      <c r="ADM1939" s="38"/>
      <c r="ADN1939" s="38"/>
      <c r="ADO1939" s="38"/>
      <c r="ADP1939" s="38"/>
      <c r="ADQ1939" s="38"/>
      <c r="ADR1939" s="38"/>
      <c r="ADS1939" s="38"/>
      <c r="ADT1939" s="38"/>
      <c r="ADU1939" s="38"/>
      <c r="ADV1939" s="38"/>
      <c r="ADW1939" s="38"/>
      <c r="ADX1939" s="38"/>
      <c r="ADY1939" s="38"/>
      <c r="ADZ1939" s="38"/>
      <c r="AEA1939" s="38"/>
      <c r="AEB1939" s="38"/>
      <c r="AEC1939" s="38"/>
      <c r="AED1939" s="38"/>
      <c r="AEE1939" s="38"/>
      <c r="AEF1939" s="38"/>
      <c r="AEG1939" s="38"/>
      <c r="AEH1939" s="38"/>
      <c r="AEI1939" s="38"/>
      <c r="AEJ1939" s="38"/>
      <c r="AEK1939" s="38"/>
      <c r="AEL1939" s="38"/>
      <c r="AEM1939" s="38"/>
      <c r="AEN1939" s="38"/>
      <c r="AEO1939" s="38"/>
      <c r="AEP1939" s="38"/>
      <c r="AEQ1939" s="38"/>
      <c r="AER1939" s="38"/>
      <c r="AES1939" s="38"/>
      <c r="AET1939" s="38"/>
      <c r="AEU1939" s="38"/>
      <c r="AEV1939" s="38"/>
      <c r="AEW1939" s="38"/>
      <c r="AEX1939" s="38"/>
      <c r="AEY1939" s="38"/>
      <c r="AEZ1939" s="38"/>
      <c r="AFA1939" s="38"/>
      <c r="AFB1939" s="38"/>
      <c r="AFC1939" s="38"/>
      <c r="AFD1939" s="38"/>
      <c r="AFE1939" s="38"/>
      <c r="AFF1939" s="38"/>
      <c r="AFG1939" s="38"/>
      <c r="AFH1939" s="38"/>
      <c r="AFI1939" s="38"/>
      <c r="AFJ1939" s="38"/>
      <c r="AFK1939" s="38"/>
      <c r="AFL1939" s="38"/>
      <c r="AFM1939" s="38"/>
      <c r="AFN1939" s="38"/>
      <c r="AFO1939" s="38"/>
      <c r="AFP1939" s="38"/>
      <c r="AFQ1939" s="38"/>
      <c r="AFR1939" s="38"/>
      <c r="AFS1939" s="38"/>
      <c r="AFT1939" s="38"/>
      <c r="AFU1939" s="38"/>
      <c r="AFV1939" s="38"/>
      <c r="AFW1939" s="38"/>
      <c r="AFX1939" s="38"/>
      <c r="AFY1939" s="38"/>
      <c r="AFZ1939" s="38"/>
      <c r="AGA1939" s="38"/>
      <c r="AGB1939" s="38"/>
      <c r="AGC1939" s="38"/>
      <c r="AGD1939" s="38"/>
      <c r="AGE1939" s="38"/>
      <c r="AGF1939" s="38"/>
      <c r="AGG1939" s="38"/>
      <c r="AGH1939" s="38"/>
      <c r="AGI1939" s="38"/>
      <c r="AGJ1939" s="38"/>
      <c r="AGK1939" s="38"/>
      <c r="AGL1939" s="38"/>
      <c r="AGM1939" s="38"/>
      <c r="AGN1939" s="38"/>
      <c r="AGO1939" s="38"/>
      <c r="AGP1939" s="38"/>
      <c r="AGQ1939" s="38"/>
      <c r="AGR1939" s="38"/>
      <c r="AGS1939" s="38"/>
      <c r="AGT1939" s="38"/>
      <c r="AGU1939" s="38"/>
      <c r="AGV1939" s="38"/>
      <c r="AGW1939" s="38"/>
      <c r="AGX1939" s="38"/>
      <c r="AGY1939" s="38"/>
      <c r="AGZ1939" s="38"/>
      <c r="AHA1939" s="38"/>
      <c r="AHB1939" s="38"/>
      <c r="AHC1939" s="38"/>
      <c r="AHD1939" s="38"/>
      <c r="AHE1939" s="38"/>
      <c r="AHF1939" s="38"/>
      <c r="AHG1939" s="38"/>
      <c r="AHH1939" s="38"/>
      <c r="AHI1939" s="38"/>
      <c r="AHJ1939" s="38"/>
      <c r="AHK1939" s="38"/>
      <c r="AHL1939" s="38"/>
      <c r="AHM1939" s="38"/>
      <c r="AHN1939" s="38"/>
      <c r="AHO1939" s="38"/>
      <c r="AHP1939" s="38"/>
      <c r="AHQ1939" s="38"/>
      <c r="AHR1939" s="38"/>
      <c r="AHS1939" s="38"/>
      <c r="AHT1939" s="38"/>
      <c r="AHU1939" s="38"/>
      <c r="AHV1939" s="38"/>
      <c r="AHW1939" s="38"/>
      <c r="AHX1939" s="38"/>
      <c r="AHY1939" s="38"/>
      <c r="AHZ1939" s="38"/>
      <c r="AIA1939" s="38"/>
      <c r="AIB1939" s="38"/>
      <c r="AIC1939" s="38"/>
      <c r="AID1939" s="38"/>
      <c r="AIE1939" s="38"/>
      <c r="AIF1939" s="38"/>
      <c r="AIG1939" s="38"/>
      <c r="AIH1939" s="38"/>
      <c r="AII1939" s="38"/>
      <c r="AIJ1939" s="38"/>
      <c r="AIK1939" s="38"/>
      <c r="AIL1939" s="38"/>
      <c r="AIM1939" s="38"/>
      <c r="AIN1939" s="38"/>
      <c r="AIO1939" s="38"/>
      <c r="AIP1939" s="38"/>
      <c r="AIQ1939" s="38"/>
      <c r="AIR1939" s="38"/>
      <c r="AIS1939" s="38"/>
      <c r="AIT1939" s="38"/>
      <c r="AIU1939" s="38"/>
      <c r="AIV1939" s="38"/>
      <c r="AIW1939" s="38"/>
      <c r="AIX1939" s="38"/>
      <c r="AIY1939" s="38"/>
      <c r="AIZ1939" s="38"/>
      <c r="AJA1939" s="38"/>
      <c r="AJB1939" s="38"/>
      <c r="AJC1939" s="38"/>
      <c r="AJD1939" s="38"/>
      <c r="AJE1939" s="38"/>
      <c r="AJF1939" s="38"/>
      <c r="AJG1939" s="38"/>
      <c r="AJH1939" s="38"/>
      <c r="AJI1939" s="38"/>
      <c r="AJJ1939" s="38"/>
      <c r="AJK1939" s="38"/>
      <c r="AJL1939" s="38"/>
      <c r="AJM1939" s="38"/>
      <c r="AJN1939" s="38"/>
      <c r="AJO1939" s="38"/>
      <c r="AJP1939" s="38"/>
      <c r="AJQ1939" s="38"/>
      <c r="AJR1939" s="38"/>
      <c r="AJS1939" s="38"/>
      <c r="AJT1939" s="38"/>
      <c r="AJU1939" s="38"/>
      <c r="AJV1939" s="38"/>
      <c r="AJW1939" s="38"/>
      <c r="AJX1939" s="38"/>
      <c r="AJY1939" s="38"/>
      <c r="AJZ1939" s="38"/>
      <c r="AKA1939" s="38"/>
      <c r="AKB1939" s="38"/>
      <c r="AKC1939" s="38"/>
      <c r="AKD1939" s="38"/>
      <c r="AKE1939" s="38"/>
      <c r="AKF1939" s="38"/>
      <c r="AKG1939" s="38"/>
      <c r="AKH1939" s="38"/>
      <c r="AKI1939" s="38"/>
      <c r="AKJ1939" s="38"/>
      <c r="AKK1939" s="38"/>
      <c r="AKL1939" s="38"/>
      <c r="AKM1939" s="38"/>
      <c r="AKN1939" s="38"/>
      <c r="AKO1939" s="38"/>
      <c r="AKP1939" s="38"/>
      <c r="AKQ1939" s="38"/>
      <c r="AKR1939" s="38"/>
      <c r="AKS1939" s="38"/>
      <c r="AKT1939" s="38"/>
      <c r="AKU1939" s="38"/>
      <c r="AKV1939" s="38"/>
      <c r="AKW1939" s="38"/>
      <c r="AKX1939" s="38"/>
      <c r="AKY1939" s="38"/>
      <c r="AKZ1939" s="38"/>
      <c r="ALA1939" s="38"/>
      <c r="ALB1939" s="38"/>
      <c r="ALC1939" s="38"/>
      <c r="ALD1939" s="38"/>
      <c r="ALE1939" s="38"/>
      <c r="ALF1939" s="38"/>
      <c r="ALG1939" s="38"/>
      <c r="ALH1939" s="38"/>
      <c r="ALI1939" s="38"/>
      <c r="ALJ1939" s="38"/>
      <c r="ALK1939" s="38"/>
      <c r="ALL1939" s="38"/>
      <c r="ALM1939" s="38"/>
      <c r="ALN1939" s="38"/>
      <c r="ALO1939" s="38"/>
      <c r="ALP1939" s="38"/>
      <c r="ALQ1939" s="38"/>
      <c r="ALR1939" s="38"/>
      <c r="ALS1939" s="38"/>
      <c r="ALT1939" s="38"/>
      <c r="ALU1939" s="38"/>
      <c r="ALV1939" s="38"/>
      <c r="ALW1939" s="38"/>
      <c r="ALX1939" s="38"/>
      <c r="ALY1939" s="38"/>
      <c r="ALZ1939" s="38"/>
      <c r="AMA1939" s="38"/>
      <c r="AMB1939" s="38"/>
      <c r="AMC1939" s="38"/>
      <c r="AMD1939" s="38"/>
      <c r="AME1939" s="38"/>
      <c r="AMF1939" s="38"/>
      <c r="AMG1939" s="38"/>
      <c r="AMH1939" s="38"/>
      <c r="AMI1939" s="38"/>
      <c r="AMJ1939" s="38"/>
      <c r="AMK1939" s="38"/>
      <c r="AML1939" s="38"/>
      <c r="AMM1939" s="38"/>
      <c r="AMN1939" s="38"/>
      <c r="AMO1939" s="38"/>
      <c r="AMP1939" s="38"/>
      <c r="AMQ1939" s="38"/>
      <c r="AMR1939" s="38"/>
      <c r="AMS1939" s="38"/>
      <c r="AMT1939" s="38"/>
      <c r="AMU1939" s="38"/>
      <c r="AMV1939" s="38"/>
      <c r="AMW1939" s="38"/>
      <c r="AMX1939" s="38"/>
      <c r="AMY1939" s="38"/>
      <c r="AMZ1939" s="38"/>
      <c r="ANA1939" s="38"/>
      <c r="ANB1939" s="38"/>
      <c r="ANC1939" s="38"/>
      <c r="AND1939" s="38"/>
      <c r="ANE1939" s="38"/>
      <c r="ANF1939" s="38"/>
      <c r="ANG1939" s="38"/>
      <c r="ANH1939" s="38"/>
      <c r="ANI1939" s="38"/>
      <c r="ANJ1939" s="38"/>
      <c r="ANK1939" s="38"/>
      <c r="ANL1939" s="38"/>
      <c r="ANM1939" s="38"/>
      <c r="ANN1939" s="38"/>
      <c r="ANO1939" s="38"/>
      <c r="ANP1939" s="38"/>
      <c r="ANQ1939" s="38"/>
      <c r="ANR1939" s="38"/>
      <c r="ANS1939" s="38"/>
      <c r="ANT1939" s="38"/>
      <c r="ANU1939" s="38"/>
      <c r="ANV1939" s="38"/>
      <c r="ANW1939" s="38"/>
      <c r="ANX1939" s="38"/>
      <c r="ANY1939" s="38"/>
      <c r="ANZ1939" s="38"/>
      <c r="AOA1939" s="38"/>
      <c r="AOB1939" s="38"/>
      <c r="AOC1939" s="38"/>
      <c r="AOD1939" s="38"/>
      <c r="AOE1939" s="38"/>
      <c r="AOF1939" s="38"/>
      <c r="AOG1939" s="38"/>
      <c r="AOH1939" s="38"/>
      <c r="AOI1939" s="38"/>
      <c r="AOJ1939" s="38"/>
      <c r="AOK1939" s="38"/>
      <c r="AOL1939" s="38"/>
      <c r="AOM1939" s="38"/>
      <c r="AON1939" s="38"/>
      <c r="AOO1939" s="38"/>
      <c r="AOP1939" s="38"/>
      <c r="AOQ1939" s="38"/>
      <c r="AOR1939" s="38"/>
      <c r="AOS1939" s="38"/>
      <c r="AOT1939" s="38"/>
      <c r="AOU1939" s="38"/>
      <c r="AOV1939" s="38"/>
      <c r="AOW1939" s="38"/>
      <c r="AOX1939" s="38"/>
      <c r="AOY1939" s="38"/>
      <c r="AOZ1939" s="38"/>
      <c r="APA1939" s="38"/>
      <c r="APB1939" s="38"/>
      <c r="APC1939" s="38"/>
    </row>
    <row r="1940" spans="1:1095" s="36" customFormat="1" ht="14.25" customHeight="1">
      <c r="A1940" s="3" t="s">
        <v>1722</v>
      </c>
      <c r="B1940" s="36" t="s">
        <v>2215</v>
      </c>
      <c r="C1940" s="10">
        <v>4099854062087</v>
      </c>
      <c r="D1940" s="224">
        <v>4058075758148</v>
      </c>
      <c r="E1940" s="245" t="s">
        <v>2216</v>
      </c>
      <c r="F1940" s="246"/>
      <c r="G1940" s="66" t="str">
        <f>HYPERLINK("https://ledvance.com/pt/product-datasheet/251555/237308","Ficha de Produto")</f>
        <v>Ficha de Produto</v>
      </c>
      <c r="H1940" s="217">
        <v>10</v>
      </c>
      <c r="I1940" s="34" t="s">
        <v>6352</v>
      </c>
      <c r="J1940" s="34" t="s">
        <v>1053</v>
      </c>
      <c r="K1940" s="34" t="s">
        <v>788</v>
      </c>
      <c r="L1940" s="34" t="s">
        <v>765</v>
      </c>
      <c r="M1940" s="247">
        <v>20.8</v>
      </c>
      <c r="N1940" s="288" t="s">
        <v>722</v>
      </c>
    </row>
    <row r="1941" spans="1:1095" s="36" customFormat="1" ht="14.25" customHeight="1">
      <c r="A1941" s="3" t="s">
        <v>1722</v>
      </c>
      <c r="B1941" s="36" t="s">
        <v>2217</v>
      </c>
      <c r="C1941" s="10">
        <v>4099854062162</v>
      </c>
      <c r="D1941" s="224">
        <v>4058075758162</v>
      </c>
      <c r="E1941" s="245" t="s">
        <v>2218</v>
      </c>
      <c r="F1941" s="246"/>
      <c r="G1941" s="66" t="str">
        <f>HYPERLINK("https://ledvance.com/pt/product-datasheet/251555/237319","Ficha de Produto")</f>
        <v>Ficha de Produto</v>
      </c>
      <c r="H1941" s="217">
        <v>10</v>
      </c>
      <c r="I1941" s="34" t="s">
        <v>6352</v>
      </c>
      <c r="J1941" s="34" t="s">
        <v>1053</v>
      </c>
      <c r="K1941" s="34" t="s">
        <v>788</v>
      </c>
      <c r="L1941" s="34" t="s">
        <v>765</v>
      </c>
      <c r="M1941" s="247">
        <v>20.8</v>
      </c>
      <c r="N1941" s="288" t="s">
        <v>722</v>
      </c>
    </row>
    <row r="1942" spans="1:1095" s="36" customFormat="1" ht="14.25" customHeight="1">
      <c r="A1942" s="3" t="s">
        <v>1722</v>
      </c>
      <c r="B1942" s="36" t="s">
        <v>2219</v>
      </c>
      <c r="C1942" s="10">
        <v>4099854060755</v>
      </c>
      <c r="D1942" s="224">
        <v>4058075758186</v>
      </c>
      <c r="E1942" s="245" t="s">
        <v>2220</v>
      </c>
      <c r="F1942" s="246"/>
      <c r="G1942" s="66" t="str">
        <f>HYPERLINK("https://ledvance.com/pt/product-datasheet/251555/237325","Ficha de Produto")</f>
        <v>Ficha de Produto</v>
      </c>
      <c r="H1942" s="217">
        <v>10</v>
      </c>
      <c r="I1942" s="34" t="s">
        <v>6352</v>
      </c>
      <c r="J1942" s="34" t="s">
        <v>1053</v>
      </c>
      <c r="K1942" s="34" t="s">
        <v>788</v>
      </c>
      <c r="L1942" s="34" t="s">
        <v>765</v>
      </c>
      <c r="M1942" s="247">
        <v>18.100000000000001</v>
      </c>
      <c r="N1942" s="288" t="s">
        <v>722</v>
      </c>
    </row>
    <row r="1943" spans="1:1095" s="36" customFormat="1" ht="14.25" customHeight="1">
      <c r="A1943" s="3" t="s">
        <v>1722</v>
      </c>
      <c r="B1943" s="36" t="s">
        <v>2221</v>
      </c>
      <c r="C1943" s="10">
        <v>4099854061219</v>
      </c>
      <c r="D1943" s="224">
        <v>4058075758223</v>
      </c>
      <c r="E1943" s="245" t="s">
        <v>2222</v>
      </c>
      <c r="F1943" s="246"/>
      <c r="G1943" s="66" t="str">
        <f>HYPERLINK("https://ledvance.com/pt/product-datasheet/251555/237337","Ficha de Produto")</f>
        <v>Ficha de Produto</v>
      </c>
      <c r="H1943" s="217">
        <v>10</v>
      </c>
      <c r="I1943" s="34" t="s">
        <v>6352</v>
      </c>
      <c r="J1943" s="34" t="s">
        <v>1053</v>
      </c>
      <c r="K1943" s="34" t="s">
        <v>788</v>
      </c>
      <c r="L1943" s="34" t="s">
        <v>765</v>
      </c>
      <c r="M1943" s="247">
        <v>18.100000000000001</v>
      </c>
      <c r="N1943" s="288" t="s">
        <v>722</v>
      </c>
    </row>
    <row r="1944" spans="1:1095" s="36" customFormat="1" ht="14.25" customHeight="1">
      <c r="A1944" s="3" t="s">
        <v>1722</v>
      </c>
      <c r="B1944" s="36" t="s">
        <v>2223</v>
      </c>
      <c r="C1944" s="10">
        <v>4099854061578</v>
      </c>
      <c r="D1944" s="224">
        <v>4058075758209</v>
      </c>
      <c r="E1944" s="245" t="s">
        <v>2224</v>
      </c>
      <c r="F1944" s="246"/>
      <c r="G1944" s="66" t="str">
        <f>HYPERLINK("https://ledvance.com/pt/product-datasheet/251555/237352","Ficha de Produto")</f>
        <v>Ficha de Produto</v>
      </c>
      <c r="H1944" s="217">
        <v>10</v>
      </c>
      <c r="I1944" s="34" t="s">
        <v>6352</v>
      </c>
      <c r="J1944" s="34" t="s">
        <v>1053</v>
      </c>
      <c r="K1944" s="34" t="s">
        <v>788</v>
      </c>
      <c r="L1944" s="34" t="s">
        <v>765</v>
      </c>
      <c r="M1944" s="247">
        <v>18.100000000000001</v>
      </c>
      <c r="N1944" s="288" t="s">
        <v>722</v>
      </c>
    </row>
    <row r="1945" spans="1:1095" s="36" customFormat="1" ht="14.25" customHeight="1">
      <c r="A1945" s="3" t="s">
        <v>1722</v>
      </c>
      <c r="B1945" s="36" t="s">
        <v>2225</v>
      </c>
      <c r="C1945" s="10">
        <v>4099854061752</v>
      </c>
      <c r="D1945" s="224">
        <v>4058075758247</v>
      </c>
      <c r="E1945" s="245" t="s">
        <v>2226</v>
      </c>
      <c r="F1945" s="246"/>
      <c r="G1945" s="66" t="str">
        <f>HYPERLINK("https://ledvance.com/pt/product-datasheet/251555/237358","Ficha de Produto")</f>
        <v>Ficha de Produto</v>
      </c>
      <c r="H1945" s="217">
        <v>10</v>
      </c>
      <c r="I1945" s="34" t="s">
        <v>6352</v>
      </c>
      <c r="J1945" s="34" t="s">
        <v>1053</v>
      </c>
      <c r="K1945" s="34" t="s">
        <v>788</v>
      </c>
      <c r="L1945" s="34" t="s">
        <v>765</v>
      </c>
      <c r="M1945" s="247">
        <v>18.100000000000001</v>
      </c>
      <c r="N1945" s="288" t="s">
        <v>722</v>
      </c>
    </row>
    <row r="1946" spans="1:1095" s="39" customFormat="1" ht="14.25" customHeight="1">
      <c r="A1946" s="8" t="s">
        <v>1722</v>
      </c>
      <c r="B1946" s="244" t="s">
        <v>2227</v>
      </c>
      <c r="C1946" s="8"/>
      <c r="D1946" s="7"/>
      <c r="E1946" s="230"/>
      <c r="F1946" s="7"/>
      <c r="G1946" s="68" t="s">
        <v>6505</v>
      </c>
      <c r="H1946" s="230"/>
      <c r="I1946" s="230"/>
      <c r="J1946" s="230"/>
      <c r="K1946" s="230"/>
      <c r="L1946" s="230"/>
      <c r="M1946" s="248"/>
      <c r="N1946" s="284"/>
      <c r="O1946" s="38"/>
      <c r="P1946" s="38"/>
      <c r="Q1946" s="38"/>
      <c r="R1946" s="38"/>
      <c r="S1946" s="38"/>
      <c r="T1946" s="38"/>
      <c r="U1946" s="38"/>
      <c r="V1946" s="38"/>
      <c r="W1946" s="38"/>
      <c r="X1946" s="38"/>
      <c r="Y1946" s="38"/>
      <c r="Z1946" s="38"/>
      <c r="AA1946" s="38"/>
      <c r="AB1946" s="38"/>
      <c r="AC1946" s="38"/>
      <c r="AD1946" s="38"/>
      <c r="AE1946" s="38"/>
      <c r="AF1946" s="38"/>
      <c r="AG1946" s="38"/>
      <c r="AH1946" s="38"/>
      <c r="AI1946" s="38"/>
      <c r="AJ1946" s="38"/>
      <c r="AK1946" s="38"/>
      <c r="AL1946" s="38"/>
      <c r="AM1946" s="38"/>
      <c r="AN1946" s="38"/>
      <c r="AO1946" s="38"/>
      <c r="AP1946" s="38"/>
      <c r="AQ1946" s="38"/>
      <c r="AR1946" s="38"/>
      <c r="AS1946" s="38"/>
      <c r="AT1946" s="38"/>
      <c r="AU1946" s="38"/>
      <c r="AV1946" s="38"/>
      <c r="AW1946" s="38"/>
      <c r="AX1946" s="38"/>
      <c r="AY1946" s="38"/>
      <c r="AZ1946" s="38"/>
      <c r="BA1946" s="38"/>
      <c r="BB1946" s="38"/>
      <c r="BC1946" s="38"/>
      <c r="BD1946" s="38"/>
      <c r="BE1946" s="38"/>
      <c r="BF1946" s="38"/>
      <c r="BG1946" s="38"/>
      <c r="BH1946" s="38"/>
      <c r="BI1946" s="38"/>
      <c r="BJ1946" s="38"/>
      <c r="BK1946" s="38"/>
      <c r="BL1946" s="38"/>
      <c r="BM1946" s="38"/>
      <c r="BN1946" s="38"/>
      <c r="BO1946" s="38"/>
      <c r="BP1946" s="38"/>
      <c r="BQ1946" s="38"/>
      <c r="BR1946" s="38"/>
      <c r="BS1946" s="38"/>
      <c r="BT1946" s="38"/>
      <c r="BU1946" s="38"/>
      <c r="BV1946" s="38"/>
      <c r="BW1946" s="38"/>
      <c r="BX1946" s="38"/>
      <c r="BY1946" s="38"/>
      <c r="BZ1946" s="38"/>
      <c r="CA1946" s="38"/>
      <c r="CB1946" s="38"/>
      <c r="CC1946" s="38"/>
      <c r="CD1946" s="38"/>
      <c r="CE1946" s="38"/>
      <c r="CF1946" s="38"/>
      <c r="CG1946" s="38"/>
      <c r="CH1946" s="38"/>
      <c r="CI1946" s="38"/>
      <c r="CJ1946" s="38"/>
      <c r="CK1946" s="38"/>
      <c r="CL1946" s="38"/>
      <c r="CM1946" s="38"/>
      <c r="CN1946" s="38"/>
      <c r="CO1946" s="38"/>
      <c r="CP1946" s="38"/>
      <c r="CQ1946" s="38"/>
      <c r="CR1946" s="38"/>
      <c r="CS1946" s="38"/>
      <c r="CT1946" s="38"/>
      <c r="CU1946" s="38"/>
      <c r="CV1946" s="38"/>
      <c r="CW1946" s="38"/>
      <c r="CX1946" s="38"/>
      <c r="CY1946" s="38"/>
      <c r="CZ1946" s="38"/>
      <c r="DA1946" s="38"/>
      <c r="DB1946" s="38"/>
      <c r="DC1946" s="38"/>
      <c r="DD1946" s="38"/>
      <c r="DE1946" s="38"/>
      <c r="DF1946" s="38"/>
      <c r="DG1946" s="38"/>
      <c r="DH1946" s="38"/>
      <c r="DI1946" s="38"/>
      <c r="DJ1946" s="38"/>
      <c r="DK1946" s="38"/>
      <c r="DL1946" s="38"/>
      <c r="DM1946" s="38"/>
      <c r="DN1946" s="38"/>
      <c r="DO1946" s="38"/>
      <c r="DP1946" s="38"/>
      <c r="DQ1946" s="38"/>
      <c r="DR1946" s="38"/>
      <c r="DS1946" s="38"/>
      <c r="DT1946" s="38"/>
      <c r="DU1946" s="38"/>
      <c r="DV1946" s="38"/>
      <c r="DW1946" s="38"/>
      <c r="DX1946" s="38"/>
      <c r="DY1946" s="38"/>
      <c r="DZ1946" s="38"/>
      <c r="EA1946" s="38"/>
      <c r="EB1946" s="38"/>
      <c r="EC1946" s="38"/>
      <c r="ED1946" s="38"/>
      <c r="EE1946" s="38"/>
      <c r="EF1946" s="38"/>
      <c r="EG1946" s="38"/>
      <c r="EH1946" s="38"/>
      <c r="EI1946" s="38"/>
      <c r="EJ1946" s="38"/>
      <c r="EK1946" s="38"/>
      <c r="EL1946" s="38"/>
      <c r="EM1946" s="38"/>
      <c r="EN1946" s="38"/>
      <c r="EO1946" s="38"/>
      <c r="EP1946" s="38"/>
      <c r="EQ1946" s="38"/>
      <c r="ER1946" s="38"/>
      <c r="ES1946" s="38"/>
      <c r="ET1946" s="38"/>
      <c r="EU1946" s="38"/>
      <c r="EV1946" s="38"/>
      <c r="EW1946" s="38"/>
      <c r="EX1946" s="38"/>
      <c r="EY1946" s="38"/>
      <c r="EZ1946" s="38"/>
      <c r="FA1946" s="38"/>
      <c r="FB1946" s="38"/>
      <c r="FC1946" s="38"/>
      <c r="FD1946" s="38"/>
      <c r="FE1946" s="38"/>
      <c r="FF1946" s="38"/>
      <c r="FG1946" s="38"/>
      <c r="FH1946" s="38"/>
      <c r="FI1946" s="38"/>
      <c r="FJ1946" s="38"/>
      <c r="FK1946" s="38"/>
      <c r="FL1946" s="38"/>
      <c r="FM1946" s="38"/>
      <c r="FN1946" s="38"/>
      <c r="FO1946" s="38"/>
      <c r="FP1946" s="38"/>
      <c r="FQ1946" s="38"/>
      <c r="FR1946" s="38"/>
      <c r="FS1946" s="38"/>
      <c r="FT1946" s="38"/>
      <c r="FU1946" s="38"/>
      <c r="FV1946" s="38"/>
      <c r="FW1946" s="38"/>
      <c r="FX1946" s="38"/>
      <c r="FY1946" s="38"/>
      <c r="FZ1946" s="38"/>
      <c r="GA1946" s="38"/>
      <c r="GB1946" s="38"/>
      <c r="GC1946" s="38"/>
      <c r="GD1946" s="38"/>
      <c r="GE1946" s="38"/>
      <c r="GF1946" s="38"/>
      <c r="GG1946" s="38"/>
      <c r="GH1946" s="38"/>
      <c r="GI1946" s="38"/>
      <c r="GJ1946" s="38"/>
      <c r="GK1946" s="38"/>
      <c r="GL1946" s="38"/>
      <c r="GM1946" s="38"/>
      <c r="GN1946" s="38"/>
      <c r="GO1946" s="38"/>
      <c r="GP1946" s="38"/>
      <c r="GQ1946" s="38"/>
      <c r="GR1946" s="38"/>
      <c r="GS1946" s="38"/>
      <c r="GT1946" s="38"/>
      <c r="GU1946" s="38"/>
      <c r="GV1946" s="38"/>
      <c r="GW1946" s="38"/>
      <c r="GX1946" s="38"/>
      <c r="GY1946" s="38"/>
      <c r="GZ1946" s="38"/>
      <c r="HA1946" s="38"/>
      <c r="HB1946" s="38"/>
      <c r="HC1946" s="38"/>
      <c r="HD1946" s="38"/>
      <c r="HE1946" s="38"/>
      <c r="HF1946" s="38"/>
      <c r="HG1946" s="38"/>
      <c r="HH1946" s="38"/>
      <c r="HI1946" s="38"/>
      <c r="HJ1946" s="38"/>
      <c r="HK1946" s="38"/>
      <c r="HL1946" s="38"/>
      <c r="HM1946" s="38"/>
      <c r="HN1946" s="38"/>
      <c r="HO1946" s="38"/>
      <c r="HP1946" s="38"/>
      <c r="HQ1946" s="38"/>
      <c r="HR1946" s="38"/>
      <c r="HS1946" s="38"/>
      <c r="HT1946" s="38"/>
      <c r="HU1946" s="38"/>
      <c r="HV1946" s="38"/>
      <c r="HW1946" s="38"/>
      <c r="HX1946" s="38"/>
      <c r="HY1946" s="38"/>
      <c r="HZ1946" s="38"/>
      <c r="IA1946" s="38"/>
      <c r="IB1946" s="38"/>
      <c r="IC1946" s="38"/>
      <c r="ID1946" s="38"/>
      <c r="IE1946" s="38"/>
      <c r="IF1946" s="38"/>
      <c r="IG1946" s="38"/>
      <c r="IH1946" s="38"/>
      <c r="II1946" s="38"/>
      <c r="IJ1946" s="38"/>
      <c r="IK1946" s="38"/>
      <c r="IL1946" s="38"/>
      <c r="IM1946" s="38"/>
      <c r="IN1946" s="38"/>
      <c r="IO1946" s="38"/>
      <c r="IP1946" s="38"/>
      <c r="IQ1946" s="38"/>
      <c r="IR1946" s="38"/>
      <c r="IS1946" s="38"/>
      <c r="IT1946" s="38"/>
      <c r="IU1946" s="38"/>
      <c r="IV1946" s="38"/>
      <c r="IW1946" s="38"/>
      <c r="IX1946" s="38"/>
      <c r="IY1946" s="38"/>
      <c r="IZ1946" s="38"/>
      <c r="JA1946" s="38"/>
      <c r="JB1946" s="38"/>
      <c r="JC1946" s="38"/>
      <c r="JD1946" s="38"/>
      <c r="JE1946" s="38"/>
      <c r="JF1946" s="38"/>
      <c r="JG1946" s="38"/>
      <c r="JH1946" s="38"/>
      <c r="JI1946" s="38"/>
      <c r="JJ1946" s="38"/>
      <c r="JK1946" s="38"/>
      <c r="JL1946" s="38"/>
      <c r="JM1946" s="38"/>
      <c r="JN1946" s="38"/>
      <c r="JO1946" s="38"/>
      <c r="JP1946" s="38"/>
      <c r="JQ1946" s="38"/>
      <c r="JR1946" s="38"/>
      <c r="JS1946" s="38"/>
      <c r="JT1946" s="38"/>
      <c r="JU1946" s="38"/>
      <c r="JV1946" s="38"/>
      <c r="JW1946" s="38"/>
      <c r="JX1946" s="38"/>
      <c r="JY1946" s="38"/>
      <c r="JZ1946" s="38"/>
      <c r="KA1946" s="38"/>
      <c r="KB1946" s="38"/>
      <c r="KC1946" s="38"/>
      <c r="KD1946" s="38"/>
      <c r="KE1946" s="38"/>
      <c r="KF1946" s="38"/>
      <c r="KG1946" s="38"/>
      <c r="KH1946" s="38"/>
      <c r="KI1946" s="38"/>
      <c r="KJ1946" s="38"/>
      <c r="KK1946" s="38"/>
      <c r="KL1946" s="38"/>
      <c r="KM1946" s="38"/>
      <c r="KN1946" s="38"/>
      <c r="KO1946" s="38"/>
      <c r="KP1946" s="38"/>
      <c r="KQ1946" s="38"/>
      <c r="KR1946" s="38"/>
      <c r="KS1946" s="38"/>
      <c r="KT1946" s="38"/>
      <c r="KU1946" s="38"/>
      <c r="KV1946" s="38"/>
      <c r="KW1946" s="38"/>
      <c r="KX1946" s="38"/>
      <c r="KY1946" s="38"/>
      <c r="KZ1946" s="38"/>
      <c r="LA1946" s="38"/>
      <c r="LB1946" s="38"/>
      <c r="LC1946" s="38"/>
      <c r="LD1946" s="38"/>
      <c r="LE1946" s="38"/>
      <c r="LF1946" s="38"/>
      <c r="LG1946" s="38"/>
      <c r="LH1946" s="38"/>
      <c r="LI1946" s="38"/>
      <c r="LJ1946" s="38"/>
      <c r="LK1946" s="38"/>
      <c r="LL1946" s="38"/>
      <c r="LM1946" s="38"/>
      <c r="LN1946" s="38"/>
      <c r="LO1946" s="38"/>
      <c r="LP1946" s="38"/>
      <c r="LQ1946" s="38"/>
      <c r="LR1946" s="38"/>
      <c r="LS1946" s="38"/>
      <c r="LT1946" s="38"/>
      <c r="LU1946" s="38"/>
      <c r="LV1946" s="38"/>
      <c r="LW1946" s="38"/>
      <c r="LX1946" s="38"/>
      <c r="LY1946" s="38"/>
      <c r="LZ1946" s="38"/>
      <c r="MA1946" s="38"/>
      <c r="MB1946" s="38"/>
      <c r="MC1946" s="38"/>
      <c r="MD1946" s="38"/>
      <c r="ME1946" s="38"/>
      <c r="MF1946" s="38"/>
      <c r="MG1946" s="38"/>
      <c r="MH1946" s="38"/>
      <c r="MI1946" s="38"/>
      <c r="MJ1946" s="38"/>
      <c r="MK1946" s="38"/>
      <c r="ML1946" s="38"/>
      <c r="MM1946" s="38"/>
      <c r="MN1946" s="38"/>
      <c r="MO1946" s="38"/>
      <c r="MP1946" s="38"/>
      <c r="MQ1946" s="38"/>
      <c r="MR1946" s="38"/>
      <c r="MS1946" s="38"/>
      <c r="MT1946" s="38"/>
      <c r="MU1946" s="38"/>
      <c r="MV1946" s="38"/>
      <c r="MW1946" s="38"/>
      <c r="MX1946" s="38"/>
      <c r="MY1946" s="38"/>
      <c r="MZ1946" s="38"/>
      <c r="NA1946" s="38"/>
      <c r="NB1946" s="38"/>
      <c r="NC1946" s="38"/>
      <c r="ND1946" s="38"/>
      <c r="NE1946" s="38"/>
      <c r="NF1946" s="38"/>
      <c r="NG1946" s="38"/>
      <c r="NH1946" s="38"/>
      <c r="NI1946" s="38"/>
      <c r="NJ1946" s="38"/>
      <c r="NK1946" s="38"/>
      <c r="NL1946" s="38"/>
      <c r="NM1946" s="38"/>
      <c r="NN1946" s="38"/>
      <c r="NO1946" s="38"/>
      <c r="NP1946" s="38"/>
      <c r="NQ1946" s="38"/>
      <c r="NR1946" s="38"/>
      <c r="NS1946" s="38"/>
      <c r="NT1946" s="38"/>
      <c r="NU1946" s="38"/>
      <c r="NV1946" s="38"/>
      <c r="NW1946" s="38"/>
      <c r="NX1946" s="38"/>
      <c r="NY1946" s="38"/>
      <c r="NZ1946" s="38"/>
      <c r="OA1946" s="38"/>
      <c r="OB1946" s="38"/>
      <c r="OC1946" s="38"/>
      <c r="OD1946" s="38"/>
      <c r="OE1946" s="38"/>
      <c r="OF1946" s="38"/>
      <c r="OG1946" s="38"/>
      <c r="OH1946" s="38"/>
      <c r="OI1946" s="38"/>
      <c r="OJ1946" s="38"/>
      <c r="OK1946" s="38"/>
      <c r="OL1946" s="38"/>
      <c r="OM1946" s="38"/>
      <c r="ON1946" s="38"/>
      <c r="OO1946" s="38"/>
      <c r="OP1946" s="38"/>
      <c r="OQ1946" s="38"/>
      <c r="OR1946" s="38"/>
      <c r="OS1946" s="38"/>
      <c r="OT1946" s="38"/>
      <c r="OU1946" s="38"/>
      <c r="OV1946" s="38"/>
      <c r="OW1946" s="38"/>
      <c r="OX1946" s="38"/>
      <c r="OY1946" s="38"/>
      <c r="OZ1946" s="38"/>
      <c r="PA1946" s="38"/>
      <c r="PB1946" s="38"/>
      <c r="PC1946" s="38"/>
      <c r="PD1946" s="38"/>
      <c r="PE1946" s="38"/>
      <c r="PF1946" s="38"/>
      <c r="PG1946" s="38"/>
      <c r="PH1946" s="38"/>
      <c r="PI1946" s="38"/>
      <c r="PJ1946" s="38"/>
      <c r="PK1946" s="38"/>
      <c r="PL1946" s="38"/>
      <c r="PM1946" s="38"/>
      <c r="PN1946" s="38"/>
      <c r="PO1946" s="38"/>
      <c r="PP1946" s="38"/>
      <c r="PQ1946" s="38"/>
      <c r="PR1946" s="38"/>
      <c r="PS1946" s="38"/>
      <c r="PT1946" s="38"/>
      <c r="PU1946" s="38"/>
      <c r="PV1946" s="38"/>
      <c r="PW1946" s="38"/>
      <c r="PX1946" s="38"/>
      <c r="PY1946" s="38"/>
      <c r="PZ1946" s="38"/>
      <c r="QA1946" s="38"/>
      <c r="QB1946" s="38"/>
      <c r="QC1946" s="38"/>
      <c r="QD1946" s="38"/>
      <c r="QE1946" s="38"/>
      <c r="QF1946" s="38"/>
      <c r="QG1946" s="38"/>
      <c r="QH1946" s="38"/>
      <c r="QI1946" s="38"/>
      <c r="QJ1946" s="38"/>
      <c r="QK1946" s="38"/>
      <c r="QL1946" s="38"/>
      <c r="QM1946" s="38"/>
      <c r="QN1946" s="38"/>
      <c r="QO1946" s="38"/>
      <c r="QP1946" s="38"/>
      <c r="QQ1946" s="38"/>
      <c r="QR1946" s="38"/>
      <c r="QS1946" s="38"/>
      <c r="QT1946" s="38"/>
      <c r="QU1946" s="38"/>
      <c r="QV1946" s="38"/>
      <c r="QW1946" s="38"/>
      <c r="QX1946" s="38"/>
      <c r="QY1946" s="38"/>
      <c r="QZ1946" s="38"/>
      <c r="RA1946" s="38"/>
      <c r="RB1946" s="38"/>
      <c r="RC1946" s="38"/>
      <c r="RD1946" s="38"/>
      <c r="RE1946" s="38"/>
      <c r="RF1946" s="38"/>
      <c r="RG1946" s="38"/>
      <c r="RH1946" s="38"/>
      <c r="RI1946" s="38"/>
      <c r="RJ1946" s="38"/>
      <c r="RK1946" s="38"/>
      <c r="RL1946" s="38"/>
      <c r="RM1946" s="38"/>
      <c r="RN1946" s="38"/>
      <c r="RO1946" s="38"/>
      <c r="RP1946" s="38"/>
      <c r="RQ1946" s="38"/>
      <c r="RR1946" s="38"/>
      <c r="RS1946" s="38"/>
      <c r="RT1946" s="38"/>
      <c r="RU1946" s="38"/>
      <c r="RV1946" s="38"/>
      <c r="RW1946" s="38"/>
      <c r="RX1946" s="38"/>
      <c r="RY1946" s="38"/>
      <c r="RZ1946" s="38"/>
      <c r="SA1946" s="38"/>
      <c r="SB1946" s="38"/>
      <c r="SC1946" s="38"/>
      <c r="SD1946" s="38"/>
      <c r="SE1946" s="38"/>
      <c r="SF1946" s="38"/>
      <c r="SG1946" s="38"/>
      <c r="SH1946" s="38"/>
      <c r="SI1946" s="38"/>
      <c r="SJ1946" s="38"/>
      <c r="SK1946" s="38"/>
      <c r="SL1946" s="38"/>
      <c r="SM1946" s="38"/>
      <c r="SN1946" s="38"/>
      <c r="SO1946" s="38"/>
      <c r="SP1946" s="38"/>
      <c r="SQ1946" s="38"/>
      <c r="SR1946" s="38"/>
      <c r="SS1946" s="38"/>
      <c r="ST1946" s="38"/>
      <c r="SU1946" s="38"/>
      <c r="SV1946" s="38"/>
      <c r="SW1946" s="38"/>
      <c r="SX1946" s="38"/>
      <c r="SY1946" s="38"/>
      <c r="SZ1946" s="38"/>
      <c r="TA1946" s="38"/>
      <c r="TB1946" s="38"/>
      <c r="TC1946" s="38"/>
      <c r="TD1946" s="38"/>
      <c r="TE1946" s="38"/>
      <c r="TF1946" s="38"/>
      <c r="TG1946" s="38"/>
      <c r="TH1946" s="38"/>
      <c r="TI1946" s="38"/>
      <c r="TJ1946" s="38"/>
      <c r="TK1946" s="38"/>
      <c r="TL1946" s="38"/>
      <c r="TM1946" s="38"/>
      <c r="TN1946" s="38"/>
      <c r="TO1946" s="38"/>
      <c r="TP1946" s="38"/>
      <c r="TQ1946" s="38"/>
      <c r="TR1946" s="38"/>
      <c r="TS1946" s="38"/>
      <c r="TT1946" s="38"/>
      <c r="TU1946" s="38"/>
      <c r="TV1946" s="38"/>
      <c r="TW1946" s="38"/>
      <c r="TX1946" s="38"/>
      <c r="TY1946" s="38"/>
      <c r="TZ1946" s="38"/>
      <c r="UA1946" s="38"/>
      <c r="UB1946" s="38"/>
      <c r="UC1946" s="38"/>
      <c r="UD1946" s="38"/>
      <c r="UE1946" s="38"/>
      <c r="UF1946" s="38"/>
      <c r="UG1946" s="38"/>
      <c r="UH1946" s="38"/>
      <c r="UI1946" s="38"/>
      <c r="UJ1946" s="38"/>
      <c r="UK1946" s="38"/>
      <c r="UL1946" s="38"/>
      <c r="UM1946" s="38"/>
      <c r="UN1946" s="38"/>
      <c r="UO1946" s="38"/>
      <c r="UP1946" s="38"/>
      <c r="UQ1946" s="38"/>
      <c r="UR1946" s="38"/>
      <c r="US1946" s="38"/>
      <c r="UT1946" s="38"/>
      <c r="UU1946" s="38"/>
      <c r="UV1946" s="38"/>
      <c r="UW1946" s="38"/>
      <c r="UX1946" s="38"/>
      <c r="UY1946" s="38"/>
      <c r="UZ1946" s="38"/>
      <c r="VA1946" s="38"/>
      <c r="VB1946" s="38"/>
      <c r="VC1946" s="38"/>
      <c r="VD1946" s="38"/>
      <c r="VE1946" s="38"/>
      <c r="VF1946" s="38"/>
      <c r="VG1946" s="38"/>
      <c r="VH1946" s="38"/>
      <c r="VI1946" s="38"/>
      <c r="VJ1946" s="38"/>
      <c r="VK1946" s="38"/>
      <c r="VL1946" s="38"/>
      <c r="VM1946" s="38"/>
      <c r="VN1946" s="38"/>
      <c r="VO1946" s="38"/>
      <c r="VP1946" s="38"/>
      <c r="VQ1946" s="38"/>
      <c r="VR1946" s="38"/>
      <c r="VS1946" s="38"/>
      <c r="VT1946" s="38"/>
      <c r="VU1946" s="38"/>
      <c r="VV1946" s="38"/>
      <c r="VW1946" s="38"/>
      <c r="VX1946" s="38"/>
      <c r="VY1946" s="38"/>
      <c r="VZ1946" s="38"/>
      <c r="WA1946" s="38"/>
      <c r="WB1946" s="38"/>
      <c r="WC1946" s="38"/>
      <c r="WD1946" s="38"/>
      <c r="WE1946" s="38"/>
      <c r="WF1946" s="38"/>
      <c r="WG1946" s="38"/>
      <c r="WH1946" s="38"/>
      <c r="WI1946" s="38"/>
      <c r="WJ1946" s="38"/>
      <c r="WK1946" s="38"/>
      <c r="WL1946" s="38"/>
      <c r="WM1946" s="38"/>
      <c r="WN1946" s="38"/>
      <c r="WO1946" s="38"/>
      <c r="WP1946" s="38"/>
      <c r="WQ1946" s="38"/>
      <c r="WR1946" s="38"/>
      <c r="WS1946" s="38"/>
      <c r="WT1946" s="38"/>
      <c r="WU1946" s="38"/>
      <c r="WV1946" s="38"/>
      <c r="WW1946" s="38"/>
      <c r="WX1946" s="38"/>
      <c r="WY1946" s="38"/>
      <c r="WZ1946" s="38"/>
      <c r="XA1946" s="38"/>
      <c r="XB1946" s="38"/>
      <c r="XC1946" s="38"/>
      <c r="XD1946" s="38"/>
      <c r="XE1946" s="38"/>
      <c r="XF1946" s="38"/>
      <c r="XG1946" s="38"/>
      <c r="XH1946" s="38"/>
      <c r="XI1946" s="38"/>
      <c r="XJ1946" s="38"/>
      <c r="XK1946" s="38"/>
      <c r="XL1946" s="38"/>
      <c r="XM1946" s="38"/>
      <c r="XN1946" s="38"/>
      <c r="XO1946" s="38"/>
      <c r="XP1946" s="38"/>
      <c r="XQ1946" s="38"/>
      <c r="XR1946" s="38"/>
      <c r="XS1946" s="38"/>
      <c r="XT1946" s="38"/>
      <c r="XU1946" s="38"/>
      <c r="XV1946" s="38"/>
      <c r="XW1946" s="38"/>
      <c r="XX1946" s="38"/>
      <c r="XY1946" s="38"/>
      <c r="XZ1946" s="38"/>
      <c r="YA1946" s="38"/>
      <c r="YB1946" s="38"/>
      <c r="YC1946" s="38"/>
      <c r="YD1946" s="38"/>
      <c r="YE1946" s="38"/>
      <c r="YF1946" s="38"/>
      <c r="YG1946" s="38"/>
      <c r="YH1946" s="38"/>
      <c r="YI1946" s="38"/>
      <c r="YJ1946" s="38"/>
      <c r="YK1946" s="38"/>
      <c r="YL1946" s="38"/>
      <c r="YM1946" s="38"/>
      <c r="YN1946" s="38"/>
      <c r="YO1946" s="38"/>
      <c r="YP1946" s="38"/>
      <c r="YQ1946" s="38"/>
      <c r="YR1946" s="38"/>
      <c r="YS1946" s="38"/>
      <c r="YT1946" s="38"/>
      <c r="YU1946" s="38"/>
      <c r="YV1946" s="38"/>
      <c r="YW1946" s="38"/>
      <c r="YX1946" s="38"/>
      <c r="YY1946" s="38"/>
      <c r="YZ1946" s="38"/>
      <c r="ZA1946" s="38"/>
      <c r="ZB1946" s="38"/>
      <c r="ZC1946" s="38"/>
      <c r="ZD1946" s="38"/>
      <c r="ZE1946" s="38"/>
      <c r="ZF1946" s="38"/>
      <c r="ZG1946" s="38"/>
      <c r="ZH1946" s="38"/>
      <c r="ZI1946" s="38"/>
      <c r="ZJ1946" s="38"/>
      <c r="ZK1946" s="38"/>
      <c r="ZL1946" s="38"/>
      <c r="ZM1946" s="38"/>
      <c r="ZN1946" s="38"/>
      <c r="ZO1946" s="38"/>
      <c r="ZP1946" s="38"/>
      <c r="ZQ1946" s="38"/>
      <c r="ZR1946" s="38"/>
      <c r="ZS1946" s="38"/>
      <c r="ZT1946" s="38"/>
      <c r="ZU1946" s="38"/>
      <c r="ZV1946" s="38"/>
      <c r="ZW1946" s="38"/>
      <c r="ZX1946" s="38"/>
      <c r="ZY1946" s="38"/>
      <c r="ZZ1946" s="38"/>
      <c r="AAA1946" s="38"/>
      <c r="AAB1946" s="38"/>
      <c r="AAC1946" s="38"/>
      <c r="AAD1946" s="38"/>
      <c r="AAE1946" s="38"/>
      <c r="AAF1946" s="38"/>
      <c r="AAG1946" s="38"/>
      <c r="AAH1946" s="38"/>
      <c r="AAI1946" s="38"/>
      <c r="AAJ1946" s="38"/>
      <c r="AAK1946" s="38"/>
      <c r="AAL1946" s="38"/>
      <c r="AAM1946" s="38"/>
      <c r="AAN1946" s="38"/>
      <c r="AAO1946" s="38"/>
      <c r="AAP1946" s="38"/>
      <c r="AAQ1946" s="38"/>
      <c r="AAR1946" s="38"/>
      <c r="AAS1946" s="38"/>
      <c r="AAT1946" s="38"/>
      <c r="AAU1946" s="38"/>
      <c r="AAV1946" s="38"/>
      <c r="AAW1946" s="38"/>
      <c r="AAX1946" s="38"/>
      <c r="AAY1946" s="38"/>
      <c r="AAZ1946" s="38"/>
      <c r="ABA1946" s="38"/>
      <c r="ABB1946" s="38"/>
      <c r="ABC1946" s="38"/>
      <c r="ABD1946" s="38"/>
      <c r="ABE1946" s="38"/>
      <c r="ABF1946" s="38"/>
      <c r="ABG1946" s="38"/>
      <c r="ABH1946" s="38"/>
      <c r="ABI1946" s="38"/>
      <c r="ABJ1946" s="38"/>
      <c r="ABK1946" s="38"/>
      <c r="ABL1946" s="38"/>
      <c r="ABM1946" s="38"/>
      <c r="ABN1946" s="38"/>
      <c r="ABO1946" s="38"/>
      <c r="ABP1946" s="38"/>
      <c r="ABQ1946" s="38"/>
      <c r="ABR1946" s="38"/>
      <c r="ABS1946" s="38"/>
      <c r="ABT1946" s="38"/>
      <c r="ABU1946" s="38"/>
      <c r="ABV1946" s="38"/>
      <c r="ABW1946" s="38"/>
      <c r="ABX1946" s="38"/>
      <c r="ABY1946" s="38"/>
      <c r="ABZ1946" s="38"/>
      <c r="ACA1946" s="38"/>
      <c r="ACB1946" s="38"/>
      <c r="ACC1946" s="38"/>
      <c r="ACD1946" s="38"/>
      <c r="ACE1946" s="38"/>
      <c r="ACF1946" s="38"/>
      <c r="ACG1946" s="38"/>
      <c r="ACH1946" s="38"/>
      <c r="ACI1946" s="38"/>
      <c r="ACJ1946" s="38"/>
      <c r="ACK1946" s="38"/>
      <c r="ACL1946" s="38"/>
      <c r="ACM1946" s="38"/>
      <c r="ACN1946" s="38"/>
      <c r="ACO1946" s="38"/>
      <c r="ACP1946" s="38"/>
      <c r="ACQ1946" s="38"/>
      <c r="ACR1946" s="38"/>
      <c r="ACS1946" s="38"/>
      <c r="ACT1946" s="38"/>
      <c r="ACU1946" s="38"/>
      <c r="ACV1946" s="38"/>
      <c r="ACW1946" s="38"/>
      <c r="ACX1946" s="38"/>
      <c r="ACY1946" s="38"/>
      <c r="ACZ1946" s="38"/>
      <c r="ADA1946" s="38"/>
      <c r="ADB1946" s="38"/>
      <c r="ADC1946" s="38"/>
      <c r="ADD1946" s="38"/>
      <c r="ADE1946" s="38"/>
      <c r="ADF1946" s="38"/>
      <c r="ADG1946" s="38"/>
      <c r="ADH1946" s="38"/>
      <c r="ADI1946" s="38"/>
      <c r="ADJ1946" s="38"/>
      <c r="ADK1946" s="38"/>
      <c r="ADL1946" s="38"/>
      <c r="ADM1946" s="38"/>
      <c r="ADN1946" s="38"/>
      <c r="ADO1946" s="38"/>
      <c r="ADP1946" s="38"/>
      <c r="ADQ1946" s="38"/>
      <c r="ADR1946" s="38"/>
      <c r="ADS1946" s="38"/>
      <c r="ADT1946" s="38"/>
      <c r="ADU1946" s="38"/>
      <c r="ADV1946" s="38"/>
      <c r="ADW1946" s="38"/>
      <c r="ADX1946" s="38"/>
      <c r="ADY1946" s="38"/>
      <c r="ADZ1946" s="38"/>
      <c r="AEA1946" s="38"/>
      <c r="AEB1946" s="38"/>
      <c r="AEC1946" s="38"/>
      <c r="AED1946" s="38"/>
      <c r="AEE1946" s="38"/>
      <c r="AEF1946" s="38"/>
      <c r="AEG1946" s="38"/>
      <c r="AEH1946" s="38"/>
      <c r="AEI1946" s="38"/>
      <c r="AEJ1946" s="38"/>
      <c r="AEK1946" s="38"/>
      <c r="AEL1946" s="38"/>
      <c r="AEM1946" s="38"/>
      <c r="AEN1946" s="38"/>
      <c r="AEO1946" s="38"/>
      <c r="AEP1946" s="38"/>
      <c r="AEQ1946" s="38"/>
      <c r="AER1946" s="38"/>
      <c r="AES1946" s="38"/>
      <c r="AET1946" s="38"/>
      <c r="AEU1946" s="38"/>
      <c r="AEV1946" s="38"/>
      <c r="AEW1946" s="38"/>
      <c r="AEX1946" s="38"/>
      <c r="AEY1946" s="38"/>
      <c r="AEZ1946" s="38"/>
      <c r="AFA1946" s="38"/>
      <c r="AFB1946" s="38"/>
      <c r="AFC1946" s="38"/>
      <c r="AFD1946" s="38"/>
      <c r="AFE1946" s="38"/>
      <c r="AFF1946" s="38"/>
      <c r="AFG1946" s="38"/>
      <c r="AFH1946" s="38"/>
      <c r="AFI1946" s="38"/>
      <c r="AFJ1946" s="38"/>
      <c r="AFK1946" s="38"/>
      <c r="AFL1946" s="38"/>
      <c r="AFM1946" s="38"/>
      <c r="AFN1946" s="38"/>
      <c r="AFO1946" s="38"/>
      <c r="AFP1946" s="38"/>
      <c r="AFQ1946" s="38"/>
      <c r="AFR1946" s="38"/>
      <c r="AFS1946" s="38"/>
      <c r="AFT1946" s="38"/>
      <c r="AFU1946" s="38"/>
      <c r="AFV1946" s="38"/>
      <c r="AFW1946" s="38"/>
      <c r="AFX1946" s="38"/>
      <c r="AFY1946" s="38"/>
      <c r="AFZ1946" s="38"/>
      <c r="AGA1946" s="38"/>
      <c r="AGB1946" s="38"/>
      <c r="AGC1946" s="38"/>
      <c r="AGD1946" s="38"/>
      <c r="AGE1946" s="38"/>
      <c r="AGF1946" s="38"/>
      <c r="AGG1946" s="38"/>
      <c r="AGH1946" s="38"/>
      <c r="AGI1946" s="38"/>
      <c r="AGJ1946" s="38"/>
      <c r="AGK1946" s="38"/>
      <c r="AGL1946" s="38"/>
      <c r="AGM1946" s="38"/>
      <c r="AGN1946" s="38"/>
      <c r="AGO1946" s="38"/>
      <c r="AGP1946" s="38"/>
      <c r="AGQ1946" s="38"/>
      <c r="AGR1946" s="38"/>
      <c r="AGS1946" s="38"/>
      <c r="AGT1946" s="38"/>
      <c r="AGU1946" s="38"/>
      <c r="AGV1946" s="38"/>
      <c r="AGW1946" s="38"/>
      <c r="AGX1946" s="38"/>
      <c r="AGY1946" s="38"/>
      <c r="AGZ1946" s="38"/>
      <c r="AHA1946" s="38"/>
      <c r="AHB1946" s="38"/>
      <c r="AHC1946" s="38"/>
      <c r="AHD1946" s="38"/>
      <c r="AHE1946" s="38"/>
      <c r="AHF1946" s="38"/>
      <c r="AHG1946" s="38"/>
      <c r="AHH1946" s="38"/>
      <c r="AHI1946" s="38"/>
      <c r="AHJ1946" s="38"/>
      <c r="AHK1946" s="38"/>
      <c r="AHL1946" s="38"/>
      <c r="AHM1946" s="38"/>
      <c r="AHN1946" s="38"/>
      <c r="AHO1946" s="38"/>
      <c r="AHP1946" s="38"/>
      <c r="AHQ1946" s="38"/>
      <c r="AHR1946" s="38"/>
      <c r="AHS1946" s="38"/>
      <c r="AHT1946" s="38"/>
      <c r="AHU1946" s="38"/>
      <c r="AHV1946" s="38"/>
      <c r="AHW1946" s="38"/>
      <c r="AHX1946" s="38"/>
      <c r="AHY1946" s="38"/>
      <c r="AHZ1946" s="38"/>
      <c r="AIA1946" s="38"/>
      <c r="AIB1946" s="38"/>
      <c r="AIC1946" s="38"/>
      <c r="AID1946" s="38"/>
      <c r="AIE1946" s="38"/>
      <c r="AIF1946" s="38"/>
      <c r="AIG1946" s="38"/>
      <c r="AIH1946" s="38"/>
      <c r="AII1946" s="38"/>
      <c r="AIJ1946" s="38"/>
      <c r="AIK1946" s="38"/>
      <c r="AIL1946" s="38"/>
      <c r="AIM1946" s="38"/>
      <c r="AIN1946" s="38"/>
      <c r="AIO1946" s="38"/>
      <c r="AIP1946" s="38"/>
      <c r="AIQ1946" s="38"/>
      <c r="AIR1946" s="38"/>
      <c r="AIS1946" s="38"/>
      <c r="AIT1946" s="38"/>
      <c r="AIU1946" s="38"/>
      <c r="AIV1946" s="38"/>
      <c r="AIW1946" s="38"/>
      <c r="AIX1946" s="38"/>
      <c r="AIY1946" s="38"/>
      <c r="AIZ1946" s="38"/>
      <c r="AJA1946" s="38"/>
      <c r="AJB1946" s="38"/>
      <c r="AJC1946" s="38"/>
      <c r="AJD1946" s="38"/>
      <c r="AJE1946" s="38"/>
      <c r="AJF1946" s="38"/>
      <c r="AJG1946" s="38"/>
      <c r="AJH1946" s="38"/>
      <c r="AJI1946" s="38"/>
      <c r="AJJ1946" s="38"/>
      <c r="AJK1946" s="38"/>
      <c r="AJL1946" s="38"/>
      <c r="AJM1946" s="38"/>
      <c r="AJN1946" s="38"/>
      <c r="AJO1946" s="38"/>
      <c r="AJP1946" s="38"/>
      <c r="AJQ1946" s="38"/>
      <c r="AJR1946" s="38"/>
      <c r="AJS1946" s="38"/>
      <c r="AJT1946" s="38"/>
      <c r="AJU1946" s="38"/>
      <c r="AJV1946" s="38"/>
      <c r="AJW1946" s="38"/>
      <c r="AJX1946" s="38"/>
      <c r="AJY1946" s="38"/>
      <c r="AJZ1946" s="38"/>
      <c r="AKA1946" s="38"/>
      <c r="AKB1946" s="38"/>
      <c r="AKC1946" s="38"/>
      <c r="AKD1946" s="38"/>
      <c r="AKE1946" s="38"/>
      <c r="AKF1946" s="38"/>
      <c r="AKG1946" s="38"/>
      <c r="AKH1946" s="38"/>
      <c r="AKI1946" s="38"/>
      <c r="AKJ1946" s="38"/>
      <c r="AKK1946" s="38"/>
      <c r="AKL1946" s="38"/>
      <c r="AKM1946" s="38"/>
      <c r="AKN1946" s="38"/>
      <c r="AKO1946" s="38"/>
      <c r="AKP1946" s="38"/>
      <c r="AKQ1946" s="38"/>
      <c r="AKR1946" s="38"/>
      <c r="AKS1946" s="38"/>
      <c r="AKT1946" s="38"/>
      <c r="AKU1946" s="38"/>
      <c r="AKV1946" s="38"/>
      <c r="AKW1946" s="38"/>
      <c r="AKX1946" s="38"/>
      <c r="AKY1946" s="38"/>
      <c r="AKZ1946" s="38"/>
      <c r="ALA1946" s="38"/>
      <c r="ALB1946" s="38"/>
      <c r="ALC1946" s="38"/>
      <c r="ALD1946" s="38"/>
      <c r="ALE1946" s="38"/>
      <c r="ALF1946" s="38"/>
      <c r="ALG1946" s="38"/>
      <c r="ALH1946" s="38"/>
      <c r="ALI1946" s="38"/>
      <c r="ALJ1946" s="38"/>
      <c r="ALK1946" s="38"/>
      <c r="ALL1946" s="38"/>
      <c r="ALM1946" s="38"/>
      <c r="ALN1946" s="38"/>
      <c r="ALO1946" s="38"/>
      <c r="ALP1946" s="38"/>
      <c r="ALQ1946" s="38"/>
      <c r="ALR1946" s="38"/>
      <c r="ALS1946" s="38"/>
      <c r="ALT1946" s="38"/>
      <c r="ALU1946" s="38"/>
      <c r="ALV1946" s="38"/>
      <c r="ALW1946" s="38"/>
      <c r="ALX1946" s="38"/>
      <c r="ALY1946" s="38"/>
      <c r="ALZ1946" s="38"/>
      <c r="AMA1946" s="38"/>
      <c r="AMB1946" s="38"/>
      <c r="AMC1946" s="38"/>
      <c r="AMD1946" s="38"/>
      <c r="AME1946" s="38"/>
      <c r="AMF1946" s="38"/>
      <c r="AMG1946" s="38"/>
      <c r="AMH1946" s="38"/>
      <c r="AMI1946" s="38"/>
      <c r="AMJ1946" s="38"/>
      <c r="AMK1946" s="38"/>
      <c r="AML1946" s="38"/>
      <c r="AMM1946" s="38"/>
      <c r="AMN1946" s="38"/>
      <c r="AMO1946" s="38"/>
      <c r="AMP1946" s="38"/>
      <c r="AMQ1946" s="38"/>
      <c r="AMR1946" s="38"/>
      <c r="AMS1946" s="38"/>
      <c r="AMT1946" s="38"/>
      <c r="AMU1946" s="38"/>
      <c r="AMV1946" s="38"/>
      <c r="AMW1946" s="38"/>
      <c r="AMX1946" s="38"/>
      <c r="AMY1946" s="38"/>
      <c r="AMZ1946" s="38"/>
      <c r="ANA1946" s="38"/>
      <c r="ANB1946" s="38"/>
      <c r="ANC1946" s="38"/>
      <c r="AND1946" s="38"/>
      <c r="ANE1946" s="38"/>
      <c r="ANF1946" s="38"/>
      <c r="ANG1946" s="38"/>
      <c r="ANH1946" s="38"/>
      <c r="ANI1946" s="38"/>
      <c r="ANJ1946" s="38"/>
      <c r="ANK1946" s="38"/>
      <c r="ANL1946" s="38"/>
      <c r="ANM1946" s="38"/>
      <c r="ANN1946" s="38"/>
      <c r="ANO1946" s="38"/>
      <c r="ANP1946" s="38"/>
      <c r="ANQ1946" s="38"/>
      <c r="ANR1946" s="38"/>
      <c r="ANS1946" s="38"/>
      <c r="ANT1946" s="38"/>
      <c r="ANU1946" s="38"/>
      <c r="ANV1946" s="38"/>
      <c r="ANW1946" s="38"/>
      <c r="ANX1946" s="38"/>
      <c r="ANY1946" s="38"/>
      <c r="ANZ1946" s="38"/>
      <c r="AOA1946" s="38"/>
      <c r="AOB1946" s="38"/>
      <c r="AOC1946" s="38"/>
      <c r="AOD1946" s="38"/>
      <c r="AOE1946" s="38"/>
      <c r="AOF1946" s="38"/>
      <c r="AOG1946" s="38"/>
      <c r="AOH1946" s="38"/>
      <c r="AOI1946" s="38"/>
      <c r="AOJ1946" s="38"/>
      <c r="AOK1946" s="38"/>
      <c r="AOL1946" s="38"/>
      <c r="AOM1946" s="38"/>
      <c r="AON1946" s="38"/>
      <c r="AOO1946" s="38"/>
      <c r="AOP1946" s="38"/>
      <c r="AOQ1946" s="38"/>
      <c r="AOR1946" s="38"/>
      <c r="AOS1946" s="38"/>
      <c r="AOT1946" s="38"/>
      <c r="AOU1946" s="38"/>
      <c r="AOV1946" s="38"/>
      <c r="AOW1946" s="38"/>
      <c r="AOX1946" s="38"/>
      <c r="AOY1946" s="38"/>
      <c r="AOZ1946" s="38"/>
      <c r="APA1946" s="38"/>
      <c r="APB1946" s="38"/>
      <c r="APC1946" s="38"/>
    </row>
    <row r="1947" spans="1:1095" s="36" customFormat="1" ht="14.25" customHeight="1">
      <c r="A1947" s="3" t="s">
        <v>1722</v>
      </c>
      <c r="B1947" s="36" t="s">
        <v>2228</v>
      </c>
      <c r="C1947" s="10">
        <v>4099854062322</v>
      </c>
      <c r="D1947" s="224">
        <v>4058075758100</v>
      </c>
      <c r="E1947" s="245" t="s">
        <v>2229</v>
      </c>
      <c r="F1947" s="246"/>
      <c r="G1947" s="66" t="str">
        <f>HYPERLINK("https://ledvance.com/pt/product-datasheet/251558/237412","Ficha de Produto")</f>
        <v>Ficha de Produto</v>
      </c>
      <c r="H1947" s="217">
        <v>10</v>
      </c>
      <c r="I1947" s="34" t="s">
        <v>6349</v>
      </c>
      <c r="J1947" s="34" t="s">
        <v>6363</v>
      </c>
      <c r="K1947" s="34" t="s">
        <v>788</v>
      </c>
      <c r="L1947" s="34" t="s">
        <v>765</v>
      </c>
      <c r="M1947" s="247">
        <v>11.8</v>
      </c>
      <c r="N1947" s="288" t="s">
        <v>722</v>
      </c>
    </row>
    <row r="1948" spans="1:1095" s="36" customFormat="1" ht="14.25" customHeight="1">
      <c r="A1948" s="3" t="s">
        <v>1722</v>
      </c>
      <c r="B1948" s="36" t="s">
        <v>2230</v>
      </c>
      <c r="C1948" s="10">
        <v>4099854062483</v>
      </c>
      <c r="D1948" s="224">
        <v>4058075758124</v>
      </c>
      <c r="E1948" s="245" t="s">
        <v>2231</v>
      </c>
      <c r="F1948" s="246"/>
      <c r="G1948" s="66" t="str">
        <f>HYPERLINK("https://ledvance.com/pt/product-datasheet/251558/237418","Ficha de Produto")</f>
        <v>Ficha de Produto</v>
      </c>
      <c r="H1948" s="217">
        <v>10</v>
      </c>
      <c r="I1948" s="34" t="s">
        <v>6349</v>
      </c>
      <c r="J1948" s="34" t="s">
        <v>6363</v>
      </c>
      <c r="K1948" s="34" t="s">
        <v>788</v>
      </c>
      <c r="L1948" s="34" t="s">
        <v>765</v>
      </c>
      <c r="M1948" s="247">
        <v>11.8</v>
      </c>
      <c r="N1948" s="288" t="s">
        <v>722</v>
      </c>
    </row>
    <row r="1949" spans="1:1095" s="39" customFormat="1" ht="14.25" customHeight="1">
      <c r="A1949" s="8" t="s">
        <v>1722</v>
      </c>
      <c r="B1949" s="244" t="s">
        <v>2232</v>
      </c>
      <c r="C1949" s="8"/>
      <c r="D1949" s="7"/>
      <c r="E1949" s="230"/>
      <c r="F1949" s="7"/>
      <c r="G1949" s="68"/>
      <c r="H1949" s="230"/>
      <c r="I1949" s="230"/>
      <c r="J1949" s="230"/>
      <c r="K1949" s="230"/>
      <c r="L1949" s="230"/>
      <c r="M1949" s="248"/>
      <c r="N1949" s="289"/>
      <c r="O1949" s="38"/>
      <c r="P1949" s="38"/>
      <c r="Q1949" s="38"/>
      <c r="R1949" s="38"/>
      <c r="S1949" s="38"/>
      <c r="T1949" s="38"/>
      <c r="U1949" s="38"/>
      <c r="V1949" s="38"/>
      <c r="W1949" s="38"/>
      <c r="X1949" s="38"/>
      <c r="Y1949" s="38"/>
      <c r="Z1949" s="38"/>
      <c r="AA1949" s="38"/>
      <c r="AB1949" s="38"/>
      <c r="AC1949" s="38"/>
      <c r="AD1949" s="38"/>
      <c r="AE1949" s="38"/>
      <c r="AF1949" s="38"/>
      <c r="AG1949" s="38"/>
      <c r="AH1949" s="38"/>
      <c r="AI1949" s="38"/>
      <c r="AJ1949" s="38"/>
      <c r="AK1949" s="38"/>
      <c r="AL1949" s="38"/>
      <c r="AM1949" s="38"/>
      <c r="AN1949" s="38"/>
      <c r="AO1949" s="38"/>
      <c r="AP1949" s="38"/>
      <c r="AQ1949" s="38"/>
      <c r="AR1949" s="38"/>
      <c r="AS1949" s="38"/>
      <c r="AT1949" s="38"/>
      <c r="AU1949" s="38"/>
      <c r="AV1949" s="38"/>
      <c r="AW1949" s="38"/>
      <c r="AX1949" s="38"/>
      <c r="AY1949" s="38"/>
      <c r="AZ1949" s="38"/>
      <c r="BA1949" s="38"/>
      <c r="BB1949" s="38"/>
      <c r="BC1949" s="38"/>
      <c r="BD1949" s="38"/>
      <c r="BE1949" s="38"/>
      <c r="BF1949" s="38"/>
      <c r="BG1949" s="38"/>
      <c r="BH1949" s="38"/>
      <c r="BI1949" s="38"/>
      <c r="BJ1949" s="38"/>
      <c r="BK1949" s="38"/>
      <c r="BL1949" s="38"/>
      <c r="BM1949" s="38"/>
      <c r="BN1949" s="38"/>
      <c r="BO1949" s="38"/>
      <c r="BP1949" s="38"/>
      <c r="BQ1949" s="38"/>
      <c r="BR1949" s="38"/>
      <c r="BS1949" s="38"/>
      <c r="BT1949" s="38"/>
      <c r="BU1949" s="38"/>
      <c r="BV1949" s="38"/>
      <c r="BW1949" s="38"/>
      <c r="BX1949" s="38"/>
      <c r="BY1949" s="38"/>
      <c r="BZ1949" s="38"/>
      <c r="CA1949" s="38"/>
      <c r="CB1949" s="38"/>
      <c r="CC1949" s="38"/>
      <c r="CD1949" s="38"/>
      <c r="CE1949" s="38"/>
      <c r="CF1949" s="38"/>
      <c r="CG1949" s="38"/>
      <c r="CH1949" s="38"/>
      <c r="CI1949" s="38"/>
      <c r="CJ1949" s="38"/>
      <c r="CK1949" s="38"/>
      <c r="CL1949" s="38"/>
      <c r="CM1949" s="38"/>
      <c r="CN1949" s="38"/>
      <c r="CO1949" s="38"/>
      <c r="CP1949" s="38"/>
      <c r="CQ1949" s="38"/>
      <c r="CR1949" s="38"/>
      <c r="CS1949" s="38"/>
      <c r="CT1949" s="38"/>
      <c r="CU1949" s="38"/>
      <c r="CV1949" s="38"/>
      <c r="CW1949" s="38"/>
      <c r="CX1949" s="38"/>
      <c r="CY1949" s="38"/>
      <c r="CZ1949" s="38"/>
      <c r="DA1949" s="38"/>
      <c r="DB1949" s="38"/>
      <c r="DC1949" s="38"/>
      <c r="DD1949" s="38"/>
      <c r="DE1949" s="38"/>
      <c r="DF1949" s="38"/>
      <c r="DG1949" s="38"/>
      <c r="DH1949" s="38"/>
      <c r="DI1949" s="38"/>
      <c r="DJ1949" s="38"/>
      <c r="DK1949" s="38"/>
      <c r="DL1949" s="38"/>
      <c r="DM1949" s="38"/>
      <c r="DN1949" s="38"/>
      <c r="DO1949" s="38"/>
      <c r="DP1949" s="38"/>
      <c r="DQ1949" s="38"/>
      <c r="DR1949" s="38"/>
      <c r="DS1949" s="38"/>
      <c r="DT1949" s="38"/>
      <c r="DU1949" s="38"/>
      <c r="DV1949" s="38"/>
      <c r="DW1949" s="38"/>
      <c r="DX1949" s="38"/>
      <c r="DY1949" s="38"/>
      <c r="DZ1949" s="38"/>
      <c r="EA1949" s="38"/>
      <c r="EB1949" s="38"/>
      <c r="EC1949" s="38"/>
      <c r="ED1949" s="38"/>
      <c r="EE1949" s="38"/>
      <c r="EF1949" s="38"/>
      <c r="EG1949" s="38"/>
      <c r="EH1949" s="38"/>
      <c r="EI1949" s="38"/>
      <c r="EJ1949" s="38"/>
      <c r="EK1949" s="38"/>
      <c r="EL1949" s="38"/>
      <c r="EM1949" s="38"/>
      <c r="EN1949" s="38"/>
      <c r="EO1949" s="38"/>
      <c r="EP1949" s="38"/>
      <c r="EQ1949" s="38"/>
      <c r="ER1949" s="38"/>
      <c r="ES1949" s="38"/>
      <c r="ET1949" s="38"/>
      <c r="EU1949" s="38"/>
      <c r="EV1949" s="38"/>
      <c r="EW1949" s="38"/>
      <c r="EX1949" s="38"/>
      <c r="EY1949" s="38"/>
      <c r="EZ1949" s="38"/>
      <c r="FA1949" s="38"/>
      <c r="FB1949" s="38"/>
      <c r="FC1949" s="38"/>
      <c r="FD1949" s="38"/>
      <c r="FE1949" s="38"/>
      <c r="FF1949" s="38"/>
      <c r="FG1949" s="38"/>
      <c r="FH1949" s="38"/>
      <c r="FI1949" s="38"/>
      <c r="FJ1949" s="38"/>
      <c r="FK1949" s="38"/>
      <c r="FL1949" s="38"/>
      <c r="FM1949" s="38"/>
      <c r="FN1949" s="38"/>
      <c r="FO1949" s="38"/>
      <c r="FP1949" s="38"/>
      <c r="FQ1949" s="38"/>
      <c r="FR1949" s="38"/>
      <c r="FS1949" s="38"/>
      <c r="FT1949" s="38"/>
      <c r="FU1949" s="38"/>
      <c r="FV1949" s="38"/>
      <c r="FW1949" s="38"/>
      <c r="FX1949" s="38"/>
      <c r="FY1949" s="38"/>
      <c r="FZ1949" s="38"/>
      <c r="GA1949" s="38"/>
      <c r="GB1949" s="38"/>
      <c r="GC1949" s="38"/>
      <c r="GD1949" s="38"/>
      <c r="GE1949" s="38"/>
      <c r="GF1949" s="38"/>
      <c r="GG1949" s="38"/>
      <c r="GH1949" s="38"/>
      <c r="GI1949" s="38"/>
      <c r="GJ1949" s="38"/>
      <c r="GK1949" s="38"/>
      <c r="GL1949" s="38"/>
      <c r="GM1949" s="38"/>
      <c r="GN1949" s="38"/>
      <c r="GO1949" s="38"/>
      <c r="GP1949" s="38"/>
      <c r="GQ1949" s="38"/>
      <c r="GR1949" s="38"/>
      <c r="GS1949" s="38"/>
      <c r="GT1949" s="38"/>
      <c r="GU1949" s="38"/>
      <c r="GV1949" s="38"/>
      <c r="GW1949" s="38"/>
      <c r="GX1949" s="38"/>
      <c r="GY1949" s="38"/>
      <c r="GZ1949" s="38"/>
      <c r="HA1949" s="38"/>
      <c r="HB1949" s="38"/>
      <c r="HC1949" s="38"/>
      <c r="HD1949" s="38"/>
      <c r="HE1949" s="38"/>
      <c r="HF1949" s="38"/>
      <c r="HG1949" s="38"/>
      <c r="HH1949" s="38"/>
      <c r="HI1949" s="38"/>
      <c r="HJ1949" s="38"/>
      <c r="HK1949" s="38"/>
      <c r="HL1949" s="38"/>
      <c r="HM1949" s="38"/>
      <c r="HN1949" s="38"/>
      <c r="HO1949" s="38"/>
      <c r="HP1949" s="38"/>
      <c r="HQ1949" s="38"/>
      <c r="HR1949" s="38"/>
      <c r="HS1949" s="38"/>
      <c r="HT1949" s="38"/>
      <c r="HU1949" s="38"/>
      <c r="HV1949" s="38"/>
      <c r="HW1949" s="38"/>
      <c r="HX1949" s="38"/>
      <c r="HY1949" s="38"/>
      <c r="HZ1949" s="38"/>
      <c r="IA1949" s="38"/>
      <c r="IB1949" s="38"/>
      <c r="IC1949" s="38"/>
      <c r="ID1949" s="38"/>
      <c r="IE1949" s="38"/>
      <c r="IF1949" s="38"/>
      <c r="IG1949" s="38"/>
      <c r="IH1949" s="38"/>
      <c r="II1949" s="38"/>
      <c r="IJ1949" s="38"/>
      <c r="IK1949" s="38"/>
      <c r="IL1949" s="38"/>
      <c r="IM1949" s="38"/>
      <c r="IN1949" s="38"/>
      <c r="IO1949" s="38"/>
      <c r="IP1949" s="38"/>
      <c r="IQ1949" s="38"/>
      <c r="IR1949" s="38"/>
      <c r="IS1949" s="38"/>
      <c r="IT1949" s="38"/>
      <c r="IU1949" s="38"/>
      <c r="IV1949" s="38"/>
      <c r="IW1949" s="38"/>
      <c r="IX1949" s="38"/>
      <c r="IY1949" s="38"/>
      <c r="IZ1949" s="38"/>
      <c r="JA1949" s="38"/>
      <c r="JB1949" s="38"/>
      <c r="JC1949" s="38"/>
      <c r="JD1949" s="38"/>
      <c r="JE1949" s="38"/>
      <c r="JF1949" s="38"/>
      <c r="JG1949" s="38"/>
      <c r="JH1949" s="38"/>
      <c r="JI1949" s="38"/>
      <c r="JJ1949" s="38"/>
      <c r="JK1949" s="38"/>
      <c r="JL1949" s="38"/>
      <c r="JM1949" s="38"/>
      <c r="JN1949" s="38"/>
      <c r="JO1949" s="38"/>
      <c r="JP1949" s="38"/>
      <c r="JQ1949" s="38"/>
      <c r="JR1949" s="38"/>
      <c r="JS1949" s="38"/>
      <c r="JT1949" s="38"/>
      <c r="JU1949" s="38"/>
      <c r="JV1949" s="38"/>
      <c r="JW1949" s="38"/>
      <c r="JX1949" s="38"/>
      <c r="JY1949" s="38"/>
      <c r="JZ1949" s="38"/>
      <c r="KA1949" s="38"/>
      <c r="KB1949" s="38"/>
      <c r="KC1949" s="38"/>
      <c r="KD1949" s="38"/>
      <c r="KE1949" s="38"/>
      <c r="KF1949" s="38"/>
      <c r="KG1949" s="38"/>
      <c r="KH1949" s="38"/>
      <c r="KI1949" s="38"/>
      <c r="KJ1949" s="38"/>
      <c r="KK1949" s="38"/>
      <c r="KL1949" s="38"/>
      <c r="KM1949" s="38"/>
      <c r="KN1949" s="38"/>
      <c r="KO1949" s="38"/>
      <c r="KP1949" s="38"/>
      <c r="KQ1949" s="38"/>
      <c r="KR1949" s="38"/>
      <c r="KS1949" s="38"/>
      <c r="KT1949" s="38"/>
      <c r="KU1949" s="38"/>
      <c r="KV1949" s="38"/>
      <c r="KW1949" s="38"/>
      <c r="KX1949" s="38"/>
      <c r="KY1949" s="38"/>
      <c r="KZ1949" s="38"/>
      <c r="LA1949" s="38"/>
      <c r="LB1949" s="38"/>
      <c r="LC1949" s="38"/>
      <c r="LD1949" s="38"/>
      <c r="LE1949" s="38"/>
      <c r="LF1949" s="38"/>
      <c r="LG1949" s="38"/>
      <c r="LH1949" s="38"/>
      <c r="LI1949" s="38"/>
      <c r="LJ1949" s="38"/>
      <c r="LK1949" s="38"/>
      <c r="LL1949" s="38"/>
      <c r="LM1949" s="38"/>
      <c r="LN1949" s="38"/>
      <c r="LO1949" s="38"/>
      <c r="LP1949" s="38"/>
      <c r="LQ1949" s="38"/>
      <c r="LR1949" s="38"/>
      <c r="LS1949" s="38"/>
      <c r="LT1949" s="38"/>
      <c r="LU1949" s="38"/>
      <c r="LV1949" s="38"/>
      <c r="LW1949" s="38"/>
      <c r="LX1949" s="38"/>
      <c r="LY1949" s="38"/>
      <c r="LZ1949" s="38"/>
      <c r="MA1949" s="38"/>
      <c r="MB1949" s="38"/>
      <c r="MC1949" s="38"/>
      <c r="MD1949" s="38"/>
      <c r="ME1949" s="38"/>
      <c r="MF1949" s="38"/>
      <c r="MG1949" s="38"/>
      <c r="MH1949" s="38"/>
      <c r="MI1949" s="38"/>
      <c r="MJ1949" s="38"/>
      <c r="MK1949" s="38"/>
      <c r="ML1949" s="38"/>
      <c r="MM1949" s="38"/>
      <c r="MN1949" s="38"/>
      <c r="MO1949" s="38"/>
      <c r="MP1949" s="38"/>
      <c r="MQ1949" s="38"/>
      <c r="MR1949" s="38"/>
      <c r="MS1949" s="38"/>
      <c r="MT1949" s="38"/>
      <c r="MU1949" s="38"/>
      <c r="MV1949" s="38"/>
      <c r="MW1949" s="38"/>
      <c r="MX1949" s="38"/>
      <c r="MY1949" s="38"/>
      <c r="MZ1949" s="38"/>
      <c r="NA1949" s="38"/>
      <c r="NB1949" s="38"/>
      <c r="NC1949" s="38"/>
      <c r="ND1949" s="38"/>
      <c r="NE1949" s="38"/>
      <c r="NF1949" s="38"/>
      <c r="NG1949" s="38"/>
      <c r="NH1949" s="38"/>
      <c r="NI1949" s="38"/>
      <c r="NJ1949" s="38"/>
      <c r="NK1949" s="38"/>
      <c r="NL1949" s="38"/>
      <c r="NM1949" s="38"/>
      <c r="NN1949" s="38"/>
      <c r="NO1949" s="38"/>
      <c r="NP1949" s="38"/>
      <c r="NQ1949" s="38"/>
      <c r="NR1949" s="38"/>
      <c r="NS1949" s="38"/>
      <c r="NT1949" s="38"/>
      <c r="NU1949" s="38"/>
      <c r="NV1949" s="38"/>
      <c r="NW1949" s="38"/>
      <c r="NX1949" s="38"/>
      <c r="NY1949" s="38"/>
      <c r="NZ1949" s="38"/>
      <c r="OA1949" s="38"/>
      <c r="OB1949" s="38"/>
      <c r="OC1949" s="38"/>
      <c r="OD1949" s="38"/>
      <c r="OE1949" s="38"/>
      <c r="OF1949" s="38"/>
      <c r="OG1949" s="38"/>
      <c r="OH1949" s="38"/>
      <c r="OI1949" s="38"/>
      <c r="OJ1949" s="38"/>
      <c r="OK1949" s="38"/>
      <c r="OL1949" s="38"/>
      <c r="OM1949" s="38"/>
      <c r="ON1949" s="38"/>
      <c r="OO1949" s="38"/>
      <c r="OP1949" s="38"/>
      <c r="OQ1949" s="38"/>
      <c r="OR1949" s="38"/>
      <c r="OS1949" s="38"/>
      <c r="OT1949" s="38"/>
      <c r="OU1949" s="38"/>
      <c r="OV1949" s="38"/>
      <c r="OW1949" s="38"/>
      <c r="OX1949" s="38"/>
      <c r="OY1949" s="38"/>
      <c r="OZ1949" s="38"/>
      <c r="PA1949" s="38"/>
      <c r="PB1949" s="38"/>
      <c r="PC1949" s="38"/>
      <c r="PD1949" s="38"/>
      <c r="PE1949" s="38"/>
      <c r="PF1949" s="38"/>
      <c r="PG1949" s="38"/>
      <c r="PH1949" s="38"/>
      <c r="PI1949" s="38"/>
      <c r="PJ1949" s="38"/>
      <c r="PK1949" s="38"/>
      <c r="PL1949" s="38"/>
      <c r="PM1949" s="38"/>
      <c r="PN1949" s="38"/>
      <c r="PO1949" s="38"/>
      <c r="PP1949" s="38"/>
      <c r="PQ1949" s="38"/>
      <c r="PR1949" s="38"/>
      <c r="PS1949" s="38"/>
      <c r="PT1949" s="38"/>
      <c r="PU1949" s="38"/>
      <c r="PV1949" s="38"/>
      <c r="PW1949" s="38"/>
      <c r="PX1949" s="38"/>
      <c r="PY1949" s="38"/>
      <c r="PZ1949" s="38"/>
      <c r="QA1949" s="38"/>
      <c r="QB1949" s="38"/>
      <c r="QC1949" s="38"/>
      <c r="QD1949" s="38"/>
      <c r="QE1949" s="38"/>
      <c r="QF1949" s="38"/>
      <c r="QG1949" s="38"/>
      <c r="QH1949" s="38"/>
      <c r="QI1949" s="38"/>
      <c r="QJ1949" s="38"/>
      <c r="QK1949" s="38"/>
      <c r="QL1949" s="38"/>
      <c r="QM1949" s="38"/>
      <c r="QN1949" s="38"/>
      <c r="QO1949" s="38"/>
      <c r="QP1949" s="38"/>
      <c r="QQ1949" s="38"/>
      <c r="QR1949" s="38"/>
      <c r="QS1949" s="38"/>
      <c r="QT1949" s="38"/>
      <c r="QU1949" s="38"/>
      <c r="QV1949" s="38"/>
      <c r="QW1949" s="38"/>
      <c r="QX1949" s="38"/>
      <c r="QY1949" s="38"/>
      <c r="QZ1949" s="38"/>
      <c r="RA1949" s="38"/>
      <c r="RB1949" s="38"/>
      <c r="RC1949" s="38"/>
      <c r="RD1949" s="38"/>
      <c r="RE1949" s="38"/>
      <c r="RF1949" s="38"/>
      <c r="RG1949" s="38"/>
      <c r="RH1949" s="38"/>
      <c r="RI1949" s="38"/>
      <c r="RJ1949" s="38"/>
      <c r="RK1949" s="38"/>
      <c r="RL1949" s="38"/>
      <c r="RM1949" s="38"/>
      <c r="RN1949" s="38"/>
      <c r="RO1949" s="38"/>
      <c r="RP1949" s="38"/>
      <c r="RQ1949" s="38"/>
      <c r="RR1949" s="38"/>
      <c r="RS1949" s="38"/>
      <c r="RT1949" s="38"/>
      <c r="RU1949" s="38"/>
      <c r="RV1949" s="38"/>
      <c r="RW1949" s="38"/>
      <c r="RX1949" s="38"/>
      <c r="RY1949" s="38"/>
      <c r="RZ1949" s="38"/>
      <c r="SA1949" s="38"/>
      <c r="SB1949" s="38"/>
      <c r="SC1949" s="38"/>
      <c r="SD1949" s="38"/>
      <c r="SE1949" s="38"/>
      <c r="SF1949" s="38"/>
      <c r="SG1949" s="38"/>
      <c r="SH1949" s="38"/>
      <c r="SI1949" s="38"/>
      <c r="SJ1949" s="38"/>
      <c r="SK1949" s="38"/>
      <c r="SL1949" s="38"/>
      <c r="SM1949" s="38"/>
      <c r="SN1949" s="38"/>
      <c r="SO1949" s="38"/>
      <c r="SP1949" s="38"/>
      <c r="SQ1949" s="38"/>
      <c r="SR1949" s="38"/>
      <c r="SS1949" s="38"/>
      <c r="ST1949" s="38"/>
      <c r="SU1949" s="38"/>
      <c r="SV1949" s="38"/>
      <c r="SW1949" s="38"/>
      <c r="SX1949" s="38"/>
      <c r="SY1949" s="38"/>
      <c r="SZ1949" s="38"/>
      <c r="TA1949" s="38"/>
      <c r="TB1949" s="38"/>
      <c r="TC1949" s="38"/>
      <c r="TD1949" s="38"/>
      <c r="TE1949" s="38"/>
      <c r="TF1949" s="38"/>
      <c r="TG1949" s="38"/>
      <c r="TH1949" s="38"/>
      <c r="TI1949" s="38"/>
      <c r="TJ1949" s="38"/>
      <c r="TK1949" s="38"/>
      <c r="TL1949" s="38"/>
      <c r="TM1949" s="38"/>
      <c r="TN1949" s="38"/>
      <c r="TO1949" s="38"/>
      <c r="TP1949" s="38"/>
      <c r="TQ1949" s="38"/>
      <c r="TR1949" s="38"/>
      <c r="TS1949" s="38"/>
      <c r="TT1949" s="38"/>
      <c r="TU1949" s="38"/>
      <c r="TV1949" s="38"/>
      <c r="TW1949" s="38"/>
      <c r="TX1949" s="38"/>
      <c r="TY1949" s="38"/>
      <c r="TZ1949" s="38"/>
      <c r="UA1949" s="38"/>
      <c r="UB1949" s="38"/>
      <c r="UC1949" s="38"/>
      <c r="UD1949" s="38"/>
      <c r="UE1949" s="38"/>
      <c r="UF1949" s="38"/>
      <c r="UG1949" s="38"/>
      <c r="UH1949" s="38"/>
      <c r="UI1949" s="38"/>
      <c r="UJ1949" s="38"/>
      <c r="UK1949" s="38"/>
      <c r="UL1949" s="38"/>
      <c r="UM1949" s="38"/>
      <c r="UN1949" s="38"/>
      <c r="UO1949" s="38"/>
      <c r="UP1949" s="38"/>
      <c r="UQ1949" s="38"/>
      <c r="UR1949" s="38"/>
      <c r="US1949" s="38"/>
      <c r="UT1949" s="38"/>
      <c r="UU1949" s="38"/>
      <c r="UV1949" s="38"/>
      <c r="UW1949" s="38"/>
      <c r="UX1949" s="38"/>
      <c r="UY1949" s="38"/>
      <c r="UZ1949" s="38"/>
      <c r="VA1949" s="38"/>
      <c r="VB1949" s="38"/>
      <c r="VC1949" s="38"/>
      <c r="VD1949" s="38"/>
      <c r="VE1949" s="38"/>
      <c r="VF1949" s="38"/>
      <c r="VG1949" s="38"/>
      <c r="VH1949" s="38"/>
      <c r="VI1949" s="38"/>
      <c r="VJ1949" s="38"/>
      <c r="VK1949" s="38"/>
      <c r="VL1949" s="38"/>
      <c r="VM1949" s="38"/>
      <c r="VN1949" s="38"/>
      <c r="VO1949" s="38"/>
      <c r="VP1949" s="38"/>
      <c r="VQ1949" s="38"/>
      <c r="VR1949" s="38"/>
      <c r="VS1949" s="38"/>
      <c r="VT1949" s="38"/>
      <c r="VU1949" s="38"/>
      <c r="VV1949" s="38"/>
      <c r="VW1949" s="38"/>
      <c r="VX1949" s="38"/>
      <c r="VY1949" s="38"/>
      <c r="VZ1949" s="38"/>
      <c r="WA1949" s="38"/>
      <c r="WB1949" s="38"/>
      <c r="WC1949" s="38"/>
      <c r="WD1949" s="38"/>
      <c r="WE1949" s="38"/>
      <c r="WF1949" s="38"/>
      <c r="WG1949" s="38"/>
      <c r="WH1949" s="38"/>
      <c r="WI1949" s="38"/>
      <c r="WJ1949" s="38"/>
      <c r="WK1949" s="38"/>
      <c r="WL1949" s="38"/>
      <c r="WM1949" s="38"/>
      <c r="WN1949" s="38"/>
      <c r="WO1949" s="38"/>
      <c r="WP1949" s="38"/>
      <c r="WQ1949" s="38"/>
      <c r="WR1949" s="38"/>
      <c r="WS1949" s="38"/>
      <c r="WT1949" s="38"/>
      <c r="WU1949" s="38"/>
      <c r="WV1949" s="38"/>
      <c r="WW1949" s="38"/>
      <c r="WX1949" s="38"/>
      <c r="WY1949" s="38"/>
      <c r="WZ1949" s="38"/>
      <c r="XA1949" s="38"/>
      <c r="XB1949" s="38"/>
      <c r="XC1949" s="38"/>
      <c r="XD1949" s="38"/>
      <c r="XE1949" s="38"/>
      <c r="XF1949" s="38"/>
      <c r="XG1949" s="38"/>
      <c r="XH1949" s="38"/>
      <c r="XI1949" s="38"/>
      <c r="XJ1949" s="38"/>
      <c r="XK1949" s="38"/>
      <c r="XL1949" s="38"/>
      <c r="XM1949" s="38"/>
      <c r="XN1949" s="38"/>
      <c r="XO1949" s="38"/>
      <c r="XP1949" s="38"/>
      <c r="XQ1949" s="38"/>
      <c r="XR1949" s="38"/>
      <c r="XS1949" s="38"/>
      <c r="XT1949" s="38"/>
      <c r="XU1949" s="38"/>
      <c r="XV1949" s="38"/>
      <c r="XW1949" s="38"/>
      <c r="XX1949" s="38"/>
      <c r="XY1949" s="38"/>
      <c r="XZ1949" s="38"/>
      <c r="YA1949" s="38"/>
      <c r="YB1949" s="38"/>
      <c r="YC1949" s="38"/>
      <c r="YD1949" s="38"/>
      <c r="YE1949" s="38"/>
      <c r="YF1949" s="38"/>
      <c r="YG1949" s="38"/>
      <c r="YH1949" s="38"/>
      <c r="YI1949" s="38"/>
      <c r="YJ1949" s="38"/>
      <c r="YK1949" s="38"/>
      <c r="YL1949" s="38"/>
      <c r="YM1949" s="38"/>
      <c r="YN1949" s="38"/>
      <c r="YO1949" s="38"/>
      <c r="YP1949" s="38"/>
      <c r="YQ1949" s="38"/>
      <c r="YR1949" s="38"/>
      <c r="YS1949" s="38"/>
      <c r="YT1949" s="38"/>
      <c r="YU1949" s="38"/>
      <c r="YV1949" s="38"/>
      <c r="YW1949" s="38"/>
      <c r="YX1949" s="38"/>
      <c r="YY1949" s="38"/>
      <c r="YZ1949" s="38"/>
      <c r="ZA1949" s="38"/>
      <c r="ZB1949" s="38"/>
      <c r="ZC1949" s="38"/>
      <c r="ZD1949" s="38"/>
      <c r="ZE1949" s="38"/>
      <c r="ZF1949" s="38"/>
      <c r="ZG1949" s="38"/>
      <c r="ZH1949" s="38"/>
      <c r="ZI1949" s="38"/>
      <c r="ZJ1949" s="38"/>
      <c r="ZK1949" s="38"/>
      <c r="ZL1949" s="38"/>
      <c r="ZM1949" s="38"/>
      <c r="ZN1949" s="38"/>
      <c r="ZO1949" s="38"/>
      <c r="ZP1949" s="38"/>
      <c r="ZQ1949" s="38"/>
      <c r="ZR1949" s="38"/>
      <c r="ZS1949" s="38"/>
      <c r="ZT1949" s="38"/>
      <c r="ZU1949" s="38"/>
      <c r="ZV1949" s="38"/>
      <c r="ZW1949" s="38"/>
      <c r="ZX1949" s="38"/>
      <c r="ZY1949" s="38"/>
      <c r="ZZ1949" s="38"/>
      <c r="AAA1949" s="38"/>
      <c r="AAB1949" s="38"/>
      <c r="AAC1949" s="38"/>
      <c r="AAD1949" s="38"/>
      <c r="AAE1949" s="38"/>
      <c r="AAF1949" s="38"/>
      <c r="AAG1949" s="38"/>
      <c r="AAH1949" s="38"/>
      <c r="AAI1949" s="38"/>
      <c r="AAJ1949" s="38"/>
      <c r="AAK1949" s="38"/>
      <c r="AAL1949" s="38"/>
      <c r="AAM1949" s="38"/>
      <c r="AAN1949" s="38"/>
      <c r="AAO1949" s="38"/>
      <c r="AAP1949" s="38"/>
      <c r="AAQ1949" s="38"/>
      <c r="AAR1949" s="38"/>
      <c r="AAS1949" s="38"/>
      <c r="AAT1949" s="38"/>
      <c r="AAU1949" s="38"/>
      <c r="AAV1949" s="38"/>
      <c r="AAW1949" s="38"/>
      <c r="AAX1949" s="38"/>
      <c r="AAY1949" s="38"/>
      <c r="AAZ1949" s="38"/>
      <c r="ABA1949" s="38"/>
      <c r="ABB1949" s="38"/>
      <c r="ABC1949" s="38"/>
      <c r="ABD1949" s="38"/>
      <c r="ABE1949" s="38"/>
      <c r="ABF1949" s="38"/>
      <c r="ABG1949" s="38"/>
      <c r="ABH1949" s="38"/>
      <c r="ABI1949" s="38"/>
      <c r="ABJ1949" s="38"/>
      <c r="ABK1949" s="38"/>
      <c r="ABL1949" s="38"/>
      <c r="ABM1949" s="38"/>
      <c r="ABN1949" s="38"/>
      <c r="ABO1949" s="38"/>
      <c r="ABP1949" s="38"/>
      <c r="ABQ1949" s="38"/>
      <c r="ABR1949" s="38"/>
      <c r="ABS1949" s="38"/>
      <c r="ABT1949" s="38"/>
      <c r="ABU1949" s="38"/>
      <c r="ABV1949" s="38"/>
      <c r="ABW1949" s="38"/>
      <c r="ABX1949" s="38"/>
      <c r="ABY1949" s="38"/>
      <c r="ABZ1949" s="38"/>
      <c r="ACA1949" s="38"/>
      <c r="ACB1949" s="38"/>
      <c r="ACC1949" s="38"/>
      <c r="ACD1949" s="38"/>
      <c r="ACE1949" s="38"/>
      <c r="ACF1949" s="38"/>
      <c r="ACG1949" s="38"/>
      <c r="ACH1949" s="38"/>
      <c r="ACI1949" s="38"/>
      <c r="ACJ1949" s="38"/>
      <c r="ACK1949" s="38"/>
      <c r="ACL1949" s="38"/>
      <c r="ACM1949" s="38"/>
      <c r="ACN1949" s="38"/>
      <c r="ACO1949" s="38"/>
      <c r="ACP1949" s="38"/>
      <c r="ACQ1949" s="38"/>
      <c r="ACR1949" s="38"/>
      <c r="ACS1949" s="38"/>
      <c r="ACT1949" s="38"/>
      <c r="ACU1949" s="38"/>
      <c r="ACV1949" s="38"/>
      <c r="ACW1949" s="38"/>
      <c r="ACX1949" s="38"/>
      <c r="ACY1949" s="38"/>
      <c r="ACZ1949" s="38"/>
      <c r="ADA1949" s="38"/>
      <c r="ADB1949" s="38"/>
      <c r="ADC1949" s="38"/>
      <c r="ADD1949" s="38"/>
      <c r="ADE1949" s="38"/>
      <c r="ADF1949" s="38"/>
      <c r="ADG1949" s="38"/>
      <c r="ADH1949" s="38"/>
      <c r="ADI1949" s="38"/>
      <c r="ADJ1949" s="38"/>
      <c r="ADK1949" s="38"/>
      <c r="ADL1949" s="38"/>
      <c r="ADM1949" s="38"/>
      <c r="ADN1949" s="38"/>
      <c r="ADO1949" s="38"/>
      <c r="ADP1949" s="38"/>
      <c r="ADQ1949" s="38"/>
      <c r="ADR1949" s="38"/>
      <c r="ADS1949" s="38"/>
      <c r="ADT1949" s="38"/>
      <c r="ADU1949" s="38"/>
      <c r="ADV1949" s="38"/>
      <c r="ADW1949" s="38"/>
      <c r="ADX1949" s="38"/>
      <c r="ADY1949" s="38"/>
      <c r="ADZ1949" s="38"/>
      <c r="AEA1949" s="38"/>
      <c r="AEB1949" s="38"/>
      <c r="AEC1949" s="38"/>
      <c r="AED1949" s="38"/>
      <c r="AEE1949" s="38"/>
      <c r="AEF1949" s="38"/>
      <c r="AEG1949" s="38"/>
      <c r="AEH1949" s="38"/>
      <c r="AEI1949" s="38"/>
      <c r="AEJ1949" s="38"/>
      <c r="AEK1949" s="38"/>
      <c r="AEL1949" s="38"/>
      <c r="AEM1949" s="38"/>
      <c r="AEN1949" s="38"/>
      <c r="AEO1949" s="38"/>
      <c r="AEP1949" s="38"/>
      <c r="AEQ1949" s="38"/>
      <c r="AER1949" s="38"/>
      <c r="AES1949" s="38"/>
      <c r="AET1949" s="38"/>
      <c r="AEU1949" s="38"/>
      <c r="AEV1949" s="38"/>
      <c r="AEW1949" s="38"/>
      <c r="AEX1949" s="38"/>
      <c r="AEY1949" s="38"/>
      <c r="AEZ1949" s="38"/>
      <c r="AFA1949" s="38"/>
      <c r="AFB1949" s="38"/>
      <c r="AFC1949" s="38"/>
      <c r="AFD1949" s="38"/>
      <c r="AFE1949" s="38"/>
      <c r="AFF1949" s="38"/>
      <c r="AFG1949" s="38"/>
      <c r="AFH1949" s="38"/>
      <c r="AFI1949" s="38"/>
      <c r="AFJ1949" s="38"/>
      <c r="AFK1949" s="38"/>
      <c r="AFL1949" s="38"/>
      <c r="AFM1949" s="38"/>
      <c r="AFN1949" s="38"/>
      <c r="AFO1949" s="38"/>
      <c r="AFP1949" s="38"/>
      <c r="AFQ1949" s="38"/>
      <c r="AFR1949" s="38"/>
      <c r="AFS1949" s="38"/>
      <c r="AFT1949" s="38"/>
      <c r="AFU1949" s="38"/>
      <c r="AFV1949" s="38"/>
      <c r="AFW1949" s="38"/>
      <c r="AFX1949" s="38"/>
      <c r="AFY1949" s="38"/>
      <c r="AFZ1949" s="38"/>
      <c r="AGA1949" s="38"/>
      <c r="AGB1949" s="38"/>
      <c r="AGC1949" s="38"/>
      <c r="AGD1949" s="38"/>
      <c r="AGE1949" s="38"/>
      <c r="AGF1949" s="38"/>
      <c r="AGG1949" s="38"/>
      <c r="AGH1949" s="38"/>
      <c r="AGI1949" s="38"/>
      <c r="AGJ1949" s="38"/>
      <c r="AGK1949" s="38"/>
      <c r="AGL1949" s="38"/>
      <c r="AGM1949" s="38"/>
      <c r="AGN1949" s="38"/>
      <c r="AGO1949" s="38"/>
      <c r="AGP1949" s="38"/>
      <c r="AGQ1949" s="38"/>
      <c r="AGR1949" s="38"/>
      <c r="AGS1949" s="38"/>
      <c r="AGT1949" s="38"/>
      <c r="AGU1949" s="38"/>
      <c r="AGV1949" s="38"/>
      <c r="AGW1949" s="38"/>
      <c r="AGX1949" s="38"/>
      <c r="AGY1949" s="38"/>
      <c r="AGZ1949" s="38"/>
      <c r="AHA1949" s="38"/>
      <c r="AHB1949" s="38"/>
      <c r="AHC1949" s="38"/>
      <c r="AHD1949" s="38"/>
      <c r="AHE1949" s="38"/>
      <c r="AHF1949" s="38"/>
      <c r="AHG1949" s="38"/>
      <c r="AHH1949" s="38"/>
      <c r="AHI1949" s="38"/>
      <c r="AHJ1949" s="38"/>
      <c r="AHK1949" s="38"/>
      <c r="AHL1949" s="38"/>
      <c r="AHM1949" s="38"/>
      <c r="AHN1949" s="38"/>
      <c r="AHO1949" s="38"/>
      <c r="AHP1949" s="38"/>
      <c r="AHQ1949" s="38"/>
      <c r="AHR1949" s="38"/>
      <c r="AHS1949" s="38"/>
      <c r="AHT1949" s="38"/>
      <c r="AHU1949" s="38"/>
      <c r="AHV1949" s="38"/>
      <c r="AHW1949" s="38"/>
      <c r="AHX1949" s="38"/>
      <c r="AHY1949" s="38"/>
      <c r="AHZ1949" s="38"/>
      <c r="AIA1949" s="38"/>
      <c r="AIB1949" s="38"/>
      <c r="AIC1949" s="38"/>
      <c r="AID1949" s="38"/>
      <c r="AIE1949" s="38"/>
      <c r="AIF1949" s="38"/>
      <c r="AIG1949" s="38"/>
      <c r="AIH1949" s="38"/>
      <c r="AII1949" s="38"/>
      <c r="AIJ1949" s="38"/>
      <c r="AIK1949" s="38"/>
      <c r="AIL1949" s="38"/>
      <c r="AIM1949" s="38"/>
      <c r="AIN1949" s="38"/>
      <c r="AIO1949" s="38"/>
      <c r="AIP1949" s="38"/>
      <c r="AIQ1949" s="38"/>
      <c r="AIR1949" s="38"/>
      <c r="AIS1949" s="38"/>
      <c r="AIT1949" s="38"/>
      <c r="AIU1949" s="38"/>
      <c r="AIV1949" s="38"/>
      <c r="AIW1949" s="38"/>
      <c r="AIX1949" s="38"/>
      <c r="AIY1949" s="38"/>
      <c r="AIZ1949" s="38"/>
      <c r="AJA1949" s="38"/>
      <c r="AJB1949" s="38"/>
      <c r="AJC1949" s="38"/>
      <c r="AJD1949" s="38"/>
      <c r="AJE1949" s="38"/>
      <c r="AJF1949" s="38"/>
      <c r="AJG1949" s="38"/>
      <c r="AJH1949" s="38"/>
      <c r="AJI1949" s="38"/>
      <c r="AJJ1949" s="38"/>
      <c r="AJK1949" s="38"/>
      <c r="AJL1949" s="38"/>
      <c r="AJM1949" s="38"/>
      <c r="AJN1949" s="38"/>
      <c r="AJO1949" s="38"/>
      <c r="AJP1949" s="38"/>
      <c r="AJQ1949" s="38"/>
      <c r="AJR1949" s="38"/>
      <c r="AJS1949" s="38"/>
      <c r="AJT1949" s="38"/>
      <c r="AJU1949" s="38"/>
      <c r="AJV1949" s="38"/>
      <c r="AJW1949" s="38"/>
      <c r="AJX1949" s="38"/>
      <c r="AJY1949" s="38"/>
      <c r="AJZ1949" s="38"/>
      <c r="AKA1949" s="38"/>
      <c r="AKB1949" s="38"/>
      <c r="AKC1949" s="38"/>
      <c r="AKD1949" s="38"/>
      <c r="AKE1949" s="38"/>
      <c r="AKF1949" s="38"/>
      <c r="AKG1949" s="38"/>
      <c r="AKH1949" s="38"/>
      <c r="AKI1949" s="38"/>
      <c r="AKJ1949" s="38"/>
      <c r="AKK1949" s="38"/>
      <c r="AKL1949" s="38"/>
      <c r="AKM1949" s="38"/>
      <c r="AKN1949" s="38"/>
      <c r="AKO1949" s="38"/>
      <c r="AKP1949" s="38"/>
      <c r="AKQ1949" s="38"/>
      <c r="AKR1949" s="38"/>
      <c r="AKS1949" s="38"/>
      <c r="AKT1949" s="38"/>
      <c r="AKU1949" s="38"/>
      <c r="AKV1949" s="38"/>
      <c r="AKW1949" s="38"/>
      <c r="AKX1949" s="38"/>
      <c r="AKY1949" s="38"/>
      <c r="AKZ1949" s="38"/>
      <c r="ALA1949" s="38"/>
      <c r="ALB1949" s="38"/>
      <c r="ALC1949" s="38"/>
      <c r="ALD1949" s="38"/>
      <c r="ALE1949" s="38"/>
      <c r="ALF1949" s="38"/>
      <c r="ALG1949" s="38"/>
      <c r="ALH1949" s="38"/>
      <c r="ALI1949" s="38"/>
      <c r="ALJ1949" s="38"/>
      <c r="ALK1949" s="38"/>
      <c r="ALL1949" s="38"/>
      <c r="ALM1949" s="38"/>
      <c r="ALN1949" s="38"/>
      <c r="ALO1949" s="38"/>
      <c r="ALP1949" s="38"/>
      <c r="ALQ1949" s="38"/>
      <c r="ALR1949" s="38"/>
      <c r="ALS1949" s="38"/>
      <c r="ALT1949" s="38"/>
      <c r="ALU1949" s="38"/>
      <c r="ALV1949" s="38"/>
      <c r="ALW1949" s="38"/>
      <c r="ALX1949" s="38"/>
      <c r="ALY1949" s="38"/>
      <c r="ALZ1949" s="38"/>
      <c r="AMA1949" s="38"/>
      <c r="AMB1949" s="38"/>
      <c r="AMC1949" s="38"/>
      <c r="AMD1949" s="38"/>
      <c r="AME1949" s="38"/>
      <c r="AMF1949" s="38"/>
      <c r="AMG1949" s="38"/>
      <c r="AMH1949" s="38"/>
      <c r="AMI1949" s="38"/>
      <c r="AMJ1949" s="38"/>
      <c r="AMK1949" s="38"/>
      <c r="AML1949" s="38"/>
      <c r="AMM1949" s="38"/>
      <c r="AMN1949" s="38"/>
      <c r="AMO1949" s="38"/>
      <c r="AMP1949" s="38"/>
      <c r="AMQ1949" s="38"/>
      <c r="AMR1949" s="38"/>
      <c r="AMS1949" s="38"/>
      <c r="AMT1949" s="38"/>
      <c r="AMU1949" s="38"/>
      <c r="AMV1949" s="38"/>
      <c r="AMW1949" s="38"/>
      <c r="AMX1949" s="38"/>
      <c r="AMY1949" s="38"/>
      <c r="AMZ1949" s="38"/>
      <c r="ANA1949" s="38"/>
      <c r="ANB1949" s="38"/>
      <c r="ANC1949" s="38"/>
      <c r="AND1949" s="38"/>
      <c r="ANE1949" s="38"/>
      <c r="ANF1949" s="38"/>
      <c r="ANG1949" s="38"/>
      <c r="ANH1949" s="38"/>
      <c r="ANI1949" s="38"/>
      <c r="ANJ1949" s="38"/>
      <c r="ANK1949" s="38"/>
      <c r="ANL1949" s="38"/>
      <c r="ANM1949" s="38"/>
      <c r="ANN1949" s="38"/>
      <c r="ANO1949" s="38"/>
      <c r="ANP1949" s="38"/>
      <c r="ANQ1949" s="38"/>
      <c r="ANR1949" s="38"/>
      <c r="ANS1949" s="38"/>
      <c r="ANT1949" s="38"/>
      <c r="ANU1949" s="38"/>
      <c r="ANV1949" s="38"/>
      <c r="ANW1949" s="38"/>
      <c r="ANX1949" s="38"/>
      <c r="ANY1949" s="38"/>
      <c r="ANZ1949" s="38"/>
      <c r="AOA1949" s="38"/>
      <c r="AOB1949" s="38"/>
      <c r="AOC1949" s="38"/>
      <c r="AOD1949" s="38"/>
      <c r="AOE1949" s="38"/>
      <c r="AOF1949" s="38"/>
      <c r="AOG1949" s="38"/>
      <c r="AOH1949" s="38"/>
      <c r="AOI1949" s="38"/>
      <c r="AOJ1949" s="38"/>
      <c r="AOK1949" s="38"/>
      <c r="AOL1949" s="38"/>
      <c r="AOM1949" s="38"/>
      <c r="AON1949" s="38"/>
      <c r="AOO1949" s="38"/>
      <c r="AOP1949" s="38"/>
      <c r="AOQ1949" s="38"/>
      <c r="AOR1949" s="38"/>
      <c r="AOS1949" s="38"/>
      <c r="AOT1949" s="38"/>
      <c r="AOU1949" s="38"/>
      <c r="AOV1949" s="38"/>
      <c r="AOW1949" s="38"/>
      <c r="AOX1949" s="38"/>
      <c r="AOY1949" s="38"/>
      <c r="AOZ1949" s="38"/>
      <c r="APA1949" s="38"/>
      <c r="APB1949" s="38"/>
      <c r="APC1949" s="38"/>
    </row>
    <row r="1950" spans="1:1095" s="36" customFormat="1" ht="14.25" customHeight="1">
      <c r="A1950" s="3" t="s">
        <v>1722</v>
      </c>
      <c r="B1950" s="36" t="s">
        <v>2233</v>
      </c>
      <c r="C1950" s="10">
        <v>4099854067396</v>
      </c>
      <c r="D1950" s="224">
        <v>4058075591158</v>
      </c>
      <c r="E1950" s="245" t="s">
        <v>2234</v>
      </c>
      <c r="F1950" s="246"/>
      <c r="G1950" s="66" t="str">
        <f>HYPERLINK("https://ledvance.com/pt/product-datasheet/251424/238302","Ficha de Produto")</f>
        <v>Ficha de Produto</v>
      </c>
      <c r="H1950" s="217">
        <v>10</v>
      </c>
      <c r="I1950" s="34" t="s">
        <v>6354</v>
      </c>
      <c r="J1950" s="34" t="s">
        <v>6365</v>
      </c>
      <c r="K1950" s="34" t="s">
        <v>788</v>
      </c>
      <c r="L1950" s="34" t="s">
        <v>765</v>
      </c>
      <c r="M1950" s="247">
        <v>8.3000000000000007</v>
      </c>
      <c r="N1950" s="288" t="s">
        <v>722</v>
      </c>
    </row>
    <row r="1951" spans="1:1095" s="36" customFormat="1" ht="14.25" customHeight="1">
      <c r="A1951" s="3" t="s">
        <v>1722</v>
      </c>
      <c r="B1951" s="36" t="s">
        <v>2235</v>
      </c>
      <c r="C1951" s="10">
        <v>4099854054372</v>
      </c>
      <c r="D1951" s="224">
        <v>4058075591073</v>
      </c>
      <c r="E1951" s="245" t="s">
        <v>2236</v>
      </c>
      <c r="F1951" s="246"/>
      <c r="G1951" s="66" t="str">
        <f>HYPERLINK("https://ledvance.com/pt/product-datasheet/251424/236238","Ficha de Produto")</f>
        <v>Ficha de Produto</v>
      </c>
      <c r="H1951" s="217">
        <v>10</v>
      </c>
      <c r="I1951" s="34" t="s">
        <v>6349</v>
      </c>
      <c r="J1951" s="34" t="s">
        <v>809</v>
      </c>
      <c r="K1951" s="34" t="s">
        <v>788</v>
      </c>
      <c r="L1951" s="34" t="s">
        <v>765</v>
      </c>
      <c r="M1951" s="247">
        <v>8.6</v>
      </c>
      <c r="N1951" s="288" t="s">
        <v>722</v>
      </c>
    </row>
    <row r="1952" spans="1:1095" s="36" customFormat="1" ht="14.25" customHeight="1">
      <c r="A1952" s="3" t="s">
        <v>1722</v>
      </c>
      <c r="B1952" s="36" t="s">
        <v>2237</v>
      </c>
      <c r="C1952" s="10">
        <v>4099854054396</v>
      </c>
      <c r="D1952" s="224">
        <v>4058075591172</v>
      </c>
      <c r="E1952" s="245" t="s">
        <v>2238</v>
      </c>
      <c r="F1952" s="246"/>
      <c r="G1952" s="66" t="str">
        <f>HYPERLINK("https://ledvance.com/pt/product-datasheet/251424/236250","Ficha de Produto")</f>
        <v>Ficha de Produto</v>
      </c>
      <c r="H1952" s="217">
        <v>10</v>
      </c>
      <c r="I1952" s="34" t="s">
        <v>6349</v>
      </c>
      <c r="J1952" s="34" t="s">
        <v>809</v>
      </c>
      <c r="K1952" s="34" t="s">
        <v>788</v>
      </c>
      <c r="L1952" s="34" t="s">
        <v>765</v>
      </c>
      <c r="M1952" s="247">
        <v>8.6</v>
      </c>
      <c r="N1952" s="288" t="s">
        <v>722</v>
      </c>
    </row>
    <row r="1953" spans="1:1095" s="36" customFormat="1" ht="14.25" customHeight="1">
      <c r="A1953" s="3" t="s">
        <v>1722</v>
      </c>
      <c r="B1953" s="36" t="s">
        <v>2239</v>
      </c>
      <c r="C1953" s="10">
        <v>4099854060915</v>
      </c>
      <c r="D1953" s="224">
        <v>4058075591097</v>
      </c>
      <c r="E1953" s="245" t="s">
        <v>2240</v>
      </c>
      <c r="F1953" s="246"/>
      <c r="G1953" s="66" t="str">
        <f>HYPERLINK("https://ledvance.com/pt/product-datasheet/251424/237171","Ficha de Produto")</f>
        <v>Ficha de Produto</v>
      </c>
      <c r="H1953" s="217">
        <v>10</v>
      </c>
      <c r="I1953" s="34" t="s">
        <v>6351</v>
      </c>
      <c r="J1953" s="34" t="s">
        <v>6292</v>
      </c>
      <c r="K1953" s="34" t="s">
        <v>788</v>
      </c>
      <c r="L1953" s="34" t="s">
        <v>765</v>
      </c>
      <c r="M1953" s="247">
        <v>12.6</v>
      </c>
      <c r="N1953" s="288" t="s">
        <v>722</v>
      </c>
    </row>
    <row r="1954" spans="1:1095" s="36" customFormat="1" ht="14.25" customHeight="1">
      <c r="A1954" s="3" t="s">
        <v>1722</v>
      </c>
      <c r="B1954" s="36" t="s">
        <v>2241</v>
      </c>
      <c r="C1954" s="10">
        <v>4099854060595</v>
      </c>
      <c r="D1954" s="224">
        <v>4058075755581</v>
      </c>
      <c r="E1954" s="245" t="s">
        <v>2242</v>
      </c>
      <c r="F1954" s="246"/>
      <c r="G1954" s="66" t="str">
        <f>HYPERLINK("https://ledvance.com/pt/product-datasheet/251424/237156","Ficha de Produto")</f>
        <v>Ficha de Produto</v>
      </c>
      <c r="H1954" s="217">
        <v>10</v>
      </c>
      <c r="I1954" s="34" t="s">
        <v>6352</v>
      </c>
      <c r="J1954" s="34" t="s">
        <v>1053</v>
      </c>
      <c r="K1954" s="34" t="s">
        <v>788</v>
      </c>
      <c r="L1954" s="34" t="s">
        <v>765</v>
      </c>
      <c r="M1954" s="247">
        <v>16.8</v>
      </c>
      <c r="N1954" s="288" t="s">
        <v>722</v>
      </c>
    </row>
    <row r="1955" spans="1:1095" s="39" customFormat="1" ht="14.25" customHeight="1">
      <c r="A1955" s="8" t="s">
        <v>1722</v>
      </c>
      <c r="B1955" s="244" t="s">
        <v>2243</v>
      </c>
      <c r="C1955" s="8"/>
      <c r="D1955" s="7"/>
      <c r="E1955" s="230"/>
      <c r="F1955" s="7"/>
      <c r="G1955" s="68"/>
      <c r="H1955" s="230"/>
      <c r="I1955" s="230"/>
      <c r="J1955" s="230"/>
      <c r="K1955" s="230"/>
      <c r="L1955" s="230"/>
      <c r="M1955" s="248"/>
      <c r="N1955" s="284"/>
      <c r="O1955" s="38"/>
      <c r="P1955" s="38"/>
      <c r="Q1955" s="38"/>
      <c r="R1955" s="38"/>
      <c r="S1955" s="38"/>
      <c r="T1955" s="38"/>
      <c r="U1955" s="38"/>
      <c r="V1955" s="38"/>
      <c r="W1955" s="38"/>
      <c r="X1955" s="38"/>
      <c r="Y1955" s="38"/>
      <c r="Z1955" s="38"/>
      <c r="AA1955" s="38"/>
      <c r="AB1955" s="38"/>
      <c r="AC1955" s="38"/>
      <c r="AD1955" s="38"/>
      <c r="AE1955" s="38"/>
      <c r="AF1955" s="38"/>
      <c r="AG1955" s="38"/>
      <c r="AH1955" s="38"/>
      <c r="AI1955" s="38"/>
      <c r="AJ1955" s="38"/>
      <c r="AK1955" s="38"/>
      <c r="AL1955" s="38"/>
      <c r="AM1955" s="38"/>
      <c r="AN1955" s="38"/>
      <c r="AO1955" s="38"/>
      <c r="AP1955" s="38"/>
      <c r="AQ1955" s="38"/>
      <c r="AR1955" s="38"/>
      <c r="AS1955" s="38"/>
      <c r="AT1955" s="38"/>
      <c r="AU1955" s="38"/>
      <c r="AV1955" s="38"/>
      <c r="AW1955" s="38"/>
      <c r="AX1955" s="38"/>
      <c r="AY1955" s="38"/>
      <c r="AZ1955" s="38"/>
      <c r="BA1955" s="38"/>
      <c r="BB1955" s="38"/>
      <c r="BC1955" s="38"/>
      <c r="BD1955" s="38"/>
      <c r="BE1955" s="38"/>
      <c r="BF1955" s="38"/>
      <c r="BG1955" s="38"/>
      <c r="BH1955" s="38"/>
      <c r="BI1955" s="38"/>
      <c r="BJ1955" s="38"/>
      <c r="BK1955" s="38"/>
      <c r="BL1955" s="38"/>
      <c r="BM1955" s="38"/>
      <c r="BN1955" s="38"/>
      <c r="BO1955" s="38"/>
      <c r="BP1955" s="38"/>
      <c r="BQ1955" s="38"/>
      <c r="BR1955" s="38"/>
      <c r="BS1955" s="38"/>
      <c r="BT1955" s="38"/>
      <c r="BU1955" s="38"/>
      <c r="BV1955" s="38"/>
      <c r="BW1955" s="38"/>
      <c r="BX1955" s="38"/>
      <c r="BY1955" s="38"/>
      <c r="BZ1955" s="38"/>
      <c r="CA1955" s="38"/>
      <c r="CB1955" s="38"/>
      <c r="CC1955" s="38"/>
      <c r="CD1955" s="38"/>
      <c r="CE1955" s="38"/>
      <c r="CF1955" s="38"/>
      <c r="CG1955" s="38"/>
      <c r="CH1955" s="38"/>
      <c r="CI1955" s="38"/>
      <c r="CJ1955" s="38"/>
      <c r="CK1955" s="38"/>
      <c r="CL1955" s="38"/>
      <c r="CM1955" s="38"/>
      <c r="CN1955" s="38"/>
      <c r="CO1955" s="38"/>
      <c r="CP1955" s="38"/>
      <c r="CQ1955" s="38"/>
      <c r="CR1955" s="38"/>
      <c r="CS1955" s="38"/>
      <c r="CT1955" s="38"/>
      <c r="CU1955" s="38"/>
      <c r="CV1955" s="38"/>
      <c r="CW1955" s="38"/>
      <c r="CX1955" s="38"/>
      <c r="CY1955" s="38"/>
      <c r="CZ1955" s="38"/>
      <c r="DA1955" s="38"/>
      <c r="DB1955" s="38"/>
      <c r="DC1955" s="38"/>
      <c r="DD1955" s="38"/>
      <c r="DE1955" s="38"/>
      <c r="DF1955" s="38"/>
      <c r="DG1955" s="38"/>
      <c r="DH1955" s="38"/>
      <c r="DI1955" s="38"/>
      <c r="DJ1955" s="38"/>
      <c r="DK1955" s="38"/>
      <c r="DL1955" s="38"/>
      <c r="DM1955" s="38"/>
      <c r="DN1955" s="38"/>
      <c r="DO1955" s="38"/>
      <c r="DP1955" s="38"/>
      <c r="DQ1955" s="38"/>
      <c r="DR1955" s="38"/>
      <c r="DS1955" s="38"/>
      <c r="DT1955" s="38"/>
      <c r="DU1955" s="38"/>
      <c r="DV1955" s="38"/>
      <c r="DW1955" s="38"/>
      <c r="DX1955" s="38"/>
      <c r="DY1955" s="38"/>
      <c r="DZ1955" s="38"/>
      <c r="EA1955" s="38"/>
      <c r="EB1955" s="38"/>
      <c r="EC1955" s="38"/>
      <c r="ED1955" s="38"/>
      <c r="EE1955" s="38"/>
      <c r="EF1955" s="38"/>
      <c r="EG1955" s="38"/>
      <c r="EH1955" s="38"/>
      <c r="EI1955" s="38"/>
      <c r="EJ1955" s="38"/>
      <c r="EK1955" s="38"/>
      <c r="EL1955" s="38"/>
      <c r="EM1955" s="38"/>
      <c r="EN1955" s="38"/>
      <c r="EO1955" s="38"/>
      <c r="EP1955" s="38"/>
      <c r="EQ1955" s="38"/>
      <c r="ER1955" s="38"/>
      <c r="ES1955" s="38"/>
      <c r="ET1955" s="38"/>
      <c r="EU1955" s="38"/>
      <c r="EV1955" s="38"/>
      <c r="EW1955" s="38"/>
      <c r="EX1955" s="38"/>
      <c r="EY1955" s="38"/>
      <c r="EZ1955" s="38"/>
      <c r="FA1955" s="38"/>
      <c r="FB1955" s="38"/>
      <c r="FC1955" s="38"/>
      <c r="FD1955" s="38"/>
      <c r="FE1955" s="38"/>
      <c r="FF1955" s="38"/>
      <c r="FG1955" s="38"/>
      <c r="FH1955" s="38"/>
      <c r="FI1955" s="38"/>
      <c r="FJ1955" s="38"/>
      <c r="FK1955" s="38"/>
      <c r="FL1955" s="38"/>
      <c r="FM1955" s="38"/>
      <c r="FN1955" s="38"/>
      <c r="FO1955" s="38"/>
      <c r="FP1955" s="38"/>
      <c r="FQ1955" s="38"/>
      <c r="FR1955" s="38"/>
      <c r="FS1955" s="38"/>
      <c r="FT1955" s="38"/>
      <c r="FU1955" s="38"/>
      <c r="FV1955" s="38"/>
      <c r="FW1955" s="38"/>
      <c r="FX1955" s="38"/>
      <c r="FY1955" s="38"/>
      <c r="FZ1955" s="38"/>
      <c r="GA1955" s="38"/>
      <c r="GB1955" s="38"/>
      <c r="GC1955" s="38"/>
      <c r="GD1955" s="38"/>
      <c r="GE1955" s="38"/>
      <c r="GF1955" s="38"/>
      <c r="GG1955" s="38"/>
      <c r="GH1955" s="38"/>
      <c r="GI1955" s="38"/>
      <c r="GJ1955" s="38"/>
      <c r="GK1955" s="38"/>
      <c r="GL1955" s="38"/>
      <c r="GM1955" s="38"/>
      <c r="GN1955" s="38"/>
      <c r="GO1955" s="38"/>
      <c r="GP1955" s="38"/>
      <c r="GQ1955" s="38"/>
      <c r="GR1955" s="38"/>
      <c r="GS1955" s="38"/>
      <c r="GT1955" s="38"/>
      <c r="GU1955" s="38"/>
      <c r="GV1955" s="38"/>
      <c r="GW1955" s="38"/>
      <c r="GX1955" s="38"/>
      <c r="GY1955" s="38"/>
      <c r="GZ1955" s="38"/>
      <c r="HA1955" s="38"/>
      <c r="HB1955" s="38"/>
      <c r="HC1955" s="38"/>
      <c r="HD1955" s="38"/>
      <c r="HE1955" s="38"/>
      <c r="HF1955" s="38"/>
      <c r="HG1955" s="38"/>
      <c r="HH1955" s="38"/>
      <c r="HI1955" s="38"/>
      <c r="HJ1955" s="38"/>
      <c r="HK1955" s="38"/>
      <c r="HL1955" s="38"/>
      <c r="HM1955" s="38"/>
      <c r="HN1955" s="38"/>
      <c r="HO1955" s="38"/>
      <c r="HP1955" s="38"/>
      <c r="HQ1955" s="38"/>
      <c r="HR1955" s="38"/>
      <c r="HS1955" s="38"/>
      <c r="HT1955" s="38"/>
      <c r="HU1955" s="38"/>
      <c r="HV1955" s="38"/>
      <c r="HW1955" s="38"/>
      <c r="HX1955" s="38"/>
      <c r="HY1955" s="38"/>
      <c r="HZ1955" s="38"/>
      <c r="IA1955" s="38"/>
      <c r="IB1955" s="38"/>
      <c r="IC1955" s="38"/>
      <c r="ID1955" s="38"/>
      <c r="IE1955" s="38"/>
      <c r="IF1955" s="38"/>
      <c r="IG1955" s="38"/>
      <c r="IH1955" s="38"/>
      <c r="II1955" s="38"/>
      <c r="IJ1955" s="38"/>
      <c r="IK1955" s="38"/>
      <c r="IL1955" s="38"/>
      <c r="IM1955" s="38"/>
      <c r="IN1955" s="38"/>
      <c r="IO1955" s="38"/>
      <c r="IP1955" s="38"/>
      <c r="IQ1955" s="38"/>
      <c r="IR1955" s="38"/>
      <c r="IS1955" s="38"/>
      <c r="IT1955" s="38"/>
      <c r="IU1955" s="38"/>
      <c r="IV1955" s="38"/>
      <c r="IW1955" s="38"/>
      <c r="IX1955" s="38"/>
      <c r="IY1955" s="38"/>
      <c r="IZ1955" s="38"/>
      <c r="JA1955" s="38"/>
      <c r="JB1955" s="38"/>
      <c r="JC1955" s="38"/>
      <c r="JD1955" s="38"/>
      <c r="JE1955" s="38"/>
      <c r="JF1955" s="38"/>
      <c r="JG1955" s="38"/>
      <c r="JH1955" s="38"/>
      <c r="JI1955" s="38"/>
      <c r="JJ1955" s="38"/>
      <c r="JK1955" s="38"/>
      <c r="JL1955" s="38"/>
      <c r="JM1955" s="38"/>
      <c r="JN1955" s="38"/>
      <c r="JO1955" s="38"/>
      <c r="JP1955" s="38"/>
      <c r="JQ1955" s="38"/>
      <c r="JR1955" s="38"/>
      <c r="JS1955" s="38"/>
      <c r="JT1955" s="38"/>
      <c r="JU1955" s="38"/>
      <c r="JV1955" s="38"/>
      <c r="JW1955" s="38"/>
      <c r="JX1955" s="38"/>
      <c r="JY1955" s="38"/>
      <c r="JZ1955" s="38"/>
      <c r="KA1955" s="38"/>
      <c r="KB1955" s="38"/>
      <c r="KC1955" s="38"/>
      <c r="KD1955" s="38"/>
      <c r="KE1955" s="38"/>
      <c r="KF1955" s="38"/>
      <c r="KG1955" s="38"/>
      <c r="KH1955" s="38"/>
      <c r="KI1955" s="38"/>
      <c r="KJ1955" s="38"/>
      <c r="KK1955" s="38"/>
      <c r="KL1955" s="38"/>
      <c r="KM1955" s="38"/>
      <c r="KN1955" s="38"/>
      <c r="KO1955" s="38"/>
      <c r="KP1955" s="38"/>
      <c r="KQ1955" s="38"/>
      <c r="KR1955" s="38"/>
      <c r="KS1955" s="38"/>
      <c r="KT1955" s="38"/>
      <c r="KU1955" s="38"/>
      <c r="KV1955" s="38"/>
      <c r="KW1955" s="38"/>
      <c r="KX1955" s="38"/>
      <c r="KY1955" s="38"/>
      <c r="KZ1955" s="38"/>
      <c r="LA1955" s="38"/>
      <c r="LB1955" s="38"/>
      <c r="LC1955" s="38"/>
      <c r="LD1955" s="38"/>
      <c r="LE1955" s="38"/>
      <c r="LF1955" s="38"/>
      <c r="LG1955" s="38"/>
      <c r="LH1955" s="38"/>
      <c r="LI1955" s="38"/>
      <c r="LJ1955" s="38"/>
      <c r="LK1955" s="38"/>
      <c r="LL1955" s="38"/>
      <c r="LM1955" s="38"/>
      <c r="LN1955" s="38"/>
      <c r="LO1955" s="38"/>
      <c r="LP1955" s="38"/>
      <c r="LQ1955" s="38"/>
      <c r="LR1955" s="38"/>
      <c r="LS1955" s="38"/>
      <c r="LT1955" s="38"/>
      <c r="LU1955" s="38"/>
      <c r="LV1955" s="38"/>
      <c r="LW1955" s="38"/>
      <c r="LX1955" s="38"/>
      <c r="LY1955" s="38"/>
      <c r="LZ1955" s="38"/>
      <c r="MA1955" s="38"/>
      <c r="MB1955" s="38"/>
      <c r="MC1955" s="38"/>
      <c r="MD1955" s="38"/>
      <c r="ME1955" s="38"/>
      <c r="MF1955" s="38"/>
      <c r="MG1955" s="38"/>
      <c r="MH1955" s="38"/>
      <c r="MI1955" s="38"/>
      <c r="MJ1955" s="38"/>
      <c r="MK1955" s="38"/>
      <c r="ML1955" s="38"/>
      <c r="MM1955" s="38"/>
      <c r="MN1955" s="38"/>
      <c r="MO1955" s="38"/>
      <c r="MP1955" s="38"/>
      <c r="MQ1955" s="38"/>
      <c r="MR1955" s="38"/>
      <c r="MS1955" s="38"/>
      <c r="MT1955" s="38"/>
      <c r="MU1955" s="38"/>
      <c r="MV1955" s="38"/>
      <c r="MW1955" s="38"/>
      <c r="MX1955" s="38"/>
      <c r="MY1955" s="38"/>
      <c r="MZ1955" s="38"/>
      <c r="NA1955" s="38"/>
      <c r="NB1955" s="38"/>
      <c r="NC1955" s="38"/>
      <c r="ND1955" s="38"/>
      <c r="NE1955" s="38"/>
      <c r="NF1955" s="38"/>
      <c r="NG1955" s="38"/>
      <c r="NH1955" s="38"/>
      <c r="NI1955" s="38"/>
      <c r="NJ1955" s="38"/>
      <c r="NK1955" s="38"/>
      <c r="NL1955" s="38"/>
      <c r="NM1955" s="38"/>
      <c r="NN1955" s="38"/>
      <c r="NO1955" s="38"/>
      <c r="NP1955" s="38"/>
      <c r="NQ1955" s="38"/>
      <c r="NR1955" s="38"/>
      <c r="NS1955" s="38"/>
      <c r="NT1955" s="38"/>
      <c r="NU1955" s="38"/>
      <c r="NV1955" s="38"/>
      <c r="NW1955" s="38"/>
      <c r="NX1955" s="38"/>
      <c r="NY1955" s="38"/>
      <c r="NZ1955" s="38"/>
      <c r="OA1955" s="38"/>
      <c r="OB1955" s="38"/>
      <c r="OC1955" s="38"/>
      <c r="OD1955" s="38"/>
      <c r="OE1955" s="38"/>
      <c r="OF1955" s="38"/>
      <c r="OG1955" s="38"/>
      <c r="OH1955" s="38"/>
      <c r="OI1955" s="38"/>
      <c r="OJ1955" s="38"/>
      <c r="OK1955" s="38"/>
      <c r="OL1955" s="38"/>
      <c r="OM1955" s="38"/>
      <c r="ON1955" s="38"/>
      <c r="OO1955" s="38"/>
      <c r="OP1955" s="38"/>
      <c r="OQ1955" s="38"/>
      <c r="OR1955" s="38"/>
      <c r="OS1955" s="38"/>
      <c r="OT1955" s="38"/>
      <c r="OU1955" s="38"/>
      <c r="OV1955" s="38"/>
      <c r="OW1955" s="38"/>
      <c r="OX1955" s="38"/>
      <c r="OY1955" s="38"/>
      <c r="OZ1955" s="38"/>
      <c r="PA1955" s="38"/>
      <c r="PB1955" s="38"/>
      <c r="PC1955" s="38"/>
      <c r="PD1955" s="38"/>
      <c r="PE1955" s="38"/>
      <c r="PF1955" s="38"/>
      <c r="PG1955" s="38"/>
      <c r="PH1955" s="38"/>
      <c r="PI1955" s="38"/>
      <c r="PJ1955" s="38"/>
      <c r="PK1955" s="38"/>
      <c r="PL1955" s="38"/>
      <c r="PM1955" s="38"/>
      <c r="PN1955" s="38"/>
      <c r="PO1955" s="38"/>
      <c r="PP1955" s="38"/>
      <c r="PQ1955" s="38"/>
      <c r="PR1955" s="38"/>
      <c r="PS1955" s="38"/>
      <c r="PT1955" s="38"/>
      <c r="PU1955" s="38"/>
      <c r="PV1955" s="38"/>
      <c r="PW1955" s="38"/>
      <c r="PX1955" s="38"/>
      <c r="PY1955" s="38"/>
      <c r="PZ1955" s="38"/>
      <c r="QA1955" s="38"/>
      <c r="QB1955" s="38"/>
      <c r="QC1955" s="38"/>
      <c r="QD1955" s="38"/>
      <c r="QE1955" s="38"/>
      <c r="QF1955" s="38"/>
      <c r="QG1955" s="38"/>
      <c r="QH1955" s="38"/>
      <c r="QI1955" s="38"/>
      <c r="QJ1955" s="38"/>
      <c r="QK1955" s="38"/>
      <c r="QL1955" s="38"/>
      <c r="QM1955" s="38"/>
      <c r="QN1955" s="38"/>
      <c r="QO1955" s="38"/>
      <c r="QP1955" s="38"/>
      <c r="QQ1955" s="38"/>
      <c r="QR1955" s="38"/>
      <c r="QS1955" s="38"/>
      <c r="QT1955" s="38"/>
      <c r="QU1955" s="38"/>
      <c r="QV1955" s="38"/>
      <c r="QW1955" s="38"/>
      <c r="QX1955" s="38"/>
      <c r="QY1955" s="38"/>
      <c r="QZ1955" s="38"/>
      <c r="RA1955" s="38"/>
      <c r="RB1955" s="38"/>
      <c r="RC1955" s="38"/>
      <c r="RD1955" s="38"/>
      <c r="RE1955" s="38"/>
      <c r="RF1955" s="38"/>
      <c r="RG1955" s="38"/>
      <c r="RH1955" s="38"/>
      <c r="RI1955" s="38"/>
      <c r="RJ1955" s="38"/>
      <c r="RK1955" s="38"/>
      <c r="RL1955" s="38"/>
      <c r="RM1955" s="38"/>
      <c r="RN1955" s="38"/>
      <c r="RO1955" s="38"/>
      <c r="RP1955" s="38"/>
      <c r="RQ1955" s="38"/>
      <c r="RR1955" s="38"/>
      <c r="RS1955" s="38"/>
      <c r="RT1955" s="38"/>
      <c r="RU1955" s="38"/>
      <c r="RV1955" s="38"/>
      <c r="RW1955" s="38"/>
      <c r="RX1955" s="38"/>
      <c r="RY1955" s="38"/>
      <c r="RZ1955" s="38"/>
      <c r="SA1955" s="38"/>
      <c r="SB1955" s="38"/>
      <c r="SC1955" s="38"/>
      <c r="SD1955" s="38"/>
      <c r="SE1955" s="38"/>
      <c r="SF1955" s="38"/>
      <c r="SG1955" s="38"/>
      <c r="SH1955" s="38"/>
      <c r="SI1955" s="38"/>
      <c r="SJ1955" s="38"/>
      <c r="SK1955" s="38"/>
      <c r="SL1955" s="38"/>
      <c r="SM1955" s="38"/>
      <c r="SN1955" s="38"/>
      <c r="SO1955" s="38"/>
      <c r="SP1955" s="38"/>
      <c r="SQ1955" s="38"/>
      <c r="SR1955" s="38"/>
      <c r="SS1955" s="38"/>
      <c r="ST1955" s="38"/>
      <c r="SU1955" s="38"/>
      <c r="SV1955" s="38"/>
      <c r="SW1955" s="38"/>
      <c r="SX1955" s="38"/>
      <c r="SY1955" s="38"/>
      <c r="SZ1955" s="38"/>
      <c r="TA1955" s="38"/>
      <c r="TB1955" s="38"/>
      <c r="TC1955" s="38"/>
      <c r="TD1955" s="38"/>
      <c r="TE1955" s="38"/>
      <c r="TF1955" s="38"/>
      <c r="TG1955" s="38"/>
      <c r="TH1955" s="38"/>
      <c r="TI1955" s="38"/>
      <c r="TJ1955" s="38"/>
      <c r="TK1955" s="38"/>
      <c r="TL1955" s="38"/>
      <c r="TM1955" s="38"/>
      <c r="TN1955" s="38"/>
      <c r="TO1955" s="38"/>
      <c r="TP1955" s="38"/>
      <c r="TQ1955" s="38"/>
      <c r="TR1955" s="38"/>
      <c r="TS1955" s="38"/>
      <c r="TT1955" s="38"/>
      <c r="TU1955" s="38"/>
      <c r="TV1955" s="38"/>
      <c r="TW1955" s="38"/>
      <c r="TX1955" s="38"/>
      <c r="TY1955" s="38"/>
      <c r="TZ1955" s="38"/>
      <c r="UA1955" s="38"/>
      <c r="UB1955" s="38"/>
      <c r="UC1955" s="38"/>
      <c r="UD1955" s="38"/>
      <c r="UE1955" s="38"/>
      <c r="UF1955" s="38"/>
      <c r="UG1955" s="38"/>
      <c r="UH1955" s="38"/>
      <c r="UI1955" s="38"/>
      <c r="UJ1955" s="38"/>
      <c r="UK1955" s="38"/>
      <c r="UL1955" s="38"/>
      <c r="UM1955" s="38"/>
      <c r="UN1955" s="38"/>
      <c r="UO1955" s="38"/>
      <c r="UP1955" s="38"/>
      <c r="UQ1955" s="38"/>
      <c r="UR1955" s="38"/>
      <c r="US1955" s="38"/>
      <c r="UT1955" s="38"/>
      <c r="UU1955" s="38"/>
      <c r="UV1955" s="38"/>
      <c r="UW1955" s="38"/>
      <c r="UX1955" s="38"/>
      <c r="UY1955" s="38"/>
      <c r="UZ1955" s="38"/>
      <c r="VA1955" s="38"/>
      <c r="VB1955" s="38"/>
      <c r="VC1955" s="38"/>
      <c r="VD1955" s="38"/>
      <c r="VE1955" s="38"/>
      <c r="VF1955" s="38"/>
      <c r="VG1955" s="38"/>
      <c r="VH1955" s="38"/>
      <c r="VI1955" s="38"/>
      <c r="VJ1955" s="38"/>
      <c r="VK1955" s="38"/>
      <c r="VL1955" s="38"/>
      <c r="VM1955" s="38"/>
      <c r="VN1955" s="38"/>
      <c r="VO1955" s="38"/>
      <c r="VP1955" s="38"/>
      <c r="VQ1955" s="38"/>
      <c r="VR1955" s="38"/>
      <c r="VS1955" s="38"/>
      <c r="VT1955" s="38"/>
      <c r="VU1955" s="38"/>
      <c r="VV1955" s="38"/>
      <c r="VW1955" s="38"/>
      <c r="VX1955" s="38"/>
      <c r="VY1955" s="38"/>
      <c r="VZ1955" s="38"/>
      <c r="WA1955" s="38"/>
      <c r="WB1955" s="38"/>
      <c r="WC1955" s="38"/>
      <c r="WD1955" s="38"/>
      <c r="WE1955" s="38"/>
      <c r="WF1955" s="38"/>
      <c r="WG1955" s="38"/>
      <c r="WH1955" s="38"/>
      <c r="WI1955" s="38"/>
      <c r="WJ1955" s="38"/>
      <c r="WK1955" s="38"/>
      <c r="WL1955" s="38"/>
      <c r="WM1955" s="38"/>
      <c r="WN1955" s="38"/>
      <c r="WO1955" s="38"/>
      <c r="WP1955" s="38"/>
      <c r="WQ1955" s="38"/>
      <c r="WR1955" s="38"/>
      <c r="WS1955" s="38"/>
      <c r="WT1955" s="38"/>
      <c r="WU1955" s="38"/>
      <c r="WV1955" s="38"/>
      <c r="WW1955" s="38"/>
      <c r="WX1955" s="38"/>
      <c r="WY1955" s="38"/>
      <c r="WZ1955" s="38"/>
      <c r="XA1955" s="38"/>
      <c r="XB1955" s="38"/>
      <c r="XC1955" s="38"/>
      <c r="XD1955" s="38"/>
      <c r="XE1955" s="38"/>
      <c r="XF1955" s="38"/>
      <c r="XG1955" s="38"/>
      <c r="XH1955" s="38"/>
      <c r="XI1955" s="38"/>
      <c r="XJ1955" s="38"/>
      <c r="XK1955" s="38"/>
      <c r="XL1955" s="38"/>
      <c r="XM1955" s="38"/>
      <c r="XN1955" s="38"/>
      <c r="XO1955" s="38"/>
      <c r="XP1955" s="38"/>
      <c r="XQ1955" s="38"/>
      <c r="XR1955" s="38"/>
      <c r="XS1955" s="38"/>
      <c r="XT1955" s="38"/>
      <c r="XU1955" s="38"/>
      <c r="XV1955" s="38"/>
      <c r="XW1955" s="38"/>
      <c r="XX1955" s="38"/>
      <c r="XY1955" s="38"/>
      <c r="XZ1955" s="38"/>
      <c r="YA1955" s="38"/>
      <c r="YB1955" s="38"/>
      <c r="YC1955" s="38"/>
      <c r="YD1955" s="38"/>
      <c r="YE1955" s="38"/>
      <c r="YF1955" s="38"/>
      <c r="YG1955" s="38"/>
      <c r="YH1955" s="38"/>
      <c r="YI1955" s="38"/>
      <c r="YJ1955" s="38"/>
      <c r="YK1955" s="38"/>
      <c r="YL1955" s="38"/>
      <c r="YM1955" s="38"/>
      <c r="YN1955" s="38"/>
      <c r="YO1955" s="38"/>
      <c r="YP1955" s="38"/>
      <c r="YQ1955" s="38"/>
      <c r="YR1955" s="38"/>
      <c r="YS1955" s="38"/>
      <c r="YT1955" s="38"/>
      <c r="YU1955" s="38"/>
      <c r="YV1955" s="38"/>
      <c r="YW1955" s="38"/>
      <c r="YX1955" s="38"/>
      <c r="YY1955" s="38"/>
      <c r="YZ1955" s="38"/>
      <c r="ZA1955" s="38"/>
      <c r="ZB1955" s="38"/>
      <c r="ZC1955" s="38"/>
      <c r="ZD1955" s="38"/>
      <c r="ZE1955" s="38"/>
      <c r="ZF1955" s="38"/>
      <c r="ZG1955" s="38"/>
      <c r="ZH1955" s="38"/>
      <c r="ZI1955" s="38"/>
      <c r="ZJ1955" s="38"/>
      <c r="ZK1955" s="38"/>
      <c r="ZL1955" s="38"/>
      <c r="ZM1955" s="38"/>
      <c r="ZN1955" s="38"/>
      <c r="ZO1955" s="38"/>
      <c r="ZP1955" s="38"/>
      <c r="ZQ1955" s="38"/>
      <c r="ZR1955" s="38"/>
      <c r="ZS1955" s="38"/>
      <c r="ZT1955" s="38"/>
      <c r="ZU1955" s="38"/>
      <c r="ZV1955" s="38"/>
      <c r="ZW1955" s="38"/>
      <c r="ZX1955" s="38"/>
      <c r="ZY1955" s="38"/>
      <c r="ZZ1955" s="38"/>
      <c r="AAA1955" s="38"/>
      <c r="AAB1955" s="38"/>
      <c r="AAC1955" s="38"/>
      <c r="AAD1955" s="38"/>
      <c r="AAE1955" s="38"/>
      <c r="AAF1955" s="38"/>
      <c r="AAG1955" s="38"/>
      <c r="AAH1955" s="38"/>
      <c r="AAI1955" s="38"/>
      <c r="AAJ1955" s="38"/>
      <c r="AAK1955" s="38"/>
      <c r="AAL1955" s="38"/>
      <c r="AAM1955" s="38"/>
      <c r="AAN1955" s="38"/>
      <c r="AAO1955" s="38"/>
      <c r="AAP1955" s="38"/>
      <c r="AAQ1955" s="38"/>
      <c r="AAR1955" s="38"/>
      <c r="AAS1955" s="38"/>
      <c r="AAT1955" s="38"/>
      <c r="AAU1955" s="38"/>
      <c r="AAV1955" s="38"/>
      <c r="AAW1955" s="38"/>
      <c r="AAX1955" s="38"/>
      <c r="AAY1955" s="38"/>
      <c r="AAZ1955" s="38"/>
      <c r="ABA1955" s="38"/>
      <c r="ABB1955" s="38"/>
      <c r="ABC1955" s="38"/>
      <c r="ABD1955" s="38"/>
      <c r="ABE1955" s="38"/>
      <c r="ABF1955" s="38"/>
      <c r="ABG1955" s="38"/>
      <c r="ABH1955" s="38"/>
      <c r="ABI1955" s="38"/>
      <c r="ABJ1955" s="38"/>
      <c r="ABK1955" s="38"/>
      <c r="ABL1955" s="38"/>
      <c r="ABM1955" s="38"/>
      <c r="ABN1955" s="38"/>
      <c r="ABO1955" s="38"/>
      <c r="ABP1955" s="38"/>
      <c r="ABQ1955" s="38"/>
      <c r="ABR1955" s="38"/>
      <c r="ABS1955" s="38"/>
      <c r="ABT1955" s="38"/>
      <c r="ABU1955" s="38"/>
      <c r="ABV1955" s="38"/>
      <c r="ABW1955" s="38"/>
      <c r="ABX1955" s="38"/>
      <c r="ABY1955" s="38"/>
      <c r="ABZ1955" s="38"/>
      <c r="ACA1955" s="38"/>
      <c r="ACB1955" s="38"/>
      <c r="ACC1955" s="38"/>
      <c r="ACD1955" s="38"/>
      <c r="ACE1955" s="38"/>
      <c r="ACF1955" s="38"/>
      <c r="ACG1955" s="38"/>
      <c r="ACH1955" s="38"/>
      <c r="ACI1955" s="38"/>
      <c r="ACJ1955" s="38"/>
      <c r="ACK1955" s="38"/>
      <c r="ACL1955" s="38"/>
      <c r="ACM1955" s="38"/>
      <c r="ACN1955" s="38"/>
      <c r="ACO1955" s="38"/>
      <c r="ACP1955" s="38"/>
      <c r="ACQ1955" s="38"/>
      <c r="ACR1955" s="38"/>
      <c r="ACS1955" s="38"/>
      <c r="ACT1955" s="38"/>
      <c r="ACU1955" s="38"/>
      <c r="ACV1955" s="38"/>
      <c r="ACW1955" s="38"/>
      <c r="ACX1955" s="38"/>
      <c r="ACY1955" s="38"/>
      <c r="ACZ1955" s="38"/>
      <c r="ADA1955" s="38"/>
      <c r="ADB1955" s="38"/>
      <c r="ADC1955" s="38"/>
      <c r="ADD1955" s="38"/>
      <c r="ADE1955" s="38"/>
      <c r="ADF1955" s="38"/>
      <c r="ADG1955" s="38"/>
      <c r="ADH1955" s="38"/>
      <c r="ADI1955" s="38"/>
      <c r="ADJ1955" s="38"/>
      <c r="ADK1955" s="38"/>
      <c r="ADL1955" s="38"/>
      <c r="ADM1955" s="38"/>
      <c r="ADN1955" s="38"/>
      <c r="ADO1955" s="38"/>
      <c r="ADP1955" s="38"/>
      <c r="ADQ1955" s="38"/>
      <c r="ADR1955" s="38"/>
      <c r="ADS1955" s="38"/>
      <c r="ADT1955" s="38"/>
      <c r="ADU1955" s="38"/>
      <c r="ADV1955" s="38"/>
      <c r="ADW1955" s="38"/>
      <c r="ADX1955" s="38"/>
      <c r="ADY1955" s="38"/>
      <c r="ADZ1955" s="38"/>
      <c r="AEA1955" s="38"/>
      <c r="AEB1955" s="38"/>
      <c r="AEC1955" s="38"/>
      <c r="AED1955" s="38"/>
      <c r="AEE1955" s="38"/>
      <c r="AEF1955" s="38"/>
      <c r="AEG1955" s="38"/>
      <c r="AEH1955" s="38"/>
      <c r="AEI1955" s="38"/>
      <c r="AEJ1955" s="38"/>
      <c r="AEK1955" s="38"/>
      <c r="AEL1955" s="38"/>
      <c r="AEM1955" s="38"/>
      <c r="AEN1955" s="38"/>
      <c r="AEO1955" s="38"/>
      <c r="AEP1955" s="38"/>
      <c r="AEQ1955" s="38"/>
      <c r="AER1955" s="38"/>
      <c r="AES1955" s="38"/>
      <c r="AET1955" s="38"/>
      <c r="AEU1955" s="38"/>
      <c r="AEV1955" s="38"/>
      <c r="AEW1955" s="38"/>
      <c r="AEX1955" s="38"/>
      <c r="AEY1955" s="38"/>
      <c r="AEZ1955" s="38"/>
      <c r="AFA1955" s="38"/>
      <c r="AFB1955" s="38"/>
      <c r="AFC1955" s="38"/>
      <c r="AFD1955" s="38"/>
      <c r="AFE1955" s="38"/>
      <c r="AFF1955" s="38"/>
      <c r="AFG1955" s="38"/>
      <c r="AFH1955" s="38"/>
      <c r="AFI1955" s="38"/>
      <c r="AFJ1955" s="38"/>
      <c r="AFK1955" s="38"/>
      <c r="AFL1955" s="38"/>
      <c r="AFM1955" s="38"/>
      <c r="AFN1955" s="38"/>
      <c r="AFO1955" s="38"/>
      <c r="AFP1955" s="38"/>
      <c r="AFQ1955" s="38"/>
      <c r="AFR1955" s="38"/>
      <c r="AFS1955" s="38"/>
      <c r="AFT1955" s="38"/>
      <c r="AFU1955" s="38"/>
      <c r="AFV1955" s="38"/>
      <c r="AFW1955" s="38"/>
      <c r="AFX1955" s="38"/>
      <c r="AFY1955" s="38"/>
      <c r="AFZ1955" s="38"/>
      <c r="AGA1955" s="38"/>
      <c r="AGB1955" s="38"/>
      <c r="AGC1955" s="38"/>
      <c r="AGD1955" s="38"/>
      <c r="AGE1955" s="38"/>
      <c r="AGF1955" s="38"/>
      <c r="AGG1955" s="38"/>
      <c r="AGH1955" s="38"/>
      <c r="AGI1955" s="38"/>
      <c r="AGJ1955" s="38"/>
      <c r="AGK1955" s="38"/>
      <c r="AGL1955" s="38"/>
      <c r="AGM1955" s="38"/>
      <c r="AGN1955" s="38"/>
      <c r="AGO1955" s="38"/>
      <c r="AGP1955" s="38"/>
      <c r="AGQ1955" s="38"/>
      <c r="AGR1955" s="38"/>
      <c r="AGS1955" s="38"/>
      <c r="AGT1955" s="38"/>
      <c r="AGU1955" s="38"/>
      <c r="AGV1955" s="38"/>
      <c r="AGW1955" s="38"/>
      <c r="AGX1955" s="38"/>
      <c r="AGY1955" s="38"/>
      <c r="AGZ1955" s="38"/>
      <c r="AHA1955" s="38"/>
      <c r="AHB1955" s="38"/>
      <c r="AHC1955" s="38"/>
      <c r="AHD1955" s="38"/>
      <c r="AHE1955" s="38"/>
      <c r="AHF1955" s="38"/>
      <c r="AHG1955" s="38"/>
      <c r="AHH1955" s="38"/>
      <c r="AHI1955" s="38"/>
      <c r="AHJ1955" s="38"/>
      <c r="AHK1955" s="38"/>
      <c r="AHL1955" s="38"/>
      <c r="AHM1955" s="38"/>
      <c r="AHN1955" s="38"/>
      <c r="AHO1955" s="38"/>
      <c r="AHP1955" s="38"/>
      <c r="AHQ1955" s="38"/>
      <c r="AHR1955" s="38"/>
      <c r="AHS1955" s="38"/>
      <c r="AHT1955" s="38"/>
      <c r="AHU1955" s="38"/>
      <c r="AHV1955" s="38"/>
      <c r="AHW1955" s="38"/>
      <c r="AHX1955" s="38"/>
      <c r="AHY1955" s="38"/>
      <c r="AHZ1955" s="38"/>
      <c r="AIA1955" s="38"/>
      <c r="AIB1955" s="38"/>
      <c r="AIC1955" s="38"/>
      <c r="AID1955" s="38"/>
      <c r="AIE1955" s="38"/>
      <c r="AIF1955" s="38"/>
      <c r="AIG1955" s="38"/>
      <c r="AIH1955" s="38"/>
      <c r="AII1955" s="38"/>
      <c r="AIJ1955" s="38"/>
      <c r="AIK1955" s="38"/>
      <c r="AIL1955" s="38"/>
      <c r="AIM1955" s="38"/>
      <c r="AIN1955" s="38"/>
      <c r="AIO1955" s="38"/>
      <c r="AIP1955" s="38"/>
      <c r="AIQ1955" s="38"/>
      <c r="AIR1955" s="38"/>
      <c r="AIS1955" s="38"/>
      <c r="AIT1955" s="38"/>
      <c r="AIU1955" s="38"/>
      <c r="AIV1955" s="38"/>
      <c r="AIW1955" s="38"/>
      <c r="AIX1955" s="38"/>
      <c r="AIY1955" s="38"/>
      <c r="AIZ1955" s="38"/>
      <c r="AJA1955" s="38"/>
      <c r="AJB1955" s="38"/>
      <c r="AJC1955" s="38"/>
      <c r="AJD1955" s="38"/>
      <c r="AJE1955" s="38"/>
      <c r="AJF1955" s="38"/>
      <c r="AJG1955" s="38"/>
      <c r="AJH1955" s="38"/>
      <c r="AJI1955" s="38"/>
      <c r="AJJ1955" s="38"/>
      <c r="AJK1955" s="38"/>
      <c r="AJL1955" s="38"/>
      <c r="AJM1955" s="38"/>
      <c r="AJN1955" s="38"/>
      <c r="AJO1955" s="38"/>
      <c r="AJP1955" s="38"/>
      <c r="AJQ1955" s="38"/>
      <c r="AJR1955" s="38"/>
      <c r="AJS1955" s="38"/>
      <c r="AJT1955" s="38"/>
      <c r="AJU1955" s="38"/>
      <c r="AJV1955" s="38"/>
      <c r="AJW1955" s="38"/>
      <c r="AJX1955" s="38"/>
      <c r="AJY1955" s="38"/>
      <c r="AJZ1955" s="38"/>
      <c r="AKA1955" s="38"/>
      <c r="AKB1955" s="38"/>
      <c r="AKC1955" s="38"/>
      <c r="AKD1955" s="38"/>
      <c r="AKE1955" s="38"/>
      <c r="AKF1955" s="38"/>
      <c r="AKG1955" s="38"/>
      <c r="AKH1955" s="38"/>
      <c r="AKI1955" s="38"/>
      <c r="AKJ1955" s="38"/>
      <c r="AKK1955" s="38"/>
      <c r="AKL1955" s="38"/>
      <c r="AKM1955" s="38"/>
      <c r="AKN1955" s="38"/>
      <c r="AKO1955" s="38"/>
      <c r="AKP1955" s="38"/>
      <c r="AKQ1955" s="38"/>
      <c r="AKR1955" s="38"/>
      <c r="AKS1955" s="38"/>
      <c r="AKT1955" s="38"/>
      <c r="AKU1955" s="38"/>
      <c r="AKV1955" s="38"/>
      <c r="AKW1955" s="38"/>
      <c r="AKX1955" s="38"/>
      <c r="AKY1955" s="38"/>
      <c r="AKZ1955" s="38"/>
      <c r="ALA1955" s="38"/>
      <c r="ALB1955" s="38"/>
      <c r="ALC1955" s="38"/>
      <c r="ALD1955" s="38"/>
      <c r="ALE1955" s="38"/>
      <c r="ALF1955" s="38"/>
      <c r="ALG1955" s="38"/>
      <c r="ALH1955" s="38"/>
      <c r="ALI1955" s="38"/>
      <c r="ALJ1955" s="38"/>
      <c r="ALK1955" s="38"/>
      <c r="ALL1955" s="38"/>
      <c r="ALM1955" s="38"/>
      <c r="ALN1955" s="38"/>
      <c r="ALO1955" s="38"/>
      <c r="ALP1955" s="38"/>
      <c r="ALQ1955" s="38"/>
      <c r="ALR1955" s="38"/>
      <c r="ALS1955" s="38"/>
      <c r="ALT1955" s="38"/>
      <c r="ALU1955" s="38"/>
      <c r="ALV1955" s="38"/>
      <c r="ALW1955" s="38"/>
      <c r="ALX1955" s="38"/>
      <c r="ALY1955" s="38"/>
      <c r="ALZ1955" s="38"/>
      <c r="AMA1955" s="38"/>
      <c r="AMB1955" s="38"/>
      <c r="AMC1955" s="38"/>
      <c r="AMD1955" s="38"/>
      <c r="AME1955" s="38"/>
      <c r="AMF1955" s="38"/>
      <c r="AMG1955" s="38"/>
      <c r="AMH1955" s="38"/>
      <c r="AMI1955" s="38"/>
      <c r="AMJ1955" s="38"/>
      <c r="AMK1955" s="38"/>
      <c r="AML1955" s="38"/>
      <c r="AMM1955" s="38"/>
      <c r="AMN1955" s="38"/>
      <c r="AMO1955" s="38"/>
      <c r="AMP1955" s="38"/>
      <c r="AMQ1955" s="38"/>
      <c r="AMR1955" s="38"/>
      <c r="AMS1955" s="38"/>
      <c r="AMT1955" s="38"/>
      <c r="AMU1955" s="38"/>
      <c r="AMV1955" s="38"/>
      <c r="AMW1955" s="38"/>
      <c r="AMX1955" s="38"/>
      <c r="AMY1955" s="38"/>
      <c r="AMZ1955" s="38"/>
      <c r="ANA1955" s="38"/>
      <c r="ANB1955" s="38"/>
      <c r="ANC1955" s="38"/>
      <c r="AND1955" s="38"/>
      <c r="ANE1955" s="38"/>
      <c r="ANF1955" s="38"/>
      <c r="ANG1955" s="38"/>
      <c r="ANH1955" s="38"/>
      <c r="ANI1955" s="38"/>
      <c r="ANJ1955" s="38"/>
      <c r="ANK1955" s="38"/>
      <c r="ANL1955" s="38"/>
      <c r="ANM1955" s="38"/>
      <c r="ANN1955" s="38"/>
      <c r="ANO1955" s="38"/>
      <c r="ANP1955" s="38"/>
      <c r="ANQ1955" s="38"/>
      <c r="ANR1955" s="38"/>
      <c r="ANS1955" s="38"/>
      <c r="ANT1955" s="38"/>
      <c r="ANU1955" s="38"/>
      <c r="ANV1955" s="38"/>
      <c r="ANW1955" s="38"/>
      <c r="ANX1955" s="38"/>
      <c r="ANY1955" s="38"/>
      <c r="ANZ1955" s="38"/>
      <c r="AOA1955" s="38"/>
      <c r="AOB1955" s="38"/>
      <c r="AOC1955" s="38"/>
      <c r="AOD1955" s="38"/>
      <c r="AOE1955" s="38"/>
      <c r="AOF1955" s="38"/>
      <c r="AOG1955" s="38"/>
      <c r="AOH1955" s="38"/>
      <c r="AOI1955" s="38"/>
      <c r="AOJ1955" s="38"/>
      <c r="AOK1955" s="38"/>
      <c r="AOL1955" s="38"/>
      <c r="AOM1955" s="38"/>
      <c r="AON1955" s="38"/>
      <c r="AOO1955" s="38"/>
      <c r="AOP1955" s="38"/>
      <c r="AOQ1955" s="38"/>
      <c r="AOR1955" s="38"/>
      <c r="AOS1955" s="38"/>
      <c r="AOT1955" s="38"/>
      <c r="AOU1955" s="38"/>
      <c r="AOV1955" s="38"/>
      <c r="AOW1955" s="38"/>
      <c r="AOX1955" s="38"/>
      <c r="AOY1955" s="38"/>
      <c r="AOZ1955" s="38"/>
      <c r="APA1955" s="38"/>
      <c r="APB1955" s="38"/>
      <c r="APC1955" s="38"/>
    </row>
    <row r="1956" spans="1:1095" s="36" customFormat="1" ht="14.25" customHeight="1">
      <c r="A1956" s="3" t="s">
        <v>1722</v>
      </c>
      <c r="B1956" s="36" t="s">
        <v>2244</v>
      </c>
      <c r="C1956" s="10">
        <v>4099854067433</v>
      </c>
      <c r="D1956" s="224">
        <v>4058075591271</v>
      </c>
      <c r="E1956" s="245" t="s">
        <v>2245</v>
      </c>
      <c r="F1956" s="246"/>
      <c r="G1956" s="66" t="str">
        <f>HYPERLINK("https://ledvance.com/pt/product-datasheet/251424/238317","Ficha de Produto")</f>
        <v>Ficha de Produto</v>
      </c>
      <c r="H1956" s="217">
        <v>10</v>
      </c>
      <c r="I1956" s="34" t="s">
        <v>6354</v>
      </c>
      <c r="J1956" s="34" t="s">
        <v>6365</v>
      </c>
      <c r="K1956" s="34" t="s">
        <v>788</v>
      </c>
      <c r="L1956" s="34" t="s">
        <v>765</v>
      </c>
      <c r="M1956" s="247">
        <v>8.3000000000000007</v>
      </c>
      <c r="N1956" s="288" t="s">
        <v>722</v>
      </c>
    </row>
    <row r="1957" spans="1:1095" s="36" customFormat="1" ht="14.25" customHeight="1">
      <c r="A1957" s="3" t="s">
        <v>1722</v>
      </c>
      <c r="B1957" s="36" t="s">
        <v>2246</v>
      </c>
      <c r="C1957" s="10">
        <v>4099854054433</v>
      </c>
      <c r="D1957" s="224">
        <v>4058075591295</v>
      </c>
      <c r="E1957" s="245" t="s">
        <v>2247</v>
      </c>
      <c r="F1957" s="246"/>
      <c r="G1957" s="66" t="str">
        <f>HYPERLINK("https://ledvance.com/pt/product-datasheet/251424/236256","Ficha de Produto")</f>
        <v>Ficha de Produto</v>
      </c>
      <c r="H1957" s="217">
        <v>10</v>
      </c>
      <c r="I1957" s="34" t="s">
        <v>6349</v>
      </c>
      <c r="J1957" s="34" t="s">
        <v>809</v>
      </c>
      <c r="K1957" s="34" t="s">
        <v>788</v>
      </c>
      <c r="L1957" s="34" t="s">
        <v>765</v>
      </c>
      <c r="M1957" s="247">
        <v>8.6</v>
      </c>
      <c r="N1957" s="288" t="s">
        <v>722</v>
      </c>
    </row>
    <row r="1958" spans="1:1095" s="36" customFormat="1" ht="14.25" customHeight="1">
      <c r="A1958" s="3" t="s">
        <v>1722</v>
      </c>
      <c r="B1958" s="36" t="s">
        <v>2248</v>
      </c>
      <c r="C1958" s="10">
        <v>4099854054297</v>
      </c>
      <c r="D1958" s="224">
        <v>4058075590830</v>
      </c>
      <c r="E1958" s="245" t="s">
        <v>2249</v>
      </c>
      <c r="F1958" s="246"/>
      <c r="G1958" s="66" t="str">
        <f>HYPERLINK("https://ledvance.com/pt/product-datasheet/251424/236226","Ficha de Produto")</f>
        <v>Ficha de Produto</v>
      </c>
      <c r="H1958" s="217">
        <v>10</v>
      </c>
      <c r="I1958" s="34" t="s">
        <v>6349</v>
      </c>
      <c r="J1958" s="34" t="s">
        <v>809</v>
      </c>
      <c r="K1958" s="34" t="s">
        <v>788</v>
      </c>
      <c r="L1958" s="34" t="s">
        <v>765</v>
      </c>
      <c r="M1958" s="247">
        <v>8.6</v>
      </c>
      <c r="N1958" s="288" t="s">
        <v>722</v>
      </c>
    </row>
    <row r="1959" spans="1:1095" s="36" customFormat="1" ht="14.25" customHeight="1">
      <c r="A1959" s="3" t="s">
        <v>1722</v>
      </c>
      <c r="B1959" s="36" t="s">
        <v>2250</v>
      </c>
      <c r="C1959" s="10">
        <v>4099854054334</v>
      </c>
      <c r="D1959" s="224">
        <v>4058075590854</v>
      </c>
      <c r="E1959" s="245" t="s">
        <v>2251</v>
      </c>
      <c r="F1959" s="246"/>
      <c r="G1959" s="66" t="str">
        <f>HYPERLINK("https://ledvance.com/pt/product-datasheet/251424/236232","Ficha de Produto")</f>
        <v>Ficha de Produto</v>
      </c>
      <c r="H1959" s="217">
        <v>10</v>
      </c>
      <c r="I1959" s="34" t="s">
        <v>6349</v>
      </c>
      <c r="J1959" s="34" t="s">
        <v>809</v>
      </c>
      <c r="K1959" s="34" t="s">
        <v>788</v>
      </c>
      <c r="L1959" s="34" t="s">
        <v>765</v>
      </c>
      <c r="M1959" s="247">
        <v>8.6</v>
      </c>
      <c r="N1959" s="288" t="s">
        <v>722</v>
      </c>
    </row>
    <row r="1960" spans="1:1095" s="36" customFormat="1" ht="14.25" customHeight="1">
      <c r="A1960" s="3" t="s">
        <v>1722</v>
      </c>
      <c r="B1960" s="36" t="s">
        <v>2252</v>
      </c>
      <c r="C1960" s="10">
        <v>4099854060977</v>
      </c>
      <c r="D1960" s="224">
        <v>4058075591110</v>
      </c>
      <c r="E1960" s="245" t="s">
        <v>2253</v>
      </c>
      <c r="F1960" s="246"/>
      <c r="G1960" s="66" t="str">
        <f>HYPERLINK("https://ledvance.com/pt/product-datasheet/251424/237174","Ficha de Produto")</f>
        <v>Ficha de Produto</v>
      </c>
      <c r="H1960" s="217">
        <v>10</v>
      </c>
      <c r="I1960" s="34" t="s">
        <v>6351</v>
      </c>
      <c r="J1960" s="34" t="s">
        <v>6292</v>
      </c>
      <c r="K1960" s="34" t="s">
        <v>788</v>
      </c>
      <c r="L1960" s="34" t="s">
        <v>765</v>
      </c>
      <c r="M1960" s="247">
        <v>12.200000000000001</v>
      </c>
      <c r="N1960" s="288" t="s">
        <v>722</v>
      </c>
    </row>
    <row r="1961" spans="1:1095" s="36" customFormat="1" ht="14.25" customHeight="1">
      <c r="A1961" s="3" t="s">
        <v>1722</v>
      </c>
      <c r="B1961" s="36" t="s">
        <v>2254</v>
      </c>
      <c r="C1961" s="10">
        <v>4099854060854</v>
      </c>
      <c r="D1961" s="224">
        <v>4058075591059</v>
      </c>
      <c r="E1961" s="245" t="s">
        <v>2255</v>
      </c>
      <c r="F1961" s="246"/>
      <c r="G1961" s="66" t="str">
        <f>HYPERLINK("https://ledvance.com/pt/product-datasheet/251424/237168","Ficha de Produto")</f>
        <v>Ficha de Produto</v>
      </c>
      <c r="H1961" s="217">
        <v>10</v>
      </c>
      <c r="I1961" s="34" t="s">
        <v>6351</v>
      </c>
      <c r="J1961" s="34" t="s">
        <v>6292</v>
      </c>
      <c r="K1961" s="34" t="s">
        <v>788</v>
      </c>
      <c r="L1961" s="34" t="s">
        <v>765</v>
      </c>
      <c r="M1961" s="247">
        <v>12.200000000000001</v>
      </c>
      <c r="N1961" s="288" t="s">
        <v>722</v>
      </c>
    </row>
    <row r="1962" spans="1:1095" s="36" customFormat="1" ht="14.25" customHeight="1">
      <c r="A1962" s="3" t="s">
        <v>1722</v>
      </c>
      <c r="B1962" s="36" t="s">
        <v>2256</v>
      </c>
      <c r="C1962" s="10">
        <v>4099854060656</v>
      </c>
      <c r="D1962" s="224">
        <v>4058075756182</v>
      </c>
      <c r="E1962" s="245" t="s">
        <v>2257</v>
      </c>
      <c r="F1962" s="246"/>
      <c r="G1962" s="66" t="str">
        <f>HYPERLINK("https://ledvance.com/pt/product-datasheet/251424/237159","Ficha de Produto")</f>
        <v>Ficha de Produto</v>
      </c>
      <c r="H1962" s="217">
        <v>10</v>
      </c>
      <c r="I1962" s="34" t="s">
        <v>6352</v>
      </c>
      <c r="J1962" s="34" t="s">
        <v>1053</v>
      </c>
      <c r="K1962" s="34" t="s">
        <v>788</v>
      </c>
      <c r="L1962" s="34" t="s">
        <v>765</v>
      </c>
      <c r="M1962" s="247">
        <v>16.8</v>
      </c>
      <c r="N1962" s="288" t="s">
        <v>722</v>
      </c>
    </row>
    <row r="1963" spans="1:1095" s="36" customFormat="1" ht="14.25" customHeight="1">
      <c r="A1963" s="3" t="s">
        <v>1722</v>
      </c>
      <c r="B1963" s="36" t="s">
        <v>2258</v>
      </c>
      <c r="C1963" s="10">
        <v>4099854067457</v>
      </c>
      <c r="D1963" s="224">
        <v>4058075592179</v>
      </c>
      <c r="E1963" s="245" t="s">
        <v>2259</v>
      </c>
      <c r="F1963" s="246"/>
      <c r="G1963" s="66" t="str">
        <f>HYPERLINK("https://ledvance.com/pt/product-datasheet/251424/238294","Ficha de Produto")</f>
        <v>Ficha de Produto</v>
      </c>
      <c r="H1963" s="217">
        <v>10</v>
      </c>
      <c r="I1963" s="34" t="s">
        <v>6366</v>
      </c>
      <c r="J1963" s="34" t="s">
        <v>773</v>
      </c>
      <c r="K1963" s="34" t="s">
        <v>788</v>
      </c>
      <c r="L1963" s="34" t="s">
        <v>765</v>
      </c>
      <c r="M1963" s="247">
        <v>29.3</v>
      </c>
      <c r="N1963" s="288" t="s">
        <v>722</v>
      </c>
    </row>
    <row r="1964" spans="1:1095" s="39" customFormat="1" ht="14.25" customHeight="1">
      <c r="A1964" s="8" t="s">
        <v>1722</v>
      </c>
      <c r="B1964" s="244" t="s">
        <v>2260</v>
      </c>
      <c r="C1964" s="8"/>
      <c r="D1964" s="7"/>
      <c r="E1964" s="230"/>
      <c r="F1964" s="7"/>
      <c r="G1964" s="68"/>
      <c r="H1964" s="230"/>
      <c r="I1964" s="230"/>
      <c r="J1964" s="230"/>
      <c r="K1964" s="230"/>
      <c r="L1964" s="230"/>
      <c r="M1964" s="248"/>
      <c r="N1964" s="284"/>
      <c r="O1964" s="38"/>
      <c r="P1964" s="38"/>
      <c r="Q1964" s="38"/>
      <c r="R1964" s="38"/>
      <c r="S1964" s="38"/>
      <c r="T1964" s="38"/>
      <c r="U1964" s="38"/>
      <c r="V1964" s="38"/>
      <c r="W1964" s="38"/>
      <c r="X1964" s="38"/>
      <c r="Y1964" s="38"/>
      <c r="Z1964" s="38"/>
      <c r="AA1964" s="38"/>
      <c r="AB1964" s="38"/>
      <c r="AC1964" s="38"/>
      <c r="AD1964" s="38"/>
      <c r="AE1964" s="38"/>
      <c r="AF1964" s="38"/>
      <c r="AG1964" s="38"/>
      <c r="AH1964" s="38"/>
      <c r="AI1964" s="38"/>
      <c r="AJ1964" s="38"/>
      <c r="AK1964" s="38"/>
      <c r="AL1964" s="38"/>
      <c r="AM1964" s="38"/>
      <c r="AN1964" s="38"/>
      <c r="AO1964" s="38"/>
      <c r="AP1964" s="38"/>
      <c r="AQ1964" s="38"/>
      <c r="AR1964" s="38"/>
      <c r="AS1964" s="38"/>
      <c r="AT1964" s="38"/>
      <c r="AU1964" s="38"/>
      <c r="AV1964" s="38"/>
      <c r="AW1964" s="38"/>
      <c r="AX1964" s="38"/>
      <c r="AY1964" s="38"/>
      <c r="AZ1964" s="38"/>
      <c r="BA1964" s="38"/>
      <c r="BB1964" s="38"/>
      <c r="BC1964" s="38"/>
      <c r="BD1964" s="38"/>
      <c r="BE1964" s="38"/>
      <c r="BF1964" s="38"/>
      <c r="BG1964" s="38"/>
      <c r="BH1964" s="38"/>
      <c r="BI1964" s="38"/>
      <c r="BJ1964" s="38"/>
      <c r="BK1964" s="38"/>
      <c r="BL1964" s="38"/>
      <c r="BM1964" s="38"/>
      <c r="BN1964" s="38"/>
      <c r="BO1964" s="38"/>
      <c r="BP1964" s="38"/>
      <c r="BQ1964" s="38"/>
      <c r="BR1964" s="38"/>
      <c r="BS1964" s="38"/>
      <c r="BT1964" s="38"/>
      <c r="BU1964" s="38"/>
      <c r="BV1964" s="38"/>
      <c r="BW1964" s="38"/>
      <c r="BX1964" s="38"/>
      <c r="BY1964" s="38"/>
      <c r="BZ1964" s="38"/>
      <c r="CA1964" s="38"/>
      <c r="CB1964" s="38"/>
      <c r="CC1964" s="38"/>
      <c r="CD1964" s="38"/>
      <c r="CE1964" s="38"/>
      <c r="CF1964" s="38"/>
      <c r="CG1964" s="38"/>
      <c r="CH1964" s="38"/>
      <c r="CI1964" s="38"/>
      <c r="CJ1964" s="38"/>
      <c r="CK1964" s="38"/>
      <c r="CL1964" s="38"/>
      <c r="CM1964" s="38"/>
      <c r="CN1964" s="38"/>
      <c r="CO1964" s="38"/>
      <c r="CP1964" s="38"/>
      <c r="CQ1964" s="38"/>
      <c r="CR1964" s="38"/>
      <c r="CS1964" s="38"/>
      <c r="CT1964" s="38"/>
      <c r="CU1964" s="38"/>
      <c r="CV1964" s="38"/>
      <c r="CW1964" s="38"/>
      <c r="CX1964" s="38"/>
      <c r="CY1964" s="38"/>
      <c r="CZ1964" s="38"/>
      <c r="DA1964" s="38"/>
      <c r="DB1964" s="38"/>
      <c r="DC1964" s="38"/>
      <c r="DD1964" s="38"/>
      <c r="DE1964" s="38"/>
      <c r="DF1964" s="38"/>
      <c r="DG1964" s="38"/>
      <c r="DH1964" s="38"/>
      <c r="DI1964" s="38"/>
      <c r="DJ1964" s="38"/>
      <c r="DK1964" s="38"/>
      <c r="DL1964" s="38"/>
      <c r="DM1964" s="38"/>
      <c r="DN1964" s="38"/>
      <c r="DO1964" s="38"/>
      <c r="DP1964" s="38"/>
      <c r="DQ1964" s="38"/>
      <c r="DR1964" s="38"/>
      <c r="DS1964" s="38"/>
      <c r="DT1964" s="38"/>
      <c r="DU1964" s="38"/>
      <c r="DV1964" s="38"/>
      <c r="DW1964" s="38"/>
      <c r="DX1964" s="38"/>
      <c r="DY1964" s="38"/>
      <c r="DZ1964" s="38"/>
      <c r="EA1964" s="38"/>
      <c r="EB1964" s="38"/>
      <c r="EC1964" s="38"/>
      <c r="ED1964" s="38"/>
      <c r="EE1964" s="38"/>
      <c r="EF1964" s="38"/>
      <c r="EG1964" s="38"/>
      <c r="EH1964" s="38"/>
      <c r="EI1964" s="38"/>
      <c r="EJ1964" s="38"/>
      <c r="EK1964" s="38"/>
      <c r="EL1964" s="38"/>
      <c r="EM1964" s="38"/>
      <c r="EN1964" s="38"/>
      <c r="EO1964" s="38"/>
      <c r="EP1964" s="38"/>
      <c r="EQ1964" s="38"/>
      <c r="ER1964" s="38"/>
      <c r="ES1964" s="38"/>
      <c r="ET1964" s="38"/>
      <c r="EU1964" s="38"/>
      <c r="EV1964" s="38"/>
      <c r="EW1964" s="38"/>
      <c r="EX1964" s="38"/>
      <c r="EY1964" s="38"/>
      <c r="EZ1964" s="38"/>
      <c r="FA1964" s="38"/>
      <c r="FB1964" s="38"/>
      <c r="FC1964" s="38"/>
      <c r="FD1964" s="38"/>
      <c r="FE1964" s="38"/>
      <c r="FF1964" s="38"/>
      <c r="FG1964" s="38"/>
      <c r="FH1964" s="38"/>
      <c r="FI1964" s="38"/>
      <c r="FJ1964" s="38"/>
      <c r="FK1964" s="38"/>
      <c r="FL1964" s="38"/>
      <c r="FM1964" s="38"/>
      <c r="FN1964" s="38"/>
      <c r="FO1964" s="38"/>
      <c r="FP1964" s="38"/>
      <c r="FQ1964" s="38"/>
      <c r="FR1964" s="38"/>
      <c r="FS1964" s="38"/>
      <c r="FT1964" s="38"/>
      <c r="FU1964" s="38"/>
      <c r="FV1964" s="38"/>
      <c r="FW1964" s="38"/>
      <c r="FX1964" s="38"/>
      <c r="FY1964" s="38"/>
      <c r="FZ1964" s="38"/>
      <c r="GA1964" s="38"/>
      <c r="GB1964" s="38"/>
      <c r="GC1964" s="38"/>
      <c r="GD1964" s="38"/>
      <c r="GE1964" s="38"/>
      <c r="GF1964" s="38"/>
      <c r="GG1964" s="38"/>
      <c r="GH1964" s="38"/>
      <c r="GI1964" s="38"/>
      <c r="GJ1964" s="38"/>
      <c r="GK1964" s="38"/>
      <c r="GL1964" s="38"/>
      <c r="GM1964" s="38"/>
      <c r="GN1964" s="38"/>
      <c r="GO1964" s="38"/>
      <c r="GP1964" s="38"/>
      <c r="GQ1964" s="38"/>
      <c r="GR1964" s="38"/>
      <c r="GS1964" s="38"/>
      <c r="GT1964" s="38"/>
      <c r="GU1964" s="38"/>
      <c r="GV1964" s="38"/>
      <c r="GW1964" s="38"/>
      <c r="GX1964" s="38"/>
      <c r="GY1964" s="38"/>
      <c r="GZ1964" s="38"/>
      <c r="HA1964" s="38"/>
      <c r="HB1964" s="38"/>
      <c r="HC1964" s="38"/>
      <c r="HD1964" s="38"/>
      <c r="HE1964" s="38"/>
      <c r="HF1964" s="38"/>
      <c r="HG1964" s="38"/>
      <c r="HH1964" s="38"/>
      <c r="HI1964" s="38"/>
      <c r="HJ1964" s="38"/>
      <c r="HK1964" s="38"/>
      <c r="HL1964" s="38"/>
      <c r="HM1964" s="38"/>
      <c r="HN1964" s="38"/>
      <c r="HO1964" s="38"/>
      <c r="HP1964" s="38"/>
      <c r="HQ1964" s="38"/>
      <c r="HR1964" s="38"/>
      <c r="HS1964" s="38"/>
      <c r="HT1964" s="38"/>
      <c r="HU1964" s="38"/>
      <c r="HV1964" s="38"/>
      <c r="HW1964" s="38"/>
      <c r="HX1964" s="38"/>
      <c r="HY1964" s="38"/>
      <c r="HZ1964" s="38"/>
      <c r="IA1964" s="38"/>
      <c r="IB1964" s="38"/>
      <c r="IC1964" s="38"/>
      <c r="ID1964" s="38"/>
      <c r="IE1964" s="38"/>
      <c r="IF1964" s="38"/>
      <c r="IG1964" s="38"/>
      <c r="IH1964" s="38"/>
      <c r="II1964" s="38"/>
      <c r="IJ1964" s="38"/>
      <c r="IK1964" s="38"/>
      <c r="IL1964" s="38"/>
      <c r="IM1964" s="38"/>
      <c r="IN1964" s="38"/>
      <c r="IO1964" s="38"/>
      <c r="IP1964" s="38"/>
      <c r="IQ1964" s="38"/>
      <c r="IR1964" s="38"/>
      <c r="IS1964" s="38"/>
      <c r="IT1964" s="38"/>
      <c r="IU1964" s="38"/>
      <c r="IV1964" s="38"/>
      <c r="IW1964" s="38"/>
      <c r="IX1964" s="38"/>
      <c r="IY1964" s="38"/>
      <c r="IZ1964" s="38"/>
      <c r="JA1964" s="38"/>
      <c r="JB1964" s="38"/>
      <c r="JC1964" s="38"/>
      <c r="JD1964" s="38"/>
      <c r="JE1964" s="38"/>
      <c r="JF1964" s="38"/>
      <c r="JG1964" s="38"/>
      <c r="JH1964" s="38"/>
      <c r="JI1964" s="38"/>
      <c r="JJ1964" s="38"/>
      <c r="JK1964" s="38"/>
      <c r="JL1964" s="38"/>
      <c r="JM1964" s="38"/>
      <c r="JN1964" s="38"/>
      <c r="JO1964" s="38"/>
      <c r="JP1964" s="38"/>
      <c r="JQ1964" s="38"/>
      <c r="JR1964" s="38"/>
      <c r="JS1964" s="38"/>
      <c r="JT1964" s="38"/>
      <c r="JU1964" s="38"/>
      <c r="JV1964" s="38"/>
      <c r="JW1964" s="38"/>
      <c r="JX1964" s="38"/>
      <c r="JY1964" s="38"/>
      <c r="JZ1964" s="38"/>
      <c r="KA1964" s="38"/>
      <c r="KB1964" s="38"/>
      <c r="KC1964" s="38"/>
      <c r="KD1964" s="38"/>
      <c r="KE1964" s="38"/>
      <c r="KF1964" s="38"/>
      <c r="KG1964" s="38"/>
      <c r="KH1964" s="38"/>
      <c r="KI1964" s="38"/>
      <c r="KJ1964" s="38"/>
      <c r="KK1964" s="38"/>
      <c r="KL1964" s="38"/>
      <c r="KM1964" s="38"/>
      <c r="KN1964" s="38"/>
      <c r="KO1964" s="38"/>
      <c r="KP1964" s="38"/>
      <c r="KQ1964" s="38"/>
      <c r="KR1964" s="38"/>
      <c r="KS1964" s="38"/>
      <c r="KT1964" s="38"/>
      <c r="KU1964" s="38"/>
      <c r="KV1964" s="38"/>
      <c r="KW1964" s="38"/>
      <c r="KX1964" s="38"/>
      <c r="KY1964" s="38"/>
      <c r="KZ1964" s="38"/>
      <c r="LA1964" s="38"/>
      <c r="LB1964" s="38"/>
      <c r="LC1964" s="38"/>
      <c r="LD1964" s="38"/>
      <c r="LE1964" s="38"/>
      <c r="LF1964" s="38"/>
      <c r="LG1964" s="38"/>
      <c r="LH1964" s="38"/>
      <c r="LI1964" s="38"/>
      <c r="LJ1964" s="38"/>
      <c r="LK1964" s="38"/>
      <c r="LL1964" s="38"/>
      <c r="LM1964" s="38"/>
      <c r="LN1964" s="38"/>
      <c r="LO1964" s="38"/>
      <c r="LP1964" s="38"/>
      <c r="LQ1964" s="38"/>
      <c r="LR1964" s="38"/>
      <c r="LS1964" s="38"/>
      <c r="LT1964" s="38"/>
      <c r="LU1964" s="38"/>
      <c r="LV1964" s="38"/>
      <c r="LW1964" s="38"/>
      <c r="LX1964" s="38"/>
      <c r="LY1964" s="38"/>
      <c r="LZ1964" s="38"/>
      <c r="MA1964" s="38"/>
      <c r="MB1964" s="38"/>
      <c r="MC1964" s="38"/>
      <c r="MD1964" s="38"/>
      <c r="ME1964" s="38"/>
      <c r="MF1964" s="38"/>
      <c r="MG1964" s="38"/>
      <c r="MH1964" s="38"/>
      <c r="MI1964" s="38"/>
      <c r="MJ1964" s="38"/>
      <c r="MK1964" s="38"/>
      <c r="ML1964" s="38"/>
      <c r="MM1964" s="38"/>
      <c r="MN1964" s="38"/>
      <c r="MO1964" s="38"/>
      <c r="MP1964" s="38"/>
      <c r="MQ1964" s="38"/>
      <c r="MR1964" s="38"/>
      <c r="MS1964" s="38"/>
      <c r="MT1964" s="38"/>
      <c r="MU1964" s="38"/>
      <c r="MV1964" s="38"/>
      <c r="MW1964" s="38"/>
      <c r="MX1964" s="38"/>
      <c r="MY1964" s="38"/>
      <c r="MZ1964" s="38"/>
      <c r="NA1964" s="38"/>
      <c r="NB1964" s="38"/>
      <c r="NC1964" s="38"/>
      <c r="ND1964" s="38"/>
      <c r="NE1964" s="38"/>
      <c r="NF1964" s="38"/>
      <c r="NG1964" s="38"/>
      <c r="NH1964" s="38"/>
      <c r="NI1964" s="38"/>
      <c r="NJ1964" s="38"/>
      <c r="NK1964" s="38"/>
      <c r="NL1964" s="38"/>
      <c r="NM1964" s="38"/>
      <c r="NN1964" s="38"/>
      <c r="NO1964" s="38"/>
      <c r="NP1964" s="38"/>
      <c r="NQ1964" s="38"/>
      <c r="NR1964" s="38"/>
      <c r="NS1964" s="38"/>
      <c r="NT1964" s="38"/>
      <c r="NU1964" s="38"/>
      <c r="NV1964" s="38"/>
      <c r="NW1964" s="38"/>
      <c r="NX1964" s="38"/>
      <c r="NY1964" s="38"/>
      <c r="NZ1964" s="38"/>
      <c r="OA1964" s="38"/>
      <c r="OB1964" s="38"/>
      <c r="OC1964" s="38"/>
      <c r="OD1964" s="38"/>
      <c r="OE1964" s="38"/>
      <c r="OF1964" s="38"/>
      <c r="OG1964" s="38"/>
      <c r="OH1964" s="38"/>
      <c r="OI1964" s="38"/>
      <c r="OJ1964" s="38"/>
      <c r="OK1964" s="38"/>
      <c r="OL1964" s="38"/>
      <c r="OM1964" s="38"/>
      <c r="ON1964" s="38"/>
      <c r="OO1964" s="38"/>
      <c r="OP1964" s="38"/>
      <c r="OQ1964" s="38"/>
      <c r="OR1964" s="38"/>
      <c r="OS1964" s="38"/>
      <c r="OT1964" s="38"/>
      <c r="OU1964" s="38"/>
      <c r="OV1964" s="38"/>
      <c r="OW1964" s="38"/>
      <c r="OX1964" s="38"/>
      <c r="OY1964" s="38"/>
      <c r="OZ1964" s="38"/>
      <c r="PA1964" s="38"/>
      <c r="PB1964" s="38"/>
      <c r="PC1964" s="38"/>
      <c r="PD1964" s="38"/>
      <c r="PE1964" s="38"/>
      <c r="PF1964" s="38"/>
      <c r="PG1964" s="38"/>
      <c r="PH1964" s="38"/>
      <c r="PI1964" s="38"/>
      <c r="PJ1964" s="38"/>
      <c r="PK1964" s="38"/>
      <c r="PL1964" s="38"/>
      <c r="PM1964" s="38"/>
      <c r="PN1964" s="38"/>
      <c r="PO1964" s="38"/>
      <c r="PP1964" s="38"/>
      <c r="PQ1964" s="38"/>
      <c r="PR1964" s="38"/>
      <c r="PS1964" s="38"/>
      <c r="PT1964" s="38"/>
      <c r="PU1964" s="38"/>
      <c r="PV1964" s="38"/>
      <c r="PW1964" s="38"/>
      <c r="PX1964" s="38"/>
      <c r="PY1964" s="38"/>
      <c r="PZ1964" s="38"/>
      <c r="QA1964" s="38"/>
      <c r="QB1964" s="38"/>
      <c r="QC1964" s="38"/>
      <c r="QD1964" s="38"/>
      <c r="QE1964" s="38"/>
      <c r="QF1964" s="38"/>
      <c r="QG1964" s="38"/>
      <c r="QH1964" s="38"/>
      <c r="QI1964" s="38"/>
      <c r="QJ1964" s="38"/>
      <c r="QK1964" s="38"/>
      <c r="QL1964" s="38"/>
      <c r="QM1964" s="38"/>
      <c r="QN1964" s="38"/>
      <c r="QO1964" s="38"/>
      <c r="QP1964" s="38"/>
      <c r="QQ1964" s="38"/>
      <c r="QR1964" s="38"/>
      <c r="QS1964" s="38"/>
      <c r="QT1964" s="38"/>
      <c r="QU1964" s="38"/>
      <c r="QV1964" s="38"/>
      <c r="QW1964" s="38"/>
      <c r="QX1964" s="38"/>
      <c r="QY1964" s="38"/>
      <c r="QZ1964" s="38"/>
      <c r="RA1964" s="38"/>
      <c r="RB1964" s="38"/>
      <c r="RC1964" s="38"/>
      <c r="RD1964" s="38"/>
      <c r="RE1964" s="38"/>
      <c r="RF1964" s="38"/>
      <c r="RG1964" s="38"/>
      <c r="RH1964" s="38"/>
      <c r="RI1964" s="38"/>
      <c r="RJ1964" s="38"/>
      <c r="RK1964" s="38"/>
      <c r="RL1964" s="38"/>
      <c r="RM1964" s="38"/>
      <c r="RN1964" s="38"/>
      <c r="RO1964" s="38"/>
      <c r="RP1964" s="38"/>
      <c r="RQ1964" s="38"/>
      <c r="RR1964" s="38"/>
      <c r="RS1964" s="38"/>
      <c r="RT1964" s="38"/>
      <c r="RU1964" s="38"/>
      <c r="RV1964" s="38"/>
      <c r="RW1964" s="38"/>
      <c r="RX1964" s="38"/>
      <c r="RY1964" s="38"/>
      <c r="RZ1964" s="38"/>
      <c r="SA1964" s="38"/>
      <c r="SB1964" s="38"/>
      <c r="SC1964" s="38"/>
      <c r="SD1964" s="38"/>
      <c r="SE1964" s="38"/>
      <c r="SF1964" s="38"/>
      <c r="SG1964" s="38"/>
      <c r="SH1964" s="38"/>
      <c r="SI1964" s="38"/>
      <c r="SJ1964" s="38"/>
      <c r="SK1964" s="38"/>
      <c r="SL1964" s="38"/>
      <c r="SM1964" s="38"/>
      <c r="SN1964" s="38"/>
      <c r="SO1964" s="38"/>
      <c r="SP1964" s="38"/>
      <c r="SQ1964" s="38"/>
      <c r="SR1964" s="38"/>
      <c r="SS1964" s="38"/>
      <c r="ST1964" s="38"/>
      <c r="SU1964" s="38"/>
      <c r="SV1964" s="38"/>
      <c r="SW1964" s="38"/>
      <c r="SX1964" s="38"/>
      <c r="SY1964" s="38"/>
      <c r="SZ1964" s="38"/>
      <c r="TA1964" s="38"/>
      <c r="TB1964" s="38"/>
      <c r="TC1964" s="38"/>
      <c r="TD1964" s="38"/>
      <c r="TE1964" s="38"/>
      <c r="TF1964" s="38"/>
      <c r="TG1964" s="38"/>
      <c r="TH1964" s="38"/>
      <c r="TI1964" s="38"/>
      <c r="TJ1964" s="38"/>
      <c r="TK1964" s="38"/>
      <c r="TL1964" s="38"/>
      <c r="TM1964" s="38"/>
      <c r="TN1964" s="38"/>
      <c r="TO1964" s="38"/>
      <c r="TP1964" s="38"/>
      <c r="TQ1964" s="38"/>
      <c r="TR1964" s="38"/>
      <c r="TS1964" s="38"/>
      <c r="TT1964" s="38"/>
      <c r="TU1964" s="38"/>
      <c r="TV1964" s="38"/>
      <c r="TW1964" s="38"/>
      <c r="TX1964" s="38"/>
      <c r="TY1964" s="38"/>
      <c r="TZ1964" s="38"/>
      <c r="UA1964" s="38"/>
      <c r="UB1964" s="38"/>
      <c r="UC1964" s="38"/>
      <c r="UD1964" s="38"/>
      <c r="UE1964" s="38"/>
      <c r="UF1964" s="38"/>
      <c r="UG1964" s="38"/>
      <c r="UH1964" s="38"/>
      <c r="UI1964" s="38"/>
      <c r="UJ1964" s="38"/>
      <c r="UK1964" s="38"/>
      <c r="UL1964" s="38"/>
      <c r="UM1964" s="38"/>
      <c r="UN1964" s="38"/>
      <c r="UO1964" s="38"/>
      <c r="UP1964" s="38"/>
      <c r="UQ1964" s="38"/>
      <c r="UR1964" s="38"/>
      <c r="US1964" s="38"/>
      <c r="UT1964" s="38"/>
      <c r="UU1964" s="38"/>
      <c r="UV1964" s="38"/>
      <c r="UW1964" s="38"/>
      <c r="UX1964" s="38"/>
      <c r="UY1964" s="38"/>
      <c r="UZ1964" s="38"/>
      <c r="VA1964" s="38"/>
      <c r="VB1964" s="38"/>
      <c r="VC1964" s="38"/>
      <c r="VD1964" s="38"/>
      <c r="VE1964" s="38"/>
      <c r="VF1964" s="38"/>
      <c r="VG1964" s="38"/>
      <c r="VH1964" s="38"/>
      <c r="VI1964" s="38"/>
      <c r="VJ1964" s="38"/>
      <c r="VK1964" s="38"/>
      <c r="VL1964" s="38"/>
      <c r="VM1964" s="38"/>
      <c r="VN1964" s="38"/>
      <c r="VO1964" s="38"/>
      <c r="VP1964" s="38"/>
      <c r="VQ1964" s="38"/>
      <c r="VR1964" s="38"/>
      <c r="VS1964" s="38"/>
      <c r="VT1964" s="38"/>
      <c r="VU1964" s="38"/>
      <c r="VV1964" s="38"/>
      <c r="VW1964" s="38"/>
      <c r="VX1964" s="38"/>
      <c r="VY1964" s="38"/>
      <c r="VZ1964" s="38"/>
      <c r="WA1964" s="38"/>
      <c r="WB1964" s="38"/>
      <c r="WC1964" s="38"/>
      <c r="WD1964" s="38"/>
      <c r="WE1964" s="38"/>
      <c r="WF1964" s="38"/>
      <c r="WG1964" s="38"/>
      <c r="WH1964" s="38"/>
      <c r="WI1964" s="38"/>
      <c r="WJ1964" s="38"/>
      <c r="WK1964" s="38"/>
      <c r="WL1964" s="38"/>
      <c r="WM1964" s="38"/>
      <c r="WN1964" s="38"/>
      <c r="WO1964" s="38"/>
      <c r="WP1964" s="38"/>
      <c r="WQ1964" s="38"/>
      <c r="WR1964" s="38"/>
      <c r="WS1964" s="38"/>
      <c r="WT1964" s="38"/>
      <c r="WU1964" s="38"/>
      <c r="WV1964" s="38"/>
      <c r="WW1964" s="38"/>
      <c r="WX1964" s="38"/>
      <c r="WY1964" s="38"/>
      <c r="WZ1964" s="38"/>
      <c r="XA1964" s="38"/>
      <c r="XB1964" s="38"/>
      <c r="XC1964" s="38"/>
      <c r="XD1964" s="38"/>
      <c r="XE1964" s="38"/>
      <c r="XF1964" s="38"/>
      <c r="XG1964" s="38"/>
      <c r="XH1964" s="38"/>
      <c r="XI1964" s="38"/>
      <c r="XJ1964" s="38"/>
      <c r="XK1964" s="38"/>
      <c r="XL1964" s="38"/>
      <c r="XM1964" s="38"/>
      <c r="XN1964" s="38"/>
      <c r="XO1964" s="38"/>
      <c r="XP1964" s="38"/>
      <c r="XQ1964" s="38"/>
      <c r="XR1964" s="38"/>
      <c r="XS1964" s="38"/>
      <c r="XT1964" s="38"/>
      <c r="XU1964" s="38"/>
      <c r="XV1964" s="38"/>
      <c r="XW1964" s="38"/>
      <c r="XX1964" s="38"/>
      <c r="XY1964" s="38"/>
      <c r="XZ1964" s="38"/>
      <c r="YA1964" s="38"/>
      <c r="YB1964" s="38"/>
      <c r="YC1964" s="38"/>
      <c r="YD1964" s="38"/>
      <c r="YE1964" s="38"/>
      <c r="YF1964" s="38"/>
      <c r="YG1964" s="38"/>
      <c r="YH1964" s="38"/>
      <c r="YI1964" s="38"/>
      <c r="YJ1964" s="38"/>
      <c r="YK1964" s="38"/>
      <c r="YL1964" s="38"/>
      <c r="YM1964" s="38"/>
      <c r="YN1964" s="38"/>
      <c r="YO1964" s="38"/>
      <c r="YP1964" s="38"/>
      <c r="YQ1964" s="38"/>
      <c r="YR1964" s="38"/>
      <c r="YS1964" s="38"/>
      <c r="YT1964" s="38"/>
      <c r="YU1964" s="38"/>
      <c r="YV1964" s="38"/>
      <c r="YW1964" s="38"/>
      <c r="YX1964" s="38"/>
      <c r="YY1964" s="38"/>
      <c r="YZ1964" s="38"/>
      <c r="ZA1964" s="38"/>
      <c r="ZB1964" s="38"/>
      <c r="ZC1964" s="38"/>
      <c r="ZD1964" s="38"/>
      <c r="ZE1964" s="38"/>
      <c r="ZF1964" s="38"/>
      <c r="ZG1964" s="38"/>
      <c r="ZH1964" s="38"/>
      <c r="ZI1964" s="38"/>
      <c r="ZJ1964" s="38"/>
      <c r="ZK1964" s="38"/>
      <c r="ZL1964" s="38"/>
      <c r="ZM1964" s="38"/>
      <c r="ZN1964" s="38"/>
      <c r="ZO1964" s="38"/>
      <c r="ZP1964" s="38"/>
      <c r="ZQ1964" s="38"/>
      <c r="ZR1964" s="38"/>
      <c r="ZS1964" s="38"/>
      <c r="ZT1964" s="38"/>
      <c r="ZU1964" s="38"/>
      <c r="ZV1964" s="38"/>
      <c r="ZW1964" s="38"/>
      <c r="ZX1964" s="38"/>
      <c r="ZY1964" s="38"/>
      <c r="ZZ1964" s="38"/>
      <c r="AAA1964" s="38"/>
      <c r="AAB1964" s="38"/>
      <c r="AAC1964" s="38"/>
      <c r="AAD1964" s="38"/>
      <c r="AAE1964" s="38"/>
      <c r="AAF1964" s="38"/>
      <c r="AAG1964" s="38"/>
      <c r="AAH1964" s="38"/>
      <c r="AAI1964" s="38"/>
      <c r="AAJ1964" s="38"/>
      <c r="AAK1964" s="38"/>
      <c r="AAL1964" s="38"/>
      <c r="AAM1964" s="38"/>
      <c r="AAN1964" s="38"/>
      <c r="AAO1964" s="38"/>
      <c r="AAP1964" s="38"/>
      <c r="AAQ1964" s="38"/>
      <c r="AAR1964" s="38"/>
      <c r="AAS1964" s="38"/>
      <c r="AAT1964" s="38"/>
      <c r="AAU1964" s="38"/>
      <c r="AAV1964" s="38"/>
      <c r="AAW1964" s="38"/>
      <c r="AAX1964" s="38"/>
      <c r="AAY1964" s="38"/>
      <c r="AAZ1964" s="38"/>
      <c r="ABA1964" s="38"/>
      <c r="ABB1964" s="38"/>
      <c r="ABC1964" s="38"/>
      <c r="ABD1964" s="38"/>
      <c r="ABE1964" s="38"/>
      <c r="ABF1964" s="38"/>
      <c r="ABG1964" s="38"/>
      <c r="ABH1964" s="38"/>
      <c r="ABI1964" s="38"/>
      <c r="ABJ1964" s="38"/>
      <c r="ABK1964" s="38"/>
      <c r="ABL1964" s="38"/>
      <c r="ABM1964" s="38"/>
      <c r="ABN1964" s="38"/>
      <c r="ABO1964" s="38"/>
      <c r="ABP1964" s="38"/>
      <c r="ABQ1964" s="38"/>
      <c r="ABR1964" s="38"/>
      <c r="ABS1964" s="38"/>
      <c r="ABT1964" s="38"/>
      <c r="ABU1964" s="38"/>
      <c r="ABV1964" s="38"/>
      <c r="ABW1964" s="38"/>
      <c r="ABX1964" s="38"/>
      <c r="ABY1964" s="38"/>
      <c r="ABZ1964" s="38"/>
      <c r="ACA1964" s="38"/>
      <c r="ACB1964" s="38"/>
      <c r="ACC1964" s="38"/>
      <c r="ACD1964" s="38"/>
      <c r="ACE1964" s="38"/>
      <c r="ACF1964" s="38"/>
      <c r="ACG1964" s="38"/>
      <c r="ACH1964" s="38"/>
      <c r="ACI1964" s="38"/>
      <c r="ACJ1964" s="38"/>
      <c r="ACK1964" s="38"/>
      <c r="ACL1964" s="38"/>
      <c r="ACM1964" s="38"/>
      <c r="ACN1964" s="38"/>
      <c r="ACO1964" s="38"/>
      <c r="ACP1964" s="38"/>
      <c r="ACQ1964" s="38"/>
      <c r="ACR1964" s="38"/>
      <c r="ACS1964" s="38"/>
      <c r="ACT1964" s="38"/>
      <c r="ACU1964" s="38"/>
      <c r="ACV1964" s="38"/>
      <c r="ACW1964" s="38"/>
      <c r="ACX1964" s="38"/>
      <c r="ACY1964" s="38"/>
      <c r="ACZ1964" s="38"/>
      <c r="ADA1964" s="38"/>
      <c r="ADB1964" s="38"/>
      <c r="ADC1964" s="38"/>
      <c r="ADD1964" s="38"/>
      <c r="ADE1964" s="38"/>
      <c r="ADF1964" s="38"/>
      <c r="ADG1964" s="38"/>
      <c r="ADH1964" s="38"/>
      <c r="ADI1964" s="38"/>
      <c r="ADJ1964" s="38"/>
      <c r="ADK1964" s="38"/>
      <c r="ADL1964" s="38"/>
      <c r="ADM1964" s="38"/>
      <c r="ADN1964" s="38"/>
      <c r="ADO1964" s="38"/>
      <c r="ADP1964" s="38"/>
      <c r="ADQ1964" s="38"/>
      <c r="ADR1964" s="38"/>
      <c r="ADS1964" s="38"/>
      <c r="ADT1964" s="38"/>
      <c r="ADU1964" s="38"/>
      <c r="ADV1964" s="38"/>
      <c r="ADW1964" s="38"/>
      <c r="ADX1964" s="38"/>
      <c r="ADY1964" s="38"/>
      <c r="ADZ1964" s="38"/>
      <c r="AEA1964" s="38"/>
      <c r="AEB1964" s="38"/>
      <c r="AEC1964" s="38"/>
      <c r="AED1964" s="38"/>
      <c r="AEE1964" s="38"/>
      <c r="AEF1964" s="38"/>
      <c r="AEG1964" s="38"/>
      <c r="AEH1964" s="38"/>
      <c r="AEI1964" s="38"/>
      <c r="AEJ1964" s="38"/>
      <c r="AEK1964" s="38"/>
      <c r="AEL1964" s="38"/>
      <c r="AEM1964" s="38"/>
      <c r="AEN1964" s="38"/>
      <c r="AEO1964" s="38"/>
      <c r="AEP1964" s="38"/>
      <c r="AEQ1964" s="38"/>
      <c r="AER1964" s="38"/>
      <c r="AES1964" s="38"/>
      <c r="AET1964" s="38"/>
      <c r="AEU1964" s="38"/>
      <c r="AEV1964" s="38"/>
      <c r="AEW1964" s="38"/>
      <c r="AEX1964" s="38"/>
      <c r="AEY1964" s="38"/>
      <c r="AEZ1964" s="38"/>
      <c r="AFA1964" s="38"/>
      <c r="AFB1964" s="38"/>
      <c r="AFC1964" s="38"/>
      <c r="AFD1964" s="38"/>
      <c r="AFE1964" s="38"/>
      <c r="AFF1964" s="38"/>
      <c r="AFG1964" s="38"/>
      <c r="AFH1964" s="38"/>
      <c r="AFI1964" s="38"/>
      <c r="AFJ1964" s="38"/>
      <c r="AFK1964" s="38"/>
      <c r="AFL1964" s="38"/>
      <c r="AFM1964" s="38"/>
      <c r="AFN1964" s="38"/>
      <c r="AFO1964" s="38"/>
      <c r="AFP1964" s="38"/>
      <c r="AFQ1964" s="38"/>
      <c r="AFR1964" s="38"/>
      <c r="AFS1964" s="38"/>
      <c r="AFT1964" s="38"/>
      <c r="AFU1964" s="38"/>
      <c r="AFV1964" s="38"/>
      <c r="AFW1964" s="38"/>
      <c r="AFX1964" s="38"/>
      <c r="AFY1964" s="38"/>
      <c r="AFZ1964" s="38"/>
      <c r="AGA1964" s="38"/>
      <c r="AGB1964" s="38"/>
      <c r="AGC1964" s="38"/>
      <c r="AGD1964" s="38"/>
      <c r="AGE1964" s="38"/>
      <c r="AGF1964" s="38"/>
      <c r="AGG1964" s="38"/>
      <c r="AGH1964" s="38"/>
      <c r="AGI1964" s="38"/>
      <c r="AGJ1964" s="38"/>
      <c r="AGK1964" s="38"/>
      <c r="AGL1964" s="38"/>
      <c r="AGM1964" s="38"/>
      <c r="AGN1964" s="38"/>
      <c r="AGO1964" s="38"/>
      <c r="AGP1964" s="38"/>
      <c r="AGQ1964" s="38"/>
      <c r="AGR1964" s="38"/>
      <c r="AGS1964" s="38"/>
      <c r="AGT1964" s="38"/>
      <c r="AGU1964" s="38"/>
      <c r="AGV1964" s="38"/>
      <c r="AGW1964" s="38"/>
      <c r="AGX1964" s="38"/>
      <c r="AGY1964" s="38"/>
      <c r="AGZ1964" s="38"/>
      <c r="AHA1964" s="38"/>
      <c r="AHB1964" s="38"/>
      <c r="AHC1964" s="38"/>
      <c r="AHD1964" s="38"/>
      <c r="AHE1964" s="38"/>
      <c r="AHF1964" s="38"/>
      <c r="AHG1964" s="38"/>
      <c r="AHH1964" s="38"/>
      <c r="AHI1964" s="38"/>
      <c r="AHJ1964" s="38"/>
      <c r="AHK1964" s="38"/>
      <c r="AHL1964" s="38"/>
      <c r="AHM1964" s="38"/>
      <c r="AHN1964" s="38"/>
      <c r="AHO1964" s="38"/>
      <c r="AHP1964" s="38"/>
      <c r="AHQ1964" s="38"/>
      <c r="AHR1964" s="38"/>
      <c r="AHS1964" s="38"/>
      <c r="AHT1964" s="38"/>
      <c r="AHU1964" s="38"/>
      <c r="AHV1964" s="38"/>
      <c r="AHW1964" s="38"/>
      <c r="AHX1964" s="38"/>
      <c r="AHY1964" s="38"/>
      <c r="AHZ1964" s="38"/>
      <c r="AIA1964" s="38"/>
      <c r="AIB1964" s="38"/>
      <c r="AIC1964" s="38"/>
      <c r="AID1964" s="38"/>
      <c r="AIE1964" s="38"/>
      <c r="AIF1964" s="38"/>
      <c r="AIG1964" s="38"/>
      <c r="AIH1964" s="38"/>
      <c r="AII1964" s="38"/>
      <c r="AIJ1964" s="38"/>
      <c r="AIK1964" s="38"/>
      <c r="AIL1964" s="38"/>
      <c r="AIM1964" s="38"/>
      <c r="AIN1964" s="38"/>
      <c r="AIO1964" s="38"/>
      <c r="AIP1964" s="38"/>
      <c r="AIQ1964" s="38"/>
      <c r="AIR1964" s="38"/>
      <c r="AIS1964" s="38"/>
      <c r="AIT1964" s="38"/>
      <c r="AIU1964" s="38"/>
      <c r="AIV1964" s="38"/>
      <c r="AIW1964" s="38"/>
      <c r="AIX1964" s="38"/>
      <c r="AIY1964" s="38"/>
      <c r="AIZ1964" s="38"/>
      <c r="AJA1964" s="38"/>
      <c r="AJB1964" s="38"/>
      <c r="AJC1964" s="38"/>
      <c r="AJD1964" s="38"/>
      <c r="AJE1964" s="38"/>
      <c r="AJF1964" s="38"/>
      <c r="AJG1964" s="38"/>
      <c r="AJH1964" s="38"/>
      <c r="AJI1964" s="38"/>
      <c r="AJJ1964" s="38"/>
      <c r="AJK1964" s="38"/>
      <c r="AJL1964" s="38"/>
      <c r="AJM1964" s="38"/>
      <c r="AJN1964" s="38"/>
      <c r="AJO1964" s="38"/>
      <c r="AJP1964" s="38"/>
      <c r="AJQ1964" s="38"/>
      <c r="AJR1964" s="38"/>
      <c r="AJS1964" s="38"/>
      <c r="AJT1964" s="38"/>
      <c r="AJU1964" s="38"/>
      <c r="AJV1964" s="38"/>
      <c r="AJW1964" s="38"/>
      <c r="AJX1964" s="38"/>
      <c r="AJY1964" s="38"/>
      <c r="AJZ1964" s="38"/>
      <c r="AKA1964" s="38"/>
      <c r="AKB1964" s="38"/>
      <c r="AKC1964" s="38"/>
      <c r="AKD1964" s="38"/>
      <c r="AKE1964" s="38"/>
      <c r="AKF1964" s="38"/>
      <c r="AKG1964" s="38"/>
      <c r="AKH1964" s="38"/>
      <c r="AKI1964" s="38"/>
      <c r="AKJ1964" s="38"/>
      <c r="AKK1964" s="38"/>
      <c r="AKL1964" s="38"/>
      <c r="AKM1964" s="38"/>
      <c r="AKN1964" s="38"/>
      <c r="AKO1964" s="38"/>
      <c r="AKP1964" s="38"/>
      <c r="AKQ1964" s="38"/>
      <c r="AKR1964" s="38"/>
      <c r="AKS1964" s="38"/>
      <c r="AKT1964" s="38"/>
      <c r="AKU1964" s="38"/>
      <c r="AKV1964" s="38"/>
      <c r="AKW1964" s="38"/>
      <c r="AKX1964" s="38"/>
      <c r="AKY1964" s="38"/>
      <c r="AKZ1964" s="38"/>
      <c r="ALA1964" s="38"/>
      <c r="ALB1964" s="38"/>
      <c r="ALC1964" s="38"/>
      <c r="ALD1964" s="38"/>
      <c r="ALE1964" s="38"/>
      <c r="ALF1964" s="38"/>
      <c r="ALG1964" s="38"/>
      <c r="ALH1964" s="38"/>
      <c r="ALI1964" s="38"/>
      <c r="ALJ1964" s="38"/>
      <c r="ALK1964" s="38"/>
      <c r="ALL1964" s="38"/>
      <c r="ALM1964" s="38"/>
      <c r="ALN1964" s="38"/>
      <c r="ALO1964" s="38"/>
      <c r="ALP1964" s="38"/>
      <c r="ALQ1964" s="38"/>
      <c r="ALR1964" s="38"/>
      <c r="ALS1964" s="38"/>
      <c r="ALT1964" s="38"/>
      <c r="ALU1964" s="38"/>
      <c r="ALV1964" s="38"/>
      <c r="ALW1964" s="38"/>
      <c r="ALX1964" s="38"/>
      <c r="ALY1964" s="38"/>
      <c r="ALZ1964" s="38"/>
      <c r="AMA1964" s="38"/>
      <c r="AMB1964" s="38"/>
      <c r="AMC1964" s="38"/>
      <c r="AMD1964" s="38"/>
      <c r="AME1964" s="38"/>
      <c r="AMF1964" s="38"/>
      <c r="AMG1964" s="38"/>
      <c r="AMH1964" s="38"/>
      <c r="AMI1964" s="38"/>
      <c r="AMJ1964" s="38"/>
      <c r="AMK1964" s="38"/>
      <c r="AML1964" s="38"/>
      <c r="AMM1964" s="38"/>
      <c r="AMN1964" s="38"/>
      <c r="AMO1964" s="38"/>
      <c r="AMP1964" s="38"/>
      <c r="AMQ1964" s="38"/>
      <c r="AMR1964" s="38"/>
      <c r="AMS1964" s="38"/>
      <c r="AMT1964" s="38"/>
      <c r="AMU1964" s="38"/>
      <c r="AMV1964" s="38"/>
      <c r="AMW1964" s="38"/>
      <c r="AMX1964" s="38"/>
      <c r="AMY1964" s="38"/>
      <c r="AMZ1964" s="38"/>
      <c r="ANA1964" s="38"/>
      <c r="ANB1964" s="38"/>
      <c r="ANC1964" s="38"/>
      <c r="AND1964" s="38"/>
      <c r="ANE1964" s="38"/>
      <c r="ANF1964" s="38"/>
      <c r="ANG1964" s="38"/>
      <c r="ANH1964" s="38"/>
      <c r="ANI1964" s="38"/>
      <c r="ANJ1964" s="38"/>
      <c r="ANK1964" s="38"/>
      <c r="ANL1964" s="38"/>
      <c r="ANM1964" s="38"/>
      <c r="ANN1964" s="38"/>
      <c r="ANO1964" s="38"/>
      <c r="ANP1964" s="38"/>
      <c r="ANQ1964" s="38"/>
      <c r="ANR1964" s="38"/>
      <c r="ANS1964" s="38"/>
      <c r="ANT1964" s="38"/>
      <c r="ANU1964" s="38"/>
      <c r="ANV1964" s="38"/>
      <c r="ANW1964" s="38"/>
      <c r="ANX1964" s="38"/>
      <c r="ANY1964" s="38"/>
      <c r="ANZ1964" s="38"/>
      <c r="AOA1964" s="38"/>
      <c r="AOB1964" s="38"/>
      <c r="AOC1964" s="38"/>
      <c r="AOD1964" s="38"/>
      <c r="AOE1964" s="38"/>
      <c r="AOF1964" s="38"/>
      <c r="AOG1964" s="38"/>
      <c r="AOH1964" s="38"/>
      <c r="AOI1964" s="38"/>
      <c r="AOJ1964" s="38"/>
      <c r="AOK1964" s="38"/>
      <c r="AOL1964" s="38"/>
      <c r="AOM1964" s="38"/>
      <c r="AON1964" s="38"/>
      <c r="AOO1964" s="38"/>
      <c r="AOP1964" s="38"/>
      <c r="AOQ1964" s="38"/>
      <c r="AOR1964" s="38"/>
      <c r="AOS1964" s="38"/>
      <c r="AOT1964" s="38"/>
      <c r="AOU1964" s="38"/>
      <c r="AOV1964" s="38"/>
      <c r="AOW1964" s="38"/>
      <c r="AOX1964" s="38"/>
      <c r="AOY1964" s="38"/>
      <c r="AOZ1964" s="38"/>
      <c r="APA1964" s="38"/>
      <c r="APB1964" s="38"/>
      <c r="APC1964" s="38"/>
    </row>
    <row r="1965" spans="1:1095" s="36" customFormat="1" ht="14.25" customHeight="1">
      <c r="A1965" s="3" t="s">
        <v>1722</v>
      </c>
      <c r="B1965" s="36" t="s">
        <v>2261</v>
      </c>
      <c r="C1965" s="10">
        <v>4099854069697</v>
      </c>
      <c r="D1965" s="224">
        <v>4058075592131</v>
      </c>
      <c r="E1965" s="245" t="s">
        <v>2262</v>
      </c>
      <c r="F1965" s="246"/>
      <c r="G1965" s="66" t="str">
        <f>HYPERLINK("https://ledvance.com/pt/product-datasheet/251463/238802","Ficha de Produto")</f>
        <v>Ficha de Produto</v>
      </c>
      <c r="H1965" s="217">
        <v>10</v>
      </c>
      <c r="I1965" s="34" t="s">
        <v>6354</v>
      </c>
      <c r="J1965" s="34" t="s">
        <v>855</v>
      </c>
      <c r="K1965" s="34" t="s">
        <v>788</v>
      </c>
      <c r="L1965" s="34" t="s">
        <v>6506</v>
      </c>
      <c r="M1965" s="247">
        <v>5.5</v>
      </c>
      <c r="N1965" s="288" t="s">
        <v>722</v>
      </c>
    </row>
    <row r="1966" spans="1:1095" s="36" customFormat="1" ht="14.25" customHeight="1">
      <c r="A1966" s="3" t="s">
        <v>1722</v>
      </c>
      <c r="B1966" s="36" t="s">
        <v>2263</v>
      </c>
      <c r="C1966" s="10">
        <v>4099854069673</v>
      </c>
      <c r="D1966" s="224">
        <v>4058075591714</v>
      </c>
      <c r="E1966" s="245" t="s">
        <v>2264</v>
      </c>
      <c r="F1966" s="246"/>
      <c r="G1966" s="66" t="str">
        <f>HYPERLINK("https://ledvance.com/pt/product-datasheet/251463/238847","Ficha de Produto")</f>
        <v>Ficha de Produto</v>
      </c>
      <c r="H1966" s="217">
        <v>10</v>
      </c>
      <c r="I1966" s="34" t="s">
        <v>6354</v>
      </c>
      <c r="J1966" s="34" t="s">
        <v>855</v>
      </c>
      <c r="K1966" s="34" t="s">
        <v>788</v>
      </c>
      <c r="L1966" s="34" t="s">
        <v>6506</v>
      </c>
      <c r="M1966" s="247">
        <v>5.5</v>
      </c>
      <c r="N1966" s="288" t="s">
        <v>722</v>
      </c>
    </row>
    <row r="1967" spans="1:1095" s="36" customFormat="1" ht="14.25" customHeight="1">
      <c r="A1967" s="3" t="s">
        <v>1722</v>
      </c>
      <c r="B1967" s="36" t="s">
        <v>2265</v>
      </c>
      <c r="C1967" s="10">
        <v>4099854069758</v>
      </c>
      <c r="D1967" s="224">
        <v>4058075592155</v>
      </c>
      <c r="E1967" s="245" t="s">
        <v>2266</v>
      </c>
      <c r="F1967" s="246"/>
      <c r="G1967" s="66" t="str">
        <f>HYPERLINK("https://ledvance.com/pt/product-datasheet/251463/238820","Ficha de Produto")</f>
        <v>Ficha de Produto</v>
      </c>
      <c r="H1967" s="217">
        <v>10</v>
      </c>
      <c r="I1967" s="34" t="s">
        <v>6354</v>
      </c>
      <c r="J1967" s="34" t="s">
        <v>855</v>
      </c>
      <c r="K1967" s="34" t="s">
        <v>788</v>
      </c>
      <c r="L1967" s="34" t="s">
        <v>6506</v>
      </c>
      <c r="M1967" s="247">
        <v>5.5</v>
      </c>
      <c r="N1967" s="288" t="s">
        <v>722</v>
      </c>
    </row>
    <row r="1968" spans="1:1095" s="36" customFormat="1" ht="14.25" customHeight="1">
      <c r="A1968" s="3" t="s">
        <v>1722</v>
      </c>
      <c r="B1968" s="36" t="s">
        <v>2267</v>
      </c>
      <c r="C1968" s="10">
        <v>4099854062582</v>
      </c>
      <c r="D1968" s="224">
        <v>4058075592032</v>
      </c>
      <c r="E1968" s="245" t="s">
        <v>2268</v>
      </c>
      <c r="F1968" s="246"/>
      <c r="G1968" s="66" t="str">
        <f>HYPERLINK("https://ledvance.com/pt/product-datasheet/251463/237581","Ficha de Produto")</f>
        <v>Ficha de Produto</v>
      </c>
      <c r="H1968" s="217">
        <v>10</v>
      </c>
      <c r="I1968" s="34" t="s">
        <v>6349</v>
      </c>
      <c r="J1968" s="34" t="s">
        <v>6367</v>
      </c>
      <c r="K1968" s="34" t="s">
        <v>788</v>
      </c>
      <c r="L1968" s="34" t="s">
        <v>6506</v>
      </c>
      <c r="M1968" s="247">
        <v>6.4</v>
      </c>
      <c r="N1968" s="288" t="s">
        <v>722</v>
      </c>
    </row>
    <row r="1969" spans="1:1095" s="36" customFormat="1" ht="14.25" customHeight="1">
      <c r="A1969" s="3" t="s">
        <v>1722</v>
      </c>
      <c r="B1969" s="36" t="s">
        <v>2269</v>
      </c>
      <c r="C1969" s="10">
        <v>4099854062667</v>
      </c>
      <c r="D1969" s="224">
        <v>4058075591998</v>
      </c>
      <c r="E1969" s="245" t="s">
        <v>2270</v>
      </c>
      <c r="F1969" s="246"/>
      <c r="G1969" s="66" t="str">
        <f>HYPERLINK("https://ledvance.com/pt/product-datasheet/251463/237631","Ficha de Produto")</f>
        <v>Ficha de Produto</v>
      </c>
      <c r="H1969" s="217">
        <v>10</v>
      </c>
      <c r="I1969" s="34" t="s">
        <v>6349</v>
      </c>
      <c r="J1969" s="34" t="s">
        <v>6367</v>
      </c>
      <c r="K1969" s="34" t="s">
        <v>788</v>
      </c>
      <c r="L1969" s="34" t="s">
        <v>6506</v>
      </c>
      <c r="M1969" s="247">
        <v>6.4</v>
      </c>
      <c r="N1969" s="288" t="s">
        <v>722</v>
      </c>
    </row>
    <row r="1970" spans="1:1095" s="36" customFormat="1" ht="14.25" customHeight="1">
      <c r="A1970" s="3" t="s">
        <v>1722</v>
      </c>
      <c r="B1970" s="36" t="s">
        <v>2271</v>
      </c>
      <c r="C1970" s="10">
        <v>4099854063060</v>
      </c>
      <c r="D1970" s="224">
        <v>4058075591875</v>
      </c>
      <c r="E1970" s="245" t="s">
        <v>2272</v>
      </c>
      <c r="F1970" s="246"/>
      <c r="G1970" s="66" t="str">
        <f>HYPERLINK("https://ledvance.com/pt/product-datasheet/251463/237676","Ficha de Produto")</f>
        <v>Ficha de Produto</v>
      </c>
      <c r="H1970" s="217">
        <v>10</v>
      </c>
      <c r="I1970" s="34" t="s">
        <v>6349</v>
      </c>
      <c r="J1970" s="34" t="s">
        <v>6367</v>
      </c>
      <c r="K1970" s="34" t="s">
        <v>788</v>
      </c>
      <c r="L1970" s="34" t="s">
        <v>6506</v>
      </c>
      <c r="M1970" s="247">
        <v>6.4</v>
      </c>
      <c r="N1970" s="288" t="s">
        <v>722</v>
      </c>
    </row>
    <row r="1971" spans="1:1095" s="36" customFormat="1" ht="14.25" customHeight="1">
      <c r="A1971" s="3" t="s">
        <v>1722</v>
      </c>
      <c r="B1971" s="36" t="s">
        <v>2273</v>
      </c>
      <c r="C1971" s="10">
        <v>4099854062186</v>
      </c>
      <c r="D1971" s="224">
        <v>4058075591677</v>
      </c>
      <c r="E1971" s="245" t="s">
        <v>2274</v>
      </c>
      <c r="F1971" s="246"/>
      <c r="G1971" s="66" t="str">
        <f>HYPERLINK("https://ledvance.com/pt/product-datasheet/251463/237461","Ficha de Produto")</f>
        <v>Ficha de Produto</v>
      </c>
      <c r="H1971" s="217">
        <v>10</v>
      </c>
      <c r="I1971" s="34" t="s">
        <v>6351</v>
      </c>
      <c r="J1971" s="34" t="s">
        <v>6292</v>
      </c>
      <c r="K1971" s="34" t="s">
        <v>788</v>
      </c>
      <c r="L1971" s="34" t="s">
        <v>6506</v>
      </c>
      <c r="M1971" s="247">
        <v>9.2000000000000011</v>
      </c>
      <c r="N1971" s="288" t="s">
        <v>722</v>
      </c>
    </row>
    <row r="1972" spans="1:1095" s="36" customFormat="1" ht="14.25" customHeight="1">
      <c r="A1972" s="3" t="s">
        <v>1722</v>
      </c>
      <c r="B1972" s="36" t="s">
        <v>2275</v>
      </c>
      <c r="C1972" s="10">
        <v>4099854062988</v>
      </c>
      <c r="D1972" s="224">
        <v>4058075591639</v>
      </c>
      <c r="E1972" s="245" t="s">
        <v>2276</v>
      </c>
      <c r="F1972" s="246"/>
      <c r="G1972" s="66" t="str">
        <f>HYPERLINK("https://ledvance.com/pt/product-datasheet/251463/237667","Ficha de Produto")</f>
        <v>Ficha de Produto</v>
      </c>
      <c r="H1972" s="217">
        <v>10</v>
      </c>
      <c r="I1972" s="34" t="s">
        <v>6351</v>
      </c>
      <c r="J1972" s="34" t="s">
        <v>6292</v>
      </c>
      <c r="K1972" s="34" t="s">
        <v>788</v>
      </c>
      <c r="L1972" s="34" t="s">
        <v>6506</v>
      </c>
      <c r="M1972" s="247">
        <v>9.2000000000000011</v>
      </c>
      <c r="N1972" s="288" t="s">
        <v>722</v>
      </c>
    </row>
    <row r="1973" spans="1:1095" s="36" customFormat="1" ht="14.25" customHeight="1">
      <c r="A1973" s="3" t="s">
        <v>1722</v>
      </c>
      <c r="B1973" s="36" t="s">
        <v>2277</v>
      </c>
      <c r="C1973" s="10">
        <v>4099854069819</v>
      </c>
      <c r="D1973" s="224">
        <v>4058075756540</v>
      </c>
      <c r="E1973" s="245" t="s">
        <v>2278</v>
      </c>
      <c r="F1973" s="246"/>
      <c r="G1973" s="66" t="str">
        <f>HYPERLINK("https://ledvance.com/pt/product-datasheet/251463/238799","Ficha de Produto")</f>
        <v>Ficha de Produto</v>
      </c>
      <c r="H1973" s="217">
        <v>10</v>
      </c>
      <c r="I1973" s="34" t="s">
        <v>6352</v>
      </c>
      <c r="J1973" s="34" t="s">
        <v>1053</v>
      </c>
      <c r="K1973" s="34" t="s">
        <v>788</v>
      </c>
      <c r="L1973" s="34" t="s">
        <v>6506</v>
      </c>
      <c r="M1973" s="247">
        <v>14.4</v>
      </c>
      <c r="N1973" s="288" t="s">
        <v>722</v>
      </c>
    </row>
    <row r="1974" spans="1:1095" s="36" customFormat="1" ht="14.25" customHeight="1">
      <c r="A1974" s="3" t="s">
        <v>1722</v>
      </c>
      <c r="B1974" s="36" t="s">
        <v>2279</v>
      </c>
      <c r="C1974" s="10">
        <v>4099854069772</v>
      </c>
      <c r="D1974" s="224">
        <v>4058075756502</v>
      </c>
      <c r="E1974" s="245" t="s">
        <v>2280</v>
      </c>
      <c r="F1974" s="246"/>
      <c r="G1974" s="66" t="str">
        <f>HYPERLINK("https://ledvance.com/pt/product-datasheet/251463/238856","Ficha de Produto")</f>
        <v>Ficha de Produto</v>
      </c>
      <c r="H1974" s="217">
        <v>10</v>
      </c>
      <c r="I1974" s="34" t="s">
        <v>6352</v>
      </c>
      <c r="J1974" s="34" t="s">
        <v>1053</v>
      </c>
      <c r="K1974" s="34" t="s">
        <v>788</v>
      </c>
      <c r="L1974" s="34" t="s">
        <v>6506</v>
      </c>
      <c r="M1974" s="247">
        <v>14.4</v>
      </c>
      <c r="N1974" s="288" t="s">
        <v>722</v>
      </c>
    </row>
    <row r="1975" spans="1:1095" s="39" customFormat="1" ht="14.25" customHeight="1">
      <c r="A1975" s="8" t="s">
        <v>1722</v>
      </c>
      <c r="B1975" s="244" t="s">
        <v>2281</v>
      </c>
      <c r="C1975" s="8"/>
      <c r="D1975" s="7"/>
      <c r="E1975" s="230"/>
      <c r="F1975" s="7"/>
      <c r="G1975" s="68"/>
      <c r="H1975" s="230"/>
      <c r="I1975" s="230"/>
      <c r="J1975" s="230"/>
      <c r="K1975" s="230"/>
      <c r="L1975" s="230"/>
      <c r="M1975" s="248"/>
      <c r="N1975" s="284"/>
      <c r="O1975" s="38"/>
      <c r="P1975" s="38"/>
      <c r="Q1975" s="38"/>
      <c r="R1975" s="38"/>
      <c r="S1975" s="38"/>
      <c r="T1975" s="38"/>
      <c r="U1975" s="38"/>
      <c r="V1975" s="38"/>
      <c r="W1975" s="38"/>
      <c r="X1975" s="38"/>
      <c r="Y1975" s="38"/>
      <c r="Z1975" s="38"/>
      <c r="AA1975" s="38"/>
      <c r="AB1975" s="38"/>
      <c r="AC1975" s="38"/>
      <c r="AD1975" s="38"/>
      <c r="AE1975" s="38"/>
      <c r="AF1975" s="38"/>
      <c r="AG1975" s="38"/>
      <c r="AH1975" s="38"/>
      <c r="AI1975" s="38"/>
      <c r="AJ1975" s="38"/>
      <c r="AK1975" s="38"/>
      <c r="AL1975" s="38"/>
      <c r="AM1975" s="38"/>
      <c r="AN1975" s="38"/>
      <c r="AO1975" s="38"/>
      <c r="AP1975" s="38"/>
      <c r="AQ1975" s="38"/>
      <c r="AR1975" s="38"/>
      <c r="AS1975" s="38"/>
      <c r="AT1975" s="38"/>
      <c r="AU1975" s="38"/>
      <c r="AV1975" s="38"/>
      <c r="AW1975" s="38"/>
      <c r="AX1975" s="38"/>
      <c r="AY1975" s="38"/>
      <c r="AZ1975" s="38"/>
      <c r="BA1975" s="38"/>
      <c r="BB1975" s="38"/>
      <c r="BC1975" s="38"/>
      <c r="BD1975" s="38"/>
      <c r="BE1975" s="38"/>
      <c r="BF1975" s="38"/>
      <c r="BG1975" s="38"/>
      <c r="BH1975" s="38"/>
      <c r="BI1975" s="38"/>
      <c r="BJ1975" s="38"/>
      <c r="BK1975" s="38"/>
      <c r="BL1975" s="38"/>
      <c r="BM1975" s="38"/>
      <c r="BN1975" s="38"/>
      <c r="BO1975" s="38"/>
      <c r="BP1975" s="38"/>
      <c r="BQ1975" s="38"/>
      <c r="BR1975" s="38"/>
      <c r="BS1975" s="38"/>
      <c r="BT1975" s="38"/>
      <c r="BU1975" s="38"/>
      <c r="BV1975" s="38"/>
      <c r="BW1975" s="38"/>
      <c r="BX1975" s="38"/>
      <c r="BY1975" s="38"/>
      <c r="BZ1975" s="38"/>
      <c r="CA1975" s="38"/>
      <c r="CB1975" s="38"/>
      <c r="CC1975" s="38"/>
      <c r="CD1975" s="38"/>
      <c r="CE1975" s="38"/>
      <c r="CF1975" s="38"/>
      <c r="CG1975" s="38"/>
      <c r="CH1975" s="38"/>
      <c r="CI1975" s="38"/>
      <c r="CJ1975" s="38"/>
      <c r="CK1975" s="38"/>
      <c r="CL1975" s="38"/>
      <c r="CM1975" s="38"/>
      <c r="CN1975" s="38"/>
      <c r="CO1975" s="38"/>
      <c r="CP1975" s="38"/>
      <c r="CQ1975" s="38"/>
      <c r="CR1975" s="38"/>
      <c r="CS1975" s="38"/>
      <c r="CT1975" s="38"/>
      <c r="CU1975" s="38"/>
      <c r="CV1975" s="38"/>
      <c r="CW1975" s="38"/>
      <c r="CX1975" s="38"/>
      <c r="CY1975" s="38"/>
      <c r="CZ1975" s="38"/>
      <c r="DA1975" s="38"/>
      <c r="DB1975" s="38"/>
      <c r="DC1975" s="38"/>
      <c r="DD1975" s="38"/>
      <c r="DE1975" s="38"/>
      <c r="DF1975" s="38"/>
      <c r="DG1975" s="38"/>
      <c r="DH1975" s="38"/>
      <c r="DI1975" s="38"/>
      <c r="DJ1975" s="38"/>
      <c r="DK1975" s="38"/>
      <c r="DL1975" s="38"/>
      <c r="DM1975" s="38"/>
      <c r="DN1975" s="38"/>
      <c r="DO1975" s="38"/>
      <c r="DP1975" s="38"/>
      <c r="DQ1975" s="38"/>
      <c r="DR1975" s="38"/>
      <c r="DS1975" s="38"/>
      <c r="DT1975" s="38"/>
      <c r="DU1975" s="38"/>
      <c r="DV1975" s="38"/>
      <c r="DW1975" s="38"/>
      <c r="DX1975" s="38"/>
      <c r="DY1975" s="38"/>
      <c r="DZ1975" s="38"/>
      <c r="EA1975" s="38"/>
      <c r="EB1975" s="38"/>
      <c r="EC1975" s="38"/>
      <c r="ED1975" s="38"/>
      <c r="EE1975" s="38"/>
      <c r="EF1975" s="38"/>
      <c r="EG1975" s="38"/>
      <c r="EH1975" s="38"/>
      <c r="EI1975" s="38"/>
      <c r="EJ1975" s="38"/>
      <c r="EK1975" s="38"/>
      <c r="EL1975" s="38"/>
      <c r="EM1975" s="38"/>
      <c r="EN1975" s="38"/>
      <c r="EO1975" s="38"/>
      <c r="EP1975" s="38"/>
      <c r="EQ1975" s="38"/>
      <c r="ER1975" s="38"/>
      <c r="ES1975" s="38"/>
      <c r="ET1975" s="38"/>
      <c r="EU1975" s="38"/>
      <c r="EV1975" s="38"/>
      <c r="EW1975" s="38"/>
      <c r="EX1975" s="38"/>
      <c r="EY1975" s="38"/>
      <c r="EZ1975" s="38"/>
      <c r="FA1975" s="38"/>
      <c r="FB1975" s="38"/>
      <c r="FC1975" s="38"/>
      <c r="FD1975" s="38"/>
      <c r="FE1975" s="38"/>
      <c r="FF1975" s="38"/>
      <c r="FG1975" s="38"/>
      <c r="FH1975" s="38"/>
      <c r="FI1975" s="38"/>
      <c r="FJ1975" s="38"/>
      <c r="FK1975" s="38"/>
      <c r="FL1975" s="38"/>
      <c r="FM1975" s="38"/>
      <c r="FN1975" s="38"/>
      <c r="FO1975" s="38"/>
      <c r="FP1975" s="38"/>
      <c r="FQ1975" s="38"/>
      <c r="FR1975" s="38"/>
      <c r="FS1975" s="38"/>
      <c r="FT1975" s="38"/>
      <c r="FU1975" s="38"/>
      <c r="FV1975" s="38"/>
      <c r="FW1975" s="38"/>
      <c r="FX1975" s="38"/>
      <c r="FY1975" s="38"/>
      <c r="FZ1975" s="38"/>
      <c r="GA1975" s="38"/>
      <c r="GB1975" s="38"/>
      <c r="GC1975" s="38"/>
      <c r="GD1975" s="38"/>
      <c r="GE1975" s="38"/>
      <c r="GF1975" s="38"/>
      <c r="GG1975" s="38"/>
      <c r="GH1975" s="38"/>
      <c r="GI1975" s="38"/>
      <c r="GJ1975" s="38"/>
      <c r="GK1975" s="38"/>
      <c r="GL1975" s="38"/>
      <c r="GM1975" s="38"/>
      <c r="GN1975" s="38"/>
      <c r="GO1975" s="38"/>
      <c r="GP1975" s="38"/>
      <c r="GQ1975" s="38"/>
      <c r="GR1975" s="38"/>
      <c r="GS1975" s="38"/>
      <c r="GT1975" s="38"/>
      <c r="GU1975" s="38"/>
      <c r="GV1975" s="38"/>
      <c r="GW1975" s="38"/>
      <c r="GX1975" s="38"/>
      <c r="GY1975" s="38"/>
      <c r="GZ1975" s="38"/>
      <c r="HA1975" s="38"/>
      <c r="HB1975" s="38"/>
      <c r="HC1975" s="38"/>
      <c r="HD1975" s="38"/>
      <c r="HE1975" s="38"/>
      <c r="HF1975" s="38"/>
      <c r="HG1975" s="38"/>
      <c r="HH1975" s="38"/>
      <c r="HI1975" s="38"/>
      <c r="HJ1975" s="38"/>
      <c r="HK1975" s="38"/>
      <c r="HL1975" s="38"/>
      <c r="HM1975" s="38"/>
      <c r="HN1975" s="38"/>
      <c r="HO1975" s="38"/>
      <c r="HP1975" s="38"/>
      <c r="HQ1975" s="38"/>
      <c r="HR1975" s="38"/>
      <c r="HS1975" s="38"/>
      <c r="HT1975" s="38"/>
      <c r="HU1975" s="38"/>
      <c r="HV1975" s="38"/>
      <c r="HW1975" s="38"/>
      <c r="HX1975" s="38"/>
      <c r="HY1975" s="38"/>
      <c r="HZ1975" s="38"/>
      <c r="IA1975" s="38"/>
      <c r="IB1975" s="38"/>
      <c r="IC1975" s="38"/>
      <c r="ID1975" s="38"/>
      <c r="IE1975" s="38"/>
      <c r="IF1975" s="38"/>
      <c r="IG1975" s="38"/>
      <c r="IH1975" s="38"/>
      <c r="II1975" s="38"/>
      <c r="IJ1975" s="38"/>
      <c r="IK1975" s="38"/>
      <c r="IL1975" s="38"/>
      <c r="IM1975" s="38"/>
      <c r="IN1975" s="38"/>
      <c r="IO1975" s="38"/>
      <c r="IP1975" s="38"/>
      <c r="IQ1975" s="38"/>
      <c r="IR1975" s="38"/>
      <c r="IS1975" s="38"/>
      <c r="IT1975" s="38"/>
      <c r="IU1975" s="38"/>
      <c r="IV1975" s="38"/>
      <c r="IW1975" s="38"/>
      <c r="IX1975" s="38"/>
      <c r="IY1975" s="38"/>
      <c r="IZ1975" s="38"/>
      <c r="JA1975" s="38"/>
      <c r="JB1975" s="38"/>
      <c r="JC1975" s="38"/>
      <c r="JD1975" s="38"/>
      <c r="JE1975" s="38"/>
      <c r="JF1975" s="38"/>
      <c r="JG1975" s="38"/>
      <c r="JH1975" s="38"/>
      <c r="JI1975" s="38"/>
      <c r="JJ1975" s="38"/>
      <c r="JK1975" s="38"/>
      <c r="JL1975" s="38"/>
      <c r="JM1975" s="38"/>
      <c r="JN1975" s="38"/>
      <c r="JO1975" s="38"/>
      <c r="JP1975" s="38"/>
      <c r="JQ1975" s="38"/>
      <c r="JR1975" s="38"/>
      <c r="JS1975" s="38"/>
      <c r="JT1975" s="38"/>
      <c r="JU1975" s="38"/>
      <c r="JV1975" s="38"/>
      <c r="JW1975" s="38"/>
      <c r="JX1975" s="38"/>
      <c r="JY1975" s="38"/>
      <c r="JZ1975" s="38"/>
      <c r="KA1975" s="38"/>
      <c r="KB1975" s="38"/>
      <c r="KC1975" s="38"/>
      <c r="KD1975" s="38"/>
      <c r="KE1975" s="38"/>
      <c r="KF1975" s="38"/>
      <c r="KG1975" s="38"/>
      <c r="KH1975" s="38"/>
      <c r="KI1975" s="38"/>
      <c r="KJ1975" s="38"/>
      <c r="KK1975" s="38"/>
      <c r="KL1975" s="38"/>
      <c r="KM1975" s="38"/>
      <c r="KN1975" s="38"/>
      <c r="KO1975" s="38"/>
      <c r="KP1975" s="38"/>
      <c r="KQ1975" s="38"/>
      <c r="KR1975" s="38"/>
      <c r="KS1975" s="38"/>
      <c r="KT1975" s="38"/>
      <c r="KU1975" s="38"/>
      <c r="KV1975" s="38"/>
      <c r="KW1975" s="38"/>
      <c r="KX1975" s="38"/>
      <c r="KY1975" s="38"/>
      <c r="KZ1975" s="38"/>
      <c r="LA1975" s="38"/>
      <c r="LB1975" s="38"/>
      <c r="LC1975" s="38"/>
      <c r="LD1975" s="38"/>
      <c r="LE1975" s="38"/>
      <c r="LF1975" s="38"/>
      <c r="LG1975" s="38"/>
      <c r="LH1975" s="38"/>
      <c r="LI1975" s="38"/>
      <c r="LJ1975" s="38"/>
      <c r="LK1975" s="38"/>
      <c r="LL1975" s="38"/>
      <c r="LM1975" s="38"/>
      <c r="LN1975" s="38"/>
      <c r="LO1975" s="38"/>
      <c r="LP1975" s="38"/>
      <c r="LQ1975" s="38"/>
      <c r="LR1975" s="38"/>
      <c r="LS1975" s="38"/>
      <c r="LT1975" s="38"/>
      <c r="LU1975" s="38"/>
      <c r="LV1975" s="38"/>
      <c r="LW1975" s="38"/>
      <c r="LX1975" s="38"/>
      <c r="LY1975" s="38"/>
      <c r="LZ1975" s="38"/>
      <c r="MA1975" s="38"/>
      <c r="MB1975" s="38"/>
      <c r="MC1975" s="38"/>
      <c r="MD1975" s="38"/>
      <c r="ME1975" s="38"/>
      <c r="MF1975" s="38"/>
      <c r="MG1975" s="38"/>
      <c r="MH1975" s="38"/>
      <c r="MI1975" s="38"/>
      <c r="MJ1975" s="38"/>
      <c r="MK1975" s="38"/>
      <c r="ML1975" s="38"/>
      <c r="MM1975" s="38"/>
      <c r="MN1975" s="38"/>
      <c r="MO1975" s="38"/>
      <c r="MP1975" s="38"/>
      <c r="MQ1975" s="38"/>
      <c r="MR1975" s="38"/>
      <c r="MS1975" s="38"/>
      <c r="MT1975" s="38"/>
      <c r="MU1975" s="38"/>
      <c r="MV1975" s="38"/>
      <c r="MW1975" s="38"/>
      <c r="MX1975" s="38"/>
      <c r="MY1975" s="38"/>
      <c r="MZ1975" s="38"/>
      <c r="NA1975" s="38"/>
      <c r="NB1975" s="38"/>
      <c r="NC1975" s="38"/>
      <c r="ND1975" s="38"/>
      <c r="NE1975" s="38"/>
      <c r="NF1975" s="38"/>
      <c r="NG1975" s="38"/>
      <c r="NH1975" s="38"/>
      <c r="NI1975" s="38"/>
      <c r="NJ1975" s="38"/>
      <c r="NK1975" s="38"/>
      <c r="NL1975" s="38"/>
      <c r="NM1975" s="38"/>
      <c r="NN1975" s="38"/>
      <c r="NO1975" s="38"/>
      <c r="NP1975" s="38"/>
      <c r="NQ1975" s="38"/>
      <c r="NR1975" s="38"/>
      <c r="NS1975" s="38"/>
      <c r="NT1975" s="38"/>
      <c r="NU1975" s="38"/>
      <c r="NV1975" s="38"/>
      <c r="NW1975" s="38"/>
      <c r="NX1975" s="38"/>
      <c r="NY1975" s="38"/>
      <c r="NZ1975" s="38"/>
      <c r="OA1975" s="38"/>
      <c r="OB1975" s="38"/>
      <c r="OC1975" s="38"/>
      <c r="OD1975" s="38"/>
      <c r="OE1975" s="38"/>
      <c r="OF1975" s="38"/>
      <c r="OG1975" s="38"/>
      <c r="OH1975" s="38"/>
      <c r="OI1975" s="38"/>
      <c r="OJ1975" s="38"/>
      <c r="OK1975" s="38"/>
      <c r="OL1975" s="38"/>
      <c r="OM1975" s="38"/>
      <c r="ON1975" s="38"/>
      <c r="OO1975" s="38"/>
      <c r="OP1975" s="38"/>
      <c r="OQ1975" s="38"/>
      <c r="OR1975" s="38"/>
      <c r="OS1975" s="38"/>
      <c r="OT1975" s="38"/>
      <c r="OU1975" s="38"/>
      <c r="OV1975" s="38"/>
      <c r="OW1975" s="38"/>
      <c r="OX1975" s="38"/>
      <c r="OY1975" s="38"/>
      <c r="OZ1975" s="38"/>
      <c r="PA1975" s="38"/>
      <c r="PB1975" s="38"/>
      <c r="PC1975" s="38"/>
      <c r="PD1975" s="38"/>
      <c r="PE1975" s="38"/>
      <c r="PF1975" s="38"/>
      <c r="PG1975" s="38"/>
      <c r="PH1975" s="38"/>
      <c r="PI1975" s="38"/>
      <c r="PJ1975" s="38"/>
      <c r="PK1975" s="38"/>
      <c r="PL1975" s="38"/>
      <c r="PM1975" s="38"/>
      <c r="PN1975" s="38"/>
      <c r="PO1975" s="38"/>
      <c r="PP1975" s="38"/>
      <c r="PQ1975" s="38"/>
      <c r="PR1975" s="38"/>
      <c r="PS1975" s="38"/>
      <c r="PT1975" s="38"/>
      <c r="PU1975" s="38"/>
      <c r="PV1975" s="38"/>
      <c r="PW1975" s="38"/>
      <c r="PX1975" s="38"/>
      <c r="PY1975" s="38"/>
      <c r="PZ1975" s="38"/>
      <c r="QA1975" s="38"/>
      <c r="QB1975" s="38"/>
      <c r="QC1975" s="38"/>
      <c r="QD1975" s="38"/>
      <c r="QE1975" s="38"/>
      <c r="QF1975" s="38"/>
      <c r="QG1975" s="38"/>
      <c r="QH1975" s="38"/>
      <c r="QI1975" s="38"/>
      <c r="QJ1975" s="38"/>
      <c r="QK1975" s="38"/>
      <c r="QL1975" s="38"/>
      <c r="QM1975" s="38"/>
      <c r="QN1975" s="38"/>
      <c r="QO1975" s="38"/>
      <c r="QP1975" s="38"/>
      <c r="QQ1975" s="38"/>
      <c r="QR1975" s="38"/>
      <c r="QS1975" s="38"/>
      <c r="QT1975" s="38"/>
      <c r="QU1975" s="38"/>
      <c r="QV1975" s="38"/>
      <c r="QW1975" s="38"/>
      <c r="QX1975" s="38"/>
      <c r="QY1975" s="38"/>
      <c r="QZ1975" s="38"/>
      <c r="RA1975" s="38"/>
      <c r="RB1975" s="38"/>
      <c r="RC1975" s="38"/>
      <c r="RD1975" s="38"/>
      <c r="RE1975" s="38"/>
      <c r="RF1975" s="38"/>
      <c r="RG1975" s="38"/>
      <c r="RH1975" s="38"/>
      <c r="RI1975" s="38"/>
      <c r="RJ1975" s="38"/>
      <c r="RK1975" s="38"/>
      <c r="RL1975" s="38"/>
      <c r="RM1975" s="38"/>
      <c r="RN1975" s="38"/>
      <c r="RO1975" s="38"/>
      <c r="RP1975" s="38"/>
      <c r="RQ1975" s="38"/>
      <c r="RR1975" s="38"/>
      <c r="RS1975" s="38"/>
      <c r="RT1975" s="38"/>
      <c r="RU1975" s="38"/>
      <c r="RV1975" s="38"/>
      <c r="RW1975" s="38"/>
      <c r="RX1975" s="38"/>
      <c r="RY1975" s="38"/>
      <c r="RZ1975" s="38"/>
      <c r="SA1975" s="38"/>
      <c r="SB1975" s="38"/>
      <c r="SC1975" s="38"/>
      <c r="SD1975" s="38"/>
      <c r="SE1975" s="38"/>
      <c r="SF1975" s="38"/>
      <c r="SG1975" s="38"/>
      <c r="SH1975" s="38"/>
      <c r="SI1975" s="38"/>
      <c r="SJ1975" s="38"/>
      <c r="SK1975" s="38"/>
      <c r="SL1975" s="38"/>
      <c r="SM1975" s="38"/>
      <c r="SN1975" s="38"/>
      <c r="SO1975" s="38"/>
      <c r="SP1975" s="38"/>
      <c r="SQ1975" s="38"/>
      <c r="SR1975" s="38"/>
      <c r="SS1975" s="38"/>
      <c r="ST1975" s="38"/>
      <c r="SU1975" s="38"/>
      <c r="SV1975" s="38"/>
      <c r="SW1975" s="38"/>
      <c r="SX1975" s="38"/>
      <c r="SY1975" s="38"/>
      <c r="SZ1975" s="38"/>
      <c r="TA1975" s="38"/>
      <c r="TB1975" s="38"/>
      <c r="TC1975" s="38"/>
      <c r="TD1975" s="38"/>
      <c r="TE1975" s="38"/>
      <c r="TF1975" s="38"/>
      <c r="TG1975" s="38"/>
      <c r="TH1975" s="38"/>
      <c r="TI1975" s="38"/>
      <c r="TJ1975" s="38"/>
      <c r="TK1975" s="38"/>
      <c r="TL1975" s="38"/>
      <c r="TM1975" s="38"/>
      <c r="TN1975" s="38"/>
      <c r="TO1975" s="38"/>
      <c r="TP1975" s="38"/>
      <c r="TQ1975" s="38"/>
      <c r="TR1975" s="38"/>
      <c r="TS1975" s="38"/>
      <c r="TT1975" s="38"/>
      <c r="TU1975" s="38"/>
      <c r="TV1975" s="38"/>
      <c r="TW1975" s="38"/>
      <c r="TX1975" s="38"/>
      <c r="TY1975" s="38"/>
      <c r="TZ1975" s="38"/>
      <c r="UA1975" s="38"/>
      <c r="UB1975" s="38"/>
      <c r="UC1975" s="38"/>
      <c r="UD1975" s="38"/>
      <c r="UE1975" s="38"/>
      <c r="UF1975" s="38"/>
      <c r="UG1975" s="38"/>
      <c r="UH1975" s="38"/>
      <c r="UI1975" s="38"/>
      <c r="UJ1975" s="38"/>
      <c r="UK1975" s="38"/>
      <c r="UL1975" s="38"/>
      <c r="UM1975" s="38"/>
      <c r="UN1975" s="38"/>
      <c r="UO1975" s="38"/>
      <c r="UP1975" s="38"/>
      <c r="UQ1975" s="38"/>
      <c r="UR1975" s="38"/>
      <c r="US1975" s="38"/>
      <c r="UT1975" s="38"/>
      <c r="UU1975" s="38"/>
      <c r="UV1975" s="38"/>
      <c r="UW1975" s="38"/>
      <c r="UX1975" s="38"/>
      <c r="UY1975" s="38"/>
      <c r="UZ1975" s="38"/>
      <c r="VA1975" s="38"/>
      <c r="VB1975" s="38"/>
      <c r="VC1975" s="38"/>
      <c r="VD1975" s="38"/>
      <c r="VE1975" s="38"/>
      <c r="VF1975" s="38"/>
      <c r="VG1975" s="38"/>
      <c r="VH1975" s="38"/>
      <c r="VI1975" s="38"/>
      <c r="VJ1975" s="38"/>
      <c r="VK1975" s="38"/>
      <c r="VL1975" s="38"/>
      <c r="VM1975" s="38"/>
      <c r="VN1975" s="38"/>
      <c r="VO1975" s="38"/>
      <c r="VP1975" s="38"/>
      <c r="VQ1975" s="38"/>
      <c r="VR1975" s="38"/>
      <c r="VS1975" s="38"/>
      <c r="VT1975" s="38"/>
      <c r="VU1975" s="38"/>
      <c r="VV1975" s="38"/>
      <c r="VW1975" s="38"/>
      <c r="VX1975" s="38"/>
      <c r="VY1975" s="38"/>
      <c r="VZ1975" s="38"/>
      <c r="WA1975" s="38"/>
      <c r="WB1975" s="38"/>
      <c r="WC1975" s="38"/>
      <c r="WD1975" s="38"/>
      <c r="WE1975" s="38"/>
      <c r="WF1975" s="38"/>
      <c r="WG1975" s="38"/>
      <c r="WH1975" s="38"/>
      <c r="WI1975" s="38"/>
      <c r="WJ1975" s="38"/>
      <c r="WK1975" s="38"/>
      <c r="WL1975" s="38"/>
      <c r="WM1975" s="38"/>
      <c r="WN1975" s="38"/>
      <c r="WO1975" s="38"/>
      <c r="WP1975" s="38"/>
      <c r="WQ1975" s="38"/>
      <c r="WR1975" s="38"/>
      <c r="WS1975" s="38"/>
      <c r="WT1975" s="38"/>
      <c r="WU1975" s="38"/>
      <c r="WV1975" s="38"/>
      <c r="WW1975" s="38"/>
      <c r="WX1975" s="38"/>
      <c r="WY1975" s="38"/>
      <c r="WZ1975" s="38"/>
      <c r="XA1975" s="38"/>
      <c r="XB1975" s="38"/>
      <c r="XC1975" s="38"/>
      <c r="XD1975" s="38"/>
      <c r="XE1975" s="38"/>
      <c r="XF1975" s="38"/>
      <c r="XG1975" s="38"/>
      <c r="XH1975" s="38"/>
      <c r="XI1975" s="38"/>
      <c r="XJ1975" s="38"/>
      <c r="XK1975" s="38"/>
      <c r="XL1975" s="38"/>
      <c r="XM1975" s="38"/>
      <c r="XN1975" s="38"/>
      <c r="XO1975" s="38"/>
      <c r="XP1975" s="38"/>
      <c r="XQ1975" s="38"/>
      <c r="XR1975" s="38"/>
      <c r="XS1975" s="38"/>
      <c r="XT1975" s="38"/>
      <c r="XU1975" s="38"/>
      <c r="XV1975" s="38"/>
      <c r="XW1975" s="38"/>
      <c r="XX1975" s="38"/>
      <c r="XY1975" s="38"/>
      <c r="XZ1975" s="38"/>
      <c r="YA1975" s="38"/>
      <c r="YB1975" s="38"/>
      <c r="YC1975" s="38"/>
      <c r="YD1975" s="38"/>
      <c r="YE1975" s="38"/>
      <c r="YF1975" s="38"/>
      <c r="YG1975" s="38"/>
      <c r="YH1975" s="38"/>
      <c r="YI1975" s="38"/>
      <c r="YJ1975" s="38"/>
      <c r="YK1975" s="38"/>
      <c r="YL1975" s="38"/>
      <c r="YM1975" s="38"/>
      <c r="YN1975" s="38"/>
      <c r="YO1975" s="38"/>
      <c r="YP1975" s="38"/>
      <c r="YQ1975" s="38"/>
      <c r="YR1975" s="38"/>
      <c r="YS1975" s="38"/>
      <c r="YT1975" s="38"/>
      <c r="YU1975" s="38"/>
      <c r="YV1975" s="38"/>
      <c r="YW1975" s="38"/>
      <c r="YX1975" s="38"/>
      <c r="YY1975" s="38"/>
      <c r="YZ1975" s="38"/>
      <c r="ZA1975" s="38"/>
      <c r="ZB1975" s="38"/>
      <c r="ZC1975" s="38"/>
      <c r="ZD1975" s="38"/>
      <c r="ZE1975" s="38"/>
      <c r="ZF1975" s="38"/>
      <c r="ZG1975" s="38"/>
      <c r="ZH1975" s="38"/>
      <c r="ZI1975" s="38"/>
      <c r="ZJ1975" s="38"/>
      <c r="ZK1975" s="38"/>
      <c r="ZL1975" s="38"/>
      <c r="ZM1975" s="38"/>
      <c r="ZN1975" s="38"/>
      <c r="ZO1975" s="38"/>
      <c r="ZP1975" s="38"/>
      <c r="ZQ1975" s="38"/>
      <c r="ZR1975" s="38"/>
      <c r="ZS1975" s="38"/>
      <c r="ZT1975" s="38"/>
      <c r="ZU1975" s="38"/>
      <c r="ZV1975" s="38"/>
      <c r="ZW1975" s="38"/>
      <c r="ZX1975" s="38"/>
      <c r="ZY1975" s="38"/>
      <c r="ZZ1975" s="38"/>
      <c r="AAA1975" s="38"/>
      <c r="AAB1975" s="38"/>
      <c r="AAC1975" s="38"/>
      <c r="AAD1975" s="38"/>
      <c r="AAE1975" s="38"/>
      <c r="AAF1975" s="38"/>
      <c r="AAG1975" s="38"/>
      <c r="AAH1975" s="38"/>
      <c r="AAI1975" s="38"/>
      <c r="AAJ1975" s="38"/>
      <c r="AAK1975" s="38"/>
      <c r="AAL1975" s="38"/>
      <c r="AAM1975" s="38"/>
      <c r="AAN1975" s="38"/>
      <c r="AAO1975" s="38"/>
      <c r="AAP1975" s="38"/>
      <c r="AAQ1975" s="38"/>
      <c r="AAR1975" s="38"/>
      <c r="AAS1975" s="38"/>
      <c r="AAT1975" s="38"/>
      <c r="AAU1975" s="38"/>
      <c r="AAV1975" s="38"/>
      <c r="AAW1975" s="38"/>
      <c r="AAX1975" s="38"/>
      <c r="AAY1975" s="38"/>
      <c r="AAZ1975" s="38"/>
      <c r="ABA1975" s="38"/>
      <c r="ABB1975" s="38"/>
      <c r="ABC1975" s="38"/>
      <c r="ABD1975" s="38"/>
      <c r="ABE1975" s="38"/>
      <c r="ABF1975" s="38"/>
      <c r="ABG1975" s="38"/>
      <c r="ABH1975" s="38"/>
      <c r="ABI1975" s="38"/>
      <c r="ABJ1975" s="38"/>
      <c r="ABK1975" s="38"/>
      <c r="ABL1975" s="38"/>
      <c r="ABM1975" s="38"/>
      <c r="ABN1975" s="38"/>
      <c r="ABO1975" s="38"/>
      <c r="ABP1975" s="38"/>
      <c r="ABQ1975" s="38"/>
      <c r="ABR1975" s="38"/>
      <c r="ABS1975" s="38"/>
      <c r="ABT1975" s="38"/>
      <c r="ABU1975" s="38"/>
      <c r="ABV1975" s="38"/>
      <c r="ABW1975" s="38"/>
      <c r="ABX1975" s="38"/>
      <c r="ABY1975" s="38"/>
      <c r="ABZ1975" s="38"/>
      <c r="ACA1975" s="38"/>
      <c r="ACB1975" s="38"/>
      <c r="ACC1975" s="38"/>
      <c r="ACD1975" s="38"/>
      <c r="ACE1975" s="38"/>
      <c r="ACF1975" s="38"/>
      <c r="ACG1975" s="38"/>
      <c r="ACH1975" s="38"/>
      <c r="ACI1975" s="38"/>
      <c r="ACJ1975" s="38"/>
      <c r="ACK1975" s="38"/>
      <c r="ACL1975" s="38"/>
      <c r="ACM1975" s="38"/>
      <c r="ACN1975" s="38"/>
      <c r="ACO1975" s="38"/>
      <c r="ACP1975" s="38"/>
      <c r="ACQ1975" s="38"/>
      <c r="ACR1975" s="38"/>
      <c r="ACS1975" s="38"/>
      <c r="ACT1975" s="38"/>
      <c r="ACU1975" s="38"/>
      <c r="ACV1975" s="38"/>
      <c r="ACW1975" s="38"/>
      <c r="ACX1975" s="38"/>
      <c r="ACY1975" s="38"/>
      <c r="ACZ1975" s="38"/>
      <c r="ADA1975" s="38"/>
      <c r="ADB1975" s="38"/>
      <c r="ADC1975" s="38"/>
      <c r="ADD1975" s="38"/>
      <c r="ADE1975" s="38"/>
      <c r="ADF1975" s="38"/>
      <c r="ADG1975" s="38"/>
      <c r="ADH1975" s="38"/>
      <c r="ADI1975" s="38"/>
      <c r="ADJ1975" s="38"/>
      <c r="ADK1975" s="38"/>
      <c r="ADL1975" s="38"/>
      <c r="ADM1975" s="38"/>
      <c r="ADN1975" s="38"/>
      <c r="ADO1975" s="38"/>
      <c r="ADP1975" s="38"/>
      <c r="ADQ1975" s="38"/>
      <c r="ADR1975" s="38"/>
      <c r="ADS1975" s="38"/>
      <c r="ADT1975" s="38"/>
      <c r="ADU1975" s="38"/>
      <c r="ADV1975" s="38"/>
      <c r="ADW1975" s="38"/>
      <c r="ADX1975" s="38"/>
      <c r="ADY1975" s="38"/>
      <c r="ADZ1975" s="38"/>
      <c r="AEA1975" s="38"/>
      <c r="AEB1975" s="38"/>
      <c r="AEC1975" s="38"/>
      <c r="AED1975" s="38"/>
      <c r="AEE1975" s="38"/>
      <c r="AEF1975" s="38"/>
      <c r="AEG1975" s="38"/>
      <c r="AEH1975" s="38"/>
      <c r="AEI1975" s="38"/>
      <c r="AEJ1975" s="38"/>
      <c r="AEK1975" s="38"/>
      <c r="AEL1975" s="38"/>
      <c r="AEM1975" s="38"/>
      <c r="AEN1975" s="38"/>
      <c r="AEO1975" s="38"/>
      <c r="AEP1975" s="38"/>
      <c r="AEQ1975" s="38"/>
      <c r="AER1975" s="38"/>
      <c r="AES1975" s="38"/>
      <c r="AET1975" s="38"/>
      <c r="AEU1975" s="38"/>
      <c r="AEV1975" s="38"/>
      <c r="AEW1975" s="38"/>
      <c r="AEX1975" s="38"/>
      <c r="AEY1975" s="38"/>
      <c r="AEZ1975" s="38"/>
      <c r="AFA1975" s="38"/>
      <c r="AFB1975" s="38"/>
      <c r="AFC1975" s="38"/>
      <c r="AFD1975" s="38"/>
      <c r="AFE1975" s="38"/>
      <c r="AFF1975" s="38"/>
      <c r="AFG1975" s="38"/>
      <c r="AFH1975" s="38"/>
      <c r="AFI1975" s="38"/>
      <c r="AFJ1975" s="38"/>
      <c r="AFK1975" s="38"/>
      <c r="AFL1975" s="38"/>
      <c r="AFM1975" s="38"/>
      <c r="AFN1975" s="38"/>
      <c r="AFO1975" s="38"/>
      <c r="AFP1975" s="38"/>
      <c r="AFQ1975" s="38"/>
      <c r="AFR1975" s="38"/>
      <c r="AFS1975" s="38"/>
      <c r="AFT1975" s="38"/>
      <c r="AFU1975" s="38"/>
      <c r="AFV1975" s="38"/>
      <c r="AFW1975" s="38"/>
      <c r="AFX1975" s="38"/>
      <c r="AFY1975" s="38"/>
      <c r="AFZ1975" s="38"/>
      <c r="AGA1975" s="38"/>
      <c r="AGB1975" s="38"/>
      <c r="AGC1975" s="38"/>
      <c r="AGD1975" s="38"/>
      <c r="AGE1975" s="38"/>
      <c r="AGF1975" s="38"/>
      <c r="AGG1975" s="38"/>
      <c r="AGH1975" s="38"/>
      <c r="AGI1975" s="38"/>
      <c r="AGJ1975" s="38"/>
      <c r="AGK1975" s="38"/>
      <c r="AGL1975" s="38"/>
      <c r="AGM1975" s="38"/>
      <c r="AGN1975" s="38"/>
      <c r="AGO1975" s="38"/>
      <c r="AGP1975" s="38"/>
      <c r="AGQ1975" s="38"/>
      <c r="AGR1975" s="38"/>
      <c r="AGS1975" s="38"/>
      <c r="AGT1975" s="38"/>
      <c r="AGU1975" s="38"/>
      <c r="AGV1975" s="38"/>
      <c r="AGW1975" s="38"/>
      <c r="AGX1975" s="38"/>
      <c r="AGY1975" s="38"/>
      <c r="AGZ1975" s="38"/>
      <c r="AHA1975" s="38"/>
      <c r="AHB1975" s="38"/>
      <c r="AHC1975" s="38"/>
      <c r="AHD1975" s="38"/>
      <c r="AHE1975" s="38"/>
      <c r="AHF1975" s="38"/>
      <c r="AHG1975" s="38"/>
      <c r="AHH1975" s="38"/>
      <c r="AHI1975" s="38"/>
      <c r="AHJ1975" s="38"/>
      <c r="AHK1975" s="38"/>
      <c r="AHL1975" s="38"/>
      <c r="AHM1975" s="38"/>
      <c r="AHN1975" s="38"/>
      <c r="AHO1975" s="38"/>
      <c r="AHP1975" s="38"/>
      <c r="AHQ1975" s="38"/>
      <c r="AHR1975" s="38"/>
      <c r="AHS1975" s="38"/>
      <c r="AHT1975" s="38"/>
      <c r="AHU1975" s="38"/>
      <c r="AHV1975" s="38"/>
      <c r="AHW1975" s="38"/>
      <c r="AHX1975" s="38"/>
      <c r="AHY1975" s="38"/>
      <c r="AHZ1975" s="38"/>
      <c r="AIA1975" s="38"/>
      <c r="AIB1975" s="38"/>
      <c r="AIC1975" s="38"/>
      <c r="AID1975" s="38"/>
      <c r="AIE1975" s="38"/>
      <c r="AIF1975" s="38"/>
      <c r="AIG1975" s="38"/>
      <c r="AIH1975" s="38"/>
      <c r="AII1975" s="38"/>
      <c r="AIJ1975" s="38"/>
      <c r="AIK1975" s="38"/>
      <c r="AIL1975" s="38"/>
      <c r="AIM1975" s="38"/>
      <c r="AIN1975" s="38"/>
      <c r="AIO1975" s="38"/>
      <c r="AIP1975" s="38"/>
      <c r="AIQ1975" s="38"/>
      <c r="AIR1975" s="38"/>
      <c r="AIS1975" s="38"/>
      <c r="AIT1975" s="38"/>
      <c r="AIU1975" s="38"/>
      <c r="AIV1975" s="38"/>
      <c r="AIW1975" s="38"/>
      <c r="AIX1975" s="38"/>
      <c r="AIY1975" s="38"/>
      <c r="AIZ1975" s="38"/>
      <c r="AJA1975" s="38"/>
      <c r="AJB1975" s="38"/>
      <c r="AJC1975" s="38"/>
      <c r="AJD1975" s="38"/>
      <c r="AJE1975" s="38"/>
      <c r="AJF1975" s="38"/>
      <c r="AJG1975" s="38"/>
      <c r="AJH1975" s="38"/>
      <c r="AJI1975" s="38"/>
      <c r="AJJ1975" s="38"/>
      <c r="AJK1975" s="38"/>
      <c r="AJL1975" s="38"/>
      <c r="AJM1975" s="38"/>
      <c r="AJN1975" s="38"/>
      <c r="AJO1975" s="38"/>
      <c r="AJP1975" s="38"/>
      <c r="AJQ1975" s="38"/>
      <c r="AJR1975" s="38"/>
      <c r="AJS1975" s="38"/>
      <c r="AJT1975" s="38"/>
      <c r="AJU1975" s="38"/>
      <c r="AJV1975" s="38"/>
      <c r="AJW1975" s="38"/>
      <c r="AJX1975" s="38"/>
      <c r="AJY1975" s="38"/>
      <c r="AJZ1975" s="38"/>
      <c r="AKA1975" s="38"/>
      <c r="AKB1975" s="38"/>
      <c r="AKC1975" s="38"/>
      <c r="AKD1975" s="38"/>
      <c r="AKE1975" s="38"/>
      <c r="AKF1975" s="38"/>
      <c r="AKG1975" s="38"/>
      <c r="AKH1975" s="38"/>
      <c r="AKI1975" s="38"/>
      <c r="AKJ1975" s="38"/>
      <c r="AKK1975" s="38"/>
      <c r="AKL1975" s="38"/>
      <c r="AKM1975" s="38"/>
      <c r="AKN1975" s="38"/>
      <c r="AKO1975" s="38"/>
      <c r="AKP1975" s="38"/>
      <c r="AKQ1975" s="38"/>
      <c r="AKR1975" s="38"/>
      <c r="AKS1975" s="38"/>
      <c r="AKT1975" s="38"/>
      <c r="AKU1975" s="38"/>
      <c r="AKV1975" s="38"/>
      <c r="AKW1975" s="38"/>
      <c r="AKX1975" s="38"/>
      <c r="AKY1975" s="38"/>
      <c r="AKZ1975" s="38"/>
      <c r="ALA1975" s="38"/>
      <c r="ALB1975" s="38"/>
      <c r="ALC1975" s="38"/>
      <c r="ALD1975" s="38"/>
      <c r="ALE1975" s="38"/>
      <c r="ALF1975" s="38"/>
      <c r="ALG1975" s="38"/>
      <c r="ALH1975" s="38"/>
      <c r="ALI1975" s="38"/>
      <c r="ALJ1975" s="38"/>
      <c r="ALK1975" s="38"/>
      <c r="ALL1975" s="38"/>
      <c r="ALM1975" s="38"/>
      <c r="ALN1975" s="38"/>
      <c r="ALO1975" s="38"/>
      <c r="ALP1975" s="38"/>
      <c r="ALQ1975" s="38"/>
      <c r="ALR1975" s="38"/>
      <c r="ALS1975" s="38"/>
      <c r="ALT1975" s="38"/>
      <c r="ALU1975" s="38"/>
      <c r="ALV1975" s="38"/>
      <c r="ALW1975" s="38"/>
      <c r="ALX1975" s="38"/>
      <c r="ALY1975" s="38"/>
      <c r="ALZ1975" s="38"/>
      <c r="AMA1975" s="38"/>
      <c r="AMB1975" s="38"/>
      <c r="AMC1975" s="38"/>
      <c r="AMD1975" s="38"/>
      <c r="AME1975" s="38"/>
      <c r="AMF1975" s="38"/>
      <c r="AMG1975" s="38"/>
      <c r="AMH1975" s="38"/>
      <c r="AMI1975" s="38"/>
      <c r="AMJ1975" s="38"/>
      <c r="AMK1975" s="38"/>
      <c r="AML1975" s="38"/>
      <c r="AMM1975" s="38"/>
      <c r="AMN1975" s="38"/>
      <c r="AMO1975" s="38"/>
      <c r="AMP1975" s="38"/>
      <c r="AMQ1975" s="38"/>
      <c r="AMR1975" s="38"/>
      <c r="AMS1975" s="38"/>
      <c r="AMT1975" s="38"/>
      <c r="AMU1975" s="38"/>
      <c r="AMV1975" s="38"/>
      <c r="AMW1975" s="38"/>
      <c r="AMX1975" s="38"/>
      <c r="AMY1975" s="38"/>
      <c r="AMZ1975" s="38"/>
      <c r="ANA1975" s="38"/>
      <c r="ANB1975" s="38"/>
      <c r="ANC1975" s="38"/>
      <c r="AND1975" s="38"/>
      <c r="ANE1975" s="38"/>
      <c r="ANF1975" s="38"/>
      <c r="ANG1975" s="38"/>
      <c r="ANH1975" s="38"/>
      <c r="ANI1975" s="38"/>
      <c r="ANJ1975" s="38"/>
      <c r="ANK1975" s="38"/>
      <c r="ANL1975" s="38"/>
      <c r="ANM1975" s="38"/>
      <c r="ANN1975" s="38"/>
      <c r="ANO1975" s="38"/>
      <c r="ANP1975" s="38"/>
      <c r="ANQ1975" s="38"/>
      <c r="ANR1975" s="38"/>
      <c r="ANS1975" s="38"/>
      <c r="ANT1975" s="38"/>
      <c r="ANU1975" s="38"/>
      <c r="ANV1975" s="38"/>
      <c r="ANW1975" s="38"/>
      <c r="ANX1975" s="38"/>
      <c r="ANY1975" s="38"/>
      <c r="ANZ1975" s="38"/>
      <c r="AOA1975" s="38"/>
      <c r="AOB1975" s="38"/>
      <c r="AOC1975" s="38"/>
      <c r="AOD1975" s="38"/>
      <c r="AOE1975" s="38"/>
      <c r="AOF1975" s="38"/>
      <c r="AOG1975" s="38"/>
      <c r="AOH1975" s="38"/>
      <c r="AOI1975" s="38"/>
      <c r="AOJ1975" s="38"/>
      <c r="AOK1975" s="38"/>
      <c r="AOL1975" s="38"/>
      <c r="AOM1975" s="38"/>
      <c r="AON1975" s="38"/>
      <c r="AOO1975" s="38"/>
      <c r="AOP1975" s="38"/>
      <c r="AOQ1975" s="38"/>
      <c r="AOR1975" s="38"/>
      <c r="AOS1975" s="38"/>
      <c r="AOT1975" s="38"/>
      <c r="AOU1975" s="38"/>
      <c r="AOV1975" s="38"/>
      <c r="AOW1975" s="38"/>
      <c r="AOX1975" s="38"/>
      <c r="AOY1975" s="38"/>
      <c r="AOZ1975" s="38"/>
      <c r="APA1975" s="38"/>
      <c r="APB1975" s="38"/>
      <c r="APC1975" s="38"/>
    </row>
    <row r="1976" spans="1:1095" s="36" customFormat="1" ht="14.25" customHeight="1">
      <c r="A1976" s="3" t="s">
        <v>1722</v>
      </c>
      <c r="B1976" s="36" t="s">
        <v>2282</v>
      </c>
      <c r="C1976" s="10">
        <v>4099854069659</v>
      </c>
      <c r="D1976" s="224">
        <v>4058075592070</v>
      </c>
      <c r="E1976" s="245" t="s">
        <v>2283</v>
      </c>
      <c r="F1976" s="246"/>
      <c r="G1976" s="66" t="str">
        <f>HYPERLINK("https://ledvance.com/pt/product-datasheet/251463/238829","Ficha de Produto")</f>
        <v>Ficha de Produto</v>
      </c>
      <c r="H1976" s="217">
        <v>10</v>
      </c>
      <c r="I1976" s="34" t="s">
        <v>6354</v>
      </c>
      <c r="J1976" s="34" t="s">
        <v>855</v>
      </c>
      <c r="K1976" s="34" t="s">
        <v>788</v>
      </c>
      <c r="L1976" s="34" t="s">
        <v>6506</v>
      </c>
      <c r="M1976" s="247">
        <v>5.5</v>
      </c>
      <c r="N1976" s="288" t="s">
        <v>722</v>
      </c>
    </row>
    <row r="1977" spans="1:1095" s="36" customFormat="1" ht="14.25" customHeight="1">
      <c r="A1977" s="3" t="s">
        <v>1722</v>
      </c>
      <c r="B1977" s="36" t="s">
        <v>2284</v>
      </c>
      <c r="C1977" s="10">
        <v>4099854069710</v>
      </c>
      <c r="D1977" s="224">
        <v>4058075592056</v>
      </c>
      <c r="E1977" s="245" t="s">
        <v>2285</v>
      </c>
      <c r="F1977" s="246"/>
      <c r="G1977" s="66" t="str">
        <f>HYPERLINK("https://ledvance.com/pt/product-datasheet/251463/238814","Ficha de Produto")</f>
        <v>Ficha de Produto</v>
      </c>
      <c r="H1977" s="217">
        <v>10</v>
      </c>
      <c r="I1977" s="34" t="s">
        <v>6354</v>
      </c>
      <c r="J1977" s="34" t="s">
        <v>855</v>
      </c>
      <c r="K1977" s="34" t="s">
        <v>788</v>
      </c>
      <c r="L1977" s="34" t="s">
        <v>6506</v>
      </c>
      <c r="M1977" s="247">
        <v>5.5</v>
      </c>
      <c r="N1977" s="288" t="s">
        <v>722</v>
      </c>
    </row>
    <row r="1978" spans="1:1095" s="36" customFormat="1" ht="14.25" customHeight="1">
      <c r="A1978" s="3" t="s">
        <v>1722</v>
      </c>
      <c r="B1978" s="36" t="s">
        <v>2286</v>
      </c>
      <c r="C1978" s="10">
        <v>4099854069734</v>
      </c>
      <c r="D1978" s="224">
        <v>4058075592094</v>
      </c>
      <c r="E1978" s="245" t="s">
        <v>2287</v>
      </c>
      <c r="F1978" s="246"/>
      <c r="G1978" s="66" t="str">
        <f>HYPERLINK("https://ledvance.com/pt/product-datasheet/251463/238817","Ficha de Produto")</f>
        <v>Ficha de Produto</v>
      </c>
      <c r="H1978" s="217">
        <v>10</v>
      </c>
      <c r="I1978" s="34" t="s">
        <v>6354</v>
      </c>
      <c r="J1978" s="34" t="s">
        <v>855</v>
      </c>
      <c r="K1978" s="34" t="s">
        <v>788</v>
      </c>
      <c r="L1978" s="34" t="s">
        <v>6506</v>
      </c>
      <c r="M1978" s="247">
        <v>5.5</v>
      </c>
      <c r="N1978" s="288" t="s">
        <v>722</v>
      </c>
    </row>
    <row r="1979" spans="1:1095" s="36" customFormat="1" ht="14.25" customHeight="1">
      <c r="A1979" s="3" t="s">
        <v>1722</v>
      </c>
      <c r="B1979" s="36" t="s">
        <v>2288</v>
      </c>
      <c r="C1979" s="10">
        <v>4099854062421</v>
      </c>
      <c r="D1979" s="224">
        <v>4058075591936</v>
      </c>
      <c r="E1979" s="245" t="s">
        <v>2289</v>
      </c>
      <c r="F1979" s="246"/>
      <c r="G1979" s="66" t="str">
        <f>HYPERLINK("https://ledvance.com/pt/product-datasheet/251463/237539","Ficha de Produto")</f>
        <v>Ficha de Produto</v>
      </c>
      <c r="H1979" s="217">
        <v>10</v>
      </c>
      <c r="I1979" s="34" t="s">
        <v>6349</v>
      </c>
      <c r="J1979" s="34" t="s">
        <v>6367</v>
      </c>
      <c r="K1979" s="34" t="s">
        <v>788</v>
      </c>
      <c r="L1979" s="34" t="s">
        <v>6506</v>
      </c>
      <c r="M1979" s="247">
        <v>6.4</v>
      </c>
      <c r="N1979" s="288" t="s">
        <v>722</v>
      </c>
    </row>
    <row r="1980" spans="1:1095" s="36" customFormat="1" ht="14.25" customHeight="1">
      <c r="A1980" s="3" t="s">
        <v>1722</v>
      </c>
      <c r="B1980" s="36" t="s">
        <v>2290</v>
      </c>
      <c r="C1980" s="10">
        <v>4099854062469</v>
      </c>
      <c r="D1980" s="224">
        <v>4058075591912</v>
      </c>
      <c r="E1980" s="245" t="s">
        <v>2291</v>
      </c>
      <c r="F1980" s="246"/>
      <c r="G1980" s="66" t="str">
        <f>HYPERLINK("https://ledvance.com/pt/product-datasheet/251463/237560","Ficha de Produto")</f>
        <v>Ficha de Produto</v>
      </c>
      <c r="H1980" s="217">
        <v>10</v>
      </c>
      <c r="I1980" s="34" t="s">
        <v>6349</v>
      </c>
      <c r="J1980" s="34" t="s">
        <v>6367</v>
      </c>
      <c r="K1980" s="34" t="s">
        <v>788</v>
      </c>
      <c r="L1980" s="34" t="s">
        <v>6506</v>
      </c>
      <c r="M1980" s="247">
        <v>6.4</v>
      </c>
      <c r="N1980" s="288" t="s">
        <v>722</v>
      </c>
    </row>
    <row r="1981" spans="1:1095" s="36" customFormat="1" ht="14.25" customHeight="1">
      <c r="A1981" s="3" t="s">
        <v>1722</v>
      </c>
      <c r="B1981" s="36" t="s">
        <v>2292</v>
      </c>
      <c r="C1981" s="10">
        <v>4099854062704</v>
      </c>
      <c r="D1981" s="224">
        <v>4058075591950</v>
      </c>
      <c r="E1981" s="245" t="s">
        <v>2293</v>
      </c>
      <c r="F1981" s="246"/>
      <c r="G1981" s="66" t="str">
        <f>HYPERLINK("https://ledvance.com/pt/product-datasheet/251463/237610","Ficha de Produto")</f>
        <v>Ficha de Produto</v>
      </c>
      <c r="H1981" s="217">
        <v>10</v>
      </c>
      <c r="I1981" s="34" t="s">
        <v>6349</v>
      </c>
      <c r="J1981" s="34" t="s">
        <v>6367</v>
      </c>
      <c r="K1981" s="34" t="s">
        <v>788</v>
      </c>
      <c r="L1981" s="34" t="s">
        <v>6506</v>
      </c>
      <c r="M1981" s="247">
        <v>6.4</v>
      </c>
      <c r="N1981" s="288" t="s">
        <v>722</v>
      </c>
    </row>
    <row r="1982" spans="1:1095" s="36" customFormat="1" ht="14.25" customHeight="1">
      <c r="A1982" s="3" t="s">
        <v>1722</v>
      </c>
      <c r="B1982" s="36" t="s">
        <v>2294</v>
      </c>
      <c r="C1982" s="10">
        <v>4099854062049</v>
      </c>
      <c r="D1982" s="224">
        <v>4058075591592</v>
      </c>
      <c r="E1982" s="245" t="s">
        <v>2295</v>
      </c>
      <c r="F1982" s="246"/>
      <c r="G1982" s="66" t="str">
        <f>HYPERLINK("https://ledvance.com/pt/product-datasheet/251463/237531","Ficha de Produto")</f>
        <v>Ficha de Produto</v>
      </c>
      <c r="H1982" s="217">
        <v>10</v>
      </c>
      <c r="I1982" s="34" t="s">
        <v>6351</v>
      </c>
      <c r="J1982" s="34" t="s">
        <v>6292</v>
      </c>
      <c r="K1982" s="34" t="s">
        <v>788</v>
      </c>
      <c r="L1982" s="34" t="s">
        <v>6506</v>
      </c>
      <c r="M1982" s="247">
        <v>9.2000000000000011</v>
      </c>
      <c r="N1982" s="288" t="s">
        <v>722</v>
      </c>
    </row>
    <row r="1983" spans="1:1095" s="36" customFormat="1" ht="14.25" customHeight="1">
      <c r="A1983" s="3" t="s">
        <v>1722</v>
      </c>
      <c r="B1983" s="36" t="s">
        <v>2296</v>
      </c>
      <c r="C1983" s="10">
        <v>4099854062025</v>
      </c>
      <c r="D1983" s="224">
        <v>4058075591578</v>
      </c>
      <c r="E1983" s="245" t="s">
        <v>2297</v>
      </c>
      <c r="F1983" s="246"/>
      <c r="G1983" s="66" t="str">
        <f>HYPERLINK("https://ledvance.com/pt/product-datasheet/251463/237507","Ficha de Produto")</f>
        <v>Ficha de Produto</v>
      </c>
      <c r="H1983" s="217">
        <v>10</v>
      </c>
      <c r="I1983" s="34" t="s">
        <v>6351</v>
      </c>
      <c r="J1983" s="34" t="s">
        <v>6292</v>
      </c>
      <c r="K1983" s="34" t="s">
        <v>788</v>
      </c>
      <c r="L1983" s="34" t="s">
        <v>6506</v>
      </c>
      <c r="M1983" s="247">
        <v>9.2000000000000011</v>
      </c>
      <c r="N1983" s="288" t="s">
        <v>722</v>
      </c>
    </row>
    <row r="1984" spans="1:1095" s="36" customFormat="1" ht="14.25" customHeight="1">
      <c r="A1984" s="3" t="s">
        <v>1722</v>
      </c>
      <c r="B1984" s="36" t="s">
        <v>2298</v>
      </c>
      <c r="C1984" s="10">
        <v>4099854069796</v>
      </c>
      <c r="D1984" s="224">
        <v>4058075756526</v>
      </c>
      <c r="E1984" s="245" t="s">
        <v>2299</v>
      </c>
      <c r="F1984" s="246"/>
      <c r="G1984" s="66" t="str">
        <f>HYPERLINK("https://ledvance.com/pt/product-datasheet/251463/238796","Ficha de Produto")</f>
        <v>Ficha de Produto</v>
      </c>
      <c r="H1984" s="217">
        <v>10</v>
      </c>
      <c r="I1984" s="34" t="s">
        <v>6352</v>
      </c>
      <c r="J1984" s="34" t="s">
        <v>1053</v>
      </c>
      <c r="K1984" s="34" t="s">
        <v>788</v>
      </c>
      <c r="L1984" s="34" t="s">
        <v>6506</v>
      </c>
      <c r="M1984" s="247">
        <v>14.4</v>
      </c>
      <c r="N1984" s="288" t="s">
        <v>722</v>
      </c>
    </row>
    <row r="1985" spans="1:1095" s="36" customFormat="1" ht="14.25" customHeight="1">
      <c r="A1985" s="3" t="s">
        <v>1722</v>
      </c>
      <c r="B1985" s="36" t="s">
        <v>2300</v>
      </c>
      <c r="C1985" s="10">
        <v>4099854069833</v>
      </c>
      <c r="D1985" s="224">
        <v>4058075591837</v>
      </c>
      <c r="E1985" s="245" t="s">
        <v>2301</v>
      </c>
      <c r="F1985" s="246"/>
      <c r="G1985" s="66" t="str">
        <f>HYPERLINK("https://ledvance.com/pt/product-datasheet/251463/238805","Ficha de Produto")</f>
        <v>Ficha de Produto</v>
      </c>
      <c r="H1985" s="217">
        <v>10</v>
      </c>
      <c r="I1985" s="34" t="s">
        <v>6366</v>
      </c>
      <c r="J1985" s="34" t="s">
        <v>787</v>
      </c>
      <c r="K1985" s="34" t="s">
        <v>788</v>
      </c>
      <c r="L1985" s="34" t="s">
        <v>6506</v>
      </c>
      <c r="M1985" s="247">
        <v>28.200000000000003</v>
      </c>
      <c r="N1985" s="288" t="s">
        <v>722</v>
      </c>
    </row>
    <row r="1986" spans="1:1095" s="36" customFormat="1" ht="14.25" customHeight="1">
      <c r="A1986" s="3" t="s">
        <v>1722</v>
      </c>
      <c r="B1986" s="36" t="s">
        <v>2302</v>
      </c>
      <c r="C1986" s="10">
        <v>4099854069857</v>
      </c>
      <c r="D1986" s="224">
        <v>4058075591851</v>
      </c>
      <c r="E1986" s="245" t="s">
        <v>2303</v>
      </c>
      <c r="F1986" s="246"/>
      <c r="G1986" s="66" t="str">
        <f>HYPERLINK("https://ledvance.com/pt/product-datasheet/251463/238808","Ficha de Produto")</f>
        <v>Ficha de Produto</v>
      </c>
      <c r="H1986" s="217">
        <v>10</v>
      </c>
      <c r="I1986" s="34" t="s">
        <v>6366</v>
      </c>
      <c r="J1986" s="34" t="s">
        <v>787</v>
      </c>
      <c r="K1986" s="34" t="s">
        <v>788</v>
      </c>
      <c r="L1986" s="34" t="s">
        <v>6506</v>
      </c>
      <c r="M1986" s="247">
        <v>28.200000000000003</v>
      </c>
      <c r="N1986" s="288" t="s">
        <v>722</v>
      </c>
    </row>
    <row r="1987" spans="1:1095" s="36" customFormat="1" ht="14.25" customHeight="1">
      <c r="A1987" s="3" t="s">
        <v>1722</v>
      </c>
      <c r="B1987" s="36" t="s">
        <v>2304</v>
      </c>
      <c r="C1987" s="10">
        <v>4099854069895</v>
      </c>
      <c r="D1987" s="224">
        <v>4058075619111</v>
      </c>
      <c r="E1987" s="245" t="s">
        <v>2305</v>
      </c>
      <c r="F1987" s="246"/>
      <c r="G1987" s="66" t="str">
        <f>HYPERLINK("https://ledvance.com/pt/product-datasheet/251463/238850","Ficha de Produto")</f>
        <v>Ficha de Produto</v>
      </c>
      <c r="H1987" s="217">
        <v>4</v>
      </c>
      <c r="I1987" s="34" t="s">
        <v>6368</v>
      </c>
      <c r="J1987" s="34" t="s">
        <v>821</v>
      </c>
      <c r="K1987" s="34" t="s">
        <v>788</v>
      </c>
      <c r="L1987" s="34" t="s">
        <v>6506</v>
      </c>
      <c r="M1987" s="247">
        <v>39.200000000000003</v>
      </c>
      <c r="N1987" s="288" t="s">
        <v>722</v>
      </c>
    </row>
    <row r="1988" spans="1:1095" s="36" customFormat="1" ht="14.25" customHeight="1">
      <c r="A1988" s="3" t="s">
        <v>1722</v>
      </c>
      <c r="B1988" s="36" t="s">
        <v>2306</v>
      </c>
      <c r="C1988" s="10">
        <v>4099854069918</v>
      </c>
      <c r="D1988" s="224">
        <v>4058075619135</v>
      </c>
      <c r="E1988" s="245" t="s">
        <v>2307</v>
      </c>
      <c r="F1988" s="246"/>
      <c r="G1988" s="66" t="str">
        <f>HYPERLINK("https://ledvance.com/pt/product-datasheet/251463/238853","Ficha de Produto")</f>
        <v>Ficha de Produto</v>
      </c>
      <c r="H1988" s="217">
        <v>4</v>
      </c>
      <c r="I1988" s="34" t="s">
        <v>6368</v>
      </c>
      <c r="J1988" s="34" t="s">
        <v>821</v>
      </c>
      <c r="K1988" s="34" t="s">
        <v>788</v>
      </c>
      <c r="L1988" s="34" t="s">
        <v>6506</v>
      </c>
      <c r="M1988" s="247">
        <v>39.200000000000003</v>
      </c>
      <c r="N1988" s="288" t="s">
        <v>722</v>
      </c>
    </row>
    <row r="1989" spans="1:1095" s="39" customFormat="1" ht="14.25" customHeight="1">
      <c r="A1989" s="8" t="s">
        <v>1722</v>
      </c>
      <c r="B1989" s="244" t="s">
        <v>2308</v>
      </c>
      <c r="C1989" s="8"/>
      <c r="D1989" s="7"/>
      <c r="E1989" s="230"/>
      <c r="F1989" s="7"/>
      <c r="G1989" s="68"/>
      <c r="H1989" s="230"/>
      <c r="I1989" s="230"/>
      <c r="J1989" s="230"/>
      <c r="K1989" s="230"/>
      <c r="L1989" s="230"/>
      <c r="M1989" s="248"/>
      <c r="N1989" s="289"/>
      <c r="O1989" s="38"/>
      <c r="P1989" s="38"/>
      <c r="Q1989" s="38"/>
      <c r="R1989" s="38"/>
      <c r="S1989" s="38"/>
      <c r="T1989" s="38"/>
      <c r="U1989" s="38"/>
      <c r="V1989" s="38"/>
      <c r="W1989" s="38"/>
      <c r="X1989" s="38"/>
      <c r="Y1989" s="38"/>
      <c r="Z1989" s="38"/>
      <c r="AA1989" s="38"/>
      <c r="AB1989" s="38"/>
      <c r="AC1989" s="38"/>
      <c r="AD1989" s="38"/>
      <c r="AE1989" s="38"/>
      <c r="AF1989" s="38"/>
      <c r="AG1989" s="38"/>
      <c r="AH1989" s="38"/>
      <c r="AI1989" s="38"/>
      <c r="AJ1989" s="38"/>
      <c r="AK1989" s="38"/>
      <c r="AL1989" s="38"/>
      <c r="AM1989" s="38"/>
      <c r="AN1989" s="38"/>
      <c r="AO1989" s="38"/>
      <c r="AP1989" s="38"/>
      <c r="AQ1989" s="38"/>
      <c r="AR1989" s="38"/>
      <c r="AS1989" s="38"/>
      <c r="AT1989" s="38"/>
      <c r="AU1989" s="38"/>
      <c r="AV1989" s="38"/>
      <c r="AW1989" s="38"/>
      <c r="AX1989" s="38"/>
      <c r="AY1989" s="38"/>
      <c r="AZ1989" s="38"/>
      <c r="BA1989" s="38"/>
      <c r="BB1989" s="38"/>
      <c r="BC1989" s="38"/>
      <c r="BD1989" s="38"/>
      <c r="BE1989" s="38"/>
      <c r="BF1989" s="38"/>
      <c r="BG1989" s="38"/>
      <c r="BH1989" s="38"/>
      <c r="BI1989" s="38"/>
      <c r="BJ1989" s="38"/>
      <c r="BK1989" s="38"/>
      <c r="BL1989" s="38"/>
      <c r="BM1989" s="38"/>
      <c r="BN1989" s="38"/>
      <c r="BO1989" s="38"/>
      <c r="BP1989" s="38"/>
      <c r="BQ1989" s="38"/>
      <c r="BR1989" s="38"/>
      <c r="BS1989" s="38"/>
      <c r="BT1989" s="38"/>
      <c r="BU1989" s="38"/>
      <c r="BV1989" s="38"/>
      <c r="BW1989" s="38"/>
      <c r="BX1989" s="38"/>
      <c r="BY1989" s="38"/>
      <c r="BZ1989" s="38"/>
      <c r="CA1989" s="38"/>
      <c r="CB1989" s="38"/>
      <c r="CC1989" s="38"/>
      <c r="CD1989" s="38"/>
      <c r="CE1989" s="38"/>
      <c r="CF1989" s="38"/>
      <c r="CG1989" s="38"/>
      <c r="CH1989" s="38"/>
      <c r="CI1989" s="38"/>
      <c r="CJ1989" s="38"/>
      <c r="CK1989" s="38"/>
      <c r="CL1989" s="38"/>
      <c r="CM1989" s="38"/>
      <c r="CN1989" s="38"/>
      <c r="CO1989" s="38"/>
      <c r="CP1989" s="38"/>
      <c r="CQ1989" s="38"/>
      <c r="CR1989" s="38"/>
      <c r="CS1989" s="38"/>
      <c r="CT1989" s="38"/>
      <c r="CU1989" s="38"/>
      <c r="CV1989" s="38"/>
      <c r="CW1989" s="38"/>
      <c r="CX1989" s="38"/>
      <c r="CY1989" s="38"/>
      <c r="CZ1989" s="38"/>
      <c r="DA1989" s="38"/>
      <c r="DB1989" s="38"/>
      <c r="DC1989" s="38"/>
      <c r="DD1989" s="38"/>
      <c r="DE1989" s="38"/>
      <c r="DF1989" s="38"/>
      <c r="DG1989" s="38"/>
      <c r="DH1989" s="38"/>
      <c r="DI1989" s="38"/>
      <c r="DJ1989" s="38"/>
      <c r="DK1989" s="38"/>
      <c r="DL1989" s="38"/>
      <c r="DM1989" s="38"/>
      <c r="DN1989" s="38"/>
      <c r="DO1989" s="38"/>
      <c r="DP1989" s="38"/>
      <c r="DQ1989" s="38"/>
      <c r="DR1989" s="38"/>
      <c r="DS1989" s="38"/>
      <c r="DT1989" s="38"/>
      <c r="DU1989" s="38"/>
      <c r="DV1989" s="38"/>
      <c r="DW1989" s="38"/>
      <c r="DX1989" s="38"/>
      <c r="DY1989" s="38"/>
      <c r="DZ1989" s="38"/>
      <c r="EA1989" s="38"/>
      <c r="EB1989" s="38"/>
      <c r="EC1989" s="38"/>
      <c r="ED1989" s="38"/>
      <c r="EE1989" s="38"/>
      <c r="EF1989" s="38"/>
      <c r="EG1989" s="38"/>
      <c r="EH1989" s="38"/>
      <c r="EI1989" s="38"/>
      <c r="EJ1989" s="38"/>
      <c r="EK1989" s="38"/>
      <c r="EL1989" s="38"/>
      <c r="EM1989" s="38"/>
      <c r="EN1989" s="38"/>
      <c r="EO1989" s="38"/>
      <c r="EP1989" s="38"/>
      <c r="EQ1989" s="38"/>
      <c r="ER1989" s="38"/>
      <c r="ES1989" s="38"/>
      <c r="ET1989" s="38"/>
      <c r="EU1989" s="38"/>
      <c r="EV1989" s="38"/>
      <c r="EW1989" s="38"/>
      <c r="EX1989" s="38"/>
      <c r="EY1989" s="38"/>
      <c r="EZ1989" s="38"/>
      <c r="FA1989" s="38"/>
      <c r="FB1989" s="38"/>
      <c r="FC1989" s="38"/>
      <c r="FD1989" s="38"/>
      <c r="FE1989" s="38"/>
      <c r="FF1989" s="38"/>
      <c r="FG1989" s="38"/>
      <c r="FH1989" s="38"/>
      <c r="FI1989" s="38"/>
      <c r="FJ1989" s="38"/>
      <c r="FK1989" s="38"/>
      <c r="FL1989" s="38"/>
      <c r="FM1989" s="38"/>
      <c r="FN1989" s="38"/>
      <c r="FO1989" s="38"/>
      <c r="FP1989" s="38"/>
      <c r="FQ1989" s="38"/>
      <c r="FR1989" s="38"/>
      <c r="FS1989" s="38"/>
      <c r="FT1989" s="38"/>
      <c r="FU1989" s="38"/>
      <c r="FV1989" s="38"/>
      <c r="FW1989" s="38"/>
      <c r="FX1989" s="38"/>
      <c r="FY1989" s="38"/>
      <c r="FZ1989" s="38"/>
      <c r="GA1989" s="38"/>
      <c r="GB1989" s="38"/>
      <c r="GC1989" s="38"/>
      <c r="GD1989" s="38"/>
      <c r="GE1989" s="38"/>
      <c r="GF1989" s="38"/>
      <c r="GG1989" s="38"/>
      <c r="GH1989" s="38"/>
      <c r="GI1989" s="38"/>
      <c r="GJ1989" s="38"/>
      <c r="GK1989" s="38"/>
      <c r="GL1989" s="38"/>
      <c r="GM1989" s="38"/>
      <c r="GN1989" s="38"/>
      <c r="GO1989" s="38"/>
      <c r="GP1989" s="38"/>
      <c r="GQ1989" s="38"/>
      <c r="GR1989" s="38"/>
      <c r="GS1989" s="38"/>
      <c r="GT1989" s="38"/>
      <c r="GU1989" s="38"/>
      <c r="GV1989" s="38"/>
      <c r="GW1989" s="38"/>
      <c r="GX1989" s="38"/>
      <c r="GY1989" s="38"/>
      <c r="GZ1989" s="38"/>
      <c r="HA1989" s="38"/>
      <c r="HB1989" s="38"/>
      <c r="HC1989" s="38"/>
      <c r="HD1989" s="38"/>
      <c r="HE1989" s="38"/>
      <c r="HF1989" s="38"/>
      <c r="HG1989" s="38"/>
      <c r="HH1989" s="38"/>
      <c r="HI1989" s="38"/>
      <c r="HJ1989" s="38"/>
      <c r="HK1989" s="38"/>
      <c r="HL1989" s="38"/>
      <c r="HM1989" s="38"/>
      <c r="HN1989" s="38"/>
      <c r="HO1989" s="38"/>
      <c r="HP1989" s="38"/>
      <c r="HQ1989" s="38"/>
      <c r="HR1989" s="38"/>
      <c r="HS1989" s="38"/>
      <c r="HT1989" s="38"/>
      <c r="HU1989" s="38"/>
      <c r="HV1989" s="38"/>
      <c r="HW1989" s="38"/>
      <c r="HX1989" s="38"/>
      <c r="HY1989" s="38"/>
      <c r="HZ1989" s="38"/>
      <c r="IA1989" s="38"/>
      <c r="IB1989" s="38"/>
      <c r="IC1989" s="38"/>
      <c r="ID1989" s="38"/>
      <c r="IE1989" s="38"/>
      <c r="IF1989" s="38"/>
      <c r="IG1989" s="38"/>
      <c r="IH1989" s="38"/>
      <c r="II1989" s="38"/>
      <c r="IJ1989" s="38"/>
      <c r="IK1989" s="38"/>
      <c r="IL1989" s="38"/>
      <c r="IM1989" s="38"/>
      <c r="IN1989" s="38"/>
      <c r="IO1989" s="38"/>
      <c r="IP1989" s="38"/>
      <c r="IQ1989" s="38"/>
      <c r="IR1989" s="38"/>
      <c r="IS1989" s="38"/>
      <c r="IT1989" s="38"/>
      <c r="IU1989" s="38"/>
      <c r="IV1989" s="38"/>
      <c r="IW1989" s="38"/>
      <c r="IX1989" s="38"/>
      <c r="IY1989" s="38"/>
      <c r="IZ1989" s="38"/>
      <c r="JA1989" s="38"/>
      <c r="JB1989" s="38"/>
      <c r="JC1989" s="38"/>
      <c r="JD1989" s="38"/>
      <c r="JE1989" s="38"/>
      <c r="JF1989" s="38"/>
      <c r="JG1989" s="38"/>
      <c r="JH1989" s="38"/>
      <c r="JI1989" s="38"/>
      <c r="JJ1989" s="38"/>
      <c r="JK1989" s="38"/>
      <c r="JL1989" s="38"/>
      <c r="JM1989" s="38"/>
      <c r="JN1989" s="38"/>
      <c r="JO1989" s="38"/>
      <c r="JP1989" s="38"/>
      <c r="JQ1989" s="38"/>
      <c r="JR1989" s="38"/>
      <c r="JS1989" s="38"/>
      <c r="JT1989" s="38"/>
      <c r="JU1989" s="38"/>
      <c r="JV1989" s="38"/>
      <c r="JW1989" s="38"/>
      <c r="JX1989" s="38"/>
      <c r="JY1989" s="38"/>
      <c r="JZ1989" s="38"/>
      <c r="KA1989" s="38"/>
      <c r="KB1989" s="38"/>
      <c r="KC1989" s="38"/>
      <c r="KD1989" s="38"/>
      <c r="KE1989" s="38"/>
      <c r="KF1989" s="38"/>
      <c r="KG1989" s="38"/>
      <c r="KH1989" s="38"/>
      <c r="KI1989" s="38"/>
      <c r="KJ1989" s="38"/>
      <c r="KK1989" s="38"/>
      <c r="KL1989" s="38"/>
      <c r="KM1989" s="38"/>
      <c r="KN1989" s="38"/>
      <c r="KO1989" s="38"/>
      <c r="KP1989" s="38"/>
      <c r="KQ1989" s="38"/>
      <c r="KR1989" s="38"/>
      <c r="KS1989" s="38"/>
      <c r="KT1989" s="38"/>
      <c r="KU1989" s="38"/>
      <c r="KV1989" s="38"/>
      <c r="KW1989" s="38"/>
      <c r="KX1989" s="38"/>
      <c r="KY1989" s="38"/>
      <c r="KZ1989" s="38"/>
      <c r="LA1989" s="38"/>
      <c r="LB1989" s="38"/>
      <c r="LC1989" s="38"/>
      <c r="LD1989" s="38"/>
      <c r="LE1989" s="38"/>
      <c r="LF1989" s="38"/>
      <c r="LG1989" s="38"/>
      <c r="LH1989" s="38"/>
      <c r="LI1989" s="38"/>
      <c r="LJ1989" s="38"/>
      <c r="LK1989" s="38"/>
      <c r="LL1989" s="38"/>
      <c r="LM1989" s="38"/>
      <c r="LN1989" s="38"/>
      <c r="LO1989" s="38"/>
      <c r="LP1989" s="38"/>
      <c r="LQ1989" s="38"/>
      <c r="LR1989" s="38"/>
      <c r="LS1989" s="38"/>
      <c r="LT1989" s="38"/>
      <c r="LU1989" s="38"/>
      <c r="LV1989" s="38"/>
      <c r="LW1989" s="38"/>
      <c r="LX1989" s="38"/>
      <c r="LY1989" s="38"/>
      <c r="LZ1989" s="38"/>
      <c r="MA1989" s="38"/>
      <c r="MB1989" s="38"/>
      <c r="MC1989" s="38"/>
      <c r="MD1989" s="38"/>
      <c r="ME1989" s="38"/>
      <c r="MF1989" s="38"/>
      <c r="MG1989" s="38"/>
      <c r="MH1989" s="38"/>
      <c r="MI1989" s="38"/>
      <c r="MJ1989" s="38"/>
      <c r="MK1989" s="38"/>
      <c r="ML1989" s="38"/>
      <c r="MM1989" s="38"/>
      <c r="MN1989" s="38"/>
      <c r="MO1989" s="38"/>
      <c r="MP1989" s="38"/>
      <c r="MQ1989" s="38"/>
      <c r="MR1989" s="38"/>
      <c r="MS1989" s="38"/>
      <c r="MT1989" s="38"/>
      <c r="MU1989" s="38"/>
      <c r="MV1989" s="38"/>
      <c r="MW1989" s="38"/>
      <c r="MX1989" s="38"/>
      <c r="MY1989" s="38"/>
      <c r="MZ1989" s="38"/>
      <c r="NA1989" s="38"/>
      <c r="NB1989" s="38"/>
      <c r="NC1989" s="38"/>
      <c r="ND1989" s="38"/>
      <c r="NE1989" s="38"/>
      <c r="NF1989" s="38"/>
      <c r="NG1989" s="38"/>
      <c r="NH1989" s="38"/>
      <c r="NI1989" s="38"/>
      <c r="NJ1989" s="38"/>
      <c r="NK1989" s="38"/>
      <c r="NL1989" s="38"/>
      <c r="NM1989" s="38"/>
      <c r="NN1989" s="38"/>
      <c r="NO1989" s="38"/>
      <c r="NP1989" s="38"/>
      <c r="NQ1989" s="38"/>
      <c r="NR1989" s="38"/>
      <c r="NS1989" s="38"/>
      <c r="NT1989" s="38"/>
      <c r="NU1989" s="38"/>
      <c r="NV1989" s="38"/>
      <c r="NW1989" s="38"/>
      <c r="NX1989" s="38"/>
      <c r="NY1989" s="38"/>
      <c r="NZ1989" s="38"/>
      <c r="OA1989" s="38"/>
      <c r="OB1989" s="38"/>
      <c r="OC1989" s="38"/>
      <c r="OD1989" s="38"/>
      <c r="OE1989" s="38"/>
      <c r="OF1989" s="38"/>
      <c r="OG1989" s="38"/>
      <c r="OH1989" s="38"/>
      <c r="OI1989" s="38"/>
      <c r="OJ1989" s="38"/>
      <c r="OK1989" s="38"/>
      <c r="OL1989" s="38"/>
      <c r="OM1989" s="38"/>
      <c r="ON1989" s="38"/>
      <c r="OO1989" s="38"/>
      <c r="OP1989" s="38"/>
      <c r="OQ1989" s="38"/>
      <c r="OR1989" s="38"/>
      <c r="OS1989" s="38"/>
      <c r="OT1989" s="38"/>
      <c r="OU1989" s="38"/>
      <c r="OV1989" s="38"/>
      <c r="OW1989" s="38"/>
      <c r="OX1989" s="38"/>
      <c r="OY1989" s="38"/>
      <c r="OZ1989" s="38"/>
      <c r="PA1989" s="38"/>
      <c r="PB1989" s="38"/>
      <c r="PC1989" s="38"/>
      <c r="PD1989" s="38"/>
      <c r="PE1989" s="38"/>
      <c r="PF1989" s="38"/>
      <c r="PG1989" s="38"/>
      <c r="PH1989" s="38"/>
      <c r="PI1989" s="38"/>
      <c r="PJ1989" s="38"/>
      <c r="PK1989" s="38"/>
      <c r="PL1989" s="38"/>
      <c r="PM1989" s="38"/>
      <c r="PN1989" s="38"/>
      <c r="PO1989" s="38"/>
      <c r="PP1989" s="38"/>
      <c r="PQ1989" s="38"/>
      <c r="PR1989" s="38"/>
      <c r="PS1989" s="38"/>
      <c r="PT1989" s="38"/>
      <c r="PU1989" s="38"/>
      <c r="PV1989" s="38"/>
      <c r="PW1989" s="38"/>
      <c r="PX1989" s="38"/>
      <c r="PY1989" s="38"/>
      <c r="PZ1989" s="38"/>
      <c r="QA1989" s="38"/>
      <c r="QB1989" s="38"/>
      <c r="QC1989" s="38"/>
      <c r="QD1989" s="38"/>
      <c r="QE1989" s="38"/>
      <c r="QF1989" s="38"/>
      <c r="QG1989" s="38"/>
      <c r="QH1989" s="38"/>
      <c r="QI1989" s="38"/>
      <c r="QJ1989" s="38"/>
      <c r="QK1989" s="38"/>
      <c r="QL1989" s="38"/>
      <c r="QM1989" s="38"/>
      <c r="QN1989" s="38"/>
      <c r="QO1989" s="38"/>
      <c r="QP1989" s="38"/>
      <c r="QQ1989" s="38"/>
      <c r="QR1989" s="38"/>
      <c r="QS1989" s="38"/>
      <c r="QT1989" s="38"/>
      <c r="QU1989" s="38"/>
      <c r="QV1989" s="38"/>
      <c r="QW1989" s="38"/>
      <c r="QX1989" s="38"/>
      <c r="QY1989" s="38"/>
      <c r="QZ1989" s="38"/>
      <c r="RA1989" s="38"/>
      <c r="RB1989" s="38"/>
      <c r="RC1989" s="38"/>
      <c r="RD1989" s="38"/>
      <c r="RE1989" s="38"/>
      <c r="RF1989" s="38"/>
      <c r="RG1989" s="38"/>
      <c r="RH1989" s="38"/>
      <c r="RI1989" s="38"/>
      <c r="RJ1989" s="38"/>
      <c r="RK1989" s="38"/>
      <c r="RL1989" s="38"/>
      <c r="RM1989" s="38"/>
      <c r="RN1989" s="38"/>
      <c r="RO1989" s="38"/>
      <c r="RP1989" s="38"/>
      <c r="RQ1989" s="38"/>
      <c r="RR1989" s="38"/>
      <c r="RS1989" s="38"/>
      <c r="RT1989" s="38"/>
      <c r="RU1989" s="38"/>
      <c r="RV1989" s="38"/>
      <c r="RW1989" s="38"/>
      <c r="RX1989" s="38"/>
      <c r="RY1989" s="38"/>
      <c r="RZ1989" s="38"/>
      <c r="SA1989" s="38"/>
      <c r="SB1989" s="38"/>
      <c r="SC1989" s="38"/>
      <c r="SD1989" s="38"/>
      <c r="SE1989" s="38"/>
      <c r="SF1989" s="38"/>
      <c r="SG1989" s="38"/>
      <c r="SH1989" s="38"/>
      <c r="SI1989" s="38"/>
      <c r="SJ1989" s="38"/>
      <c r="SK1989" s="38"/>
      <c r="SL1989" s="38"/>
      <c r="SM1989" s="38"/>
      <c r="SN1989" s="38"/>
      <c r="SO1989" s="38"/>
      <c r="SP1989" s="38"/>
      <c r="SQ1989" s="38"/>
      <c r="SR1989" s="38"/>
      <c r="SS1989" s="38"/>
      <c r="ST1989" s="38"/>
      <c r="SU1989" s="38"/>
      <c r="SV1989" s="38"/>
      <c r="SW1989" s="38"/>
      <c r="SX1989" s="38"/>
      <c r="SY1989" s="38"/>
      <c r="SZ1989" s="38"/>
      <c r="TA1989" s="38"/>
      <c r="TB1989" s="38"/>
      <c r="TC1989" s="38"/>
      <c r="TD1989" s="38"/>
      <c r="TE1989" s="38"/>
      <c r="TF1989" s="38"/>
      <c r="TG1989" s="38"/>
      <c r="TH1989" s="38"/>
      <c r="TI1989" s="38"/>
      <c r="TJ1989" s="38"/>
      <c r="TK1989" s="38"/>
      <c r="TL1989" s="38"/>
      <c r="TM1989" s="38"/>
      <c r="TN1989" s="38"/>
      <c r="TO1989" s="38"/>
      <c r="TP1989" s="38"/>
      <c r="TQ1989" s="38"/>
      <c r="TR1989" s="38"/>
      <c r="TS1989" s="38"/>
      <c r="TT1989" s="38"/>
      <c r="TU1989" s="38"/>
      <c r="TV1989" s="38"/>
      <c r="TW1989" s="38"/>
      <c r="TX1989" s="38"/>
      <c r="TY1989" s="38"/>
      <c r="TZ1989" s="38"/>
      <c r="UA1989" s="38"/>
      <c r="UB1989" s="38"/>
      <c r="UC1989" s="38"/>
      <c r="UD1989" s="38"/>
      <c r="UE1989" s="38"/>
      <c r="UF1989" s="38"/>
      <c r="UG1989" s="38"/>
      <c r="UH1989" s="38"/>
      <c r="UI1989" s="38"/>
      <c r="UJ1989" s="38"/>
      <c r="UK1989" s="38"/>
      <c r="UL1989" s="38"/>
      <c r="UM1989" s="38"/>
      <c r="UN1989" s="38"/>
      <c r="UO1989" s="38"/>
      <c r="UP1989" s="38"/>
      <c r="UQ1989" s="38"/>
      <c r="UR1989" s="38"/>
      <c r="US1989" s="38"/>
      <c r="UT1989" s="38"/>
      <c r="UU1989" s="38"/>
      <c r="UV1989" s="38"/>
      <c r="UW1989" s="38"/>
      <c r="UX1989" s="38"/>
      <c r="UY1989" s="38"/>
      <c r="UZ1989" s="38"/>
      <c r="VA1989" s="38"/>
      <c r="VB1989" s="38"/>
      <c r="VC1989" s="38"/>
      <c r="VD1989" s="38"/>
      <c r="VE1989" s="38"/>
      <c r="VF1989" s="38"/>
      <c r="VG1989" s="38"/>
      <c r="VH1989" s="38"/>
      <c r="VI1989" s="38"/>
      <c r="VJ1989" s="38"/>
      <c r="VK1989" s="38"/>
      <c r="VL1989" s="38"/>
      <c r="VM1989" s="38"/>
      <c r="VN1989" s="38"/>
      <c r="VO1989" s="38"/>
      <c r="VP1989" s="38"/>
      <c r="VQ1989" s="38"/>
      <c r="VR1989" s="38"/>
      <c r="VS1989" s="38"/>
      <c r="VT1989" s="38"/>
      <c r="VU1989" s="38"/>
      <c r="VV1989" s="38"/>
      <c r="VW1989" s="38"/>
      <c r="VX1989" s="38"/>
      <c r="VY1989" s="38"/>
      <c r="VZ1989" s="38"/>
      <c r="WA1989" s="38"/>
      <c r="WB1989" s="38"/>
      <c r="WC1989" s="38"/>
      <c r="WD1989" s="38"/>
      <c r="WE1989" s="38"/>
      <c r="WF1989" s="38"/>
      <c r="WG1989" s="38"/>
      <c r="WH1989" s="38"/>
      <c r="WI1989" s="38"/>
      <c r="WJ1989" s="38"/>
      <c r="WK1989" s="38"/>
      <c r="WL1989" s="38"/>
      <c r="WM1989" s="38"/>
      <c r="WN1989" s="38"/>
      <c r="WO1989" s="38"/>
      <c r="WP1989" s="38"/>
      <c r="WQ1989" s="38"/>
      <c r="WR1989" s="38"/>
      <c r="WS1989" s="38"/>
      <c r="WT1989" s="38"/>
      <c r="WU1989" s="38"/>
      <c r="WV1989" s="38"/>
      <c r="WW1989" s="38"/>
      <c r="WX1989" s="38"/>
      <c r="WY1989" s="38"/>
      <c r="WZ1989" s="38"/>
      <c r="XA1989" s="38"/>
      <c r="XB1989" s="38"/>
      <c r="XC1989" s="38"/>
      <c r="XD1989" s="38"/>
      <c r="XE1989" s="38"/>
      <c r="XF1989" s="38"/>
      <c r="XG1989" s="38"/>
      <c r="XH1989" s="38"/>
      <c r="XI1989" s="38"/>
      <c r="XJ1989" s="38"/>
      <c r="XK1989" s="38"/>
      <c r="XL1989" s="38"/>
      <c r="XM1989" s="38"/>
      <c r="XN1989" s="38"/>
      <c r="XO1989" s="38"/>
      <c r="XP1989" s="38"/>
      <c r="XQ1989" s="38"/>
      <c r="XR1989" s="38"/>
      <c r="XS1989" s="38"/>
      <c r="XT1989" s="38"/>
      <c r="XU1989" s="38"/>
      <c r="XV1989" s="38"/>
      <c r="XW1989" s="38"/>
      <c r="XX1989" s="38"/>
      <c r="XY1989" s="38"/>
      <c r="XZ1989" s="38"/>
      <c r="YA1989" s="38"/>
      <c r="YB1989" s="38"/>
      <c r="YC1989" s="38"/>
      <c r="YD1989" s="38"/>
      <c r="YE1989" s="38"/>
      <c r="YF1989" s="38"/>
      <c r="YG1989" s="38"/>
      <c r="YH1989" s="38"/>
      <c r="YI1989" s="38"/>
      <c r="YJ1989" s="38"/>
      <c r="YK1989" s="38"/>
      <c r="YL1989" s="38"/>
      <c r="YM1989" s="38"/>
      <c r="YN1989" s="38"/>
      <c r="YO1989" s="38"/>
      <c r="YP1989" s="38"/>
      <c r="YQ1989" s="38"/>
      <c r="YR1989" s="38"/>
      <c r="YS1989" s="38"/>
      <c r="YT1989" s="38"/>
      <c r="YU1989" s="38"/>
      <c r="YV1989" s="38"/>
      <c r="YW1989" s="38"/>
      <c r="YX1989" s="38"/>
      <c r="YY1989" s="38"/>
      <c r="YZ1989" s="38"/>
      <c r="ZA1989" s="38"/>
      <c r="ZB1989" s="38"/>
      <c r="ZC1989" s="38"/>
      <c r="ZD1989" s="38"/>
      <c r="ZE1989" s="38"/>
      <c r="ZF1989" s="38"/>
      <c r="ZG1989" s="38"/>
      <c r="ZH1989" s="38"/>
      <c r="ZI1989" s="38"/>
      <c r="ZJ1989" s="38"/>
      <c r="ZK1989" s="38"/>
      <c r="ZL1989" s="38"/>
      <c r="ZM1989" s="38"/>
      <c r="ZN1989" s="38"/>
      <c r="ZO1989" s="38"/>
      <c r="ZP1989" s="38"/>
      <c r="ZQ1989" s="38"/>
      <c r="ZR1989" s="38"/>
      <c r="ZS1989" s="38"/>
      <c r="ZT1989" s="38"/>
      <c r="ZU1989" s="38"/>
      <c r="ZV1989" s="38"/>
      <c r="ZW1989" s="38"/>
      <c r="ZX1989" s="38"/>
      <c r="ZY1989" s="38"/>
      <c r="ZZ1989" s="38"/>
      <c r="AAA1989" s="38"/>
      <c r="AAB1989" s="38"/>
      <c r="AAC1989" s="38"/>
      <c r="AAD1989" s="38"/>
      <c r="AAE1989" s="38"/>
      <c r="AAF1989" s="38"/>
      <c r="AAG1989" s="38"/>
      <c r="AAH1989" s="38"/>
      <c r="AAI1989" s="38"/>
      <c r="AAJ1989" s="38"/>
      <c r="AAK1989" s="38"/>
      <c r="AAL1989" s="38"/>
      <c r="AAM1989" s="38"/>
      <c r="AAN1989" s="38"/>
      <c r="AAO1989" s="38"/>
      <c r="AAP1989" s="38"/>
      <c r="AAQ1989" s="38"/>
      <c r="AAR1989" s="38"/>
      <c r="AAS1989" s="38"/>
      <c r="AAT1989" s="38"/>
      <c r="AAU1989" s="38"/>
      <c r="AAV1989" s="38"/>
      <c r="AAW1989" s="38"/>
      <c r="AAX1989" s="38"/>
      <c r="AAY1989" s="38"/>
      <c r="AAZ1989" s="38"/>
      <c r="ABA1989" s="38"/>
      <c r="ABB1989" s="38"/>
      <c r="ABC1989" s="38"/>
      <c r="ABD1989" s="38"/>
      <c r="ABE1989" s="38"/>
      <c r="ABF1989" s="38"/>
      <c r="ABG1989" s="38"/>
      <c r="ABH1989" s="38"/>
      <c r="ABI1989" s="38"/>
      <c r="ABJ1989" s="38"/>
      <c r="ABK1989" s="38"/>
      <c r="ABL1989" s="38"/>
      <c r="ABM1989" s="38"/>
      <c r="ABN1989" s="38"/>
      <c r="ABO1989" s="38"/>
      <c r="ABP1989" s="38"/>
      <c r="ABQ1989" s="38"/>
      <c r="ABR1989" s="38"/>
      <c r="ABS1989" s="38"/>
      <c r="ABT1989" s="38"/>
      <c r="ABU1989" s="38"/>
      <c r="ABV1989" s="38"/>
      <c r="ABW1989" s="38"/>
      <c r="ABX1989" s="38"/>
      <c r="ABY1989" s="38"/>
      <c r="ABZ1989" s="38"/>
      <c r="ACA1989" s="38"/>
      <c r="ACB1989" s="38"/>
      <c r="ACC1989" s="38"/>
      <c r="ACD1989" s="38"/>
      <c r="ACE1989" s="38"/>
      <c r="ACF1989" s="38"/>
      <c r="ACG1989" s="38"/>
      <c r="ACH1989" s="38"/>
      <c r="ACI1989" s="38"/>
      <c r="ACJ1989" s="38"/>
      <c r="ACK1989" s="38"/>
      <c r="ACL1989" s="38"/>
      <c r="ACM1989" s="38"/>
      <c r="ACN1989" s="38"/>
      <c r="ACO1989" s="38"/>
      <c r="ACP1989" s="38"/>
      <c r="ACQ1989" s="38"/>
      <c r="ACR1989" s="38"/>
      <c r="ACS1989" s="38"/>
      <c r="ACT1989" s="38"/>
      <c r="ACU1989" s="38"/>
      <c r="ACV1989" s="38"/>
      <c r="ACW1989" s="38"/>
      <c r="ACX1989" s="38"/>
      <c r="ACY1989" s="38"/>
      <c r="ACZ1989" s="38"/>
      <c r="ADA1989" s="38"/>
      <c r="ADB1989" s="38"/>
      <c r="ADC1989" s="38"/>
      <c r="ADD1989" s="38"/>
      <c r="ADE1989" s="38"/>
      <c r="ADF1989" s="38"/>
      <c r="ADG1989" s="38"/>
      <c r="ADH1989" s="38"/>
      <c r="ADI1989" s="38"/>
      <c r="ADJ1989" s="38"/>
      <c r="ADK1989" s="38"/>
      <c r="ADL1989" s="38"/>
      <c r="ADM1989" s="38"/>
      <c r="ADN1989" s="38"/>
      <c r="ADO1989" s="38"/>
      <c r="ADP1989" s="38"/>
      <c r="ADQ1989" s="38"/>
      <c r="ADR1989" s="38"/>
      <c r="ADS1989" s="38"/>
      <c r="ADT1989" s="38"/>
      <c r="ADU1989" s="38"/>
      <c r="ADV1989" s="38"/>
      <c r="ADW1989" s="38"/>
      <c r="ADX1989" s="38"/>
      <c r="ADY1989" s="38"/>
      <c r="ADZ1989" s="38"/>
      <c r="AEA1989" s="38"/>
      <c r="AEB1989" s="38"/>
      <c r="AEC1989" s="38"/>
      <c r="AED1989" s="38"/>
      <c r="AEE1989" s="38"/>
      <c r="AEF1989" s="38"/>
      <c r="AEG1989" s="38"/>
      <c r="AEH1989" s="38"/>
      <c r="AEI1989" s="38"/>
      <c r="AEJ1989" s="38"/>
      <c r="AEK1989" s="38"/>
      <c r="AEL1989" s="38"/>
      <c r="AEM1989" s="38"/>
      <c r="AEN1989" s="38"/>
      <c r="AEO1989" s="38"/>
      <c r="AEP1989" s="38"/>
      <c r="AEQ1989" s="38"/>
      <c r="AER1989" s="38"/>
      <c r="AES1989" s="38"/>
      <c r="AET1989" s="38"/>
      <c r="AEU1989" s="38"/>
      <c r="AEV1989" s="38"/>
      <c r="AEW1989" s="38"/>
      <c r="AEX1989" s="38"/>
      <c r="AEY1989" s="38"/>
      <c r="AEZ1989" s="38"/>
      <c r="AFA1989" s="38"/>
      <c r="AFB1989" s="38"/>
      <c r="AFC1989" s="38"/>
      <c r="AFD1989" s="38"/>
      <c r="AFE1989" s="38"/>
      <c r="AFF1989" s="38"/>
      <c r="AFG1989" s="38"/>
      <c r="AFH1989" s="38"/>
      <c r="AFI1989" s="38"/>
      <c r="AFJ1989" s="38"/>
      <c r="AFK1989" s="38"/>
      <c r="AFL1989" s="38"/>
      <c r="AFM1989" s="38"/>
      <c r="AFN1989" s="38"/>
      <c r="AFO1989" s="38"/>
      <c r="AFP1989" s="38"/>
      <c r="AFQ1989" s="38"/>
      <c r="AFR1989" s="38"/>
      <c r="AFS1989" s="38"/>
      <c r="AFT1989" s="38"/>
      <c r="AFU1989" s="38"/>
      <c r="AFV1989" s="38"/>
      <c r="AFW1989" s="38"/>
      <c r="AFX1989" s="38"/>
      <c r="AFY1989" s="38"/>
      <c r="AFZ1989" s="38"/>
      <c r="AGA1989" s="38"/>
      <c r="AGB1989" s="38"/>
      <c r="AGC1989" s="38"/>
      <c r="AGD1989" s="38"/>
      <c r="AGE1989" s="38"/>
      <c r="AGF1989" s="38"/>
      <c r="AGG1989" s="38"/>
      <c r="AGH1989" s="38"/>
      <c r="AGI1989" s="38"/>
      <c r="AGJ1989" s="38"/>
      <c r="AGK1989" s="38"/>
      <c r="AGL1989" s="38"/>
      <c r="AGM1989" s="38"/>
      <c r="AGN1989" s="38"/>
      <c r="AGO1989" s="38"/>
      <c r="AGP1989" s="38"/>
      <c r="AGQ1989" s="38"/>
      <c r="AGR1989" s="38"/>
      <c r="AGS1989" s="38"/>
      <c r="AGT1989" s="38"/>
      <c r="AGU1989" s="38"/>
      <c r="AGV1989" s="38"/>
      <c r="AGW1989" s="38"/>
      <c r="AGX1989" s="38"/>
      <c r="AGY1989" s="38"/>
      <c r="AGZ1989" s="38"/>
      <c r="AHA1989" s="38"/>
      <c r="AHB1989" s="38"/>
      <c r="AHC1989" s="38"/>
      <c r="AHD1989" s="38"/>
      <c r="AHE1989" s="38"/>
      <c r="AHF1989" s="38"/>
      <c r="AHG1989" s="38"/>
      <c r="AHH1989" s="38"/>
      <c r="AHI1989" s="38"/>
      <c r="AHJ1989" s="38"/>
      <c r="AHK1989" s="38"/>
      <c r="AHL1989" s="38"/>
      <c r="AHM1989" s="38"/>
      <c r="AHN1989" s="38"/>
      <c r="AHO1989" s="38"/>
      <c r="AHP1989" s="38"/>
      <c r="AHQ1989" s="38"/>
      <c r="AHR1989" s="38"/>
      <c r="AHS1989" s="38"/>
      <c r="AHT1989" s="38"/>
      <c r="AHU1989" s="38"/>
      <c r="AHV1989" s="38"/>
      <c r="AHW1989" s="38"/>
      <c r="AHX1989" s="38"/>
      <c r="AHY1989" s="38"/>
      <c r="AHZ1989" s="38"/>
      <c r="AIA1989" s="38"/>
      <c r="AIB1989" s="38"/>
      <c r="AIC1989" s="38"/>
      <c r="AID1989" s="38"/>
      <c r="AIE1989" s="38"/>
      <c r="AIF1989" s="38"/>
      <c r="AIG1989" s="38"/>
      <c r="AIH1989" s="38"/>
      <c r="AII1989" s="38"/>
      <c r="AIJ1989" s="38"/>
      <c r="AIK1989" s="38"/>
      <c r="AIL1989" s="38"/>
      <c r="AIM1989" s="38"/>
      <c r="AIN1989" s="38"/>
      <c r="AIO1989" s="38"/>
      <c r="AIP1989" s="38"/>
      <c r="AIQ1989" s="38"/>
      <c r="AIR1989" s="38"/>
      <c r="AIS1989" s="38"/>
      <c r="AIT1989" s="38"/>
      <c r="AIU1989" s="38"/>
      <c r="AIV1989" s="38"/>
      <c r="AIW1989" s="38"/>
      <c r="AIX1989" s="38"/>
      <c r="AIY1989" s="38"/>
      <c r="AIZ1989" s="38"/>
      <c r="AJA1989" s="38"/>
      <c r="AJB1989" s="38"/>
      <c r="AJC1989" s="38"/>
      <c r="AJD1989" s="38"/>
      <c r="AJE1989" s="38"/>
      <c r="AJF1989" s="38"/>
      <c r="AJG1989" s="38"/>
      <c r="AJH1989" s="38"/>
      <c r="AJI1989" s="38"/>
      <c r="AJJ1989" s="38"/>
      <c r="AJK1989" s="38"/>
      <c r="AJL1989" s="38"/>
      <c r="AJM1989" s="38"/>
      <c r="AJN1989" s="38"/>
      <c r="AJO1989" s="38"/>
      <c r="AJP1989" s="38"/>
      <c r="AJQ1989" s="38"/>
      <c r="AJR1989" s="38"/>
      <c r="AJS1989" s="38"/>
      <c r="AJT1989" s="38"/>
      <c r="AJU1989" s="38"/>
      <c r="AJV1989" s="38"/>
      <c r="AJW1989" s="38"/>
      <c r="AJX1989" s="38"/>
      <c r="AJY1989" s="38"/>
      <c r="AJZ1989" s="38"/>
      <c r="AKA1989" s="38"/>
      <c r="AKB1989" s="38"/>
      <c r="AKC1989" s="38"/>
      <c r="AKD1989" s="38"/>
      <c r="AKE1989" s="38"/>
      <c r="AKF1989" s="38"/>
      <c r="AKG1989" s="38"/>
      <c r="AKH1989" s="38"/>
      <c r="AKI1989" s="38"/>
      <c r="AKJ1989" s="38"/>
      <c r="AKK1989" s="38"/>
      <c r="AKL1989" s="38"/>
      <c r="AKM1989" s="38"/>
      <c r="AKN1989" s="38"/>
      <c r="AKO1989" s="38"/>
      <c r="AKP1989" s="38"/>
      <c r="AKQ1989" s="38"/>
      <c r="AKR1989" s="38"/>
      <c r="AKS1989" s="38"/>
      <c r="AKT1989" s="38"/>
      <c r="AKU1989" s="38"/>
      <c r="AKV1989" s="38"/>
      <c r="AKW1989" s="38"/>
      <c r="AKX1989" s="38"/>
      <c r="AKY1989" s="38"/>
      <c r="AKZ1989" s="38"/>
      <c r="ALA1989" s="38"/>
      <c r="ALB1989" s="38"/>
      <c r="ALC1989" s="38"/>
      <c r="ALD1989" s="38"/>
      <c r="ALE1989" s="38"/>
      <c r="ALF1989" s="38"/>
      <c r="ALG1989" s="38"/>
      <c r="ALH1989" s="38"/>
      <c r="ALI1989" s="38"/>
      <c r="ALJ1989" s="38"/>
      <c r="ALK1989" s="38"/>
      <c r="ALL1989" s="38"/>
      <c r="ALM1989" s="38"/>
      <c r="ALN1989" s="38"/>
      <c r="ALO1989" s="38"/>
      <c r="ALP1989" s="38"/>
      <c r="ALQ1989" s="38"/>
      <c r="ALR1989" s="38"/>
      <c r="ALS1989" s="38"/>
      <c r="ALT1989" s="38"/>
      <c r="ALU1989" s="38"/>
      <c r="ALV1989" s="38"/>
      <c r="ALW1989" s="38"/>
      <c r="ALX1989" s="38"/>
      <c r="ALY1989" s="38"/>
      <c r="ALZ1989" s="38"/>
      <c r="AMA1989" s="38"/>
      <c r="AMB1989" s="38"/>
      <c r="AMC1989" s="38"/>
      <c r="AMD1989" s="38"/>
      <c r="AME1989" s="38"/>
      <c r="AMF1989" s="38"/>
      <c r="AMG1989" s="38"/>
      <c r="AMH1989" s="38"/>
      <c r="AMI1989" s="38"/>
      <c r="AMJ1989" s="38"/>
      <c r="AMK1989" s="38"/>
      <c r="AML1989" s="38"/>
      <c r="AMM1989" s="38"/>
      <c r="AMN1989" s="38"/>
      <c r="AMO1989" s="38"/>
      <c r="AMP1989" s="38"/>
      <c r="AMQ1989" s="38"/>
      <c r="AMR1989" s="38"/>
      <c r="AMS1989" s="38"/>
      <c r="AMT1989" s="38"/>
      <c r="AMU1989" s="38"/>
      <c r="AMV1989" s="38"/>
      <c r="AMW1989" s="38"/>
      <c r="AMX1989" s="38"/>
      <c r="AMY1989" s="38"/>
      <c r="AMZ1989" s="38"/>
      <c r="ANA1989" s="38"/>
      <c r="ANB1989" s="38"/>
      <c r="ANC1989" s="38"/>
      <c r="AND1989" s="38"/>
      <c r="ANE1989" s="38"/>
      <c r="ANF1989" s="38"/>
      <c r="ANG1989" s="38"/>
      <c r="ANH1989" s="38"/>
      <c r="ANI1989" s="38"/>
      <c r="ANJ1989" s="38"/>
      <c r="ANK1989" s="38"/>
      <c r="ANL1989" s="38"/>
      <c r="ANM1989" s="38"/>
      <c r="ANN1989" s="38"/>
      <c r="ANO1989" s="38"/>
      <c r="ANP1989" s="38"/>
      <c r="ANQ1989" s="38"/>
      <c r="ANR1989" s="38"/>
      <c r="ANS1989" s="38"/>
      <c r="ANT1989" s="38"/>
      <c r="ANU1989" s="38"/>
      <c r="ANV1989" s="38"/>
      <c r="ANW1989" s="38"/>
      <c r="ANX1989" s="38"/>
      <c r="ANY1989" s="38"/>
      <c r="ANZ1989" s="38"/>
      <c r="AOA1989" s="38"/>
      <c r="AOB1989" s="38"/>
      <c r="AOC1989" s="38"/>
      <c r="AOD1989" s="38"/>
      <c r="AOE1989" s="38"/>
      <c r="AOF1989" s="38"/>
      <c r="AOG1989" s="38"/>
      <c r="AOH1989" s="38"/>
      <c r="AOI1989" s="38"/>
      <c r="AOJ1989" s="38"/>
      <c r="AOK1989" s="38"/>
      <c r="AOL1989" s="38"/>
      <c r="AOM1989" s="38"/>
      <c r="AON1989" s="38"/>
      <c r="AOO1989" s="38"/>
      <c r="AOP1989" s="38"/>
      <c r="AOQ1989" s="38"/>
      <c r="AOR1989" s="38"/>
      <c r="AOS1989" s="38"/>
      <c r="AOT1989" s="38"/>
      <c r="AOU1989" s="38"/>
      <c r="AOV1989" s="38"/>
      <c r="AOW1989" s="38"/>
      <c r="AOX1989" s="38"/>
      <c r="AOY1989" s="38"/>
      <c r="AOZ1989" s="38"/>
      <c r="APA1989" s="38"/>
      <c r="APB1989" s="38"/>
      <c r="APC1989" s="38"/>
    </row>
    <row r="1990" spans="1:1095" s="36" customFormat="1" ht="14.25" customHeight="1">
      <c r="A1990" s="3" t="s">
        <v>1722</v>
      </c>
      <c r="B1990" s="36" t="s">
        <v>2309</v>
      </c>
      <c r="C1990" s="10">
        <v>4099854067532</v>
      </c>
      <c r="D1990" s="224">
        <v>4058075591219</v>
      </c>
      <c r="E1990" s="245" t="s">
        <v>2310</v>
      </c>
      <c r="F1990" s="246"/>
      <c r="G1990" s="66" t="str">
        <f>HYPERLINK("https://ledvance.com/pt/product-datasheet/251437/238308","Ficha de Produto")</f>
        <v>Ficha de Produto</v>
      </c>
      <c r="H1990" s="217">
        <v>10</v>
      </c>
      <c r="I1990" s="34" t="s">
        <v>6354</v>
      </c>
      <c r="J1990" s="34" t="s">
        <v>6365</v>
      </c>
      <c r="K1990" s="34" t="s">
        <v>788</v>
      </c>
      <c r="L1990" s="34" t="s">
        <v>765</v>
      </c>
      <c r="M1990" s="247">
        <v>8.5</v>
      </c>
      <c r="N1990" s="288" t="s">
        <v>722</v>
      </c>
    </row>
    <row r="1991" spans="1:1095" s="36" customFormat="1" ht="14.25" customHeight="1">
      <c r="A1991" s="3" t="s">
        <v>1722</v>
      </c>
      <c r="B1991" s="36" t="s">
        <v>2311</v>
      </c>
      <c r="C1991" s="10">
        <v>4099854067495</v>
      </c>
      <c r="D1991" s="224">
        <v>4058075590670</v>
      </c>
      <c r="E1991" s="245" t="s">
        <v>2312</v>
      </c>
      <c r="F1991" s="246"/>
      <c r="G1991" s="66" t="str">
        <f>HYPERLINK("https://ledvance.com/pt/product-datasheet/251437/238320","Ficha de Produto")</f>
        <v>Ficha de Produto</v>
      </c>
      <c r="H1991" s="217">
        <v>10</v>
      </c>
      <c r="I1991" s="34" t="s">
        <v>6354</v>
      </c>
      <c r="J1991" s="34" t="s">
        <v>6365</v>
      </c>
      <c r="K1991" s="34" t="s">
        <v>788</v>
      </c>
      <c r="L1991" s="34" t="s">
        <v>765</v>
      </c>
      <c r="M1991" s="247">
        <v>8.5</v>
      </c>
      <c r="N1991" s="288" t="s">
        <v>722</v>
      </c>
    </row>
    <row r="1992" spans="1:1095" s="39" customFormat="1" ht="14.25" customHeight="1">
      <c r="A1992" s="8" t="s">
        <v>1722</v>
      </c>
      <c r="B1992" s="244" t="s">
        <v>2313</v>
      </c>
      <c r="C1992" s="8"/>
      <c r="D1992" s="7"/>
      <c r="E1992" s="230"/>
      <c r="F1992" s="7"/>
      <c r="G1992" s="68"/>
      <c r="H1992" s="230"/>
      <c r="I1992" s="230"/>
      <c r="J1992" s="230"/>
      <c r="K1992" s="230"/>
      <c r="L1992" s="230"/>
      <c r="M1992" s="248"/>
      <c r="N1992" s="284"/>
      <c r="O1992" s="38"/>
      <c r="P1992" s="38"/>
      <c r="Q1992" s="38"/>
      <c r="R1992" s="38"/>
      <c r="S1992" s="38"/>
      <c r="T1992" s="38"/>
      <c r="U1992" s="38"/>
      <c r="V1992" s="38"/>
      <c r="W1992" s="38"/>
      <c r="X1992" s="38"/>
      <c r="Y1992" s="38"/>
      <c r="Z1992" s="38"/>
      <c r="AA1992" s="38"/>
      <c r="AB1992" s="38"/>
      <c r="AC1992" s="38"/>
      <c r="AD1992" s="38"/>
      <c r="AE1992" s="38"/>
      <c r="AF1992" s="38"/>
      <c r="AG1992" s="38"/>
      <c r="AH1992" s="38"/>
      <c r="AI1992" s="38"/>
      <c r="AJ1992" s="38"/>
      <c r="AK1992" s="38"/>
      <c r="AL1992" s="38"/>
      <c r="AM1992" s="38"/>
      <c r="AN1992" s="38"/>
      <c r="AO1992" s="38"/>
      <c r="AP1992" s="38"/>
      <c r="AQ1992" s="38"/>
      <c r="AR1992" s="38"/>
      <c r="AS1992" s="38"/>
      <c r="AT1992" s="38"/>
      <c r="AU1992" s="38"/>
      <c r="AV1992" s="38"/>
      <c r="AW1992" s="38"/>
      <c r="AX1992" s="38"/>
      <c r="AY1992" s="38"/>
      <c r="AZ1992" s="38"/>
      <c r="BA1992" s="38"/>
      <c r="BB1992" s="38"/>
      <c r="BC1992" s="38"/>
      <c r="BD1992" s="38"/>
      <c r="BE1992" s="38"/>
      <c r="BF1992" s="38"/>
      <c r="BG1992" s="38"/>
      <c r="BH1992" s="38"/>
      <c r="BI1992" s="38"/>
      <c r="BJ1992" s="38"/>
      <c r="BK1992" s="38"/>
      <c r="BL1992" s="38"/>
      <c r="BM1992" s="38"/>
      <c r="BN1992" s="38"/>
      <c r="BO1992" s="38"/>
      <c r="BP1992" s="38"/>
      <c r="BQ1992" s="38"/>
      <c r="BR1992" s="38"/>
      <c r="BS1992" s="38"/>
      <c r="BT1992" s="38"/>
      <c r="BU1992" s="38"/>
      <c r="BV1992" s="38"/>
      <c r="BW1992" s="38"/>
      <c r="BX1992" s="38"/>
      <c r="BY1992" s="38"/>
      <c r="BZ1992" s="38"/>
      <c r="CA1992" s="38"/>
      <c r="CB1992" s="38"/>
      <c r="CC1992" s="38"/>
      <c r="CD1992" s="38"/>
      <c r="CE1992" s="38"/>
      <c r="CF1992" s="38"/>
      <c r="CG1992" s="38"/>
      <c r="CH1992" s="38"/>
      <c r="CI1992" s="38"/>
      <c r="CJ1992" s="38"/>
      <c r="CK1992" s="38"/>
      <c r="CL1992" s="38"/>
      <c r="CM1992" s="38"/>
      <c r="CN1992" s="38"/>
      <c r="CO1992" s="38"/>
      <c r="CP1992" s="38"/>
      <c r="CQ1992" s="38"/>
      <c r="CR1992" s="38"/>
      <c r="CS1992" s="38"/>
      <c r="CT1992" s="38"/>
      <c r="CU1992" s="38"/>
      <c r="CV1992" s="38"/>
      <c r="CW1992" s="38"/>
      <c r="CX1992" s="38"/>
      <c r="CY1992" s="38"/>
      <c r="CZ1992" s="38"/>
      <c r="DA1992" s="38"/>
      <c r="DB1992" s="38"/>
      <c r="DC1992" s="38"/>
      <c r="DD1992" s="38"/>
      <c r="DE1992" s="38"/>
      <c r="DF1992" s="38"/>
      <c r="DG1992" s="38"/>
      <c r="DH1992" s="38"/>
      <c r="DI1992" s="38"/>
      <c r="DJ1992" s="38"/>
      <c r="DK1992" s="38"/>
      <c r="DL1992" s="38"/>
      <c r="DM1992" s="38"/>
      <c r="DN1992" s="38"/>
      <c r="DO1992" s="38"/>
      <c r="DP1992" s="38"/>
      <c r="DQ1992" s="38"/>
      <c r="DR1992" s="38"/>
      <c r="DS1992" s="38"/>
      <c r="DT1992" s="38"/>
      <c r="DU1992" s="38"/>
      <c r="DV1992" s="38"/>
      <c r="DW1992" s="38"/>
      <c r="DX1992" s="38"/>
      <c r="DY1992" s="38"/>
      <c r="DZ1992" s="38"/>
      <c r="EA1992" s="38"/>
      <c r="EB1992" s="38"/>
      <c r="EC1992" s="38"/>
      <c r="ED1992" s="38"/>
      <c r="EE1992" s="38"/>
      <c r="EF1992" s="38"/>
      <c r="EG1992" s="38"/>
      <c r="EH1992" s="38"/>
      <c r="EI1992" s="38"/>
      <c r="EJ1992" s="38"/>
      <c r="EK1992" s="38"/>
      <c r="EL1992" s="38"/>
      <c r="EM1992" s="38"/>
      <c r="EN1992" s="38"/>
      <c r="EO1992" s="38"/>
      <c r="EP1992" s="38"/>
      <c r="EQ1992" s="38"/>
      <c r="ER1992" s="38"/>
      <c r="ES1992" s="38"/>
      <c r="ET1992" s="38"/>
      <c r="EU1992" s="38"/>
      <c r="EV1992" s="38"/>
      <c r="EW1992" s="38"/>
      <c r="EX1992" s="38"/>
      <c r="EY1992" s="38"/>
      <c r="EZ1992" s="38"/>
      <c r="FA1992" s="38"/>
      <c r="FB1992" s="38"/>
      <c r="FC1992" s="38"/>
      <c r="FD1992" s="38"/>
      <c r="FE1992" s="38"/>
      <c r="FF1992" s="38"/>
      <c r="FG1992" s="38"/>
      <c r="FH1992" s="38"/>
      <c r="FI1992" s="38"/>
      <c r="FJ1992" s="38"/>
      <c r="FK1992" s="38"/>
      <c r="FL1992" s="38"/>
      <c r="FM1992" s="38"/>
      <c r="FN1992" s="38"/>
      <c r="FO1992" s="38"/>
      <c r="FP1992" s="38"/>
      <c r="FQ1992" s="38"/>
      <c r="FR1992" s="38"/>
      <c r="FS1992" s="38"/>
      <c r="FT1992" s="38"/>
      <c r="FU1992" s="38"/>
      <c r="FV1992" s="38"/>
      <c r="FW1992" s="38"/>
      <c r="FX1992" s="38"/>
      <c r="FY1992" s="38"/>
      <c r="FZ1992" s="38"/>
      <c r="GA1992" s="38"/>
      <c r="GB1992" s="38"/>
      <c r="GC1992" s="38"/>
      <c r="GD1992" s="38"/>
      <c r="GE1992" s="38"/>
      <c r="GF1992" s="38"/>
      <c r="GG1992" s="38"/>
      <c r="GH1992" s="38"/>
      <c r="GI1992" s="38"/>
      <c r="GJ1992" s="38"/>
      <c r="GK1992" s="38"/>
      <c r="GL1992" s="38"/>
      <c r="GM1992" s="38"/>
      <c r="GN1992" s="38"/>
      <c r="GO1992" s="38"/>
      <c r="GP1992" s="38"/>
      <c r="GQ1992" s="38"/>
      <c r="GR1992" s="38"/>
      <c r="GS1992" s="38"/>
      <c r="GT1992" s="38"/>
      <c r="GU1992" s="38"/>
      <c r="GV1992" s="38"/>
      <c r="GW1992" s="38"/>
      <c r="GX1992" s="38"/>
      <c r="GY1992" s="38"/>
      <c r="GZ1992" s="38"/>
      <c r="HA1992" s="38"/>
      <c r="HB1992" s="38"/>
      <c r="HC1992" s="38"/>
      <c r="HD1992" s="38"/>
      <c r="HE1992" s="38"/>
      <c r="HF1992" s="38"/>
      <c r="HG1992" s="38"/>
      <c r="HH1992" s="38"/>
      <c r="HI1992" s="38"/>
      <c r="HJ1992" s="38"/>
      <c r="HK1992" s="38"/>
      <c r="HL1992" s="38"/>
      <c r="HM1992" s="38"/>
      <c r="HN1992" s="38"/>
      <c r="HO1992" s="38"/>
      <c r="HP1992" s="38"/>
      <c r="HQ1992" s="38"/>
      <c r="HR1992" s="38"/>
      <c r="HS1992" s="38"/>
      <c r="HT1992" s="38"/>
      <c r="HU1992" s="38"/>
      <c r="HV1992" s="38"/>
      <c r="HW1992" s="38"/>
      <c r="HX1992" s="38"/>
      <c r="HY1992" s="38"/>
      <c r="HZ1992" s="38"/>
      <c r="IA1992" s="38"/>
      <c r="IB1992" s="38"/>
      <c r="IC1992" s="38"/>
      <c r="ID1992" s="38"/>
      <c r="IE1992" s="38"/>
      <c r="IF1992" s="38"/>
      <c r="IG1992" s="38"/>
      <c r="IH1992" s="38"/>
      <c r="II1992" s="38"/>
      <c r="IJ1992" s="38"/>
      <c r="IK1992" s="38"/>
      <c r="IL1992" s="38"/>
      <c r="IM1992" s="38"/>
      <c r="IN1992" s="38"/>
      <c r="IO1992" s="38"/>
      <c r="IP1992" s="38"/>
      <c r="IQ1992" s="38"/>
      <c r="IR1992" s="38"/>
      <c r="IS1992" s="38"/>
      <c r="IT1992" s="38"/>
      <c r="IU1992" s="38"/>
      <c r="IV1992" s="38"/>
      <c r="IW1992" s="38"/>
      <c r="IX1992" s="38"/>
      <c r="IY1992" s="38"/>
      <c r="IZ1992" s="38"/>
      <c r="JA1992" s="38"/>
      <c r="JB1992" s="38"/>
      <c r="JC1992" s="38"/>
      <c r="JD1992" s="38"/>
      <c r="JE1992" s="38"/>
      <c r="JF1992" s="38"/>
      <c r="JG1992" s="38"/>
      <c r="JH1992" s="38"/>
      <c r="JI1992" s="38"/>
      <c r="JJ1992" s="38"/>
      <c r="JK1992" s="38"/>
      <c r="JL1992" s="38"/>
      <c r="JM1992" s="38"/>
      <c r="JN1992" s="38"/>
      <c r="JO1992" s="38"/>
      <c r="JP1992" s="38"/>
      <c r="JQ1992" s="38"/>
      <c r="JR1992" s="38"/>
      <c r="JS1992" s="38"/>
      <c r="JT1992" s="38"/>
      <c r="JU1992" s="38"/>
      <c r="JV1992" s="38"/>
      <c r="JW1992" s="38"/>
      <c r="JX1992" s="38"/>
      <c r="JY1992" s="38"/>
      <c r="JZ1992" s="38"/>
      <c r="KA1992" s="38"/>
      <c r="KB1992" s="38"/>
      <c r="KC1992" s="38"/>
      <c r="KD1992" s="38"/>
      <c r="KE1992" s="38"/>
      <c r="KF1992" s="38"/>
      <c r="KG1992" s="38"/>
      <c r="KH1992" s="38"/>
      <c r="KI1992" s="38"/>
      <c r="KJ1992" s="38"/>
      <c r="KK1992" s="38"/>
      <c r="KL1992" s="38"/>
      <c r="KM1992" s="38"/>
      <c r="KN1992" s="38"/>
      <c r="KO1992" s="38"/>
      <c r="KP1992" s="38"/>
      <c r="KQ1992" s="38"/>
      <c r="KR1992" s="38"/>
      <c r="KS1992" s="38"/>
      <c r="KT1992" s="38"/>
      <c r="KU1992" s="38"/>
      <c r="KV1992" s="38"/>
      <c r="KW1992" s="38"/>
      <c r="KX1992" s="38"/>
      <c r="KY1992" s="38"/>
      <c r="KZ1992" s="38"/>
      <c r="LA1992" s="38"/>
      <c r="LB1992" s="38"/>
      <c r="LC1992" s="38"/>
      <c r="LD1992" s="38"/>
      <c r="LE1992" s="38"/>
      <c r="LF1992" s="38"/>
      <c r="LG1992" s="38"/>
      <c r="LH1992" s="38"/>
      <c r="LI1992" s="38"/>
      <c r="LJ1992" s="38"/>
      <c r="LK1992" s="38"/>
      <c r="LL1992" s="38"/>
      <c r="LM1992" s="38"/>
      <c r="LN1992" s="38"/>
      <c r="LO1992" s="38"/>
      <c r="LP1992" s="38"/>
      <c r="LQ1992" s="38"/>
      <c r="LR1992" s="38"/>
      <c r="LS1992" s="38"/>
      <c r="LT1992" s="38"/>
      <c r="LU1992" s="38"/>
      <c r="LV1992" s="38"/>
      <c r="LW1992" s="38"/>
      <c r="LX1992" s="38"/>
      <c r="LY1992" s="38"/>
      <c r="LZ1992" s="38"/>
      <c r="MA1992" s="38"/>
      <c r="MB1992" s="38"/>
      <c r="MC1992" s="38"/>
      <c r="MD1992" s="38"/>
      <c r="ME1992" s="38"/>
      <c r="MF1992" s="38"/>
      <c r="MG1992" s="38"/>
      <c r="MH1992" s="38"/>
      <c r="MI1992" s="38"/>
      <c r="MJ1992" s="38"/>
      <c r="MK1992" s="38"/>
      <c r="ML1992" s="38"/>
      <c r="MM1992" s="38"/>
      <c r="MN1992" s="38"/>
      <c r="MO1992" s="38"/>
      <c r="MP1992" s="38"/>
      <c r="MQ1992" s="38"/>
      <c r="MR1992" s="38"/>
      <c r="MS1992" s="38"/>
      <c r="MT1992" s="38"/>
      <c r="MU1992" s="38"/>
      <c r="MV1992" s="38"/>
      <c r="MW1992" s="38"/>
      <c r="MX1992" s="38"/>
      <c r="MY1992" s="38"/>
      <c r="MZ1992" s="38"/>
      <c r="NA1992" s="38"/>
      <c r="NB1992" s="38"/>
      <c r="NC1992" s="38"/>
      <c r="ND1992" s="38"/>
      <c r="NE1992" s="38"/>
      <c r="NF1992" s="38"/>
      <c r="NG1992" s="38"/>
      <c r="NH1992" s="38"/>
      <c r="NI1992" s="38"/>
      <c r="NJ1992" s="38"/>
      <c r="NK1992" s="38"/>
      <c r="NL1992" s="38"/>
      <c r="NM1992" s="38"/>
      <c r="NN1992" s="38"/>
      <c r="NO1992" s="38"/>
      <c r="NP1992" s="38"/>
      <c r="NQ1992" s="38"/>
      <c r="NR1992" s="38"/>
      <c r="NS1992" s="38"/>
      <c r="NT1992" s="38"/>
      <c r="NU1992" s="38"/>
      <c r="NV1992" s="38"/>
      <c r="NW1992" s="38"/>
      <c r="NX1992" s="38"/>
      <c r="NY1992" s="38"/>
      <c r="NZ1992" s="38"/>
      <c r="OA1992" s="38"/>
      <c r="OB1992" s="38"/>
      <c r="OC1992" s="38"/>
      <c r="OD1992" s="38"/>
      <c r="OE1992" s="38"/>
      <c r="OF1992" s="38"/>
      <c r="OG1992" s="38"/>
      <c r="OH1992" s="38"/>
      <c r="OI1992" s="38"/>
      <c r="OJ1992" s="38"/>
      <c r="OK1992" s="38"/>
      <c r="OL1992" s="38"/>
      <c r="OM1992" s="38"/>
      <c r="ON1992" s="38"/>
      <c r="OO1992" s="38"/>
      <c r="OP1992" s="38"/>
      <c r="OQ1992" s="38"/>
      <c r="OR1992" s="38"/>
      <c r="OS1992" s="38"/>
      <c r="OT1992" s="38"/>
      <c r="OU1992" s="38"/>
      <c r="OV1992" s="38"/>
      <c r="OW1992" s="38"/>
      <c r="OX1992" s="38"/>
      <c r="OY1992" s="38"/>
      <c r="OZ1992" s="38"/>
      <c r="PA1992" s="38"/>
      <c r="PB1992" s="38"/>
      <c r="PC1992" s="38"/>
      <c r="PD1992" s="38"/>
      <c r="PE1992" s="38"/>
      <c r="PF1992" s="38"/>
      <c r="PG1992" s="38"/>
      <c r="PH1992" s="38"/>
      <c r="PI1992" s="38"/>
      <c r="PJ1992" s="38"/>
      <c r="PK1992" s="38"/>
      <c r="PL1992" s="38"/>
      <c r="PM1992" s="38"/>
      <c r="PN1992" s="38"/>
      <c r="PO1992" s="38"/>
      <c r="PP1992" s="38"/>
      <c r="PQ1992" s="38"/>
      <c r="PR1992" s="38"/>
      <c r="PS1992" s="38"/>
      <c r="PT1992" s="38"/>
      <c r="PU1992" s="38"/>
      <c r="PV1992" s="38"/>
      <c r="PW1992" s="38"/>
      <c r="PX1992" s="38"/>
      <c r="PY1992" s="38"/>
      <c r="PZ1992" s="38"/>
      <c r="QA1992" s="38"/>
      <c r="QB1992" s="38"/>
      <c r="QC1992" s="38"/>
      <c r="QD1992" s="38"/>
      <c r="QE1992" s="38"/>
      <c r="QF1992" s="38"/>
      <c r="QG1992" s="38"/>
      <c r="QH1992" s="38"/>
      <c r="QI1992" s="38"/>
      <c r="QJ1992" s="38"/>
      <c r="QK1992" s="38"/>
      <c r="QL1992" s="38"/>
      <c r="QM1992" s="38"/>
      <c r="QN1992" s="38"/>
      <c r="QO1992" s="38"/>
      <c r="QP1992" s="38"/>
      <c r="QQ1992" s="38"/>
      <c r="QR1992" s="38"/>
      <c r="QS1992" s="38"/>
      <c r="QT1992" s="38"/>
      <c r="QU1992" s="38"/>
      <c r="QV1992" s="38"/>
      <c r="QW1992" s="38"/>
      <c r="QX1992" s="38"/>
      <c r="QY1992" s="38"/>
      <c r="QZ1992" s="38"/>
      <c r="RA1992" s="38"/>
      <c r="RB1992" s="38"/>
      <c r="RC1992" s="38"/>
      <c r="RD1992" s="38"/>
      <c r="RE1992" s="38"/>
      <c r="RF1992" s="38"/>
      <c r="RG1992" s="38"/>
      <c r="RH1992" s="38"/>
      <c r="RI1992" s="38"/>
      <c r="RJ1992" s="38"/>
      <c r="RK1992" s="38"/>
      <c r="RL1992" s="38"/>
      <c r="RM1992" s="38"/>
      <c r="RN1992" s="38"/>
      <c r="RO1992" s="38"/>
      <c r="RP1992" s="38"/>
      <c r="RQ1992" s="38"/>
      <c r="RR1992" s="38"/>
      <c r="RS1992" s="38"/>
      <c r="RT1992" s="38"/>
      <c r="RU1992" s="38"/>
      <c r="RV1992" s="38"/>
      <c r="RW1992" s="38"/>
      <c r="RX1992" s="38"/>
      <c r="RY1992" s="38"/>
      <c r="RZ1992" s="38"/>
      <c r="SA1992" s="38"/>
      <c r="SB1992" s="38"/>
      <c r="SC1992" s="38"/>
      <c r="SD1992" s="38"/>
      <c r="SE1992" s="38"/>
      <c r="SF1992" s="38"/>
      <c r="SG1992" s="38"/>
      <c r="SH1992" s="38"/>
      <c r="SI1992" s="38"/>
      <c r="SJ1992" s="38"/>
      <c r="SK1992" s="38"/>
      <c r="SL1992" s="38"/>
      <c r="SM1992" s="38"/>
      <c r="SN1992" s="38"/>
      <c r="SO1992" s="38"/>
      <c r="SP1992" s="38"/>
      <c r="SQ1992" s="38"/>
      <c r="SR1992" s="38"/>
      <c r="SS1992" s="38"/>
      <c r="ST1992" s="38"/>
      <c r="SU1992" s="38"/>
      <c r="SV1992" s="38"/>
      <c r="SW1992" s="38"/>
      <c r="SX1992" s="38"/>
      <c r="SY1992" s="38"/>
      <c r="SZ1992" s="38"/>
      <c r="TA1992" s="38"/>
      <c r="TB1992" s="38"/>
      <c r="TC1992" s="38"/>
      <c r="TD1992" s="38"/>
      <c r="TE1992" s="38"/>
      <c r="TF1992" s="38"/>
      <c r="TG1992" s="38"/>
      <c r="TH1992" s="38"/>
      <c r="TI1992" s="38"/>
      <c r="TJ1992" s="38"/>
      <c r="TK1992" s="38"/>
      <c r="TL1992" s="38"/>
      <c r="TM1992" s="38"/>
      <c r="TN1992" s="38"/>
      <c r="TO1992" s="38"/>
      <c r="TP1992" s="38"/>
      <c r="TQ1992" s="38"/>
      <c r="TR1992" s="38"/>
      <c r="TS1992" s="38"/>
      <c r="TT1992" s="38"/>
      <c r="TU1992" s="38"/>
      <c r="TV1992" s="38"/>
      <c r="TW1992" s="38"/>
      <c r="TX1992" s="38"/>
      <c r="TY1992" s="38"/>
      <c r="TZ1992" s="38"/>
      <c r="UA1992" s="38"/>
      <c r="UB1992" s="38"/>
      <c r="UC1992" s="38"/>
      <c r="UD1992" s="38"/>
      <c r="UE1992" s="38"/>
      <c r="UF1992" s="38"/>
      <c r="UG1992" s="38"/>
      <c r="UH1992" s="38"/>
      <c r="UI1992" s="38"/>
      <c r="UJ1992" s="38"/>
      <c r="UK1992" s="38"/>
      <c r="UL1992" s="38"/>
      <c r="UM1992" s="38"/>
      <c r="UN1992" s="38"/>
      <c r="UO1992" s="38"/>
      <c r="UP1992" s="38"/>
      <c r="UQ1992" s="38"/>
      <c r="UR1992" s="38"/>
      <c r="US1992" s="38"/>
      <c r="UT1992" s="38"/>
      <c r="UU1992" s="38"/>
      <c r="UV1992" s="38"/>
      <c r="UW1992" s="38"/>
      <c r="UX1992" s="38"/>
      <c r="UY1992" s="38"/>
      <c r="UZ1992" s="38"/>
      <c r="VA1992" s="38"/>
      <c r="VB1992" s="38"/>
      <c r="VC1992" s="38"/>
      <c r="VD1992" s="38"/>
      <c r="VE1992" s="38"/>
      <c r="VF1992" s="38"/>
      <c r="VG1992" s="38"/>
      <c r="VH1992" s="38"/>
      <c r="VI1992" s="38"/>
      <c r="VJ1992" s="38"/>
      <c r="VK1992" s="38"/>
      <c r="VL1992" s="38"/>
      <c r="VM1992" s="38"/>
      <c r="VN1992" s="38"/>
      <c r="VO1992" s="38"/>
      <c r="VP1992" s="38"/>
      <c r="VQ1992" s="38"/>
      <c r="VR1992" s="38"/>
      <c r="VS1992" s="38"/>
      <c r="VT1992" s="38"/>
      <c r="VU1992" s="38"/>
      <c r="VV1992" s="38"/>
      <c r="VW1992" s="38"/>
      <c r="VX1992" s="38"/>
      <c r="VY1992" s="38"/>
      <c r="VZ1992" s="38"/>
      <c r="WA1992" s="38"/>
      <c r="WB1992" s="38"/>
      <c r="WC1992" s="38"/>
      <c r="WD1992" s="38"/>
      <c r="WE1992" s="38"/>
      <c r="WF1992" s="38"/>
      <c r="WG1992" s="38"/>
      <c r="WH1992" s="38"/>
      <c r="WI1992" s="38"/>
      <c r="WJ1992" s="38"/>
      <c r="WK1992" s="38"/>
      <c r="WL1992" s="38"/>
      <c r="WM1992" s="38"/>
      <c r="WN1992" s="38"/>
      <c r="WO1992" s="38"/>
      <c r="WP1992" s="38"/>
      <c r="WQ1992" s="38"/>
      <c r="WR1992" s="38"/>
      <c r="WS1992" s="38"/>
      <c r="WT1992" s="38"/>
      <c r="WU1992" s="38"/>
      <c r="WV1992" s="38"/>
      <c r="WW1992" s="38"/>
      <c r="WX1992" s="38"/>
      <c r="WY1992" s="38"/>
      <c r="WZ1992" s="38"/>
      <c r="XA1992" s="38"/>
      <c r="XB1992" s="38"/>
      <c r="XC1992" s="38"/>
      <c r="XD1992" s="38"/>
      <c r="XE1992" s="38"/>
      <c r="XF1992" s="38"/>
      <c r="XG1992" s="38"/>
      <c r="XH1992" s="38"/>
      <c r="XI1992" s="38"/>
      <c r="XJ1992" s="38"/>
      <c r="XK1992" s="38"/>
      <c r="XL1992" s="38"/>
      <c r="XM1992" s="38"/>
      <c r="XN1992" s="38"/>
      <c r="XO1992" s="38"/>
      <c r="XP1992" s="38"/>
      <c r="XQ1992" s="38"/>
      <c r="XR1992" s="38"/>
      <c r="XS1992" s="38"/>
      <c r="XT1992" s="38"/>
      <c r="XU1992" s="38"/>
      <c r="XV1992" s="38"/>
      <c r="XW1992" s="38"/>
      <c r="XX1992" s="38"/>
      <c r="XY1992" s="38"/>
      <c r="XZ1992" s="38"/>
      <c r="YA1992" s="38"/>
      <c r="YB1992" s="38"/>
      <c r="YC1992" s="38"/>
      <c r="YD1992" s="38"/>
      <c r="YE1992" s="38"/>
      <c r="YF1992" s="38"/>
      <c r="YG1992" s="38"/>
      <c r="YH1992" s="38"/>
      <c r="YI1992" s="38"/>
      <c r="YJ1992" s="38"/>
      <c r="YK1992" s="38"/>
      <c r="YL1992" s="38"/>
      <c r="YM1992" s="38"/>
      <c r="YN1992" s="38"/>
      <c r="YO1992" s="38"/>
      <c r="YP1992" s="38"/>
      <c r="YQ1992" s="38"/>
      <c r="YR1992" s="38"/>
      <c r="YS1992" s="38"/>
      <c r="YT1992" s="38"/>
      <c r="YU1992" s="38"/>
      <c r="YV1992" s="38"/>
      <c r="YW1992" s="38"/>
      <c r="YX1992" s="38"/>
      <c r="YY1992" s="38"/>
      <c r="YZ1992" s="38"/>
      <c r="ZA1992" s="38"/>
      <c r="ZB1992" s="38"/>
      <c r="ZC1992" s="38"/>
      <c r="ZD1992" s="38"/>
      <c r="ZE1992" s="38"/>
      <c r="ZF1992" s="38"/>
      <c r="ZG1992" s="38"/>
      <c r="ZH1992" s="38"/>
      <c r="ZI1992" s="38"/>
      <c r="ZJ1992" s="38"/>
      <c r="ZK1992" s="38"/>
      <c r="ZL1992" s="38"/>
      <c r="ZM1992" s="38"/>
      <c r="ZN1992" s="38"/>
      <c r="ZO1992" s="38"/>
      <c r="ZP1992" s="38"/>
      <c r="ZQ1992" s="38"/>
      <c r="ZR1992" s="38"/>
      <c r="ZS1992" s="38"/>
      <c r="ZT1992" s="38"/>
      <c r="ZU1992" s="38"/>
      <c r="ZV1992" s="38"/>
      <c r="ZW1992" s="38"/>
      <c r="ZX1992" s="38"/>
      <c r="ZY1992" s="38"/>
      <c r="ZZ1992" s="38"/>
      <c r="AAA1992" s="38"/>
      <c r="AAB1992" s="38"/>
      <c r="AAC1992" s="38"/>
      <c r="AAD1992" s="38"/>
      <c r="AAE1992" s="38"/>
      <c r="AAF1992" s="38"/>
      <c r="AAG1992" s="38"/>
      <c r="AAH1992" s="38"/>
      <c r="AAI1992" s="38"/>
      <c r="AAJ1992" s="38"/>
      <c r="AAK1992" s="38"/>
      <c r="AAL1992" s="38"/>
      <c r="AAM1992" s="38"/>
      <c r="AAN1992" s="38"/>
      <c r="AAO1992" s="38"/>
      <c r="AAP1992" s="38"/>
      <c r="AAQ1992" s="38"/>
      <c r="AAR1992" s="38"/>
      <c r="AAS1992" s="38"/>
      <c r="AAT1992" s="38"/>
      <c r="AAU1992" s="38"/>
      <c r="AAV1992" s="38"/>
      <c r="AAW1992" s="38"/>
      <c r="AAX1992" s="38"/>
      <c r="AAY1992" s="38"/>
      <c r="AAZ1992" s="38"/>
      <c r="ABA1992" s="38"/>
      <c r="ABB1992" s="38"/>
      <c r="ABC1992" s="38"/>
      <c r="ABD1992" s="38"/>
      <c r="ABE1992" s="38"/>
      <c r="ABF1992" s="38"/>
      <c r="ABG1992" s="38"/>
      <c r="ABH1992" s="38"/>
      <c r="ABI1992" s="38"/>
      <c r="ABJ1992" s="38"/>
      <c r="ABK1992" s="38"/>
      <c r="ABL1992" s="38"/>
      <c r="ABM1992" s="38"/>
      <c r="ABN1992" s="38"/>
      <c r="ABO1992" s="38"/>
      <c r="ABP1992" s="38"/>
      <c r="ABQ1992" s="38"/>
      <c r="ABR1992" s="38"/>
      <c r="ABS1992" s="38"/>
      <c r="ABT1992" s="38"/>
      <c r="ABU1992" s="38"/>
      <c r="ABV1992" s="38"/>
      <c r="ABW1992" s="38"/>
      <c r="ABX1992" s="38"/>
      <c r="ABY1992" s="38"/>
      <c r="ABZ1992" s="38"/>
      <c r="ACA1992" s="38"/>
      <c r="ACB1992" s="38"/>
      <c r="ACC1992" s="38"/>
      <c r="ACD1992" s="38"/>
      <c r="ACE1992" s="38"/>
      <c r="ACF1992" s="38"/>
      <c r="ACG1992" s="38"/>
      <c r="ACH1992" s="38"/>
      <c r="ACI1992" s="38"/>
      <c r="ACJ1992" s="38"/>
      <c r="ACK1992" s="38"/>
      <c r="ACL1992" s="38"/>
      <c r="ACM1992" s="38"/>
      <c r="ACN1992" s="38"/>
      <c r="ACO1992" s="38"/>
      <c r="ACP1992" s="38"/>
      <c r="ACQ1992" s="38"/>
      <c r="ACR1992" s="38"/>
      <c r="ACS1992" s="38"/>
      <c r="ACT1992" s="38"/>
      <c r="ACU1992" s="38"/>
      <c r="ACV1992" s="38"/>
      <c r="ACW1992" s="38"/>
      <c r="ACX1992" s="38"/>
      <c r="ACY1992" s="38"/>
      <c r="ACZ1992" s="38"/>
      <c r="ADA1992" s="38"/>
      <c r="ADB1992" s="38"/>
      <c r="ADC1992" s="38"/>
      <c r="ADD1992" s="38"/>
      <c r="ADE1992" s="38"/>
      <c r="ADF1992" s="38"/>
      <c r="ADG1992" s="38"/>
      <c r="ADH1992" s="38"/>
      <c r="ADI1992" s="38"/>
      <c r="ADJ1992" s="38"/>
      <c r="ADK1992" s="38"/>
      <c r="ADL1992" s="38"/>
      <c r="ADM1992" s="38"/>
      <c r="ADN1992" s="38"/>
      <c r="ADO1992" s="38"/>
      <c r="ADP1992" s="38"/>
      <c r="ADQ1992" s="38"/>
      <c r="ADR1992" s="38"/>
      <c r="ADS1992" s="38"/>
      <c r="ADT1992" s="38"/>
      <c r="ADU1992" s="38"/>
      <c r="ADV1992" s="38"/>
      <c r="ADW1992" s="38"/>
      <c r="ADX1992" s="38"/>
      <c r="ADY1992" s="38"/>
      <c r="ADZ1992" s="38"/>
      <c r="AEA1992" s="38"/>
      <c r="AEB1992" s="38"/>
      <c r="AEC1992" s="38"/>
      <c r="AED1992" s="38"/>
      <c r="AEE1992" s="38"/>
      <c r="AEF1992" s="38"/>
      <c r="AEG1992" s="38"/>
      <c r="AEH1992" s="38"/>
      <c r="AEI1992" s="38"/>
      <c r="AEJ1992" s="38"/>
      <c r="AEK1992" s="38"/>
      <c r="AEL1992" s="38"/>
      <c r="AEM1992" s="38"/>
      <c r="AEN1992" s="38"/>
      <c r="AEO1992" s="38"/>
      <c r="AEP1992" s="38"/>
      <c r="AEQ1992" s="38"/>
      <c r="AER1992" s="38"/>
      <c r="AES1992" s="38"/>
      <c r="AET1992" s="38"/>
      <c r="AEU1992" s="38"/>
      <c r="AEV1992" s="38"/>
      <c r="AEW1992" s="38"/>
      <c r="AEX1992" s="38"/>
      <c r="AEY1992" s="38"/>
      <c r="AEZ1992" s="38"/>
      <c r="AFA1992" s="38"/>
      <c r="AFB1992" s="38"/>
      <c r="AFC1992" s="38"/>
      <c r="AFD1992" s="38"/>
      <c r="AFE1992" s="38"/>
      <c r="AFF1992" s="38"/>
      <c r="AFG1992" s="38"/>
      <c r="AFH1992" s="38"/>
      <c r="AFI1992" s="38"/>
      <c r="AFJ1992" s="38"/>
      <c r="AFK1992" s="38"/>
      <c r="AFL1992" s="38"/>
      <c r="AFM1992" s="38"/>
      <c r="AFN1992" s="38"/>
      <c r="AFO1992" s="38"/>
      <c r="AFP1992" s="38"/>
      <c r="AFQ1992" s="38"/>
      <c r="AFR1992" s="38"/>
      <c r="AFS1992" s="38"/>
      <c r="AFT1992" s="38"/>
      <c r="AFU1992" s="38"/>
      <c r="AFV1992" s="38"/>
      <c r="AFW1992" s="38"/>
      <c r="AFX1992" s="38"/>
      <c r="AFY1992" s="38"/>
      <c r="AFZ1992" s="38"/>
      <c r="AGA1992" s="38"/>
      <c r="AGB1992" s="38"/>
      <c r="AGC1992" s="38"/>
      <c r="AGD1992" s="38"/>
      <c r="AGE1992" s="38"/>
      <c r="AGF1992" s="38"/>
      <c r="AGG1992" s="38"/>
      <c r="AGH1992" s="38"/>
      <c r="AGI1992" s="38"/>
      <c r="AGJ1992" s="38"/>
      <c r="AGK1992" s="38"/>
      <c r="AGL1992" s="38"/>
      <c r="AGM1992" s="38"/>
      <c r="AGN1992" s="38"/>
      <c r="AGO1992" s="38"/>
      <c r="AGP1992" s="38"/>
      <c r="AGQ1992" s="38"/>
      <c r="AGR1992" s="38"/>
      <c r="AGS1992" s="38"/>
      <c r="AGT1992" s="38"/>
      <c r="AGU1992" s="38"/>
      <c r="AGV1992" s="38"/>
      <c r="AGW1992" s="38"/>
      <c r="AGX1992" s="38"/>
      <c r="AGY1992" s="38"/>
      <c r="AGZ1992" s="38"/>
      <c r="AHA1992" s="38"/>
      <c r="AHB1992" s="38"/>
      <c r="AHC1992" s="38"/>
      <c r="AHD1992" s="38"/>
      <c r="AHE1992" s="38"/>
      <c r="AHF1992" s="38"/>
      <c r="AHG1992" s="38"/>
      <c r="AHH1992" s="38"/>
      <c r="AHI1992" s="38"/>
      <c r="AHJ1992" s="38"/>
      <c r="AHK1992" s="38"/>
      <c r="AHL1992" s="38"/>
      <c r="AHM1992" s="38"/>
      <c r="AHN1992" s="38"/>
      <c r="AHO1992" s="38"/>
      <c r="AHP1992" s="38"/>
      <c r="AHQ1992" s="38"/>
      <c r="AHR1992" s="38"/>
      <c r="AHS1992" s="38"/>
      <c r="AHT1992" s="38"/>
      <c r="AHU1992" s="38"/>
      <c r="AHV1992" s="38"/>
      <c r="AHW1992" s="38"/>
      <c r="AHX1992" s="38"/>
      <c r="AHY1992" s="38"/>
      <c r="AHZ1992" s="38"/>
      <c r="AIA1992" s="38"/>
      <c r="AIB1992" s="38"/>
      <c r="AIC1992" s="38"/>
      <c r="AID1992" s="38"/>
      <c r="AIE1992" s="38"/>
      <c r="AIF1992" s="38"/>
      <c r="AIG1992" s="38"/>
      <c r="AIH1992" s="38"/>
      <c r="AII1992" s="38"/>
      <c r="AIJ1992" s="38"/>
      <c r="AIK1992" s="38"/>
      <c r="AIL1992" s="38"/>
      <c r="AIM1992" s="38"/>
      <c r="AIN1992" s="38"/>
      <c r="AIO1992" s="38"/>
      <c r="AIP1992" s="38"/>
      <c r="AIQ1992" s="38"/>
      <c r="AIR1992" s="38"/>
      <c r="AIS1992" s="38"/>
      <c r="AIT1992" s="38"/>
      <c r="AIU1992" s="38"/>
      <c r="AIV1992" s="38"/>
      <c r="AIW1992" s="38"/>
      <c r="AIX1992" s="38"/>
      <c r="AIY1992" s="38"/>
      <c r="AIZ1992" s="38"/>
      <c r="AJA1992" s="38"/>
      <c r="AJB1992" s="38"/>
      <c r="AJC1992" s="38"/>
      <c r="AJD1992" s="38"/>
      <c r="AJE1992" s="38"/>
      <c r="AJF1992" s="38"/>
      <c r="AJG1992" s="38"/>
      <c r="AJH1992" s="38"/>
      <c r="AJI1992" s="38"/>
      <c r="AJJ1992" s="38"/>
      <c r="AJK1992" s="38"/>
      <c r="AJL1992" s="38"/>
      <c r="AJM1992" s="38"/>
      <c r="AJN1992" s="38"/>
      <c r="AJO1992" s="38"/>
      <c r="AJP1992" s="38"/>
      <c r="AJQ1992" s="38"/>
      <c r="AJR1992" s="38"/>
      <c r="AJS1992" s="38"/>
      <c r="AJT1992" s="38"/>
      <c r="AJU1992" s="38"/>
      <c r="AJV1992" s="38"/>
      <c r="AJW1992" s="38"/>
      <c r="AJX1992" s="38"/>
      <c r="AJY1992" s="38"/>
      <c r="AJZ1992" s="38"/>
      <c r="AKA1992" s="38"/>
      <c r="AKB1992" s="38"/>
      <c r="AKC1992" s="38"/>
      <c r="AKD1992" s="38"/>
      <c r="AKE1992" s="38"/>
      <c r="AKF1992" s="38"/>
      <c r="AKG1992" s="38"/>
      <c r="AKH1992" s="38"/>
      <c r="AKI1992" s="38"/>
      <c r="AKJ1992" s="38"/>
      <c r="AKK1992" s="38"/>
      <c r="AKL1992" s="38"/>
      <c r="AKM1992" s="38"/>
      <c r="AKN1992" s="38"/>
      <c r="AKO1992" s="38"/>
      <c r="AKP1992" s="38"/>
      <c r="AKQ1992" s="38"/>
      <c r="AKR1992" s="38"/>
      <c r="AKS1992" s="38"/>
      <c r="AKT1992" s="38"/>
      <c r="AKU1992" s="38"/>
      <c r="AKV1992" s="38"/>
      <c r="AKW1992" s="38"/>
      <c r="AKX1992" s="38"/>
      <c r="AKY1992" s="38"/>
      <c r="AKZ1992" s="38"/>
      <c r="ALA1992" s="38"/>
      <c r="ALB1992" s="38"/>
      <c r="ALC1992" s="38"/>
      <c r="ALD1992" s="38"/>
      <c r="ALE1992" s="38"/>
      <c r="ALF1992" s="38"/>
      <c r="ALG1992" s="38"/>
      <c r="ALH1992" s="38"/>
      <c r="ALI1992" s="38"/>
      <c r="ALJ1992" s="38"/>
      <c r="ALK1992" s="38"/>
      <c r="ALL1992" s="38"/>
      <c r="ALM1992" s="38"/>
      <c r="ALN1992" s="38"/>
      <c r="ALO1992" s="38"/>
      <c r="ALP1992" s="38"/>
      <c r="ALQ1992" s="38"/>
      <c r="ALR1992" s="38"/>
      <c r="ALS1992" s="38"/>
      <c r="ALT1992" s="38"/>
      <c r="ALU1992" s="38"/>
      <c r="ALV1992" s="38"/>
      <c r="ALW1992" s="38"/>
      <c r="ALX1992" s="38"/>
      <c r="ALY1992" s="38"/>
      <c r="ALZ1992" s="38"/>
      <c r="AMA1992" s="38"/>
      <c r="AMB1992" s="38"/>
      <c r="AMC1992" s="38"/>
      <c r="AMD1992" s="38"/>
      <c r="AME1992" s="38"/>
      <c r="AMF1992" s="38"/>
      <c r="AMG1992" s="38"/>
      <c r="AMH1992" s="38"/>
      <c r="AMI1992" s="38"/>
      <c r="AMJ1992" s="38"/>
      <c r="AMK1992" s="38"/>
      <c r="AML1992" s="38"/>
      <c r="AMM1992" s="38"/>
      <c r="AMN1992" s="38"/>
      <c r="AMO1992" s="38"/>
      <c r="AMP1992" s="38"/>
      <c r="AMQ1992" s="38"/>
      <c r="AMR1992" s="38"/>
      <c r="AMS1992" s="38"/>
      <c r="AMT1992" s="38"/>
      <c r="AMU1992" s="38"/>
      <c r="AMV1992" s="38"/>
      <c r="AMW1992" s="38"/>
      <c r="AMX1992" s="38"/>
      <c r="AMY1992" s="38"/>
      <c r="AMZ1992" s="38"/>
      <c r="ANA1992" s="38"/>
      <c r="ANB1992" s="38"/>
      <c r="ANC1992" s="38"/>
      <c r="AND1992" s="38"/>
      <c r="ANE1992" s="38"/>
      <c r="ANF1992" s="38"/>
      <c r="ANG1992" s="38"/>
      <c r="ANH1992" s="38"/>
      <c r="ANI1992" s="38"/>
      <c r="ANJ1992" s="38"/>
      <c r="ANK1992" s="38"/>
      <c r="ANL1992" s="38"/>
      <c r="ANM1992" s="38"/>
      <c r="ANN1992" s="38"/>
      <c r="ANO1992" s="38"/>
      <c r="ANP1992" s="38"/>
      <c r="ANQ1992" s="38"/>
      <c r="ANR1992" s="38"/>
      <c r="ANS1992" s="38"/>
      <c r="ANT1992" s="38"/>
      <c r="ANU1992" s="38"/>
      <c r="ANV1992" s="38"/>
      <c r="ANW1992" s="38"/>
      <c r="ANX1992" s="38"/>
      <c r="ANY1992" s="38"/>
      <c r="ANZ1992" s="38"/>
      <c r="AOA1992" s="38"/>
      <c r="AOB1992" s="38"/>
      <c r="AOC1992" s="38"/>
      <c r="AOD1992" s="38"/>
      <c r="AOE1992" s="38"/>
      <c r="AOF1992" s="38"/>
      <c r="AOG1992" s="38"/>
      <c r="AOH1992" s="38"/>
      <c r="AOI1992" s="38"/>
      <c r="AOJ1992" s="38"/>
      <c r="AOK1992" s="38"/>
      <c r="AOL1992" s="38"/>
      <c r="AOM1992" s="38"/>
      <c r="AON1992" s="38"/>
      <c r="AOO1992" s="38"/>
      <c r="AOP1992" s="38"/>
      <c r="AOQ1992" s="38"/>
      <c r="AOR1992" s="38"/>
      <c r="AOS1992" s="38"/>
      <c r="AOT1992" s="38"/>
      <c r="AOU1992" s="38"/>
      <c r="AOV1992" s="38"/>
      <c r="AOW1992" s="38"/>
      <c r="AOX1992" s="38"/>
      <c r="AOY1992" s="38"/>
      <c r="AOZ1992" s="38"/>
      <c r="APA1992" s="38"/>
      <c r="APB1992" s="38"/>
      <c r="APC1992" s="38"/>
    </row>
    <row r="1993" spans="1:1095" s="36" customFormat="1" ht="14.25" customHeight="1">
      <c r="A1993" s="3" t="s">
        <v>1722</v>
      </c>
      <c r="B1993" s="36" t="s">
        <v>2314</v>
      </c>
      <c r="C1993" s="10">
        <v>4099854067556</v>
      </c>
      <c r="D1993" s="224">
        <v>4058075591257</v>
      </c>
      <c r="E1993" s="245" t="s">
        <v>2315</v>
      </c>
      <c r="F1993" s="246"/>
      <c r="G1993" s="66" t="str">
        <f>HYPERLINK("https://ledvance.com/pt/product-datasheet/251437/238314","Ficha de Produto")</f>
        <v>Ficha de Produto</v>
      </c>
      <c r="H1993" s="217">
        <v>10</v>
      </c>
      <c r="I1993" s="34" t="s">
        <v>6354</v>
      </c>
      <c r="J1993" s="34" t="s">
        <v>6365</v>
      </c>
      <c r="K1993" s="34" t="s">
        <v>788</v>
      </c>
      <c r="L1993" s="34" t="s">
        <v>765</v>
      </c>
      <c r="M1993" s="247">
        <v>8.5</v>
      </c>
      <c r="N1993" s="288" t="s">
        <v>722</v>
      </c>
    </row>
    <row r="1994" spans="1:1095" s="36" customFormat="1" ht="14.25" customHeight="1">
      <c r="A1994" s="3" t="s">
        <v>1722</v>
      </c>
      <c r="B1994" s="36" t="s">
        <v>2316</v>
      </c>
      <c r="C1994" s="10">
        <v>4099854067518</v>
      </c>
      <c r="D1994" s="224">
        <v>4058075590755</v>
      </c>
      <c r="E1994" s="245" t="s">
        <v>2317</v>
      </c>
      <c r="F1994" s="246"/>
      <c r="G1994" s="66" t="str">
        <f>HYPERLINK("https://ledvance.com/pt/product-datasheet/251437/238326","Ficha de Produto")</f>
        <v>Ficha de Produto</v>
      </c>
      <c r="H1994" s="217">
        <v>10</v>
      </c>
      <c r="I1994" s="34" t="s">
        <v>6354</v>
      </c>
      <c r="J1994" s="34" t="s">
        <v>6365</v>
      </c>
      <c r="K1994" s="34" t="s">
        <v>788</v>
      </c>
      <c r="L1994" s="34" t="s">
        <v>765</v>
      </c>
      <c r="M1994" s="247">
        <v>8.5</v>
      </c>
      <c r="N1994" s="288" t="s">
        <v>722</v>
      </c>
    </row>
    <row r="1995" spans="1:1095" s="36" customFormat="1" ht="14.25" customHeight="1">
      <c r="A1995" s="3" t="s">
        <v>1722</v>
      </c>
      <c r="B1995" s="36" t="s">
        <v>2318</v>
      </c>
      <c r="C1995" s="10">
        <v>4099854060533</v>
      </c>
      <c r="D1995" s="224">
        <v>4058075590717</v>
      </c>
      <c r="E1995" s="245" t="s">
        <v>2319</v>
      </c>
      <c r="F1995" s="246"/>
      <c r="G1995" s="66" t="str">
        <f>HYPERLINK("https://ledvance.com/pt/product-datasheet/251437/237153","Ficha de Produto")</f>
        <v>Ficha de Produto</v>
      </c>
      <c r="H1995" s="217">
        <v>10</v>
      </c>
      <c r="I1995" s="34" t="s">
        <v>6349</v>
      </c>
      <c r="J1995" s="34" t="s">
        <v>6335</v>
      </c>
      <c r="K1995" s="34" t="s">
        <v>788</v>
      </c>
      <c r="L1995" s="34" t="s">
        <v>765</v>
      </c>
      <c r="M1995" s="247">
        <v>12.600000000000001</v>
      </c>
      <c r="N1995" s="288" t="s">
        <v>722</v>
      </c>
    </row>
    <row r="1996" spans="1:1095" s="39" customFormat="1" ht="14.25" customHeight="1">
      <c r="A1996" s="8" t="s">
        <v>1722</v>
      </c>
      <c r="B1996" s="244" t="s">
        <v>2320</v>
      </c>
      <c r="C1996" s="8"/>
      <c r="D1996" s="7"/>
      <c r="E1996" s="230"/>
      <c r="F1996" s="7"/>
      <c r="G1996" s="68"/>
      <c r="H1996" s="230"/>
      <c r="I1996" s="230"/>
      <c r="J1996" s="230"/>
      <c r="K1996" s="230"/>
      <c r="L1996" s="230"/>
      <c r="M1996" s="248"/>
      <c r="N1996" s="284"/>
      <c r="O1996" s="38"/>
      <c r="P1996" s="38"/>
      <c r="Q1996" s="38"/>
      <c r="R1996" s="38"/>
      <c r="S1996" s="38"/>
      <c r="T1996" s="38"/>
      <c r="U1996" s="38"/>
      <c r="V1996" s="38"/>
      <c r="W1996" s="38"/>
      <c r="X1996" s="38"/>
      <c r="Y1996" s="38"/>
      <c r="Z1996" s="38"/>
      <c r="AA1996" s="38"/>
      <c r="AB1996" s="38"/>
      <c r="AC1996" s="38"/>
      <c r="AD1996" s="38"/>
      <c r="AE1996" s="38"/>
      <c r="AF1996" s="38"/>
      <c r="AG1996" s="38"/>
      <c r="AH1996" s="38"/>
      <c r="AI1996" s="38"/>
      <c r="AJ1996" s="38"/>
      <c r="AK1996" s="38"/>
      <c r="AL1996" s="38"/>
      <c r="AM1996" s="38"/>
      <c r="AN1996" s="38"/>
      <c r="AO1996" s="38"/>
      <c r="AP1996" s="38"/>
      <c r="AQ1996" s="38"/>
      <c r="AR1996" s="38"/>
      <c r="AS1996" s="38"/>
      <c r="AT1996" s="38"/>
      <c r="AU1996" s="38"/>
      <c r="AV1996" s="38"/>
      <c r="AW1996" s="38"/>
      <c r="AX1996" s="38"/>
      <c r="AY1996" s="38"/>
      <c r="AZ1996" s="38"/>
      <c r="BA1996" s="38"/>
      <c r="BB1996" s="38"/>
      <c r="BC1996" s="38"/>
      <c r="BD1996" s="38"/>
      <c r="BE1996" s="38"/>
      <c r="BF1996" s="38"/>
      <c r="BG1996" s="38"/>
      <c r="BH1996" s="38"/>
      <c r="BI1996" s="38"/>
      <c r="BJ1996" s="38"/>
      <c r="BK1996" s="38"/>
      <c r="BL1996" s="38"/>
      <c r="BM1996" s="38"/>
      <c r="BN1996" s="38"/>
      <c r="BO1996" s="38"/>
      <c r="BP1996" s="38"/>
      <c r="BQ1996" s="38"/>
      <c r="BR1996" s="38"/>
      <c r="BS1996" s="38"/>
      <c r="BT1996" s="38"/>
      <c r="BU1996" s="38"/>
      <c r="BV1996" s="38"/>
      <c r="BW1996" s="38"/>
      <c r="BX1996" s="38"/>
      <c r="BY1996" s="38"/>
      <c r="BZ1996" s="38"/>
      <c r="CA1996" s="38"/>
      <c r="CB1996" s="38"/>
      <c r="CC1996" s="38"/>
      <c r="CD1996" s="38"/>
      <c r="CE1996" s="38"/>
      <c r="CF1996" s="38"/>
      <c r="CG1996" s="38"/>
      <c r="CH1996" s="38"/>
      <c r="CI1996" s="38"/>
      <c r="CJ1996" s="38"/>
      <c r="CK1996" s="38"/>
      <c r="CL1996" s="38"/>
      <c r="CM1996" s="38"/>
      <c r="CN1996" s="38"/>
      <c r="CO1996" s="38"/>
      <c r="CP1996" s="38"/>
      <c r="CQ1996" s="38"/>
      <c r="CR1996" s="38"/>
      <c r="CS1996" s="38"/>
      <c r="CT1996" s="38"/>
      <c r="CU1996" s="38"/>
      <c r="CV1996" s="38"/>
      <c r="CW1996" s="38"/>
      <c r="CX1996" s="38"/>
      <c r="CY1996" s="38"/>
      <c r="CZ1996" s="38"/>
      <c r="DA1996" s="38"/>
      <c r="DB1996" s="38"/>
      <c r="DC1996" s="38"/>
      <c r="DD1996" s="38"/>
      <c r="DE1996" s="38"/>
      <c r="DF1996" s="38"/>
      <c r="DG1996" s="38"/>
      <c r="DH1996" s="38"/>
      <c r="DI1996" s="38"/>
      <c r="DJ1996" s="38"/>
      <c r="DK1996" s="38"/>
      <c r="DL1996" s="38"/>
      <c r="DM1996" s="38"/>
      <c r="DN1996" s="38"/>
      <c r="DO1996" s="38"/>
      <c r="DP1996" s="38"/>
      <c r="DQ1996" s="38"/>
      <c r="DR1996" s="38"/>
      <c r="DS1996" s="38"/>
      <c r="DT1996" s="38"/>
      <c r="DU1996" s="38"/>
      <c r="DV1996" s="38"/>
      <c r="DW1996" s="38"/>
      <c r="DX1996" s="38"/>
      <c r="DY1996" s="38"/>
      <c r="DZ1996" s="38"/>
      <c r="EA1996" s="38"/>
      <c r="EB1996" s="38"/>
      <c r="EC1996" s="38"/>
      <c r="ED1996" s="38"/>
      <c r="EE1996" s="38"/>
      <c r="EF1996" s="38"/>
      <c r="EG1996" s="38"/>
      <c r="EH1996" s="38"/>
      <c r="EI1996" s="38"/>
      <c r="EJ1996" s="38"/>
      <c r="EK1996" s="38"/>
      <c r="EL1996" s="38"/>
      <c r="EM1996" s="38"/>
      <c r="EN1996" s="38"/>
      <c r="EO1996" s="38"/>
      <c r="EP1996" s="38"/>
      <c r="EQ1996" s="38"/>
      <c r="ER1996" s="38"/>
      <c r="ES1996" s="38"/>
      <c r="ET1996" s="38"/>
      <c r="EU1996" s="38"/>
      <c r="EV1996" s="38"/>
      <c r="EW1996" s="38"/>
      <c r="EX1996" s="38"/>
      <c r="EY1996" s="38"/>
      <c r="EZ1996" s="38"/>
      <c r="FA1996" s="38"/>
      <c r="FB1996" s="38"/>
      <c r="FC1996" s="38"/>
      <c r="FD1996" s="38"/>
      <c r="FE1996" s="38"/>
      <c r="FF1996" s="38"/>
      <c r="FG1996" s="38"/>
      <c r="FH1996" s="38"/>
      <c r="FI1996" s="38"/>
      <c r="FJ1996" s="38"/>
      <c r="FK1996" s="38"/>
      <c r="FL1996" s="38"/>
      <c r="FM1996" s="38"/>
      <c r="FN1996" s="38"/>
      <c r="FO1996" s="38"/>
      <c r="FP1996" s="38"/>
      <c r="FQ1996" s="38"/>
      <c r="FR1996" s="38"/>
      <c r="FS1996" s="38"/>
      <c r="FT1996" s="38"/>
      <c r="FU1996" s="38"/>
      <c r="FV1996" s="38"/>
      <c r="FW1996" s="38"/>
      <c r="FX1996" s="38"/>
      <c r="FY1996" s="38"/>
      <c r="FZ1996" s="38"/>
      <c r="GA1996" s="38"/>
      <c r="GB1996" s="38"/>
      <c r="GC1996" s="38"/>
      <c r="GD1996" s="38"/>
      <c r="GE1996" s="38"/>
      <c r="GF1996" s="38"/>
      <c r="GG1996" s="38"/>
      <c r="GH1996" s="38"/>
      <c r="GI1996" s="38"/>
      <c r="GJ1996" s="38"/>
      <c r="GK1996" s="38"/>
      <c r="GL1996" s="38"/>
      <c r="GM1996" s="38"/>
      <c r="GN1996" s="38"/>
      <c r="GO1996" s="38"/>
      <c r="GP1996" s="38"/>
      <c r="GQ1996" s="38"/>
      <c r="GR1996" s="38"/>
      <c r="GS1996" s="38"/>
      <c r="GT1996" s="38"/>
      <c r="GU1996" s="38"/>
      <c r="GV1996" s="38"/>
      <c r="GW1996" s="38"/>
      <c r="GX1996" s="38"/>
      <c r="GY1996" s="38"/>
      <c r="GZ1996" s="38"/>
      <c r="HA1996" s="38"/>
      <c r="HB1996" s="38"/>
      <c r="HC1996" s="38"/>
      <c r="HD1996" s="38"/>
      <c r="HE1996" s="38"/>
      <c r="HF1996" s="38"/>
      <c r="HG1996" s="38"/>
      <c r="HH1996" s="38"/>
      <c r="HI1996" s="38"/>
      <c r="HJ1996" s="38"/>
      <c r="HK1996" s="38"/>
      <c r="HL1996" s="38"/>
      <c r="HM1996" s="38"/>
      <c r="HN1996" s="38"/>
      <c r="HO1996" s="38"/>
      <c r="HP1996" s="38"/>
      <c r="HQ1996" s="38"/>
      <c r="HR1996" s="38"/>
      <c r="HS1996" s="38"/>
      <c r="HT1996" s="38"/>
      <c r="HU1996" s="38"/>
      <c r="HV1996" s="38"/>
      <c r="HW1996" s="38"/>
      <c r="HX1996" s="38"/>
      <c r="HY1996" s="38"/>
      <c r="HZ1996" s="38"/>
      <c r="IA1996" s="38"/>
      <c r="IB1996" s="38"/>
      <c r="IC1996" s="38"/>
      <c r="ID1996" s="38"/>
      <c r="IE1996" s="38"/>
      <c r="IF1996" s="38"/>
      <c r="IG1996" s="38"/>
      <c r="IH1996" s="38"/>
      <c r="II1996" s="38"/>
      <c r="IJ1996" s="38"/>
      <c r="IK1996" s="38"/>
      <c r="IL1996" s="38"/>
      <c r="IM1996" s="38"/>
      <c r="IN1996" s="38"/>
      <c r="IO1996" s="38"/>
      <c r="IP1996" s="38"/>
      <c r="IQ1996" s="38"/>
      <c r="IR1996" s="38"/>
      <c r="IS1996" s="38"/>
      <c r="IT1996" s="38"/>
      <c r="IU1996" s="38"/>
      <c r="IV1996" s="38"/>
      <c r="IW1996" s="38"/>
      <c r="IX1996" s="38"/>
      <c r="IY1996" s="38"/>
      <c r="IZ1996" s="38"/>
      <c r="JA1996" s="38"/>
      <c r="JB1996" s="38"/>
      <c r="JC1996" s="38"/>
      <c r="JD1996" s="38"/>
      <c r="JE1996" s="38"/>
      <c r="JF1996" s="38"/>
      <c r="JG1996" s="38"/>
      <c r="JH1996" s="38"/>
      <c r="JI1996" s="38"/>
      <c r="JJ1996" s="38"/>
      <c r="JK1996" s="38"/>
      <c r="JL1996" s="38"/>
      <c r="JM1996" s="38"/>
      <c r="JN1996" s="38"/>
      <c r="JO1996" s="38"/>
      <c r="JP1996" s="38"/>
      <c r="JQ1996" s="38"/>
      <c r="JR1996" s="38"/>
      <c r="JS1996" s="38"/>
      <c r="JT1996" s="38"/>
      <c r="JU1996" s="38"/>
      <c r="JV1996" s="38"/>
      <c r="JW1996" s="38"/>
      <c r="JX1996" s="38"/>
      <c r="JY1996" s="38"/>
      <c r="JZ1996" s="38"/>
      <c r="KA1996" s="38"/>
      <c r="KB1996" s="38"/>
      <c r="KC1996" s="38"/>
      <c r="KD1996" s="38"/>
      <c r="KE1996" s="38"/>
      <c r="KF1996" s="38"/>
      <c r="KG1996" s="38"/>
      <c r="KH1996" s="38"/>
      <c r="KI1996" s="38"/>
      <c r="KJ1996" s="38"/>
      <c r="KK1996" s="38"/>
      <c r="KL1996" s="38"/>
      <c r="KM1996" s="38"/>
      <c r="KN1996" s="38"/>
      <c r="KO1996" s="38"/>
      <c r="KP1996" s="38"/>
      <c r="KQ1996" s="38"/>
      <c r="KR1996" s="38"/>
      <c r="KS1996" s="38"/>
      <c r="KT1996" s="38"/>
      <c r="KU1996" s="38"/>
      <c r="KV1996" s="38"/>
      <c r="KW1996" s="38"/>
      <c r="KX1996" s="38"/>
      <c r="KY1996" s="38"/>
      <c r="KZ1996" s="38"/>
      <c r="LA1996" s="38"/>
      <c r="LB1996" s="38"/>
      <c r="LC1996" s="38"/>
      <c r="LD1996" s="38"/>
      <c r="LE1996" s="38"/>
      <c r="LF1996" s="38"/>
      <c r="LG1996" s="38"/>
      <c r="LH1996" s="38"/>
      <c r="LI1996" s="38"/>
      <c r="LJ1996" s="38"/>
      <c r="LK1996" s="38"/>
      <c r="LL1996" s="38"/>
      <c r="LM1996" s="38"/>
      <c r="LN1996" s="38"/>
      <c r="LO1996" s="38"/>
      <c r="LP1996" s="38"/>
      <c r="LQ1996" s="38"/>
      <c r="LR1996" s="38"/>
      <c r="LS1996" s="38"/>
      <c r="LT1996" s="38"/>
      <c r="LU1996" s="38"/>
      <c r="LV1996" s="38"/>
      <c r="LW1996" s="38"/>
      <c r="LX1996" s="38"/>
      <c r="LY1996" s="38"/>
      <c r="LZ1996" s="38"/>
      <c r="MA1996" s="38"/>
      <c r="MB1996" s="38"/>
      <c r="MC1996" s="38"/>
      <c r="MD1996" s="38"/>
      <c r="ME1996" s="38"/>
      <c r="MF1996" s="38"/>
      <c r="MG1996" s="38"/>
      <c r="MH1996" s="38"/>
      <c r="MI1996" s="38"/>
      <c r="MJ1996" s="38"/>
      <c r="MK1996" s="38"/>
      <c r="ML1996" s="38"/>
      <c r="MM1996" s="38"/>
      <c r="MN1996" s="38"/>
      <c r="MO1996" s="38"/>
      <c r="MP1996" s="38"/>
      <c r="MQ1996" s="38"/>
      <c r="MR1996" s="38"/>
      <c r="MS1996" s="38"/>
      <c r="MT1996" s="38"/>
      <c r="MU1996" s="38"/>
      <c r="MV1996" s="38"/>
      <c r="MW1996" s="38"/>
      <c r="MX1996" s="38"/>
      <c r="MY1996" s="38"/>
      <c r="MZ1996" s="38"/>
      <c r="NA1996" s="38"/>
      <c r="NB1996" s="38"/>
      <c r="NC1996" s="38"/>
      <c r="ND1996" s="38"/>
      <c r="NE1996" s="38"/>
      <c r="NF1996" s="38"/>
      <c r="NG1996" s="38"/>
      <c r="NH1996" s="38"/>
      <c r="NI1996" s="38"/>
      <c r="NJ1996" s="38"/>
      <c r="NK1996" s="38"/>
      <c r="NL1996" s="38"/>
      <c r="NM1996" s="38"/>
      <c r="NN1996" s="38"/>
      <c r="NO1996" s="38"/>
      <c r="NP1996" s="38"/>
      <c r="NQ1996" s="38"/>
      <c r="NR1996" s="38"/>
      <c r="NS1996" s="38"/>
      <c r="NT1996" s="38"/>
      <c r="NU1996" s="38"/>
      <c r="NV1996" s="38"/>
      <c r="NW1996" s="38"/>
      <c r="NX1996" s="38"/>
      <c r="NY1996" s="38"/>
      <c r="NZ1996" s="38"/>
      <c r="OA1996" s="38"/>
      <c r="OB1996" s="38"/>
      <c r="OC1996" s="38"/>
      <c r="OD1996" s="38"/>
      <c r="OE1996" s="38"/>
      <c r="OF1996" s="38"/>
      <c r="OG1996" s="38"/>
      <c r="OH1996" s="38"/>
      <c r="OI1996" s="38"/>
      <c r="OJ1996" s="38"/>
      <c r="OK1996" s="38"/>
      <c r="OL1996" s="38"/>
      <c r="OM1996" s="38"/>
      <c r="ON1996" s="38"/>
      <c r="OO1996" s="38"/>
      <c r="OP1996" s="38"/>
      <c r="OQ1996" s="38"/>
      <c r="OR1996" s="38"/>
      <c r="OS1996" s="38"/>
      <c r="OT1996" s="38"/>
      <c r="OU1996" s="38"/>
      <c r="OV1996" s="38"/>
      <c r="OW1996" s="38"/>
      <c r="OX1996" s="38"/>
      <c r="OY1996" s="38"/>
      <c r="OZ1996" s="38"/>
      <c r="PA1996" s="38"/>
      <c r="PB1996" s="38"/>
      <c r="PC1996" s="38"/>
      <c r="PD1996" s="38"/>
      <c r="PE1996" s="38"/>
      <c r="PF1996" s="38"/>
      <c r="PG1996" s="38"/>
      <c r="PH1996" s="38"/>
      <c r="PI1996" s="38"/>
      <c r="PJ1996" s="38"/>
      <c r="PK1996" s="38"/>
      <c r="PL1996" s="38"/>
      <c r="PM1996" s="38"/>
      <c r="PN1996" s="38"/>
      <c r="PO1996" s="38"/>
      <c r="PP1996" s="38"/>
      <c r="PQ1996" s="38"/>
      <c r="PR1996" s="38"/>
      <c r="PS1996" s="38"/>
      <c r="PT1996" s="38"/>
      <c r="PU1996" s="38"/>
      <c r="PV1996" s="38"/>
      <c r="PW1996" s="38"/>
      <c r="PX1996" s="38"/>
      <c r="PY1996" s="38"/>
      <c r="PZ1996" s="38"/>
      <c r="QA1996" s="38"/>
      <c r="QB1996" s="38"/>
      <c r="QC1996" s="38"/>
      <c r="QD1996" s="38"/>
      <c r="QE1996" s="38"/>
      <c r="QF1996" s="38"/>
      <c r="QG1996" s="38"/>
      <c r="QH1996" s="38"/>
      <c r="QI1996" s="38"/>
      <c r="QJ1996" s="38"/>
      <c r="QK1996" s="38"/>
      <c r="QL1996" s="38"/>
      <c r="QM1996" s="38"/>
      <c r="QN1996" s="38"/>
      <c r="QO1996" s="38"/>
      <c r="QP1996" s="38"/>
      <c r="QQ1996" s="38"/>
      <c r="QR1996" s="38"/>
      <c r="QS1996" s="38"/>
      <c r="QT1996" s="38"/>
      <c r="QU1996" s="38"/>
      <c r="QV1996" s="38"/>
      <c r="QW1996" s="38"/>
      <c r="QX1996" s="38"/>
      <c r="QY1996" s="38"/>
      <c r="QZ1996" s="38"/>
      <c r="RA1996" s="38"/>
      <c r="RB1996" s="38"/>
      <c r="RC1996" s="38"/>
      <c r="RD1996" s="38"/>
      <c r="RE1996" s="38"/>
      <c r="RF1996" s="38"/>
      <c r="RG1996" s="38"/>
      <c r="RH1996" s="38"/>
      <c r="RI1996" s="38"/>
      <c r="RJ1996" s="38"/>
      <c r="RK1996" s="38"/>
      <c r="RL1996" s="38"/>
      <c r="RM1996" s="38"/>
      <c r="RN1996" s="38"/>
      <c r="RO1996" s="38"/>
      <c r="RP1996" s="38"/>
      <c r="RQ1996" s="38"/>
      <c r="RR1996" s="38"/>
      <c r="RS1996" s="38"/>
      <c r="RT1996" s="38"/>
      <c r="RU1996" s="38"/>
      <c r="RV1996" s="38"/>
      <c r="RW1996" s="38"/>
      <c r="RX1996" s="38"/>
      <c r="RY1996" s="38"/>
      <c r="RZ1996" s="38"/>
      <c r="SA1996" s="38"/>
      <c r="SB1996" s="38"/>
      <c r="SC1996" s="38"/>
      <c r="SD1996" s="38"/>
      <c r="SE1996" s="38"/>
      <c r="SF1996" s="38"/>
      <c r="SG1996" s="38"/>
      <c r="SH1996" s="38"/>
      <c r="SI1996" s="38"/>
      <c r="SJ1996" s="38"/>
      <c r="SK1996" s="38"/>
      <c r="SL1996" s="38"/>
      <c r="SM1996" s="38"/>
      <c r="SN1996" s="38"/>
      <c r="SO1996" s="38"/>
      <c r="SP1996" s="38"/>
      <c r="SQ1996" s="38"/>
      <c r="SR1996" s="38"/>
      <c r="SS1996" s="38"/>
      <c r="ST1996" s="38"/>
      <c r="SU1996" s="38"/>
      <c r="SV1996" s="38"/>
      <c r="SW1996" s="38"/>
      <c r="SX1996" s="38"/>
      <c r="SY1996" s="38"/>
      <c r="SZ1996" s="38"/>
      <c r="TA1996" s="38"/>
      <c r="TB1996" s="38"/>
      <c r="TC1996" s="38"/>
      <c r="TD1996" s="38"/>
      <c r="TE1996" s="38"/>
      <c r="TF1996" s="38"/>
      <c r="TG1996" s="38"/>
      <c r="TH1996" s="38"/>
      <c r="TI1996" s="38"/>
      <c r="TJ1996" s="38"/>
      <c r="TK1996" s="38"/>
      <c r="TL1996" s="38"/>
      <c r="TM1996" s="38"/>
      <c r="TN1996" s="38"/>
      <c r="TO1996" s="38"/>
      <c r="TP1996" s="38"/>
      <c r="TQ1996" s="38"/>
      <c r="TR1996" s="38"/>
      <c r="TS1996" s="38"/>
      <c r="TT1996" s="38"/>
      <c r="TU1996" s="38"/>
      <c r="TV1996" s="38"/>
      <c r="TW1996" s="38"/>
      <c r="TX1996" s="38"/>
      <c r="TY1996" s="38"/>
      <c r="TZ1996" s="38"/>
      <c r="UA1996" s="38"/>
      <c r="UB1996" s="38"/>
      <c r="UC1996" s="38"/>
      <c r="UD1996" s="38"/>
      <c r="UE1996" s="38"/>
      <c r="UF1996" s="38"/>
      <c r="UG1996" s="38"/>
      <c r="UH1996" s="38"/>
      <c r="UI1996" s="38"/>
      <c r="UJ1996" s="38"/>
      <c r="UK1996" s="38"/>
      <c r="UL1996" s="38"/>
      <c r="UM1996" s="38"/>
      <c r="UN1996" s="38"/>
      <c r="UO1996" s="38"/>
      <c r="UP1996" s="38"/>
      <c r="UQ1996" s="38"/>
      <c r="UR1996" s="38"/>
      <c r="US1996" s="38"/>
      <c r="UT1996" s="38"/>
      <c r="UU1996" s="38"/>
      <c r="UV1996" s="38"/>
      <c r="UW1996" s="38"/>
      <c r="UX1996" s="38"/>
      <c r="UY1996" s="38"/>
      <c r="UZ1996" s="38"/>
      <c r="VA1996" s="38"/>
      <c r="VB1996" s="38"/>
      <c r="VC1996" s="38"/>
      <c r="VD1996" s="38"/>
      <c r="VE1996" s="38"/>
      <c r="VF1996" s="38"/>
      <c r="VG1996" s="38"/>
      <c r="VH1996" s="38"/>
      <c r="VI1996" s="38"/>
      <c r="VJ1996" s="38"/>
      <c r="VK1996" s="38"/>
      <c r="VL1996" s="38"/>
      <c r="VM1996" s="38"/>
      <c r="VN1996" s="38"/>
      <c r="VO1996" s="38"/>
      <c r="VP1996" s="38"/>
      <c r="VQ1996" s="38"/>
      <c r="VR1996" s="38"/>
      <c r="VS1996" s="38"/>
      <c r="VT1996" s="38"/>
      <c r="VU1996" s="38"/>
      <c r="VV1996" s="38"/>
      <c r="VW1996" s="38"/>
      <c r="VX1996" s="38"/>
      <c r="VY1996" s="38"/>
      <c r="VZ1996" s="38"/>
      <c r="WA1996" s="38"/>
      <c r="WB1996" s="38"/>
      <c r="WC1996" s="38"/>
      <c r="WD1996" s="38"/>
      <c r="WE1996" s="38"/>
      <c r="WF1996" s="38"/>
      <c r="WG1996" s="38"/>
      <c r="WH1996" s="38"/>
      <c r="WI1996" s="38"/>
      <c r="WJ1996" s="38"/>
      <c r="WK1996" s="38"/>
      <c r="WL1996" s="38"/>
      <c r="WM1996" s="38"/>
      <c r="WN1996" s="38"/>
      <c r="WO1996" s="38"/>
      <c r="WP1996" s="38"/>
      <c r="WQ1996" s="38"/>
      <c r="WR1996" s="38"/>
      <c r="WS1996" s="38"/>
      <c r="WT1996" s="38"/>
      <c r="WU1996" s="38"/>
      <c r="WV1996" s="38"/>
      <c r="WW1996" s="38"/>
      <c r="WX1996" s="38"/>
      <c r="WY1996" s="38"/>
      <c r="WZ1996" s="38"/>
      <c r="XA1996" s="38"/>
      <c r="XB1996" s="38"/>
      <c r="XC1996" s="38"/>
      <c r="XD1996" s="38"/>
      <c r="XE1996" s="38"/>
      <c r="XF1996" s="38"/>
      <c r="XG1996" s="38"/>
      <c r="XH1996" s="38"/>
      <c r="XI1996" s="38"/>
      <c r="XJ1996" s="38"/>
      <c r="XK1996" s="38"/>
      <c r="XL1996" s="38"/>
      <c r="XM1996" s="38"/>
      <c r="XN1996" s="38"/>
      <c r="XO1996" s="38"/>
      <c r="XP1996" s="38"/>
      <c r="XQ1996" s="38"/>
      <c r="XR1996" s="38"/>
      <c r="XS1996" s="38"/>
      <c r="XT1996" s="38"/>
      <c r="XU1996" s="38"/>
      <c r="XV1996" s="38"/>
      <c r="XW1996" s="38"/>
      <c r="XX1996" s="38"/>
      <c r="XY1996" s="38"/>
      <c r="XZ1996" s="38"/>
      <c r="YA1996" s="38"/>
      <c r="YB1996" s="38"/>
      <c r="YC1996" s="38"/>
      <c r="YD1996" s="38"/>
      <c r="YE1996" s="38"/>
      <c r="YF1996" s="38"/>
      <c r="YG1996" s="38"/>
      <c r="YH1996" s="38"/>
      <c r="YI1996" s="38"/>
      <c r="YJ1996" s="38"/>
      <c r="YK1996" s="38"/>
      <c r="YL1996" s="38"/>
      <c r="YM1996" s="38"/>
      <c r="YN1996" s="38"/>
      <c r="YO1996" s="38"/>
      <c r="YP1996" s="38"/>
      <c r="YQ1996" s="38"/>
      <c r="YR1996" s="38"/>
      <c r="YS1996" s="38"/>
      <c r="YT1996" s="38"/>
      <c r="YU1996" s="38"/>
      <c r="YV1996" s="38"/>
      <c r="YW1996" s="38"/>
      <c r="YX1996" s="38"/>
      <c r="YY1996" s="38"/>
      <c r="YZ1996" s="38"/>
      <c r="ZA1996" s="38"/>
      <c r="ZB1996" s="38"/>
      <c r="ZC1996" s="38"/>
      <c r="ZD1996" s="38"/>
      <c r="ZE1996" s="38"/>
      <c r="ZF1996" s="38"/>
      <c r="ZG1996" s="38"/>
      <c r="ZH1996" s="38"/>
      <c r="ZI1996" s="38"/>
      <c r="ZJ1996" s="38"/>
      <c r="ZK1996" s="38"/>
      <c r="ZL1996" s="38"/>
      <c r="ZM1996" s="38"/>
      <c r="ZN1996" s="38"/>
      <c r="ZO1996" s="38"/>
      <c r="ZP1996" s="38"/>
      <c r="ZQ1996" s="38"/>
      <c r="ZR1996" s="38"/>
      <c r="ZS1996" s="38"/>
      <c r="ZT1996" s="38"/>
      <c r="ZU1996" s="38"/>
      <c r="ZV1996" s="38"/>
      <c r="ZW1996" s="38"/>
      <c r="ZX1996" s="38"/>
      <c r="ZY1996" s="38"/>
      <c r="ZZ1996" s="38"/>
      <c r="AAA1996" s="38"/>
      <c r="AAB1996" s="38"/>
      <c r="AAC1996" s="38"/>
      <c r="AAD1996" s="38"/>
      <c r="AAE1996" s="38"/>
      <c r="AAF1996" s="38"/>
      <c r="AAG1996" s="38"/>
      <c r="AAH1996" s="38"/>
      <c r="AAI1996" s="38"/>
      <c r="AAJ1996" s="38"/>
      <c r="AAK1996" s="38"/>
      <c r="AAL1996" s="38"/>
      <c r="AAM1996" s="38"/>
      <c r="AAN1996" s="38"/>
      <c r="AAO1996" s="38"/>
      <c r="AAP1996" s="38"/>
      <c r="AAQ1996" s="38"/>
      <c r="AAR1996" s="38"/>
      <c r="AAS1996" s="38"/>
      <c r="AAT1996" s="38"/>
      <c r="AAU1996" s="38"/>
      <c r="AAV1996" s="38"/>
      <c r="AAW1996" s="38"/>
      <c r="AAX1996" s="38"/>
      <c r="AAY1996" s="38"/>
      <c r="AAZ1996" s="38"/>
      <c r="ABA1996" s="38"/>
      <c r="ABB1996" s="38"/>
      <c r="ABC1996" s="38"/>
      <c r="ABD1996" s="38"/>
      <c r="ABE1996" s="38"/>
      <c r="ABF1996" s="38"/>
      <c r="ABG1996" s="38"/>
      <c r="ABH1996" s="38"/>
      <c r="ABI1996" s="38"/>
      <c r="ABJ1996" s="38"/>
      <c r="ABK1996" s="38"/>
      <c r="ABL1996" s="38"/>
      <c r="ABM1996" s="38"/>
      <c r="ABN1996" s="38"/>
      <c r="ABO1996" s="38"/>
      <c r="ABP1996" s="38"/>
      <c r="ABQ1996" s="38"/>
      <c r="ABR1996" s="38"/>
      <c r="ABS1996" s="38"/>
      <c r="ABT1996" s="38"/>
      <c r="ABU1996" s="38"/>
      <c r="ABV1996" s="38"/>
      <c r="ABW1996" s="38"/>
      <c r="ABX1996" s="38"/>
      <c r="ABY1996" s="38"/>
      <c r="ABZ1996" s="38"/>
      <c r="ACA1996" s="38"/>
      <c r="ACB1996" s="38"/>
      <c r="ACC1996" s="38"/>
      <c r="ACD1996" s="38"/>
      <c r="ACE1996" s="38"/>
      <c r="ACF1996" s="38"/>
      <c r="ACG1996" s="38"/>
      <c r="ACH1996" s="38"/>
      <c r="ACI1996" s="38"/>
      <c r="ACJ1996" s="38"/>
      <c r="ACK1996" s="38"/>
      <c r="ACL1996" s="38"/>
      <c r="ACM1996" s="38"/>
      <c r="ACN1996" s="38"/>
      <c r="ACO1996" s="38"/>
      <c r="ACP1996" s="38"/>
      <c r="ACQ1996" s="38"/>
      <c r="ACR1996" s="38"/>
      <c r="ACS1996" s="38"/>
      <c r="ACT1996" s="38"/>
      <c r="ACU1996" s="38"/>
      <c r="ACV1996" s="38"/>
      <c r="ACW1996" s="38"/>
      <c r="ACX1996" s="38"/>
      <c r="ACY1996" s="38"/>
      <c r="ACZ1996" s="38"/>
      <c r="ADA1996" s="38"/>
      <c r="ADB1996" s="38"/>
      <c r="ADC1996" s="38"/>
      <c r="ADD1996" s="38"/>
      <c r="ADE1996" s="38"/>
      <c r="ADF1996" s="38"/>
      <c r="ADG1996" s="38"/>
      <c r="ADH1996" s="38"/>
      <c r="ADI1996" s="38"/>
      <c r="ADJ1996" s="38"/>
      <c r="ADK1996" s="38"/>
      <c r="ADL1996" s="38"/>
      <c r="ADM1996" s="38"/>
      <c r="ADN1996" s="38"/>
      <c r="ADO1996" s="38"/>
      <c r="ADP1996" s="38"/>
      <c r="ADQ1996" s="38"/>
      <c r="ADR1996" s="38"/>
      <c r="ADS1996" s="38"/>
      <c r="ADT1996" s="38"/>
      <c r="ADU1996" s="38"/>
      <c r="ADV1996" s="38"/>
      <c r="ADW1996" s="38"/>
      <c r="ADX1996" s="38"/>
      <c r="ADY1996" s="38"/>
      <c r="ADZ1996" s="38"/>
      <c r="AEA1996" s="38"/>
      <c r="AEB1996" s="38"/>
      <c r="AEC1996" s="38"/>
      <c r="AED1996" s="38"/>
      <c r="AEE1996" s="38"/>
      <c r="AEF1996" s="38"/>
      <c r="AEG1996" s="38"/>
      <c r="AEH1996" s="38"/>
      <c r="AEI1996" s="38"/>
      <c r="AEJ1996" s="38"/>
      <c r="AEK1996" s="38"/>
      <c r="AEL1996" s="38"/>
      <c r="AEM1996" s="38"/>
      <c r="AEN1996" s="38"/>
      <c r="AEO1996" s="38"/>
      <c r="AEP1996" s="38"/>
      <c r="AEQ1996" s="38"/>
      <c r="AER1996" s="38"/>
      <c r="AES1996" s="38"/>
      <c r="AET1996" s="38"/>
      <c r="AEU1996" s="38"/>
      <c r="AEV1996" s="38"/>
      <c r="AEW1996" s="38"/>
      <c r="AEX1996" s="38"/>
      <c r="AEY1996" s="38"/>
      <c r="AEZ1996" s="38"/>
      <c r="AFA1996" s="38"/>
      <c r="AFB1996" s="38"/>
      <c r="AFC1996" s="38"/>
      <c r="AFD1996" s="38"/>
      <c r="AFE1996" s="38"/>
      <c r="AFF1996" s="38"/>
      <c r="AFG1996" s="38"/>
      <c r="AFH1996" s="38"/>
      <c r="AFI1996" s="38"/>
      <c r="AFJ1996" s="38"/>
      <c r="AFK1996" s="38"/>
      <c r="AFL1996" s="38"/>
      <c r="AFM1996" s="38"/>
      <c r="AFN1996" s="38"/>
      <c r="AFO1996" s="38"/>
      <c r="AFP1996" s="38"/>
      <c r="AFQ1996" s="38"/>
      <c r="AFR1996" s="38"/>
      <c r="AFS1996" s="38"/>
      <c r="AFT1996" s="38"/>
      <c r="AFU1996" s="38"/>
      <c r="AFV1996" s="38"/>
      <c r="AFW1996" s="38"/>
      <c r="AFX1996" s="38"/>
      <c r="AFY1996" s="38"/>
      <c r="AFZ1996" s="38"/>
      <c r="AGA1996" s="38"/>
      <c r="AGB1996" s="38"/>
      <c r="AGC1996" s="38"/>
      <c r="AGD1996" s="38"/>
      <c r="AGE1996" s="38"/>
      <c r="AGF1996" s="38"/>
      <c r="AGG1996" s="38"/>
      <c r="AGH1996" s="38"/>
      <c r="AGI1996" s="38"/>
      <c r="AGJ1996" s="38"/>
      <c r="AGK1996" s="38"/>
      <c r="AGL1996" s="38"/>
      <c r="AGM1996" s="38"/>
      <c r="AGN1996" s="38"/>
      <c r="AGO1996" s="38"/>
      <c r="AGP1996" s="38"/>
      <c r="AGQ1996" s="38"/>
      <c r="AGR1996" s="38"/>
      <c r="AGS1996" s="38"/>
      <c r="AGT1996" s="38"/>
      <c r="AGU1996" s="38"/>
      <c r="AGV1996" s="38"/>
      <c r="AGW1996" s="38"/>
      <c r="AGX1996" s="38"/>
      <c r="AGY1996" s="38"/>
      <c r="AGZ1996" s="38"/>
      <c r="AHA1996" s="38"/>
      <c r="AHB1996" s="38"/>
      <c r="AHC1996" s="38"/>
      <c r="AHD1996" s="38"/>
      <c r="AHE1996" s="38"/>
      <c r="AHF1996" s="38"/>
      <c r="AHG1996" s="38"/>
      <c r="AHH1996" s="38"/>
      <c r="AHI1996" s="38"/>
      <c r="AHJ1996" s="38"/>
      <c r="AHK1996" s="38"/>
      <c r="AHL1996" s="38"/>
      <c r="AHM1996" s="38"/>
      <c r="AHN1996" s="38"/>
      <c r="AHO1996" s="38"/>
      <c r="AHP1996" s="38"/>
      <c r="AHQ1996" s="38"/>
      <c r="AHR1996" s="38"/>
      <c r="AHS1996" s="38"/>
      <c r="AHT1996" s="38"/>
      <c r="AHU1996" s="38"/>
      <c r="AHV1996" s="38"/>
      <c r="AHW1996" s="38"/>
      <c r="AHX1996" s="38"/>
      <c r="AHY1996" s="38"/>
      <c r="AHZ1996" s="38"/>
      <c r="AIA1996" s="38"/>
      <c r="AIB1996" s="38"/>
      <c r="AIC1996" s="38"/>
      <c r="AID1996" s="38"/>
      <c r="AIE1996" s="38"/>
      <c r="AIF1996" s="38"/>
      <c r="AIG1996" s="38"/>
      <c r="AIH1996" s="38"/>
      <c r="AII1996" s="38"/>
      <c r="AIJ1996" s="38"/>
      <c r="AIK1996" s="38"/>
      <c r="AIL1996" s="38"/>
      <c r="AIM1996" s="38"/>
      <c r="AIN1996" s="38"/>
      <c r="AIO1996" s="38"/>
      <c r="AIP1996" s="38"/>
      <c r="AIQ1996" s="38"/>
      <c r="AIR1996" s="38"/>
      <c r="AIS1996" s="38"/>
      <c r="AIT1996" s="38"/>
      <c r="AIU1996" s="38"/>
      <c r="AIV1996" s="38"/>
      <c r="AIW1996" s="38"/>
      <c r="AIX1996" s="38"/>
      <c r="AIY1996" s="38"/>
      <c r="AIZ1996" s="38"/>
      <c r="AJA1996" s="38"/>
      <c r="AJB1996" s="38"/>
      <c r="AJC1996" s="38"/>
      <c r="AJD1996" s="38"/>
      <c r="AJE1996" s="38"/>
      <c r="AJF1996" s="38"/>
      <c r="AJG1996" s="38"/>
      <c r="AJH1996" s="38"/>
      <c r="AJI1996" s="38"/>
      <c r="AJJ1996" s="38"/>
      <c r="AJK1996" s="38"/>
      <c r="AJL1996" s="38"/>
      <c r="AJM1996" s="38"/>
      <c r="AJN1996" s="38"/>
      <c r="AJO1996" s="38"/>
      <c r="AJP1996" s="38"/>
      <c r="AJQ1996" s="38"/>
      <c r="AJR1996" s="38"/>
      <c r="AJS1996" s="38"/>
      <c r="AJT1996" s="38"/>
      <c r="AJU1996" s="38"/>
      <c r="AJV1996" s="38"/>
      <c r="AJW1996" s="38"/>
      <c r="AJX1996" s="38"/>
      <c r="AJY1996" s="38"/>
      <c r="AJZ1996" s="38"/>
      <c r="AKA1996" s="38"/>
      <c r="AKB1996" s="38"/>
      <c r="AKC1996" s="38"/>
      <c r="AKD1996" s="38"/>
      <c r="AKE1996" s="38"/>
      <c r="AKF1996" s="38"/>
      <c r="AKG1996" s="38"/>
      <c r="AKH1996" s="38"/>
      <c r="AKI1996" s="38"/>
      <c r="AKJ1996" s="38"/>
      <c r="AKK1996" s="38"/>
      <c r="AKL1996" s="38"/>
      <c r="AKM1996" s="38"/>
      <c r="AKN1996" s="38"/>
      <c r="AKO1996" s="38"/>
      <c r="AKP1996" s="38"/>
      <c r="AKQ1996" s="38"/>
      <c r="AKR1996" s="38"/>
      <c r="AKS1996" s="38"/>
      <c r="AKT1996" s="38"/>
      <c r="AKU1996" s="38"/>
      <c r="AKV1996" s="38"/>
      <c r="AKW1996" s="38"/>
      <c r="AKX1996" s="38"/>
      <c r="AKY1996" s="38"/>
      <c r="AKZ1996" s="38"/>
      <c r="ALA1996" s="38"/>
      <c r="ALB1996" s="38"/>
      <c r="ALC1996" s="38"/>
      <c r="ALD1996" s="38"/>
      <c r="ALE1996" s="38"/>
      <c r="ALF1996" s="38"/>
      <c r="ALG1996" s="38"/>
      <c r="ALH1996" s="38"/>
      <c r="ALI1996" s="38"/>
      <c r="ALJ1996" s="38"/>
      <c r="ALK1996" s="38"/>
      <c r="ALL1996" s="38"/>
      <c r="ALM1996" s="38"/>
      <c r="ALN1996" s="38"/>
      <c r="ALO1996" s="38"/>
      <c r="ALP1996" s="38"/>
      <c r="ALQ1996" s="38"/>
      <c r="ALR1996" s="38"/>
      <c r="ALS1996" s="38"/>
      <c r="ALT1996" s="38"/>
      <c r="ALU1996" s="38"/>
      <c r="ALV1996" s="38"/>
      <c r="ALW1996" s="38"/>
      <c r="ALX1996" s="38"/>
      <c r="ALY1996" s="38"/>
      <c r="ALZ1996" s="38"/>
      <c r="AMA1996" s="38"/>
      <c r="AMB1996" s="38"/>
      <c r="AMC1996" s="38"/>
      <c r="AMD1996" s="38"/>
      <c r="AME1996" s="38"/>
      <c r="AMF1996" s="38"/>
      <c r="AMG1996" s="38"/>
      <c r="AMH1996" s="38"/>
      <c r="AMI1996" s="38"/>
      <c r="AMJ1996" s="38"/>
      <c r="AMK1996" s="38"/>
      <c r="AML1996" s="38"/>
      <c r="AMM1996" s="38"/>
      <c r="AMN1996" s="38"/>
      <c r="AMO1996" s="38"/>
      <c r="AMP1996" s="38"/>
      <c r="AMQ1996" s="38"/>
      <c r="AMR1996" s="38"/>
      <c r="AMS1996" s="38"/>
      <c r="AMT1996" s="38"/>
      <c r="AMU1996" s="38"/>
      <c r="AMV1996" s="38"/>
      <c r="AMW1996" s="38"/>
      <c r="AMX1996" s="38"/>
      <c r="AMY1996" s="38"/>
      <c r="AMZ1996" s="38"/>
      <c r="ANA1996" s="38"/>
      <c r="ANB1996" s="38"/>
      <c r="ANC1996" s="38"/>
      <c r="AND1996" s="38"/>
      <c r="ANE1996" s="38"/>
      <c r="ANF1996" s="38"/>
      <c r="ANG1996" s="38"/>
      <c r="ANH1996" s="38"/>
      <c r="ANI1996" s="38"/>
      <c r="ANJ1996" s="38"/>
      <c r="ANK1996" s="38"/>
      <c r="ANL1996" s="38"/>
      <c r="ANM1996" s="38"/>
      <c r="ANN1996" s="38"/>
      <c r="ANO1996" s="38"/>
      <c r="ANP1996" s="38"/>
      <c r="ANQ1996" s="38"/>
      <c r="ANR1996" s="38"/>
      <c r="ANS1996" s="38"/>
      <c r="ANT1996" s="38"/>
      <c r="ANU1996" s="38"/>
      <c r="ANV1996" s="38"/>
      <c r="ANW1996" s="38"/>
      <c r="ANX1996" s="38"/>
      <c r="ANY1996" s="38"/>
      <c r="ANZ1996" s="38"/>
      <c r="AOA1996" s="38"/>
      <c r="AOB1996" s="38"/>
      <c r="AOC1996" s="38"/>
      <c r="AOD1996" s="38"/>
      <c r="AOE1996" s="38"/>
      <c r="AOF1996" s="38"/>
      <c r="AOG1996" s="38"/>
      <c r="AOH1996" s="38"/>
      <c r="AOI1996" s="38"/>
      <c r="AOJ1996" s="38"/>
      <c r="AOK1996" s="38"/>
      <c r="AOL1996" s="38"/>
      <c r="AOM1996" s="38"/>
      <c r="AON1996" s="38"/>
      <c r="AOO1996" s="38"/>
      <c r="AOP1996" s="38"/>
      <c r="AOQ1996" s="38"/>
      <c r="AOR1996" s="38"/>
      <c r="AOS1996" s="38"/>
      <c r="AOT1996" s="38"/>
      <c r="AOU1996" s="38"/>
      <c r="AOV1996" s="38"/>
      <c r="AOW1996" s="38"/>
      <c r="AOX1996" s="38"/>
      <c r="AOY1996" s="38"/>
      <c r="AOZ1996" s="38"/>
      <c r="APA1996" s="38"/>
      <c r="APB1996" s="38"/>
      <c r="APC1996" s="38"/>
    </row>
    <row r="1997" spans="1:1095" s="36" customFormat="1" ht="14.25" customHeight="1">
      <c r="A1997" s="3" t="s">
        <v>1722</v>
      </c>
      <c r="B1997" s="36" t="s">
        <v>2321</v>
      </c>
      <c r="C1997" s="10">
        <v>4099854069451</v>
      </c>
      <c r="D1997" s="224">
        <v>4058075590533</v>
      </c>
      <c r="E1997" s="245" t="s">
        <v>2322</v>
      </c>
      <c r="F1997" s="246"/>
      <c r="G1997" s="66" t="str">
        <f>HYPERLINK("https://ledvance.com/pt/product-datasheet/251468/238784","Ficha de Produto")</f>
        <v>Ficha de Produto</v>
      </c>
      <c r="H1997" s="217">
        <v>10</v>
      </c>
      <c r="I1997" s="34" t="s">
        <v>6369</v>
      </c>
      <c r="J1997" s="34" t="s">
        <v>5840</v>
      </c>
      <c r="K1997" s="34" t="s">
        <v>788</v>
      </c>
      <c r="L1997" s="34" t="s">
        <v>6506</v>
      </c>
      <c r="M1997" s="247">
        <v>5.1000000000000005</v>
      </c>
      <c r="N1997" s="288" t="s">
        <v>722</v>
      </c>
    </row>
    <row r="1998" spans="1:1095" s="36" customFormat="1" ht="14.25" customHeight="1">
      <c r="A1998" s="3" t="s">
        <v>1722</v>
      </c>
      <c r="B1998" s="36" t="s">
        <v>2323</v>
      </c>
      <c r="C1998" s="10">
        <v>4099854069376</v>
      </c>
      <c r="D1998" s="224">
        <v>4058075590274</v>
      </c>
      <c r="E1998" s="245" t="s">
        <v>2324</v>
      </c>
      <c r="F1998" s="246"/>
      <c r="G1998" s="66" t="str">
        <f>HYPERLINK("https://ledvance.com/pt/product-datasheet/251468/238757","Ficha de Produto")</f>
        <v>Ficha de Produto</v>
      </c>
      <c r="H1998" s="217">
        <v>10</v>
      </c>
      <c r="I1998" s="34" t="s">
        <v>6369</v>
      </c>
      <c r="J1998" s="34" t="s">
        <v>5840</v>
      </c>
      <c r="K1998" s="34" t="s">
        <v>788</v>
      </c>
      <c r="L1998" s="34" t="s">
        <v>6506</v>
      </c>
      <c r="M1998" s="247">
        <v>5.0999999999999996</v>
      </c>
      <c r="N1998" s="288" t="s">
        <v>722</v>
      </c>
    </row>
    <row r="1999" spans="1:1095" s="36" customFormat="1" ht="14.25" customHeight="1">
      <c r="A1999" s="3" t="s">
        <v>1722</v>
      </c>
      <c r="B1999" s="36" t="s">
        <v>2325</v>
      </c>
      <c r="C1999" s="10">
        <v>4099854069413</v>
      </c>
      <c r="D1999" s="224">
        <v>4058075590458</v>
      </c>
      <c r="E1999" s="245" t="s">
        <v>2326</v>
      </c>
      <c r="F1999" s="246"/>
      <c r="G1999" s="66" t="str">
        <f>HYPERLINK("https://ledvance.com/pt/product-datasheet/251468/238772","Ficha de Produto")</f>
        <v>Ficha de Produto</v>
      </c>
      <c r="H1999" s="217">
        <v>10</v>
      </c>
      <c r="I1999" s="34" t="s">
        <v>6354</v>
      </c>
      <c r="J1999" s="34" t="s">
        <v>855</v>
      </c>
      <c r="K1999" s="34" t="s">
        <v>788</v>
      </c>
      <c r="L1999" s="34" t="s">
        <v>6506</v>
      </c>
      <c r="M1999" s="247">
        <v>6</v>
      </c>
      <c r="N1999" s="288" t="s">
        <v>722</v>
      </c>
    </row>
    <row r="2000" spans="1:1095" s="36" customFormat="1" ht="14.25" customHeight="1">
      <c r="A2000" s="3" t="s">
        <v>1722</v>
      </c>
      <c r="B2000" s="36" t="s">
        <v>2327</v>
      </c>
      <c r="C2000" s="10">
        <v>4099854069314</v>
      </c>
      <c r="D2000" s="224">
        <v>4058075591516</v>
      </c>
      <c r="E2000" s="245" t="s">
        <v>2328</v>
      </c>
      <c r="F2000" s="246"/>
      <c r="G2000" s="66" t="str">
        <f>HYPERLINK("https://ledvance.com/pt/product-datasheet/251468/238844","Ficha de Produto")</f>
        <v>Ficha de Produto</v>
      </c>
      <c r="H2000" s="217">
        <v>10</v>
      </c>
      <c r="I2000" s="34" t="s">
        <v>6354</v>
      </c>
      <c r="J2000" s="34" t="s">
        <v>855</v>
      </c>
      <c r="K2000" s="34" t="s">
        <v>788</v>
      </c>
      <c r="L2000" s="34" t="s">
        <v>6506</v>
      </c>
      <c r="M2000" s="247">
        <v>6</v>
      </c>
      <c r="N2000" s="288" t="s">
        <v>722</v>
      </c>
    </row>
    <row r="2001" spans="1:1095" s="36" customFormat="1" ht="14.25" customHeight="1">
      <c r="A2001" s="3" t="s">
        <v>1722</v>
      </c>
      <c r="B2001" s="36" t="s">
        <v>2329</v>
      </c>
      <c r="C2001" s="10">
        <v>4099854069277</v>
      </c>
      <c r="D2001" s="224">
        <v>4058075591479</v>
      </c>
      <c r="E2001" s="245" t="s">
        <v>2330</v>
      </c>
      <c r="F2001" s="246"/>
      <c r="G2001" s="66" t="str">
        <f>HYPERLINK("https://ledvance.com/pt/product-datasheet/251468/238838","Ficha de Produto")</f>
        <v>Ficha de Produto</v>
      </c>
      <c r="H2001" s="217">
        <v>10</v>
      </c>
      <c r="I2001" s="34" t="s">
        <v>6354</v>
      </c>
      <c r="J2001" s="34" t="s">
        <v>855</v>
      </c>
      <c r="K2001" s="34" t="s">
        <v>788</v>
      </c>
      <c r="L2001" s="34" t="s">
        <v>6506</v>
      </c>
      <c r="M2001" s="247">
        <v>6</v>
      </c>
      <c r="N2001" s="288" t="s">
        <v>722</v>
      </c>
    </row>
    <row r="2002" spans="1:1095" s="36" customFormat="1" ht="14.25" customHeight="1">
      <c r="A2002" s="3" t="s">
        <v>1722</v>
      </c>
      <c r="B2002" s="36" t="s">
        <v>2331</v>
      </c>
      <c r="C2002" s="10">
        <v>4099854069291</v>
      </c>
      <c r="D2002" s="224">
        <v>4058075591493</v>
      </c>
      <c r="E2002" s="245" t="s">
        <v>2332</v>
      </c>
      <c r="F2002" s="246"/>
      <c r="G2002" s="66" t="str">
        <f>HYPERLINK("https://ledvance.com/pt/product-datasheet/251468/238841","Ficha de Produto")</f>
        <v>Ficha de Produto</v>
      </c>
      <c r="H2002" s="217">
        <v>10</v>
      </c>
      <c r="I2002" s="34" t="s">
        <v>6354</v>
      </c>
      <c r="J2002" s="34" t="s">
        <v>855</v>
      </c>
      <c r="K2002" s="34" t="s">
        <v>788</v>
      </c>
      <c r="L2002" s="34" t="s">
        <v>6506</v>
      </c>
      <c r="M2002" s="247">
        <v>6</v>
      </c>
      <c r="N2002" s="288" t="s">
        <v>722</v>
      </c>
    </row>
    <row r="2003" spans="1:1095" s="36" customFormat="1" ht="14.25" customHeight="1">
      <c r="A2003" s="3" t="s">
        <v>1722</v>
      </c>
      <c r="B2003" s="36" t="s">
        <v>2333</v>
      </c>
      <c r="C2003" s="10">
        <v>4099854069475</v>
      </c>
      <c r="D2003" s="224">
        <v>4058075590250</v>
      </c>
      <c r="E2003" s="245" t="s">
        <v>2334</v>
      </c>
      <c r="F2003" s="246"/>
      <c r="G2003" s="66" t="str">
        <f>HYPERLINK("https://ledvance.com/pt/product-datasheet/251479/238754","Ficha de Produto")</f>
        <v>Ficha de Produto</v>
      </c>
      <c r="H2003" s="217">
        <v>10</v>
      </c>
      <c r="I2003" s="34" t="s">
        <v>6354</v>
      </c>
      <c r="J2003" s="34" t="s">
        <v>855</v>
      </c>
      <c r="K2003" s="34" t="s">
        <v>788</v>
      </c>
      <c r="L2003" s="34" t="s">
        <v>6506</v>
      </c>
      <c r="M2003" s="247">
        <v>6</v>
      </c>
      <c r="N2003" s="288" t="s">
        <v>722</v>
      </c>
    </row>
    <row r="2004" spans="1:1095" s="36" customFormat="1" ht="14.25" customHeight="1">
      <c r="A2004" s="3" t="s">
        <v>1722</v>
      </c>
      <c r="B2004" s="36" t="s">
        <v>2335</v>
      </c>
      <c r="C2004" s="10">
        <v>4099854069352</v>
      </c>
      <c r="D2004" s="224">
        <v>4058075590236</v>
      </c>
      <c r="E2004" s="245" t="s">
        <v>2336</v>
      </c>
      <c r="F2004" s="246"/>
      <c r="G2004" s="66" t="str">
        <f>HYPERLINK("https://ledvance.com/pt/product-datasheet/251481/238751","Ficha de Produto")</f>
        <v>Ficha de Produto</v>
      </c>
      <c r="H2004" s="217">
        <v>10</v>
      </c>
      <c r="I2004" s="34" t="s">
        <v>6354</v>
      </c>
      <c r="J2004" s="34" t="s">
        <v>855</v>
      </c>
      <c r="K2004" s="34" t="s">
        <v>788</v>
      </c>
      <c r="L2004" s="34" t="s">
        <v>6506</v>
      </c>
      <c r="M2004" s="247">
        <v>6</v>
      </c>
      <c r="N2004" s="288" t="s">
        <v>722</v>
      </c>
    </row>
    <row r="2005" spans="1:1095" s="36" customFormat="1" ht="14.25" customHeight="1">
      <c r="A2005" s="3" t="s">
        <v>1722</v>
      </c>
      <c r="B2005" s="36" t="s">
        <v>2337</v>
      </c>
      <c r="C2005" s="10">
        <v>4099854062308</v>
      </c>
      <c r="D2005" s="224">
        <v>4058075591011</v>
      </c>
      <c r="E2005" s="245" t="s">
        <v>2338</v>
      </c>
      <c r="F2005" s="246"/>
      <c r="G2005" s="66" t="str">
        <f>HYPERLINK("https://ledvance.com/pt/product-datasheet/251468/237497","Ficha de Produto")</f>
        <v>Ficha de Produto</v>
      </c>
      <c r="H2005" s="217">
        <v>10</v>
      </c>
      <c r="I2005" s="34" t="s">
        <v>6349</v>
      </c>
      <c r="J2005" s="34" t="s">
        <v>6335</v>
      </c>
      <c r="K2005" s="34" t="s">
        <v>788</v>
      </c>
      <c r="L2005" s="34" t="s">
        <v>6506</v>
      </c>
      <c r="M2005" s="247">
        <v>8.9</v>
      </c>
      <c r="N2005" s="288" t="s">
        <v>722</v>
      </c>
    </row>
    <row r="2006" spans="1:1095" s="39" customFormat="1" ht="14.25" customHeight="1">
      <c r="A2006" s="8" t="s">
        <v>1722</v>
      </c>
      <c r="B2006" s="244" t="s">
        <v>2339</v>
      </c>
      <c r="C2006" s="8"/>
      <c r="D2006" s="7"/>
      <c r="E2006" s="230"/>
      <c r="F2006" s="7"/>
      <c r="G2006" s="68" t="s">
        <v>6505</v>
      </c>
      <c r="H2006" s="230"/>
      <c r="I2006" s="230"/>
      <c r="J2006" s="230"/>
      <c r="K2006" s="230"/>
      <c r="L2006" s="230"/>
      <c r="M2006" s="248"/>
      <c r="N2006" s="284"/>
      <c r="O2006" s="38"/>
      <c r="P2006" s="38"/>
      <c r="Q2006" s="38"/>
      <c r="R2006" s="38"/>
      <c r="S2006" s="38"/>
      <c r="T2006" s="38"/>
      <c r="U2006" s="38"/>
      <c r="V2006" s="38"/>
      <c r="W2006" s="38"/>
      <c r="X2006" s="38"/>
      <c r="Y2006" s="38"/>
      <c r="Z2006" s="38"/>
      <c r="AA2006" s="38"/>
      <c r="AB2006" s="38"/>
      <c r="AC2006" s="38"/>
      <c r="AD2006" s="38"/>
      <c r="AE2006" s="38"/>
      <c r="AF2006" s="38"/>
      <c r="AG2006" s="38"/>
      <c r="AH2006" s="38"/>
      <c r="AI2006" s="38"/>
      <c r="AJ2006" s="38"/>
      <c r="AK2006" s="38"/>
      <c r="AL2006" s="38"/>
      <c r="AM2006" s="38"/>
      <c r="AN2006" s="38"/>
      <c r="AO2006" s="38"/>
      <c r="AP2006" s="38"/>
      <c r="AQ2006" s="38"/>
      <c r="AR2006" s="38"/>
      <c r="AS2006" s="38"/>
      <c r="AT2006" s="38"/>
      <c r="AU2006" s="38"/>
      <c r="AV2006" s="38"/>
      <c r="AW2006" s="38"/>
      <c r="AX2006" s="38"/>
      <c r="AY2006" s="38"/>
      <c r="AZ2006" s="38"/>
      <c r="BA2006" s="38"/>
      <c r="BB2006" s="38"/>
      <c r="BC2006" s="38"/>
      <c r="BD2006" s="38"/>
      <c r="BE2006" s="38"/>
      <c r="BF2006" s="38"/>
      <c r="BG2006" s="38"/>
      <c r="BH2006" s="38"/>
      <c r="BI2006" s="38"/>
      <c r="BJ2006" s="38"/>
      <c r="BK2006" s="38"/>
      <c r="BL2006" s="38"/>
      <c r="BM2006" s="38"/>
      <c r="BN2006" s="38"/>
      <c r="BO2006" s="38"/>
      <c r="BP2006" s="38"/>
      <c r="BQ2006" s="38"/>
      <c r="BR2006" s="38"/>
      <c r="BS2006" s="38"/>
      <c r="BT2006" s="38"/>
      <c r="BU2006" s="38"/>
      <c r="BV2006" s="38"/>
      <c r="BW2006" s="38"/>
      <c r="BX2006" s="38"/>
      <c r="BY2006" s="38"/>
      <c r="BZ2006" s="38"/>
      <c r="CA2006" s="38"/>
      <c r="CB2006" s="38"/>
      <c r="CC2006" s="38"/>
      <c r="CD2006" s="38"/>
      <c r="CE2006" s="38"/>
      <c r="CF2006" s="38"/>
      <c r="CG2006" s="38"/>
      <c r="CH2006" s="38"/>
      <c r="CI2006" s="38"/>
      <c r="CJ2006" s="38"/>
      <c r="CK2006" s="38"/>
      <c r="CL2006" s="38"/>
      <c r="CM2006" s="38"/>
      <c r="CN2006" s="38"/>
      <c r="CO2006" s="38"/>
      <c r="CP2006" s="38"/>
      <c r="CQ2006" s="38"/>
      <c r="CR2006" s="38"/>
      <c r="CS2006" s="38"/>
      <c r="CT2006" s="38"/>
      <c r="CU2006" s="38"/>
      <c r="CV2006" s="38"/>
      <c r="CW2006" s="38"/>
      <c r="CX2006" s="38"/>
      <c r="CY2006" s="38"/>
      <c r="CZ2006" s="38"/>
      <c r="DA2006" s="38"/>
      <c r="DB2006" s="38"/>
      <c r="DC2006" s="38"/>
      <c r="DD2006" s="38"/>
      <c r="DE2006" s="38"/>
      <c r="DF2006" s="38"/>
      <c r="DG2006" s="38"/>
      <c r="DH2006" s="38"/>
      <c r="DI2006" s="38"/>
      <c r="DJ2006" s="38"/>
      <c r="DK2006" s="38"/>
      <c r="DL2006" s="38"/>
      <c r="DM2006" s="38"/>
      <c r="DN2006" s="38"/>
      <c r="DO2006" s="38"/>
      <c r="DP2006" s="38"/>
      <c r="DQ2006" s="38"/>
      <c r="DR2006" s="38"/>
      <c r="DS2006" s="38"/>
      <c r="DT2006" s="38"/>
      <c r="DU2006" s="38"/>
      <c r="DV2006" s="38"/>
      <c r="DW2006" s="38"/>
      <c r="DX2006" s="38"/>
      <c r="DY2006" s="38"/>
      <c r="DZ2006" s="38"/>
      <c r="EA2006" s="38"/>
      <c r="EB2006" s="38"/>
      <c r="EC2006" s="38"/>
      <c r="ED2006" s="38"/>
      <c r="EE2006" s="38"/>
      <c r="EF2006" s="38"/>
      <c r="EG2006" s="38"/>
      <c r="EH2006" s="38"/>
      <c r="EI2006" s="38"/>
      <c r="EJ2006" s="38"/>
      <c r="EK2006" s="38"/>
      <c r="EL2006" s="38"/>
      <c r="EM2006" s="38"/>
      <c r="EN2006" s="38"/>
      <c r="EO2006" s="38"/>
      <c r="EP2006" s="38"/>
      <c r="EQ2006" s="38"/>
      <c r="ER2006" s="38"/>
      <c r="ES2006" s="38"/>
      <c r="ET2006" s="38"/>
      <c r="EU2006" s="38"/>
      <c r="EV2006" s="38"/>
      <c r="EW2006" s="38"/>
      <c r="EX2006" s="38"/>
      <c r="EY2006" s="38"/>
      <c r="EZ2006" s="38"/>
      <c r="FA2006" s="38"/>
      <c r="FB2006" s="38"/>
      <c r="FC2006" s="38"/>
      <c r="FD2006" s="38"/>
      <c r="FE2006" s="38"/>
      <c r="FF2006" s="38"/>
      <c r="FG2006" s="38"/>
      <c r="FH2006" s="38"/>
      <c r="FI2006" s="38"/>
      <c r="FJ2006" s="38"/>
      <c r="FK2006" s="38"/>
      <c r="FL2006" s="38"/>
      <c r="FM2006" s="38"/>
      <c r="FN2006" s="38"/>
      <c r="FO2006" s="38"/>
      <c r="FP2006" s="38"/>
      <c r="FQ2006" s="38"/>
      <c r="FR2006" s="38"/>
      <c r="FS2006" s="38"/>
      <c r="FT2006" s="38"/>
      <c r="FU2006" s="38"/>
      <c r="FV2006" s="38"/>
      <c r="FW2006" s="38"/>
      <c r="FX2006" s="38"/>
      <c r="FY2006" s="38"/>
      <c r="FZ2006" s="38"/>
      <c r="GA2006" s="38"/>
      <c r="GB2006" s="38"/>
      <c r="GC2006" s="38"/>
      <c r="GD2006" s="38"/>
      <c r="GE2006" s="38"/>
      <c r="GF2006" s="38"/>
      <c r="GG2006" s="38"/>
      <c r="GH2006" s="38"/>
      <c r="GI2006" s="38"/>
      <c r="GJ2006" s="38"/>
      <c r="GK2006" s="38"/>
      <c r="GL2006" s="38"/>
      <c r="GM2006" s="38"/>
      <c r="GN2006" s="38"/>
      <c r="GO2006" s="38"/>
      <c r="GP2006" s="38"/>
      <c r="GQ2006" s="38"/>
      <c r="GR2006" s="38"/>
      <c r="GS2006" s="38"/>
      <c r="GT2006" s="38"/>
      <c r="GU2006" s="38"/>
      <c r="GV2006" s="38"/>
      <c r="GW2006" s="38"/>
      <c r="GX2006" s="38"/>
      <c r="GY2006" s="38"/>
      <c r="GZ2006" s="38"/>
      <c r="HA2006" s="38"/>
      <c r="HB2006" s="38"/>
      <c r="HC2006" s="38"/>
      <c r="HD2006" s="38"/>
      <c r="HE2006" s="38"/>
      <c r="HF2006" s="38"/>
      <c r="HG2006" s="38"/>
      <c r="HH2006" s="38"/>
      <c r="HI2006" s="38"/>
      <c r="HJ2006" s="38"/>
      <c r="HK2006" s="38"/>
      <c r="HL2006" s="38"/>
      <c r="HM2006" s="38"/>
      <c r="HN2006" s="38"/>
      <c r="HO2006" s="38"/>
      <c r="HP2006" s="38"/>
      <c r="HQ2006" s="38"/>
      <c r="HR2006" s="38"/>
      <c r="HS2006" s="38"/>
      <c r="HT2006" s="38"/>
      <c r="HU2006" s="38"/>
      <c r="HV2006" s="38"/>
      <c r="HW2006" s="38"/>
      <c r="HX2006" s="38"/>
      <c r="HY2006" s="38"/>
      <c r="HZ2006" s="38"/>
      <c r="IA2006" s="38"/>
      <c r="IB2006" s="38"/>
      <c r="IC2006" s="38"/>
      <c r="ID2006" s="38"/>
      <c r="IE2006" s="38"/>
      <c r="IF2006" s="38"/>
      <c r="IG2006" s="38"/>
      <c r="IH2006" s="38"/>
      <c r="II2006" s="38"/>
      <c r="IJ2006" s="38"/>
      <c r="IK2006" s="38"/>
      <c r="IL2006" s="38"/>
      <c r="IM2006" s="38"/>
      <c r="IN2006" s="38"/>
      <c r="IO2006" s="38"/>
      <c r="IP2006" s="38"/>
      <c r="IQ2006" s="38"/>
      <c r="IR2006" s="38"/>
      <c r="IS2006" s="38"/>
      <c r="IT2006" s="38"/>
      <c r="IU2006" s="38"/>
      <c r="IV2006" s="38"/>
      <c r="IW2006" s="38"/>
      <c r="IX2006" s="38"/>
      <c r="IY2006" s="38"/>
      <c r="IZ2006" s="38"/>
      <c r="JA2006" s="38"/>
      <c r="JB2006" s="38"/>
      <c r="JC2006" s="38"/>
      <c r="JD2006" s="38"/>
      <c r="JE2006" s="38"/>
      <c r="JF2006" s="38"/>
      <c r="JG2006" s="38"/>
      <c r="JH2006" s="38"/>
      <c r="JI2006" s="38"/>
      <c r="JJ2006" s="38"/>
      <c r="JK2006" s="38"/>
      <c r="JL2006" s="38"/>
      <c r="JM2006" s="38"/>
      <c r="JN2006" s="38"/>
      <c r="JO2006" s="38"/>
      <c r="JP2006" s="38"/>
      <c r="JQ2006" s="38"/>
      <c r="JR2006" s="38"/>
      <c r="JS2006" s="38"/>
      <c r="JT2006" s="38"/>
      <c r="JU2006" s="38"/>
      <c r="JV2006" s="38"/>
      <c r="JW2006" s="38"/>
      <c r="JX2006" s="38"/>
      <c r="JY2006" s="38"/>
      <c r="JZ2006" s="38"/>
      <c r="KA2006" s="38"/>
      <c r="KB2006" s="38"/>
      <c r="KC2006" s="38"/>
      <c r="KD2006" s="38"/>
      <c r="KE2006" s="38"/>
      <c r="KF2006" s="38"/>
      <c r="KG2006" s="38"/>
      <c r="KH2006" s="38"/>
      <c r="KI2006" s="38"/>
      <c r="KJ2006" s="38"/>
      <c r="KK2006" s="38"/>
      <c r="KL2006" s="38"/>
      <c r="KM2006" s="38"/>
      <c r="KN2006" s="38"/>
      <c r="KO2006" s="38"/>
      <c r="KP2006" s="38"/>
      <c r="KQ2006" s="38"/>
      <c r="KR2006" s="38"/>
      <c r="KS2006" s="38"/>
      <c r="KT2006" s="38"/>
      <c r="KU2006" s="38"/>
      <c r="KV2006" s="38"/>
      <c r="KW2006" s="38"/>
      <c r="KX2006" s="38"/>
      <c r="KY2006" s="38"/>
      <c r="KZ2006" s="38"/>
      <c r="LA2006" s="38"/>
      <c r="LB2006" s="38"/>
      <c r="LC2006" s="38"/>
      <c r="LD2006" s="38"/>
      <c r="LE2006" s="38"/>
      <c r="LF2006" s="38"/>
      <c r="LG2006" s="38"/>
      <c r="LH2006" s="38"/>
      <c r="LI2006" s="38"/>
      <c r="LJ2006" s="38"/>
      <c r="LK2006" s="38"/>
      <c r="LL2006" s="38"/>
      <c r="LM2006" s="38"/>
      <c r="LN2006" s="38"/>
      <c r="LO2006" s="38"/>
      <c r="LP2006" s="38"/>
      <c r="LQ2006" s="38"/>
      <c r="LR2006" s="38"/>
      <c r="LS2006" s="38"/>
      <c r="LT2006" s="38"/>
      <c r="LU2006" s="38"/>
      <c r="LV2006" s="38"/>
      <c r="LW2006" s="38"/>
      <c r="LX2006" s="38"/>
      <c r="LY2006" s="38"/>
      <c r="LZ2006" s="38"/>
      <c r="MA2006" s="38"/>
      <c r="MB2006" s="38"/>
      <c r="MC2006" s="38"/>
      <c r="MD2006" s="38"/>
      <c r="ME2006" s="38"/>
      <c r="MF2006" s="38"/>
      <c r="MG2006" s="38"/>
      <c r="MH2006" s="38"/>
      <c r="MI2006" s="38"/>
      <c r="MJ2006" s="38"/>
      <c r="MK2006" s="38"/>
      <c r="ML2006" s="38"/>
      <c r="MM2006" s="38"/>
      <c r="MN2006" s="38"/>
      <c r="MO2006" s="38"/>
      <c r="MP2006" s="38"/>
      <c r="MQ2006" s="38"/>
      <c r="MR2006" s="38"/>
      <c r="MS2006" s="38"/>
      <c r="MT2006" s="38"/>
      <c r="MU2006" s="38"/>
      <c r="MV2006" s="38"/>
      <c r="MW2006" s="38"/>
      <c r="MX2006" s="38"/>
      <c r="MY2006" s="38"/>
      <c r="MZ2006" s="38"/>
      <c r="NA2006" s="38"/>
      <c r="NB2006" s="38"/>
      <c r="NC2006" s="38"/>
      <c r="ND2006" s="38"/>
      <c r="NE2006" s="38"/>
      <c r="NF2006" s="38"/>
      <c r="NG2006" s="38"/>
      <c r="NH2006" s="38"/>
      <c r="NI2006" s="38"/>
      <c r="NJ2006" s="38"/>
      <c r="NK2006" s="38"/>
      <c r="NL2006" s="38"/>
      <c r="NM2006" s="38"/>
      <c r="NN2006" s="38"/>
      <c r="NO2006" s="38"/>
      <c r="NP2006" s="38"/>
      <c r="NQ2006" s="38"/>
      <c r="NR2006" s="38"/>
      <c r="NS2006" s="38"/>
      <c r="NT2006" s="38"/>
      <c r="NU2006" s="38"/>
      <c r="NV2006" s="38"/>
      <c r="NW2006" s="38"/>
      <c r="NX2006" s="38"/>
      <c r="NY2006" s="38"/>
      <c r="NZ2006" s="38"/>
      <c r="OA2006" s="38"/>
      <c r="OB2006" s="38"/>
      <c r="OC2006" s="38"/>
      <c r="OD2006" s="38"/>
      <c r="OE2006" s="38"/>
      <c r="OF2006" s="38"/>
      <c r="OG2006" s="38"/>
      <c r="OH2006" s="38"/>
      <c r="OI2006" s="38"/>
      <c r="OJ2006" s="38"/>
      <c r="OK2006" s="38"/>
      <c r="OL2006" s="38"/>
      <c r="OM2006" s="38"/>
      <c r="ON2006" s="38"/>
      <c r="OO2006" s="38"/>
      <c r="OP2006" s="38"/>
      <c r="OQ2006" s="38"/>
      <c r="OR2006" s="38"/>
      <c r="OS2006" s="38"/>
      <c r="OT2006" s="38"/>
      <c r="OU2006" s="38"/>
      <c r="OV2006" s="38"/>
      <c r="OW2006" s="38"/>
      <c r="OX2006" s="38"/>
      <c r="OY2006" s="38"/>
      <c r="OZ2006" s="38"/>
      <c r="PA2006" s="38"/>
      <c r="PB2006" s="38"/>
      <c r="PC2006" s="38"/>
      <c r="PD2006" s="38"/>
      <c r="PE2006" s="38"/>
      <c r="PF2006" s="38"/>
      <c r="PG2006" s="38"/>
      <c r="PH2006" s="38"/>
      <c r="PI2006" s="38"/>
      <c r="PJ2006" s="38"/>
      <c r="PK2006" s="38"/>
      <c r="PL2006" s="38"/>
      <c r="PM2006" s="38"/>
      <c r="PN2006" s="38"/>
      <c r="PO2006" s="38"/>
      <c r="PP2006" s="38"/>
      <c r="PQ2006" s="38"/>
      <c r="PR2006" s="38"/>
      <c r="PS2006" s="38"/>
      <c r="PT2006" s="38"/>
      <c r="PU2006" s="38"/>
      <c r="PV2006" s="38"/>
      <c r="PW2006" s="38"/>
      <c r="PX2006" s="38"/>
      <c r="PY2006" s="38"/>
      <c r="PZ2006" s="38"/>
      <c r="QA2006" s="38"/>
      <c r="QB2006" s="38"/>
      <c r="QC2006" s="38"/>
      <c r="QD2006" s="38"/>
      <c r="QE2006" s="38"/>
      <c r="QF2006" s="38"/>
      <c r="QG2006" s="38"/>
      <c r="QH2006" s="38"/>
      <c r="QI2006" s="38"/>
      <c r="QJ2006" s="38"/>
      <c r="QK2006" s="38"/>
      <c r="QL2006" s="38"/>
      <c r="QM2006" s="38"/>
      <c r="QN2006" s="38"/>
      <c r="QO2006" s="38"/>
      <c r="QP2006" s="38"/>
      <c r="QQ2006" s="38"/>
      <c r="QR2006" s="38"/>
      <c r="QS2006" s="38"/>
      <c r="QT2006" s="38"/>
      <c r="QU2006" s="38"/>
      <c r="QV2006" s="38"/>
      <c r="QW2006" s="38"/>
      <c r="QX2006" s="38"/>
      <c r="QY2006" s="38"/>
      <c r="QZ2006" s="38"/>
      <c r="RA2006" s="38"/>
      <c r="RB2006" s="38"/>
      <c r="RC2006" s="38"/>
      <c r="RD2006" s="38"/>
      <c r="RE2006" s="38"/>
      <c r="RF2006" s="38"/>
      <c r="RG2006" s="38"/>
      <c r="RH2006" s="38"/>
      <c r="RI2006" s="38"/>
      <c r="RJ2006" s="38"/>
      <c r="RK2006" s="38"/>
      <c r="RL2006" s="38"/>
      <c r="RM2006" s="38"/>
      <c r="RN2006" s="38"/>
      <c r="RO2006" s="38"/>
      <c r="RP2006" s="38"/>
      <c r="RQ2006" s="38"/>
      <c r="RR2006" s="38"/>
      <c r="RS2006" s="38"/>
      <c r="RT2006" s="38"/>
      <c r="RU2006" s="38"/>
      <c r="RV2006" s="38"/>
      <c r="RW2006" s="38"/>
      <c r="RX2006" s="38"/>
      <c r="RY2006" s="38"/>
      <c r="RZ2006" s="38"/>
      <c r="SA2006" s="38"/>
      <c r="SB2006" s="38"/>
      <c r="SC2006" s="38"/>
      <c r="SD2006" s="38"/>
      <c r="SE2006" s="38"/>
      <c r="SF2006" s="38"/>
      <c r="SG2006" s="38"/>
      <c r="SH2006" s="38"/>
      <c r="SI2006" s="38"/>
      <c r="SJ2006" s="38"/>
      <c r="SK2006" s="38"/>
      <c r="SL2006" s="38"/>
      <c r="SM2006" s="38"/>
      <c r="SN2006" s="38"/>
      <c r="SO2006" s="38"/>
      <c r="SP2006" s="38"/>
      <c r="SQ2006" s="38"/>
      <c r="SR2006" s="38"/>
      <c r="SS2006" s="38"/>
      <c r="ST2006" s="38"/>
      <c r="SU2006" s="38"/>
      <c r="SV2006" s="38"/>
      <c r="SW2006" s="38"/>
      <c r="SX2006" s="38"/>
      <c r="SY2006" s="38"/>
      <c r="SZ2006" s="38"/>
      <c r="TA2006" s="38"/>
      <c r="TB2006" s="38"/>
      <c r="TC2006" s="38"/>
      <c r="TD2006" s="38"/>
      <c r="TE2006" s="38"/>
      <c r="TF2006" s="38"/>
      <c r="TG2006" s="38"/>
      <c r="TH2006" s="38"/>
      <c r="TI2006" s="38"/>
      <c r="TJ2006" s="38"/>
      <c r="TK2006" s="38"/>
      <c r="TL2006" s="38"/>
      <c r="TM2006" s="38"/>
      <c r="TN2006" s="38"/>
      <c r="TO2006" s="38"/>
      <c r="TP2006" s="38"/>
      <c r="TQ2006" s="38"/>
      <c r="TR2006" s="38"/>
      <c r="TS2006" s="38"/>
      <c r="TT2006" s="38"/>
      <c r="TU2006" s="38"/>
      <c r="TV2006" s="38"/>
      <c r="TW2006" s="38"/>
      <c r="TX2006" s="38"/>
      <c r="TY2006" s="38"/>
      <c r="TZ2006" s="38"/>
      <c r="UA2006" s="38"/>
      <c r="UB2006" s="38"/>
      <c r="UC2006" s="38"/>
      <c r="UD2006" s="38"/>
      <c r="UE2006" s="38"/>
      <c r="UF2006" s="38"/>
      <c r="UG2006" s="38"/>
      <c r="UH2006" s="38"/>
      <c r="UI2006" s="38"/>
      <c r="UJ2006" s="38"/>
      <c r="UK2006" s="38"/>
      <c r="UL2006" s="38"/>
      <c r="UM2006" s="38"/>
      <c r="UN2006" s="38"/>
      <c r="UO2006" s="38"/>
      <c r="UP2006" s="38"/>
      <c r="UQ2006" s="38"/>
      <c r="UR2006" s="38"/>
      <c r="US2006" s="38"/>
      <c r="UT2006" s="38"/>
      <c r="UU2006" s="38"/>
      <c r="UV2006" s="38"/>
      <c r="UW2006" s="38"/>
      <c r="UX2006" s="38"/>
      <c r="UY2006" s="38"/>
      <c r="UZ2006" s="38"/>
      <c r="VA2006" s="38"/>
      <c r="VB2006" s="38"/>
      <c r="VC2006" s="38"/>
      <c r="VD2006" s="38"/>
      <c r="VE2006" s="38"/>
      <c r="VF2006" s="38"/>
      <c r="VG2006" s="38"/>
      <c r="VH2006" s="38"/>
      <c r="VI2006" s="38"/>
      <c r="VJ2006" s="38"/>
      <c r="VK2006" s="38"/>
      <c r="VL2006" s="38"/>
      <c r="VM2006" s="38"/>
      <c r="VN2006" s="38"/>
      <c r="VO2006" s="38"/>
      <c r="VP2006" s="38"/>
      <c r="VQ2006" s="38"/>
      <c r="VR2006" s="38"/>
      <c r="VS2006" s="38"/>
      <c r="VT2006" s="38"/>
      <c r="VU2006" s="38"/>
      <c r="VV2006" s="38"/>
      <c r="VW2006" s="38"/>
      <c r="VX2006" s="38"/>
      <c r="VY2006" s="38"/>
      <c r="VZ2006" s="38"/>
      <c r="WA2006" s="38"/>
      <c r="WB2006" s="38"/>
      <c r="WC2006" s="38"/>
      <c r="WD2006" s="38"/>
      <c r="WE2006" s="38"/>
      <c r="WF2006" s="38"/>
      <c r="WG2006" s="38"/>
      <c r="WH2006" s="38"/>
      <c r="WI2006" s="38"/>
      <c r="WJ2006" s="38"/>
      <c r="WK2006" s="38"/>
      <c r="WL2006" s="38"/>
      <c r="WM2006" s="38"/>
      <c r="WN2006" s="38"/>
      <c r="WO2006" s="38"/>
      <c r="WP2006" s="38"/>
      <c r="WQ2006" s="38"/>
      <c r="WR2006" s="38"/>
      <c r="WS2006" s="38"/>
      <c r="WT2006" s="38"/>
      <c r="WU2006" s="38"/>
      <c r="WV2006" s="38"/>
      <c r="WW2006" s="38"/>
      <c r="WX2006" s="38"/>
      <c r="WY2006" s="38"/>
      <c r="WZ2006" s="38"/>
      <c r="XA2006" s="38"/>
      <c r="XB2006" s="38"/>
      <c r="XC2006" s="38"/>
      <c r="XD2006" s="38"/>
      <c r="XE2006" s="38"/>
      <c r="XF2006" s="38"/>
      <c r="XG2006" s="38"/>
      <c r="XH2006" s="38"/>
      <c r="XI2006" s="38"/>
      <c r="XJ2006" s="38"/>
      <c r="XK2006" s="38"/>
      <c r="XL2006" s="38"/>
      <c r="XM2006" s="38"/>
      <c r="XN2006" s="38"/>
      <c r="XO2006" s="38"/>
      <c r="XP2006" s="38"/>
      <c r="XQ2006" s="38"/>
      <c r="XR2006" s="38"/>
      <c r="XS2006" s="38"/>
      <c r="XT2006" s="38"/>
      <c r="XU2006" s="38"/>
      <c r="XV2006" s="38"/>
      <c r="XW2006" s="38"/>
      <c r="XX2006" s="38"/>
      <c r="XY2006" s="38"/>
      <c r="XZ2006" s="38"/>
      <c r="YA2006" s="38"/>
      <c r="YB2006" s="38"/>
      <c r="YC2006" s="38"/>
      <c r="YD2006" s="38"/>
      <c r="YE2006" s="38"/>
      <c r="YF2006" s="38"/>
      <c r="YG2006" s="38"/>
      <c r="YH2006" s="38"/>
      <c r="YI2006" s="38"/>
      <c r="YJ2006" s="38"/>
      <c r="YK2006" s="38"/>
      <c r="YL2006" s="38"/>
      <c r="YM2006" s="38"/>
      <c r="YN2006" s="38"/>
      <c r="YO2006" s="38"/>
      <c r="YP2006" s="38"/>
      <c r="YQ2006" s="38"/>
      <c r="YR2006" s="38"/>
      <c r="YS2006" s="38"/>
      <c r="YT2006" s="38"/>
      <c r="YU2006" s="38"/>
      <c r="YV2006" s="38"/>
      <c r="YW2006" s="38"/>
      <c r="YX2006" s="38"/>
      <c r="YY2006" s="38"/>
      <c r="YZ2006" s="38"/>
      <c r="ZA2006" s="38"/>
      <c r="ZB2006" s="38"/>
      <c r="ZC2006" s="38"/>
      <c r="ZD2006" s="38"/>
      <c r="ZE2006" s="38"/>
      <c r="ZF2006" s="38"/>
      <c r="ZG2006" s="38"/>
      <c r="ZH2006" s="38"/>
      <c r="ZI2006" s="38"/>
      <c r="ZJ2006" s="38"/>
      <c r="ZK2006" s="38"/>
      <c r="ZL2006" s="38"/>
      <c r="ZM2006" s="38"/>
      <c r="ZN2006" s="38"/>
      <c r="ZO2006" s="38"/>
      <c r="ZP2006" s="38"/>
      <c r="ZQ2006" s="38"/>
      <c r="ZR2006" s="38"/>
      <c r="ZS2006" s="38"/>
      <c r="ZT2006" s="38"/>
      <c r="ZU2006" s="38"/>
      <c r="ZV2006" s="38"/>
      <c r="ZW2006" s="38"/>
      <c r="ZX2006" s="38"/>
      <c r="ZY2006" s="38"/>
      <c r="ZZ2006" s="38"/>
      <c r="AAA2006" s="38"/>
      <c r="AAB2006" s="38"/>
      <c r="AAC2006" s="38"/>
      <c r="AAD2006" s="38"/>
      <c r="AAE2006" s="38"/>
      <c r="AAF2006" s="38"/>
      <c r="AAG2006" s="38"/>
      <c r="AAH2006" s="38"/>
      <c r="AAI2006" s="38"/>
      <c r="AAJ2006" s="38"/>
      <c r="AAK2006" s="38"/>
      <c r="AAL2006" s="38"/>
      <c r="AAM2006" s="38"/>
      <c r="AAN2006" s="38"/>
      <c r="AAO2006" s="38"/>
      <c r="AAP2006" s="38"/>
      <c r="AAQ2006" s="38"/>
      <c r="AAR2006" s="38"/>
      <c r="AAS2006" s="38"/>
      <c r="AAT2006" s="38"/>
      <c r="AAU2006" s="38"/>
      <c r="AAV2006" s="38"/>
      <c r="AAW2006" s="38"/>
      <c r="AAX2006" s="38"/>
      <c r="AAY2006" s="38"/>
      <c r="AAZ2006" s="38"/>
      <c r="ABA2006" s="38"/>
      <c r="ABB2006" s="38"/>
      <c r="ABC2006" s="38"/>
      <c r="ABD2006" s="38"/>
      <c r="ABE2006" s="38"/>
      <c r="ABF2006" s="38"/>
      <c r="ABG2006" s="38"/>
      <c r="ABH2006" s="38"/>
      <c r="ABI2006" s="38"/>
      <c r="ABJ2006" s="38"/>
      <c r="ABK2006" s="38"/>
      <c r="ABL2006" s="38"/>
      <c r="ABM2006" s="38"/>
      <c r="ABN2006" s="38"/>
      <c r="ABO2006" s="38"/>
      <c r="ABP2006" s="38"/>
      <c r="ABQ2006" s="38"/>
      <c r="ABR2006" s="38"/>
      <c r="ABS2006" s="38"/>
      <c r="ABT2006" s="38"/>
      <c r="ABU2006" s="38"/>
      <c r="ABV2006" s="38"/>
      <c r="ABW2006" s="38"/>
      <c r="ABX2006" s="38"/>
      <c r="ABY2006" s="38"/>
      <c r="ABZ2006" s="38"/>
      <c r="ACA2006" s="38"/>
      <c r="ACB2006" s="38"/>
      <c r="ACC2006" s="38"/>
      <c r="ACD2006" s="38"/>
      <c r="ACE2006" s="38"/>
      <c r="ACF2006" s="38"/>
      <c r="ACG2006" s="38"/>
      <c r="ACH2006" s="38"/>
      <c r="ACI2006" s="38"/>
      <c r="ACJ2006" s="38"/>
      <c r="ACK2006" s="38"/>
      <c r="ACL2006" s="38"/>
      <c r="ACM2006" s="38"/>
      <c r="ACN2006" s="38"/>
      <c r="ACO2006" s="38"/>
      <c r="ACP2006" s="38"/>
      <c r="ACQ2006" s="38"/>
      <c r="ACR2006" s="38"/>
      <c r="ACS2006" s="38"/>
      <c r="ACT2006" s="38"/>
      <c r="ACU2006" s="38"/>
      <c r="ACV2006" s="38"/>
      <c r="ACW2006" s="38"/>
      <c r="ACX2006" s="38"/>
      <c r="ACY2006" s="38"/>
      <c r="ACZ2006" s="38"/>
      <c r="ADA2006" s="38"/>
      <c r="ADB2006" s="38"/>
      <c r="ADC2006" s="38"/>
      <c r="ADD2006" s="38"/>
      <c r="ADE2006" s="38"/>
      <c r="ADF2006" s="38"/>
      <c r="ADG2006" s="38"/>
      <c r="ADH2006" s="38"/>
      <c r="ADI2006" s="38"/>
      <c r="ADJ2006" s="38"/>
      <c r="ADK2006" s="38"/>
      <c r="ADL2006" s="38"/>
      <c r="ADM2006" s="38"/>
      <c r="ADN2006" s="38"/>
      <c r="ADO2006" s="38"/>
      <c r="ADP2006" s="38"/>
      <c r="ADQ2006" s="38"/>
      <c r="ADR2006" s="38"/>
      <c r="ADS2006" s="38"/>
      <c r="ADT2006" s="38"/>
      <c r="ADU2006" s="38"/>
      <c r="ADV2006" s="38"/>
      <c r="ADW2006" s="38"/>
      <c r="ADX2006" s="38"/>
      <c r="ADY2006" s="38"/>
      <c r="ADZ2006" s="38"/>
      <c r="AEA2006" s="38"/>
      <c r="AEB2006" s="38"/>
      <c r="AEC2006" s="38"/>
      <c r="AED2006" s="38"/>
      <c r="AEE2006" s="38"/>
      <c r="AEF2006" s="38"/>
      <c r="AEG2006" s="38"/>
      <c r="AEH2006" s="38"/>
      <c r="AEI2006" s="38"/>
      <c r="AEJ2006" s="38"/>
      <c r="AEK2006" s="38"/>
      <c r="AEL2006" s="38"/>
      <c r="AEM2006" s="38"/>
      <c r="AEN2006" s="38"/>
      <c r="AEO2006" s="38"/>
      <c r="AEP2006" s="38"/>
      <c r="AEQ2006" s="38"/>
      <c r="AER2006" s="38"/>
      <c r="AES2006" s="38"/>
      <c r="AET2006" s="38"/>
      <c r="AEU2006" s="38"/>
      <c r="AEV2006" s="38"/>
      <c r="AEW2006" s="38"/>
      <c r="AEX2006" s="38"/>
      <c r="AEY2006" s="38"/>
      <c r="AEZ2006" s="38"/>
      <c r="AFA2006" s="38"/>
      <c r="AFB2006" s="38"/>
      <c r="AFC2006" s="38"/>
      <c r="AFD2006" s="38"/>
      <c r="AFE2006" s="38"/>
      <c r="AFF2006" s="38"/>
      <c r="AFG2006" s="38"/>
      <c r="AFH2006" s="38"/>
      <c r="AFI2006" s="38"/>
      <c r="AFJ2006" s="38"/>
      <c r="AFK2006" s="38"/>
      <c r="AFL2006" s="38"/>
      <c r="AFM2006" s="38"/>
      <c r="AFN2006" s="38"/>
      <c r="AFO2006" s="38"/>
      <c r="AFP2006" s="38"/>
      <c r="AFQ2006" s="38"/>
      <c r="AFR2006" s="38"/>
      <c r="AFS2006" s="38"/>
      <c r="AFT2006" s="38"/>
      <c r="AFU2006" s="38"/>
      <c r="AFV2006" s="38"/>
      <c r="AFW2006" s="38"/>
      <c r="AFX2006" s="38"/>
      <c r="AFY2006" s="38"/>
      <c r="AFZ2006" s="38"/>
      <c r="AGA2006" s="38"/>
      <c r="AGB2006" s="38"/>
      <c r="AGC2006" s="38"/>
      <c r="AGD2006" s="38"/>
      <c r="AGE2006" s="38"/>
      <c r="AGF2006" s="38"/>
      <c r="AGG2006" s="38"/>
      <c r="AGH2006" s="38"/>
      <c r="AGI2006" s="38"/>
      <c r="AGJ2006" s="38"/>
      <c r="AGK2006" s="38"/>
      <c r="AGL2006" s="38"/>
      <c r="AGM2006" s="38"/>
      <c r="AGN2006" s="38"/>
      <c r="AGO2006" s="38"/>
      <c r="AGP2006" s="38"/>
      <c r="AGQ2006" s="38"/>
      <c r="AGR2006" s="38"/>
      <c r="AGS2006" s="38"/>
      <c r="AGT2006" s="38"/>
      <c r="AGU2006" s="38"/>
      <c r="AGV2006" s="38"/>
      <c r="AGW2006" s="38"/>
      <c r="AGX2006" s="38"/>
      <c r="AGY2006" s="38"/>
      <c r="AGZ2006" s="38"/>
      <c r="AHA2006" s="38"/>
      <c r="AHB2006" s="38"/>
      <c r="AHC2006" s="38"/>
      <c r="AHD2006" s="38"/>
      <c r="AHE2006" s="38"/>
      <c r="AHF2006" s="38"/>
      <c r="AHG2006" s="38"/>
      <c r="AHH2006" s="38"/>
      <c r="AHI2006" s="38"/>
      <c r="AHJ2006" s="38"/>
      <c r="AHK2006" s="38"/>
      <c r="AHL2006" s="38"/>
      <c r="AHM2006" s="38"/>
      <c r="AHN2006" s="38"/>
      <c r="AHO2006" s="38"/>
      <c r="AHP2006" s="38"/>
      <c r="AHQ2006" s="38"/>
      <c r="AHR2006" s="38"/>
      <c r="AHS2006" s="38"/>
      <c r="AHT2006" s="38"/>
      <c r="AHU2006" s="38"/>
      <c r="AHV2006" s="38"/>
      <c r="AHW2006" s="38"/>
      <c r="AHX2006" s="38"/>
      <c r="AHY2006" s="38"/>
      <c r="AHZ2006" s="38"/>
      <c r="AIA2006" s="38"/>
      <c r="AIB2006" s="38"/>
      <c r="AIC2006" s="38"/>
      <c r="AID2006" s="38"/>
      <c r="AIE2006" s="38"/>
      <c r="AIF2006" s="38"/>
      <c r="AIG2006" s="38"/>
      <c r="AIH2006" s="38"/>
      <c r="AII2006" s="38"/>
      <c r="AIJ2006" s="38"/>
      <c r="AIK2006" s="38"/>
      <c r="AIL2006" s="38"/>
      <c r="AIM2006" s="38"/>
      <c r="AIN2006" s="38"/>
      <c r="AIO2006" s="38"/>
      <c r="AIP2006" s="38"/>
      <c r="AIQ2006" s="38"/>
      <c r="AIR2006" s="38"/>
      <c r="AIS2006" s="38"/>
      <c r="AIT2006" s="38"/>
      <c r="AIU2006" s="38"/>
      <c r="AIV2006" s="38"/>
      <c r="AIW2006" s="38"/>
      <c r="AIX2006" s="38"/>
      <c r="AIY2006" s="38"/>
      <c r="AIZ2006" s="38"/>
      <c r="AJA2006" s="38"/>
      <c r="AJB2006" s="38"/>
      <c r="AJC2006" s="38"/>
      <c r="AJD2006" s="38"/>
      <c r="AJE2006" s="38"/>
      <c r="AJF2006" s="38"/>
      <c r="AJG2006" s="38"/>
      <c r="AJH2006" s="38"/>
      <c r="AJI2006" s="38"/>
      <c r="AJJ2006" s="38"/>
      <c r="AJK2006" s="38"/>
      <c r="AJL2006" s="38"/>
      <c r="AJM2006" s="38"/>
      <c r="AJN2006" s="38"/>
      <c r="AJO2006" s="38"/>
      <c r="AJP2006" s="38"/>
      <c r="AJQ2006" s="38"/>
      <c r="AJR2006" s="38"/>
      <c r="AJS2006" s="38"/>
      <c r="AJT2006" s="38"/>
      <c r="AJU2006" s="38"/>
      <c r="AJV2006" s="38"/>
      <c r="AJW2006" s="38"/>
      <c r="AJX2006" s="38"/>
      <c r="AJY2006" s="38"/>
      <c r="AJZ2006" s="38"/>
      <c r="AKA2006" s="38"/>
      <c r="AKB2006" s="38"/>
      <c r="AKC2006" s="38"/>
      <c r="AKD2006" s="38"/>
      <c r="AKE2006" s="38"/>
      <c r="AKF2006" s="38"/>
      <c r="AKG2006" s="38"/>
      <c r="AKH2006" s="38"/>
      <c r="AKI2006" s="38"/>
      <c r="AKJ2006" s="38"/>
      <c r="AKK2006" s="38"/>
      <c r="AKL2006" s="38"/>
      <c r="AKM2006" s="38"/>
      <c r="AKN2006" s="38"/>
      <c r="AKO2006" s="38"/>
      <c r="AKP2006" s="38"/>
      <c r="AKQ2006" s="38"/>
      <c r="AKR2006" s="38"/>
      <c r="AKS2006" s="38"/>
      <c r="AKT2006" s="38"/>
      <c r="AKU2006" s="38"/>
      <c r="AKV2006" s="38"/>
      <c r="AKW2006" s="38"/>
      <c r="AKX2006" s="38"/>
      <c r="AKY2006" s="38"/>
      <c r="AKZ2006" s="38"/>
      <c r="ALA2006" s="38"/>
      <c r="ALB2006" s="38"/>
      <c r="ALC2006" s="38"/>
      <c r="ALD2006" s="38"/>
      <c r="ALE2006" s="38"/>
      <c r="ALF2006" s="38"/>
      <c r="ALG2006" s="38"/>
      <c r="ALH2006" s="38"/>
      <c r="ALI2006" s="38"/>
      <c r="ALJ2006" s="38"/>
      <c r="ALK2006" s="38"/>
      <c r="ALL2006" s="38"/>
      <c r="ALM2006" s="38"/>
      <c r="ALN2006" s="38"/>
      <c r="ALO2006" s="38"/>
      <c r="ALP2006" s="38"/>
      <c r="ALQ2006" s="38"/>
      <c r="ALR2006" s="38"/>
      <c r="ALS2006" s="38"/>
      <c r="ALT2006" s="38"/>
      <c r="ALU2006" s="38"/>
      <c r="ALV2006" s="38"/>
      <c r="ALW2006" s="38"/>
      <c r="ALX2006" s="38"/>
      <c r="ALY2006" s="38"/>
      <c r="ALZ2006" s="38"/>
      <c r="AMA2006" s="38"/>
      <c r="AMB2006" s="38"/>
      <c r="AMC2006" s="38"/>
      <c r="AMD2006" s="38"/>
      <c r="AME2006" s="38"/>
      <c r="AMF2006" s="38"/>
      <c r="AMG2006" s="38"/>
      <c r="AMH2006" s="38"/>
      <c r="AMI2006" s="38"/>
      <c r="AMJ2006" s="38"/>
      <c r="AMK2006" s="38"/>
      <c r="AML2006" s="38"/>
      <c r="AMM2006" s="38"/>
      <c r="AMN2006" s="38"/>
      <c r="AMO2006" s="38"/>
      <c r="AMP2006" s="38"/>
      <c r="AMQ2006" s="38"/>
      <c r="AMR2006" s="38"/>
      <c r="AMS2006" s="38"/>
      <c r="AMT2006" s="38"/>
      <c r="AMU2006" s="38"/>
      <c r="AMV2006" s="38"/>
      <c r="AMW2006" s="38"/>
      <c r="AMX2006" s="38"/>
      <c r="AMY2006" s="38"/>
      <c r="AMZ2006" s="38"/>
      <c r="ANA2006" s="38"/>
      <c r="ANB2006" s="38"/>
      <c r="ANC2006" s="38"/>
      <c r="AND2006" s="38"/>
      <c r="ANE2006" s="38"/>
      <c r="ANF2006" s="38"/>
      <c r="ANG2006" s="38"/>
      <c r="ANH2006" s="38"/>
      <c r="ANI2006" s="38"/>
      <c r="ANJ2006" s="38"/>
      <c r="ANK2006" s="38"/>
      <c r="ANL2006" s="38"/>
      <c r="ANM2006" s="38"/>
      <c r="ANN2006" s="38"/>
      <c r="ANO2006" s="38"/>
      <c r="ANP2006" s="38"/>
      <c r="ANQ2006" s="38"/>
      <c r="ANR2006" s="38"/>
      <c r="ANS2006" s="38"/>
      <c r="ANT2006" s="38"/>
      <c r="ANU2006" s="38"/>
      <c r="ANV2006" s="38"/>
      <c r="ANW2006" s="38"/>
      <c r="ANX2006" s="38"/>
      <c r="ANY2006" s="38"/>
      <c r="ANZ2006" s="38"/>
      <c r="AOA2006" s="38"/>
      <c r="AOB2006" s="38"/>
      <c r="AOC2006" s="38"/>
      <c r="AOD2006" s="38"/>
      <c r="AOE2006" s="38"/>
      <c r="AOF2006" s="38"/>
      <c r="AOG2006" s="38"/>
      <c r="AOH2006" s="38"/>
      <c r="AOI2006" s="38"/>
      <c r="AOJ2006" s="38"/>
      <c r="AOK2006" s="38"/>
      <c r="AOL2006" s="38"/>
      <c r="AOM2006" s="38"/>
      <c r="AON2006" s="38"/>
      <c r="AOO2006" s="38"/>
      <c r="AOP2006" s="38"/>
      <c r="AOQ2006" s="38"/>
      <c r="AOR2006" s="38"/>
      <c r="AOS2006" s="38"/>
      <c r="AOT2006" s="38"/>
      <c r="AOU2006" s="38"/>
      <c r="AOV2006" s="38"/>
      <c r="AOW2006" s="38"/>
      <c r="AOX2006" s="38"/>
      <c r="AOY2006" s="38"/>
      <c r="AOZ2006" s="38"/>
      <c r="APA2006" s="38"/>
      <c r="APB2006" s="38"/>
      <c r="APC2006" s="38"/>
    </row>
    <row r="2007" spans="1:1095" s="36" customFormat="1" ht="14.25" customHeight="1">
      <c r="A2007" s="3" t="s">
        <v>1722</v>
      </c>
      <c r="B2007" s="36" t="s">
        <v>2340</v>
      </c>
      <c r="C2007" s="10">
        <v>4099854069437</v>
      </c>
      <c r="D2007" s="224">
        <v>4058075590519</v>
      </c>
      <c r="E2007" s="245" t="s">
        <v>2341</v>
      </c>
      <c r="F2007" s="246"/>
      <c r="G2007" s="66" t="str">
        <f>HYPERLINK("https://ledvance.com/pt/product-datasheet/251468/238781","Ficha de Produto")</f>
        <v>Ficha de Produto</v>
      </c>
      <c r="H2007" s="217">
        <v>10</v>
      </c>
      <c r="I2007" s="34" t="s">
        <v>6369</v>
      </c>
      <c r="J2007" s="34" t="s">
        <v>5840</v>
      </c>
      <c r="K2007" s="34" t="s">
        <v>788</v>
      </c>
      <c r="L2007" s="34" t="s">
        <v>6506</v>
      </c>
      <c r="M2007" s="247">
        <v>5.1000000000000005</v>
      </c>
      <c r="N2007" s="288" t="s">
        <v>722</v>
      </c>
    </row>
    <row r="2008" spans="1:1095" s="36" customFormat="1" ht="14.25" customHeight="1">
      <c r="A2008" s="3" t="s">
        <v>1722</v>
      </c>
      <c r="B2008" s="36" t="s">
        <v>2342</v>
      </c>
      <c r="C2008" s="10">
        <v>4099854069338</v>
      </c>
      <c r="D2008" s="224">
        <v>4058075591899</v>
      </c>
      <c r="E2008" s="245" t="s">
        <v>2343</v>
      </c>
      <c r="F2008" s="246"/>
      <c r="G2008" s="66" t="str">
        <f>HYPERLINK("https://ledvance.com/pt/product-datasheet/251468/238811","Ficha de Produto")</f>
        <v>Ficha de Produto</v>
      </c>
      <c r="H2008" s="217">
        <v>10</v>
      </c>
      <c r="I2008" s="34" t="s">
        <v>6354</v>
      </c>
      <c r="J2008" s="34" t="s">
        <v>855</v>
      </c>
      <c r="K2008" s="34" t="s">
        <v>788</v>
      </c>
      <c r="L2008" s="34" t="s">
        <v>6506</v>
      </c>
      <c r="M2008" s="247">
        <v>6</v>
      </c>
      <c r="N2008" s="288" t="s">
        <v>722</v>
      </c>
    </row>
    <row r="2009" spans="1:1095" s="36" customFormat="1" ht="14.25" customHeight="1">
      <c r="A2009" s="3" t="s">
        <v>1722</v>
      </c>
      <c r="B2009" s="36" t="s">
        <v>2344</v>
      </c>
      <c r="C2009" s="10">
        <v>4099854069390</v>
      </c>
      <c r="D2009" s="224">
        <v>4058075590359</v>
      </c>
      <c r="E2009" s="245" t="s">
        <v>2345</v>
      </c>
      <c r="F2009" s="246"/>
      <c r="G2009" s="66" t="str">
        <f>HYPERLINK("https://ledvance.com/pt/product-datasheet/251468/238763","Ficha de Produto")</f>
        <v>Ficha de Produto</v>
      </c>
      <c r="H2009" s="217">
        <v>10</v>
      </c>
      <c r="I2009" s="34" t="s">
        <v>6354</v>
      </c>
      <c r="J2009" s="34" t="s">
        <v>855</v>
      </c>
      <c r="K2009" s="34" t="s">
        <v>788</v>
      </c>
      <c r="L2009" s="34" t="s">
        <v>6506</v>
      </c>
      <c r="M2009" s="247">
        <v>6</v>
      </c>
      <c r="N2009" s="288" t="s">
        <v>722</v>
      </c>
    </row>
    <row r="2010" spans="1:1095" s="36" customFormat="1" ht="14.25" customHeight="1">
      <c r="A2010" s="3" t="s">
        <v>1722</v>
      </c>
      <c r="B2010" s="36" t="s">
        <v>2346</v>
      </c>
      <c r="C2010" s="10">
        <v>4099854062346</v>
      </c>
      <c r="D2010" s="224">
        <v>4058075591035</v>
      </c>
      <c r="E2010" s="245" t="s">
        <v>2347</v>
      </c>
      <c r="F2010" s="246"/>
      <c r="G2010" s="66" t="str">
        <f>HYPERLINK("https://ledvance.com/pt/product-datasheet/251468/237503","Ficha de Produto")</f>
        <v>Ficha de Produto</v>
      </c>
      <c r="H2010" s="217">
        <v>10</v>
      </c>
      <c r="I2010" s="34" t="s">
        <v>6349</v>
      </c>
      <c r="J2010" s="34" t="s">
        <v>6335</v>
      </c>
      <c r="K2010" s="34" t="s">
        <v>788</v>
      </c>
      <c r="L2010" s="34" t="s">
        <v>6506</v>
      </c>
      <c r="M2010" s="247">
        <v>8.9</v>
      </c>
      <c r="N2010" s="288" t="s">
        <v>722</v>
      </c>
    </row>
    <row r="2011" spans="1:1095" s="39" customFormat="1" ht="14.25" customHeight="1">
      <c r="A2011" s="8" t="s">
        <v>1722</v>
      </c>
      <c r="B2011" s="244" t="s">
        <v>2348</v>
      </c>
      <c r="C2011" s="8"/>
      <c r="D2011" s="7"/>
      <c r="E2011" s="230"/>
      <c r="F2011" s="7"/>
      <c r="G2011" s="68"/>
      <c r="H2011" s="230"/>
      <c r="I2011" s="230"/>
      <c r="J2011" s="230"/>
      <c r="K2011" s="230"/>
      <c r="L2011" s="230"/>
      <c r="M2011" s="248"/>
      <c r="N2011" s="284"/>
      <c r="O2011" s="38"/>
      <c r="P2011" s="38"/>
      <c r="Q2011" s="38"/>
      <c r="R2011" s="38"/>
      <c r="S2011" s="38"/>
      <c r="T2011" s="38"/>
      <c r="U2011" s="38"/>
      <c r="V2011" s="38"/>
      <c r="W2011" s="38"/>
      <c r="X2011" s="38"/>
      <c r="Y2011" s="38"/>
      <c r="Z2011" s="38"/>
      <c r="AA2011" s="38"/>
      <c r="AB2011" s="38"/>
      <c r="AC2011" s="38"/>
      <c r="AD2011" s="38"/>
      <c r="AE2011" s="38"/>
      <c r="AF2011" s="38"/>
      <c r="AG2011" s="38"/>
      <c r="AH2011" s="38"/>
      <c r="AI2011" s="38"/>
      <c r="AJ2011" s="38"/>
      <c r="AK2011" s="38"/>
      <c r="AL2011" s="38"/>
      <c r="AM2011" s="38"/>
      <c r="AN2011" s="38"/>
      <c r="AO2011" s="38"/>
      <c r="AP2011" s="38"/>
      <c r="AQ2011" s="38"/>
      <c r="AR2011" s="38"/>
      <c r="AS2011" s="38"/>
      <c r="AT2011" s="38"/>
      <c r="AU2011" s="38"/>
      <c r="AV2011" s="38"/>
      <c r="AW2011" s="38"/>
      <c r="AX2011" s="38"/>
      <c r="AY2011" s="38"/>
      <c r="AZ2011" s="38"/>
      <c r="BA2011" s="38"/>
      <c r="BB2011" s="38"/>
      <c r="BC2011" s="38"/>
      <c r="BD2011" s="38"/>
      <c r="BE2011" s="38"/>
      <c r="BF2011" s="38"/>
      <c r="BG2011" s="38"/>
      <c r="BH2011" s="38"/>
      <c r="BI2011" s="38"/>
      <c r="BJ2011" s="38"/>
      <c r="BK2011" s="38"/>
      <c r="BL2011" s="38"/>
      <c r="BM2011" s="38"/>
      <c r="BN2011" s="38"/>
      <c r="BO2011" s="38"/>
      <c r="BP2011" s="38"/>
      <c r="BQ2011" s="38"/>
      <c r="BR2011" s="38"/>
      <c r="BS2011" s="38"/>
      <c r="BT2011" s="38"/>
      <c r="BU2011" s="38"/>
      <c r="BV2011" s="38"/>
      <c r="BW2011" s="38"/>
      <c r="BX2011" s="38"/>
      <c r="BY2011" s="38"/>
      <c r="BZ2011" s="38"/>
      <c r="CA2011" s="38"/>
      <c r="CB2011" s="38"/>
      <c r="CC2011" s="38"/>
      <c r="CD2011" s="38"/>
      <c r="CE2011" s="38"/>
      <c r="CF2011" s="38"/>
      <c r="CG2011" s="38"/>
      <c r="CH2011" s="38"/>
      <c r="CI2011" s="38"/>
      <c r="CJ2011" s="38"/>
      <c r="CK2011" s="38"/>
      <c r="CL2011" s="38"/>
      <c r="CM2011" s="38"/>
      <c r="CN2011" s="38"/>
      <c r="CO2011" s="38"/>
      <c r="CP2011" s="38"/>
      <c r="CQ2011" s="38"/>
      <c r="CR2011" s="38"/>
      <c r="CS2011" s="38"/>
      <c r="CT2011" s="38"/>
      <c r="CU2011" s="38"/>
      <c r="CV2011" s="38"/>
      <c r="CW2011" s="38"/>
      <c r="CX2011" s="38"/>
      <c r="CY2011" s="38"/>
      <c r="CZ2011" s="38"/>
      <c r="DA2011" s="38"/>
      <c r="DB2011" s="38"/>
      <c r="DC2011" s="38"/>
      <c r="DD2011" s="38"/>
      <c r="DE2011" s="38"/>
      <c r="DF2011" s="38"/>
      <c r="DG2011" s="38"/>
      <c r="DH2011" s="38"/>
      <c r="DI2011" s="38"/>
      <c r="DJ2011" s="38"/>
      <c r="DK2011" s="38"/>
      <c r="DL2011" s="38"/>
      <c r="DM2011" s="38"/>
      <c r="DN2011" s="38"/>
      <c r="DO2011" s="38"/>
      <c r="DP2011" s="38"/>
      <c r="DQ2011" s="38"/>
      <c r="DR2011" s="38"/>
      <c r="DS2011" s="38"/>
      <c r="DT2011" s="38"/>
      <c r="DU2011" s="38"/>
      <c r="DV2011" s="38"/>
      <c r="DW2011" s="38"/>
      <c r="DX2011" s="38"/>
      <c r="DY2011" s="38"/>
      <c r="DZ2011" s="38"/>
      <c r="EA2011" s="38"/>
      <c r="EB2011" s="38"/>
      <c r="EC2011" s="38"/>
      <c r="ED2011" s="38"/>
      <c r="EE2011" s="38"/>
      <c r="EF2011" s="38"/>
      <c r="EG2011" s="38"/>
      <c r="EH2011" s="38"/>
      <c r="EI2011" s="38"/>
      <c r="EJ2011" s="38"/>
      <c r="EK2011" s="38"/>
      <c r="EL2011" s="38"/>
      <c r="EM2011" s="38"/>
      <c r="EN2011" s="38"/>
      <c r="EO2011" s="38"/>
      <c r="EP2011" s="38"/>
      <c r="EQ2011" s="38"/>
      <c r="ER2011" s="38"/>
      <c r="ES2011" s="38"/>
      <c r="ET2011" s="38"/>
      <c r="EU2011" s="38"/>
      <c r="EV2011" s="38"/>
      <c r="EW2011" s="38"/>
      <c r="EX2011" s="38"/>
      <c r="EY2011" s="38"/>
      <c r="EZ2011" s="38"/>
      <c r="FA2011" s="38"/>
      <c r="FB2011" s="38"/>
      <c r="FC2011" s="38"/>
      <c r="FD2011" s="38"/>
      <c r="FE2011" s="38"/>
      <c r="FF2011" s="38"/>
      <c r="FG2011" s="38"/>
      <c r="FH2011" s="38"/>
      <c r="FI2011" s="38"/>
      <c r="FJ2011" s="38"/>
      <c r="FK2011" s="38"/>
      <c r="FL2011" s="38"/>
      <c r="FM2011" s="38"/>
      <c r="FN2011" s="38"/>
      <c r="FO2011" s="38"/>
      <c r="FP2011" s="38"/>
      <c r="FQ2011" s="38"/>
      <c r="FR2011" s="38"/>
      <c r="FS2011" s="38"/>
      <c r="FT2011" s="38"/>
      <c r="FU2011" s="38"/>
      <c r="FV2011" s="38"/>
      <c r="FW2011" s="38"/>
      <c r="FX2011" s="38"/>
      <c r="FY2011" s="38"/>
      <c r="FZ2011" s="38"/>
      <c r="GA2011" s="38"/>
      <c r="GB2011" s="38"/>
      <c r="GC2011" s="38"/>
      <c r="GD2011" s="38"/>
      <c r="GE2011" s="38"/>
      <c r="GF2011" s="38"/>
      <c r="GG2011" s="38"/>
      <c r="GH2011" s="38"/>
      <c r="GI2011" s="38"/>
      <c r="GJ2011" s="38"/>
      <c r="GK2011" s="38"/>
      <c r="GL2011" s="38"/>
      <c r="GM2011" s="38"/>
      <c r="GN2011" s="38"/>
      <c r="GO2011" s="38"/>
      <c r="GP2011" s="38"/>
      <c r="GQ2011" s="38"/>
      <c r="GR2011" s="38"/>
      <c r="GS2011" s="38"/>
      <c r="GT2011" s="38"/>
      <c r="GU2011" s="38"/>
      <c r="GV2011" s="38"/>
      <c r="GW2011" s="38"/>
      <c r="GX2011" s="38"/>
      <c r="GY2011" s="38"/>
      <c r="GZ2011" s="38"/>
      <c r="HA2011" s="38"/>
      <c r="HB2011" s="38"/>
      <c r="HC2011" s="38"/>
      <c r="HD2011" s="38"/>
      <c r="HE2011" s="38"/>
      <c r="HF2011" s="38"/>
      <c r="HG2011" s="38"/>
      <c r="HH2011" s="38"/>
      <c r="HI2011" s="38"/>
      <c r="HJ2011" s="38"/>
      <c r="HK2011" s="38"/>
      <c r="HL2011" s="38"/>
      <c r="HM2011" s="38"/>
      <c r="HN2011" s="38"/>
      <c r="HO2011" s="38"/>
      <c r="HP2011" s="38"/>
      <c r="HQ2011" s="38"/>
      <c r="HR2011" s="38"/>
      <c r="HS2011" s="38"/>
      <c r="HT2011" s="38"/>
      <c r="HU2011" s="38"/>
      <c r="HV2011" s="38"/>
      <c r="HW2011" s="38"/>
      <c r="HX2011" s="38"/>
      <c r="HY2011" s="38"/>
      <c r="HZ2011" s="38"/>
      <c r="IA2011" s="38"/>
      <c r="IB2011" s="38"/>
      <c r="IC2011" s="38"/>
      <c r="ID2011" s="38"/>
      <c r="IE2011" s="38"/>
      <c r="IF2011" s="38"/>
      <c r="IG2011" s="38"/>
      <c r="IH2011" s="38"/>
      <c r="II2011" s="38"/>
      <c r="IJ2011" s="38"/>
      <c r="IK2011" s="38"/>
      <c r="IL2011" s="38"/>
      <c r="IM2011" s="38"/>
      <c r="IN2011" s="38"/>
      <c r="IO2011" s="38"/>
      <c r="IP2011" s="38"/>
      <c r="IQ2011" s="38"/>
      <c r="IR2011" s="38"/>
      <c r="IS2011" s="38"/>
      <c r="IT2011" s="38"/>
      <c r="IU2011" s="38"/>
      <c r="IV2011" s="38"/>
      <c r="IW2011" s="38"/>
      <c r="IX2011" s="38"/>
      <c r="IY2011" s="38"/>
      <c r="IZ2011" s="38"/>
      <c r="JA2011" s="38"/>
      <c r="JB2011" s="38"/>
      <c r="JC2011" s="38"/>
      <c r="JD2011" s="38"/>
      <c r="JE2011" s="38"/>
      <c r="JF2011" s="38"/>
      <c r="JG2011" s="38"/>
      <c r="JH2011" s="38"/>
      <c r="JI2011" s="38"/>
      <c r="JJ2011" s="38"/>
      <c r="JK2011" s="38"/>
      <c r="JL2011" s="38"/>
      <c r="JM2011" s="38"/>
      <c r="JN2011" s="38"/>
      <c r="JO2011" s="38"/>
      <c r="JP2011" s="38"/>
      <c r="JQ2011" s="38"/>
      <c r="JR2011" s="38"/>
      <c r="JS2011" s="38"/>
      <c r="JT2011" s="38"/>
      <c r="JU2011" s="38"/>
      <c r="JV2011" s="38"/>
      <c r="JW2011" s="38"/>
      <c r="JX2011" s="38"/>
      <c r="JY2011" s="38"/>
      <c r="JZ2011" s="38"/>
      <c r="KA2011" s="38"/>
      <c r="KB2011" s="38"/>
      <c r="KC2011" s="38"/>
      <c r="KD2011" s="38"/>
      <c r="KE2011" s="38"/>
      <c r="KF2011" s="38"/>
      <c r="KG2011" s="38"/>
      <c r="KH2011" s="38"/>
      <c r="KI2011" s="38"/>
      <c r="KJ2011" s="38"/>
      <c r="KK2011" s="38"/>
      <c r="KL2011" s="38"/>
      <c r="KM2011" s="38"/>
      <c r="KN2011" s="38"/>
      <c r="KO2011" s="38"/>
      <c r="KP2011" s="38"/>
      <c r="KQ2011" s="38"/>
      <c r="KR2011" s="38"/>
      <c r="KS2011" s="38"/>
      <c r="KT2011" s="38"/>
      <c r="KU2011" s="38"/>
      <c r="KV2011" s="38"/>
      <c r="KW2011" s="38"/>
      <c r="KX2011" s="38"/>
      <c r="KY2011" s="38"/>
      <c r="KZ2011" s="38"/>
      <c r="LA2011" s="38"/>
      <c r="LB2011" s="38"/>
      <c r="LC2011" s="38"/>
      <c r="LD2011" s="38"/>
      <c r="LE2011" s="38"/>
      <c r="LF2011" s="38"/>
      <c r="LG2011" s="38"/>
      <c r="LH2011" s="38"/>
      <c r="LI2011" s="38"/>
      <c r="LJ2011" s="38"/>
      <c r="LK2011" s="38"/>
      <c r="LL2011" s="38"/>
      <c r="LM2011" s="38"/>
      <c r="LN2011" s="38"/>
      <c r="LO2011" s="38"/>
      <c r="LP2011" s="38"/>
      <c r="LQ2011" s="38"/>
      <c r="LR2011" s="38"/>
      <c r="LS2011" s="38"/>
      <c r="LT2011" s="38"/>
      <c r="LU2011" s="38"/>
      <c r="LV2011" s="38"/>
      <c r="LW2011" s="38"/>
      <c r="LX2011" s="38"/>
      <c r="LY2011" s="38"/>
      <c r="LZ2011" s="38"/>
      <c r="MA2011" s="38"/>
      <c r="MB2011" s="38"/>
      <c r="MC2011" s="38"/>
      <c r="MD2011" s="38"/>
      <c r="ME2011" s="38"/>
      <c r="MF2011" s="38"/>
      <c r="MG2011" s="38"/>
      <c r="MH2011" s="38"/>
      <c r="MI2011" s="38"/>
      <c r="MJ2011" s="38"/>
      <c r="MK2011" s="38"/>
      <c r="ML2011" s="38"/>
      <c r="MM2011" s="38"/>
      <c r="MN2011" s="38"/>
      <c r="MO2011" s="38"/>
      <c r="MP2011" s="38"/>
      <c r="MQ2011" s="38"/>
      <c r="MR2011" s="38"/>
      <c r="MS2011" s="38"/>
      <c r="MT2011" s="38"/>
      <c r="MU2011" s="38"/>
      <c r="MV2011" s="38"/>
      <c r="MW2011" s="38"/>
      <c r="MX2011" s="38"/>
      <c r="MY2011" s="38"/>
      <c r="MZ2011" s="38"/>
      <c r="NA2011" s="38"/>
      <c r="NB2011" s="38"/>
      <c r="NC2011" s="38"/>
      <c r="ND2011" s="38"/>
      <c r="NE2011" s="38"/>
      <c r="NF2011" s="38"/>
      <c r="NG2011" s="38"/>
      <c r="NH2011" s="38"/>
      <c r="NI2011" s="38"/>
      <c r="NJ2011" s="38"/>
      <c r="NK2011" s="38"/>
      <c r="NL2011" s="38"/>
      <c r="NM2011" s="38"/>
      <c r="NN2011" s="38"/>
      <c r="NO2011" s="38"/>
      <c r="NP2011" s="38"/>
      <c r="NQ2011" s="38"/>
      <c r="NR2011" s="38"/>
      <c r="NS2011" s="38"/>
      <c r="NT2011" s="38"/>
      <c r="NU2011" s="38"/>
      <c r="NV2011" s="38"/>
      <c r="NW2011" s="38"/>
      <c r="NX2011" s="38"/>
      <c r="NY2011" s="38"/>
      <c r="NZ2011" s="38"/>
      <c r="OA2011" s="38"/>
      <c r="OB2011" s="38"/>
      <c r="OC2011" s="38"/>
      <c r="OD2011" s="38"/>
      <c r="OE2011" s="38"/>
      <c r="OF2011" s="38"/>
      <c r="OG2011" s="38"/>
      <c r="OH2011" s="38"/>
      <c r="OI2011" s="38"/>
      <c r="OJ2011" s="38"/>
      <c r="OK2011" s="38"/>
      <c r="OL2011" s="38"/>
      <c r="OM2011" s="38"/>
      <c r="ON2011" s="38"/>
      <c r="OO2011" s="38"/>
      <c r="OP2011" s="38"/>
      <c r="OQ2011" s="38"/>
      <c r="OR2011" s="38"/>
      <c r="OS2011" s="38"/>
      <c r="OT2011" s="38"/>
      <c r="OU2011" s="38"/>
      <c r="OV2011" s="38"/>
      <c r="OW2011" s="38"/>
      <c r="OX2011" s="38"/>
      <c r="OY2011" s="38"/>
      <c r="OZ2011" s="38"/>
      <c r="PA2011" s="38"/>
      <c r="PB2011" s="38"/>
      <c r="PC2011" s="38"/>
      <c r="PD2011" s="38"/>
      <c r="PE2011" s="38"/>
      <c r="PF2011" s="38"/>
      <c r="PG2011" s="38"/>
      <c r="PH2011" s="38"/>
      <c r="PI2011" s="38"/>
      <c r="PJ2011" s="38"/>
      <c r="PK2011" s="38"/>
      <c r="PL2011" s="38"/>
      <c r="PM2011" s="38"/>
      <c r="PN2011" s="38"/>
      <c r="PO2011" s="38"/>
      <c r="PP2011" s="38"/>
      <c r="PQ2011" s="38"/>
      <c r="PR2011" s="38"/>
      <c r="PS2011" s="38"/>
      <c r="PT2011" s="38"/>
      <c r="PU2011" s="38"/>
      <c r="PV2011" s="38"/>
      <c r="PW2011" s="38"/>
      <c r="PX2011" s="38"/>
      <c r="PY2011" s="38"/>
      <c r="PZ2011" s="38"/>
      <c r="QA2011" s="38"/>
      <c r="QB2011" s="38"/>
      <c r="QC2011" s="38"/>
      <c r="QD2011" s="38"/>
      <c r="QE2011" s="38"/>
      <c r="QF2011" s="38"/>
      <c r="QG2011" s="38"/>
      <c r="QH2011" s="38"/>
      <c r="QI2011" s="38"/>
      <c r="QJ2011" s="38"/>
      <c r="QK2011" s="38"/>
      <c r="QL2011" s="38"/>
      <c r="QM2011" s="38"/>
      <c r="QN2011" s="38"/>
      <c r="QO2011" s="38"/>
      <c r="QP2011" s="38"/>
      <c r="QQ2011" s="38"/>
      <c r="QR2011" s="38"/>
      <c r="QS2011" s="38"/>
      <c r="QT2011" s="38"/>
      <c r="QU2011" s="38"/>
      <c r="QV2011" s="38"/>
      <c r="QW2011" s="38"/>
      <c r="QX2011" s="38"/>
      <c r="QY2011" s="38"/>
      <c r="QZ2011" s="38"/>
      <c r="RA2011" s="38"/>
      <c r="RB2011" s="38"/>
      <c r="RC2011" s="38"/>
      <c r="RD2011" s="38"/>
      <c r="RE2011" s="38"/>
      <c r="RF2011" s="38"/>
      <c r="RG2011" s="38"/>
      <c r="RH2011" s="38"/>
      <c r="RI2011" s="38"/>
      <c r="RJ2011" s="38"/>
      <c r="RK2011" s="38"/>
      <c r="RL2011" s="38"/>
      <c r="RM2011" s="38"/>
      <c r="RN2011" s="38"/>
      <c r="RO2011" s="38"/>
      <c r="RP2011" s="38"/>
      <c r="RQ2011" s="38"/>
      <c r="RR2011" s="38"/>
      <c r="RS2011" s="38"/>
      <c r="RT2011" s="38"/>
      <c r="RU2011" s="38"/>
      <c r="RV2011" s="38"/>
      <c r="RW2011" s="38"/>
      <c r="RX2011" s="38"/>
      <c r="RY2011" s="38"/>
      <c r="RZ2011" s="38"/>
      <c r="SA2011" s="38"/>
      <c r="SB2011" s="38"/>
      <c r="SC2011" s="38"/>
      <c r="SD2011" s="38"/>
      <c r="SE2011" s="38"/>
      <c r="SF2011" s="38"/>
      <c r="SG2011" s="38"/>
      <c r="SH2011" s="38"/>
      <c r="SI2011" s="38"/>
      <c r="SJ2011" s="38"/>
      <c r="SK2011" s="38"/>
      <c r="SL2011" s="38"/>
      <c r="SM2011" s="38"/>
      <c r="SN2011" s="38"/>
      <c r="SO2011" s="38"/>
      <c r="SP2011" s="38"/>
      <c r="SQ2011" s="38"/>
      <c r="SR2011" s="38"/>
      <c r="SS2011" s="38"/>
      <c r="ST2011" s="38"/>
      <c r="SU2011" s="38"/>
      <c r="SV2011" s="38"/>
      <c r="SW2011" s="38"/>
      <c r="SX2011" s="38"/>
      <c r="SY2011" s="38"/>
      <c r="SZ2011" s="38"/>
      <c r="TA2011" s="38"/>
      <c r="TB2011" s="38"/>
      <c r="TC2011" s="38"/>
      <c r="TD2011" s="38"/>
      <c r="TE2011" s="38"/>
      <c r="TF2011" s="38"/>
      <c r="TG2011" s="38"/>
      <c r="TH2011" s="38"/>
      <c r="TI2011" s="38"/>
      <c r="TJ2011" s="38"/>
      <c r="TK2011" s="38"/>
      <c r="TL2011" s="38"/>
      <c r="TM2011" s="38"/>
      <c r="TN2011" s="38"/>
      <c r="TO2011" s="38"/>
      <c r="TP2011" s="38"/>
      <c r="TQ2011" s="38"/>
      <c r="TR2011" s="38"/>
      <c r="TS2011" s="38"/>
      <c r="TT2011" s="38"/>
      <c r="TU2011" s="38"/>
      <c r="TV2011" s="38"/>
      <c r="TW2011" s="38"/>
      <c r="TX2011" s="38"/>
      <c r="TY2011" s="38"/>
      <c r="TZ2011" s="38"/>
      <c r="UA2011" s="38"/>
      <c r="UB2011" s="38"/>
      <c r="UC2011" s="38"/>
      <c r="UD2011" s="38"/>
      <c r="UE2011" s="38"/>
      <c r="UF2011" s="38"/>
      <c r="UG2011" s="38"/>
      <c r="UH2011" s="38"/>
      <c r="UI2011" s="38"/>
      <c r="UJ2011" s="38"/>
      <c r="UK2011" s="38"/>
      <c r="UL2011" s="38"/>
      <c r="UM2011" s="38"/>
      <c r="UN2011" s="38"/>
      <c r="UO2011" s="38"/>
      <c r="UP2011" s="38"/>
      <c r="UQ2011" s="38"/>
      <c r="UR2011" s="38"/>
      <c r="US2011" s="38"/>
      <c r="UT2011" s="38"/>
      <c r="UU2011" s="38"/>
      <c r="UV2011" s="38"/>
      <c r="UW2011" s="38"/>
      <c r="UX2011" s="38"/>
      <c r="UY2011" s="38"/>
      <c r="UZ2011" s="38"/>
      <c r="VA2011" s="38"/>
      <c r="VB2011" s="38"/>
      <c r="VC2011" s="38"/>
      <c r="VD2011" s="38"/>
      <c r="VE2011" s="38"/>
      <c r="VF2011" s="38"/>
      <c r="VG2011" s="38"/>
      <c r="VH2011" s="38"/>
      <c r="VI2011" s="38"/>
      <c r="VJ2011" s="38"/>
      <c r="VK2011" s="38"/>
      <c r="VL2011" s="38"/>
      <c r="VM2011" s="38"/>
      <c r="VN2011" s="38"/>
      <c r="VO2011" s="38"/>
      <c r="VP2011" s="38"/>
      <c r="VQ2011" s="38"/>
      <c r="VR2011" s="38"/>
      <c r="VS2011" s="38"/>
      <c r="VT2011" s="38"/>
      <c r="VU2011" s="38"/>
      <c r="VV2011" s="38"/>
      <c r="VW2011" s="38"/>
      <c r="VX2011" s="38"/>
      <c r="VY2011" s="38"/>
      <c r="VZ2011" s="38"/>
      <c r="WA2011" s="38"/>
      <c r="WB2011" s="38"/>
      <c r="WC2011" s="38"/>
      <c r="WD2011" s="38"/>
      <c r="WE2011" s="38"/>
      <c r="WF2011" s="38"/>
      <c r="WG2011" s="38"/>
      <c r="WH2011" s="38"/>
      <c r="WI2011" s="38"/>
      <c r="WJ2011" s="38"/>
      <c r="WK2011" s="38"/>
      <c r="WL2011" s="38"/>
      <c r="WM2011" s="38"/>
      <c r="WN2011" s="38"/>
      <c r="WO2011" s="38"/>
      <c r="WP2011" s="38"/>
      <c r="WQ2011" s="38"/>
      <c r="WR2011" s="38"/>
      <c r="WS2011" s="38"/>
      <c r="WT2011" s="38"/>
      <c r="WU2011" s="38"/>
      <c r="WV2011" s="38"/>
      <c r="WW2011" s="38"/>
      <c r="WX2011" s="38"/>
      <c r="WY2011" s="38"/>
      <c r="WZ2011" s="38"/>
      <c r="XA2011" s="38"/>
      <c r="XB2011" s="38"/>
      <c r="XC2011" s="38"/>
      <c r="XD2011" s="38"/>
      <c r="XE2011" s="38"/>
      <c r="XF2011" s="38"/>
      <c r="XG2011" s="38"/>
      <c r="XH2011" s="38"/>
      <c r="XI2011" s="38"/>
      <c r="XJ2011" s="38"/>
      <c r="XK2011" s="38"/>
      <c r="XL2011" s="38"/>
      <c r="XM2011" s="38"/>
      <c r="XN2011" s="38"/>
      <c r="XO2011" s="38"/>
      <c r="XP2011" s="38"/>
      <c r="XQ2011" s="38"/>
      <c r="XR2011" s="38"/>
      <c r="XS2011" s="38"/>
      <c r="XT2011" s="38"/>
      <c r="XU2011" s="38"/>
      <c r="XV2011" s="38"/>
      <c r="XW2011" s="38"/>
      <c r="XX2011" s="38"/>
      <c r="XY2011" s="38"/>
      <c r="XZ2011" s="38"/>
      <c r="YA2011" s="38"/>
      <c r="YB2011" s="38"/>
      <c r="YC2011" s="38"/>
      <c r="YD2011" s="38"/>
      <c r="YE2011" s="38"/>
      <c r="YF2011" s="38"/>
      <c r="YG2011" s="38"/>
      <c r="YH2011" s="38"/>
      <c r="YI2011" s="38"/>
      <c r="YJ2011" s="38"/>
      <c r="YK2011" s="38"/>
      <c r="YL2011" s="38"/>
      <c r="YM2011" s="38"/>
      <c r="YN2011" s="38"/>
      <c r="YO2011" s="38"/>
      <c r="YP2011" s="38"/>
      <c r="YQ2011" s="38"/>
      <c r="YR2011" s="38"/>
      <c r="YS2011" s="38"/>
      <c r="YT2011" s="38"/>
      <c r="YU2011" s="38"/>
      <c r="YV2011" s="38"/>
      <c r="YW2011" s="38"/>
      <c r="YX2011" s="38"/>
      <c r="YY2011" s="38"/>
      <c r="YZ2011" s="38"/>
      <c r="ZA2011" s="38"/>
      <c r="ZB2011" s="38"/>
      <c r="ZC2011" s="38"/>
      <c r="ZD2011" s="38"/>
      <c r="ZE2011" s="38"/>
      <c r="ZF2011" s="38"/>
      <c r="ZG2011" s="38"/>
      <c r="ZH2011" s="38"/>
      <c r="ZI2011" s="38"/>
      <c r="ZJ2011" s="38"/>
      <c r="ZK2011" s="38"/>
      <c r="ZL2011" s="38"/>
      <c r="ZM2011" s="38"/>
      <c r="ZN2011" s="38"/>
      <c r="ZO2011" s="38"/>
      <c r="ZP2011" s="38"/>
      <c r="ZQ2011" s="38"/>
      <c r="ZR2011" s="38"/>
      <c r="ZS2011" s="38"/>
      <c r="ZT2011" s="38"/>
      <c r="ZU2011" s="38"/>
      <c r="ZV2011" s="38"/>
      <c r="ZW2011" s="38"/>
      <c r="ZX2011" s="38"/>
      <c r="ZY2011" s="38"/>
      <c r="ZZ2011" s="38"/>
      <c r="AAA2011" s="38"/>
      <c r="AAB2011" s="38"/>
      <c r="AAC2011" s="38"/>
      <c r="AAD2011" s="38"/>
      <c r="AAE2011" s="38"/>
      <c r="AAF2011" s="38"/>
      <c r="AAG2011" s="38"/>
      <c r="AAH2011" s="38"/>
      <c r="AAI2011" s="38"/>
      <c r="AAJ2011" s="38"/>
      <c r="AAK2011" s="38"/>
      <c r="AAL2011" s="38"/>
      <c r="AAM2011" s="38"/>
      <c r="AAN2011" s="38"/>
      <c r="AAO2011" s="38"/>
      <c r="AAP2011" s="38"/>
      <c r="AAQ2011" s="38"/>
      <c r="AAR2011" s="38"/>
      <c r="AAS2011" s="38"/>
      <c r="AAT2011" s="38"/>
      <c r="AAU2011" s="38"/>
      <c r="AAV2011" s="38"/>
      <c r="AAW2011" s="38"/>
      <c r="AAX2011" s="38"/>
      <c r="AAY2011" s="38"/>
      <c r="AAZ2011" s="38"/>
      <c r="ABA2011" s="38"/>
      <c r="ABB2011" s="38"/>
      <c r="ABC2011" s="38"/>
      <c r="ABD2011" s="38"/>
      <c r="ABE2011" s="38"/>
      <c r="ABF2011" s="38"/>
      <c r="ABG2011" s="38"/>
      <c r="ABH2011" s="38"/>
      <c r="ABI2011" s="38"/>
      <c r="ABJ2011" s="38"/>
      <c r="ABK2011" s="38"/>
      <c r="ABL2011" s="38"/>
      <c r="ABM2011" s="38"/>
      <c r="ABN2011" s="38"/>
      <c r="ABO2011" s="38"/>
      <c r="ABP2011" s="38"/>
      <c r="ABQ2011" s="38"/>
      <c r="ABR2011" s="38"/>
      <c r="ABS2011" s="38"/>
      <c r="ABT2011" s="38"/>
      <c r="ABU2011" s="38"/>
      <c r="ABV2011" s="38"/>
      <c r="ABW2011" s="38"/>
      <c r="ABX2011" s="38"/>
      <c r="ABY2011" s="38"/>
      <c r="ABZ2011" s="38"/>
      <c r="ACA2011" s="38"/>
      <c r="ACB2011" s="38"/>
      <c r="ACC2011" s="38"/>
      <c r="ACD2011" s="38"/>
      <c r="ACE2011" s="38"/>
      <c r="ACF2011" s="38"/>
      <c r="ACG2011" s="38"/>
      <c r="ACH2011" s="38"/>
      <c r="ACI2011" s="38"/>
      <c r="ACJ2011" s="38"/>
      <c r="ACK2011" s="38"/>
      <c r="ACL2011" s="38"/>
      <c r="ACM2011" s="38"/>
      <c r="ACN2011" s="38"/>
      <c r="ACO2011" s="38"/>
      <c r="ACP2011" s="38"/>
      <c r="ACQ2011" s="38"/>
      <c r="ACR2011" s="38"/>
      <c r="ACS2011" s="38"/>
      <c r="ACT2011" s="38"/>
      <c r="ACU2011" s="38"/>
      <c r="ACV2011" s="38"/>
      <c r="ACW2011" s="38"/>
      <c r="ACX2011" s="38"/>
      <c r="ACY2011" s="38"/>
      <c r="ACZ2011" s="38"/>
      <c r="ADA2011" s="38"/>
      <c r="ADB2011" s="38"/>
      <c r="ADC2011" s="38"/>
      <c r="ADD2011" s="38"/>
      <c r="ADE2011" s="38"/>
      <c r="ADF2011" s="38"/>
      <c r="ADG2011" s="38"/>
      <c r="ADH2011" s="38"/>
      <c r="ADI2011" s="38"/>
      <c r="ADJ2011" s="38"/>
      <c r="ADK2011" s="38"/>
      <c r="ADL2011" s="38"/>
      <c r="ADM2011" s="38"/>
      <c r="ADN2011" s="38"/>
      <c r="ADO2011" s="38"/>
      <c r="ADP2011" s="38"/>
      <c r="ADQ2011" s="38"/>
      <c r="ADR2011" s="38"/>
      <c r="ADS2011" s="38"/>
      <c r="ADT2011" s="38"/>
      <c r="ADU2011" s="38"/>
      <c r="ADV2011" s="38"/>
      <c r="ADW2011" s="38"/>
      <c r="ADX2011" s="38"/>
      <c r="ADY2011" s="38"/>
      <c r="ADZ2011" s="38"/>
      <c r="AEA2011" s="38"/>
      <c r="AEB2011" s="38"/>
      <c r="AEC2011" s="38"/>
      <c r="AED2011" s="38"/>
      <c r="AEE2011" s="38"/>
      <c r="AEF2011" s="38"/>
      <c r="AEG2011" s="38"/>
      <c r="AEH2011" s="38"/>
      <c r="AEI2011" s="38"/>
      <c r="AEJ2011" s="38"/>
      <c r="AEK2011" s="38"/>
      <c r="AEL2011" s="38"/>
      <c r="AEM2011" s="38"/>
      <c r="AEN2011" s="38"/>
      <c r="AEO2011" s="38"/>
      <c r="AEP2011" s="38"/>
      <c r="AEQ2011" s="38"/>
      <c r="AER2011" s="38"/>
      <c r="AES2011" s="38"/>
      <c r="AET2011" s="38"/>
      <c r="AEU2011" s="38"/>
      <c r="AEV2011" s="38"/>
      <c r="AEW2011" s="38"/>
      <c r="AEX2011" s="38"/>
      <c r="AEY2011" s="38"/>
      <c r="AEZ2011" s="38"/>
      <c r="AFA2011" s="38"/>
      <c r="AFB2011" s="38"/>
      <c r="AFC2011" s="38"/>
      <c r="AFD2011" s="38"/>
      <c r="AFE2011" s="38"/>
      <c r="AFF2011" s="38"/>
      <c r="AFG2011" s="38"/>
      <c r="AFH2011" s="38"/>
      <c r="AFI2011" s="38"/>
      <c r="AFJ2011" s="38"/>
      <c r="AFK2011" s="38"/>
      <c r="AFL2011" s="38"/>
      <c r="AFM2011" s="38"/>
      <c r="AFN2011" s="38"/>
      <c r="AFO2011" s="38"/>
      <c r="AFP2011" s="38"/>
      <c r="AFQ2011" s="38"/>
      <c r="AFR2011" s="38"/>
      <c r="AFS2011" s="38"/>
      <c r="AFT2011" s="38"/>
      <c r="AFU2011" s="38"/>
      <c r="AFV2011" s="38"/>
      <c r="AFW2011" s="38"/>
      <c r="AFX2011" s="38"/>
      <c r="AFY2011" s="38"/>
      <c r="AFZ2011" s="38"/>
      <c r="AGA2011" s="38"/>
      <c r="AGB2011" s="38"/>
      <c r="AGC2011" s="38"/>
      <c r="AGD2011" s="38"/>
      <c r="AGE2011" s="38"/>
      <c r="AGF2011" s="38"/>
      <c r="AGG2011" s="38"/>
      <c r="AGH2011" s="38"/>
      <c r="AGI2011" s="38"/>
      <c r="AGJ2011" s="38"/>
      <c r="AGK2011" s="38"/>
      <c r="AGL2011" s="38"/>
      <c r="AGM2011" s="38"/>
      <c r="AGN2011" s="38"/>
      <c r="AGO2011" s="38"/>
      <c r="AGP2011" s="38"/>
      <c r="AGQ2011" s="38"/>
      <c r="AGR2011" s="38"/>
      <c r="AGS2011" s="38"/>
      <c r="AGT2011" s="38"/>
      <c r="AGU2011" s="38"/>
      <c r="AGV2011" s="38"/>
      <c r="AGW2011" s="38"/>
      <c r="AGX2011" s="38"/>
      <c r="AGY2011" s="38"/>
      <c r="AGZ2011" s="38"/>
      <c r="AHA2011" s="38"/>
      <c r="AHB2011" s="38"/>
      <c r="AHC2011" s="38"/>
      <c r="AHD2011" s="38"/>
      <c r="AHE2011" s="38"/>
      <c r="AHF2011" s="38"/>
      <c r="AHG2011" s="38"/>
      <c r="AHH2011" s="38"/>
      <c r="AHI2011" s="38"/>
      <c r="AHJ2011" s="38"/>
      <c r="AHK2011" s="38"/>
      <c r="AHL2011" s="38"/>
      <c r="AHM2011" s="38"/>
      <c r="AHN2011" s="38"/>
      <c r="AHO2011" s="38"/>
      <c r="AHP2011" s="38"/>
      <c r="AHQ2011" s="38"/>
      <c r="AHR2011" s="38"/>
      <c r="AHS2011" s="38"/>
      <c r="AHT2011" s="38"/>
      <c r="AHU2011" s="38"/>
      <c r="AHV2011" s="38"/>
      <c r="AHW2011" s="38"/>
      <c r="AHX2011" s="38"/>
      <c r="AHY2011" s="38"/>
      <c r="AHZ2011" s="38"/>
      <c r="AIA2011" s="38"/>
      <c r="AIB2011" s="38"/>
      <c r="AIC2011" s="38"/>
      <c r="AID2011" s="38"/>
      <c r="AIE2011" s="38"/>
      <c r="AIF2011" s="38"/>
      <c r="AIG2011" s="38"/>
      <c r="AIH2011" s="38"/>
      <c r="AII2011" s="38"/>
      <c r="AIJ2011" s="38"/>
      <c r="AIK2011" s="38"/>
      <c r="AIL2011" s="38"/>
      <c r="AIM2011" s="38"/>
      <c r="AIN2011" s="38"/>
      <c r="AIO2011" s="38"/>
      <c r="AIP2011" s="38"/>
      <c r="AIQ2011" s="38"/>
      <c r="AIR2011" s="38"/>
      <c r="AIS2011" s="38"/>
      <c r="AIT2011" s="38"/>
      <c r="AIU2011" s="38"/>
      <c r="AIV2011" s="38"/>
      <c r="AIW2011" s="38"/>
      <c r="AIX2011" s="38"/>
      <c r="AIY2011" s="38"/>
      <c r="AIZ2011" s="38"/>
      <c r="AJA2011" s="38"/>
      <c r="AJB2011" s="38"/>
      <c r="AJC2011" s="38"/>
      <c r="AJD2011" s="38"/>
      <c r="AJE2011" s="38"/>
      <c r="AJF2011" s="38"/>
      <c r="AJG2011" s="38"/>
      <c r="AJH2011" s="38"/>
      <c r="AJI2011" s="38"/>
      <c r="AJJ2011" s="38"/>
      <c r="AJK2011" s="38"/>
      <c r="AJL2011" s="38"/>
      <c r="AJM2011" s="38"/>
      <c r="AJN2011" s="38"/>
      <c r="AJO2011" s="38"/>
      <c r="AJP2011" s="38"/>
      <c r="AJQ2011" s="38"/>
      <c r="AJR2011" s="38"/>
      <c r="AJS2011" s="38"/>
      <c r="AJT2011" s="38"/>
      <c r="AJU2011" s="38"/>
      <c r="AJV2011" s="38"/>
      <c r="AJW2011" s="38"/>
      <c r="AJX2011" s="38"/>
      <c r="AJY2011" s="38"/>
      <c r="AJZ2011" s="38"/>
      <c r="AKA2011" s="38"/>
      <c r="AKB2011" s="38"/>
      <c r="AKC2011" s="38"/>
      <c r="AKD2011" s="38"/>
      <c r="AKE2011" s="38"/>
      <c r="AKF2011" s="38"/>
      <c r="AKG2011" s="38"/>
      <c r="AKH2011" s="38"/>
      <c r="AKI2011" s="38"/>
      <c r="AKJ2011" s="38"/>
      <c r="AKK2011" s="38"/>
      <c r="AKL2011" s="38"/>
      <c r="AKM2011" s="38"/>
      <c r="AKN2011" s="38"/>
      <c r="AKO2011" s="38"/>
      <c r="AKP2011" s="38"/>
      <c r="AKQ2011" s="38"/>
      <c r="AKR2011" s="38"/>
      <c r="AKS2011" s="38"/>
      <c r="AKT2011" s="38"/>
      <c r="AKU2011" s="38"/>
      <c r="AKV2011" s="38"/>
      <c r="AKW2011" s="38"/>
      <c r="AKX2011" s="38"/>
      <c r="AKY2011" s="38"/>
      <c r="AKZ2011" s="38"/>
      <c r="ALA2011" s="38"/>
      <c r="ALB2011" s="38"/>
      <c r="ALC2011" s="38"/>
      <c r="ALD2011" s="38"/>
      <c r="ALE2011" s="38"/>
      <c r="ALF2011" s="38"/>
      <c r="ALG2011" s="38"/>
      <c r="ALH2011" s="38"/>
      <c r="ALI2011" s="38"/>
      <c r="ALJ2011" s="38"/>
      <c r="ALK2011" s="38"/>
      <c r="ALL2011" s="38"/>
      <c r="ALM2011" s="38"/>
      <c r="ALN2011" s="38"/>
      <c r="ALO2011" s="38"/>
      <c r="ALP2011" s="38"/>
      <c r="ALQ2011" s="38"/>
      <c r="ALR2011" s="38"/>
      <c r="ALS2011" s="38"/>
      <c r="ALT2011" s="38"/>
      <c r="ALU2011" s="38"/>
      <c r="ALV2011" s="38"/>
      <c r="ALW2011" s="38"/>
      <c r="ALX2011" s="38"/>
      <c r="ALY2011" s="38"/>
      <c r="ALZ2011" s="38"/>
      <c r="AMA2011" s="38"/>
      <c r="AMB2011" s="38"/>
      <c r="AMC2011" s="38"/>
      <c r="AMD2011" s="38"/>
      <c r="AME2011" s="38"/>
      <c r="AMF2011" s="38"/>
      <c r="AMG2011" s="38"/>
      <c r="AMH2011" s="38"/>
      <c r="AMI2011" s="38"/>
      <c r="AMJ2011" s="38"/>
      <c r="AMK2011" s="38"/>
      <c r="AML2011" s="38"/>
      <c r="AMM2011" s="38"/>
      <c r="AMN2011" s="38"/>
      <c r="AMO2011" s="38"/>
      <c r="AMP2011" s="38"/>
      <c r="AMQ2011" s="38"/>
      <c r="AMR2011" s="38"/>
      <c r="AMS2011" s="38"/>
      <c r="AMT2011" s="38"/>
      <c r="AMU2011" s="38"/>
      <c r="AMV2011" s="38"/>
      <c r="AMW2011" s="38"/>
      <c r="AMX2011" s="38"/>
      <c r="AMY2011" s="38"/>
      <c r="AMZ2011" s="38"/>
      <c r="ANA2011" s="38"/>
      <c r="ANB2011" s="38"/>
      <c r="ANC2011" s="38"/>
      <c r="AND2011" s="38"/>
      <c r="ANE2011" s="38"/>
      <c r="ANF2011" s="38"/>
      <c r="ANG2011" s="38"/>
      <c r="ANH2011" s="38"/>
      <c r="ANI2011" s="38"/>
      <c r="ANJ2011" s="38"/>
      <c r="ANK2011" s="38"/>
      <c r="ANL2011" s="38"/>
      <c r="ANM2011" s="38"/>
      <c r="ANN2011" s="38"/>
      <c r="ANO2011" s="38"/>
      <c r="ANP2011" s="38"/>
      <c r="ANQ2011" s="38"/>
      <c r="ANR2011" s="38"/>
      <c r="ANS2011" s="38"/>
      <c r="ANT2011" s="38"/>
      <c r="ANU2011" s="38"/>
      <c r="ANV2011" s="38"/>
      <c r="ANW2011" s="38"/>
      <c r="ANX2011" s="38"/>
      <c r="ANY2011" s="38"/>
      <c r="ANZ2011" s="38"/>
      <c r="AOA2011" s="38"/>
      <c r="AOB2011" s="38"/>
      <c r="AOC2011" s="38"/>
      <c r="AOD2011" s="38"/>
      <c r="AOE2011" s="38"/>
      <c r="AOF2011" s="38"/>
      <c r="AOG2011" s="38"/>
      <c r="AOH2011" s="38"/>
      <c r="AOI2011" s="38"/>
      <c r="AOJ2011" s="38"/>
      <c r="AOK2011" s="38"/>
      <c r="AOL2011" s="38"/>
      <c r="AOM2011" s="38"/>
      <c r="AON2011" s="38"/>
      <c r="AOO2011" s="38"/>
      <c r="AOP2011" s="38"/>
      <c r="AOQ2011" s="38"/>
      <c r="AOR2011" s="38"/>
      <c r="AOS2011" s="38"/>
      <c r="AOT2011" s="38"/>
      <c r="AOU2011" s="38"/>
      <c r="AOV2011" s="38"/>
      <c r="AOW2011" s="38"/>
      <c r="AOX2011" s="38"/>
      <c r="AOY2011" s="38"/>
      <c r="AOZ2011" s="38"/>
      <c r="APA2011" s="38"/>
      <c r="APB2011" s="38"/>
      <c r="APC2011" s="38"/>
    </row>
    <row r="2012" spans="1:1095" s="36" customFormat="1" ht="14.25" customHeight="1">
      <c r="A2012" s="3" t="s">
        <v>1722</v>
      </c>
      <c r="B2012" s="36" t="s">
        <v>2349</v>
      </c>
      <c r="C2012" s="10">
        <v>4099854067570</v>
      </c>
      <c r="D2012" s="224">
        <v>4058075590694</v>
      </c>
      <c r="E2012" s="245" t="s">
        <v>2350</v>
      </c>
      <c r="F2012" s="246"/>
      <c r="G2012" s="66" t="str">
        <f>HYPERLINK("https://ledvance.com/pt/product-datasheet/251456/238323","Ficha de Produto")</f>
        <v>Ficha de Produto</v>
      </c>
      <c r="H2012" s="217">
        <v>10</v>
      </c>
      <c r="I2012" s="34" t="s">
        <v>6354</v>
      </c>
      <c r="J2012" s="34" t="s">
        <v>6365</v>
      </c>
      <c r="K2012" s="34" t="s">
        <v>788</v>
      </c>
      <c r="L2012" s="34" t="s">
        <v>765</v>
      </c>
      <c r="M2012" s="247">
        <v>8.4</v>
      </c>
      <c r="N2012" s="288" t="s">
        <v>722</v>
      </c>
    </row>
    <row r="2013" spans="1:1095" s="36" customFormat="1" ht="14.25" customHeight="1">
      <c r="A2013" s="3" t="s">
        <v>1722</v>
      </c>
      <c r="B2013" s="36" t="s">
        <v>2351</v>
      </c>
      <c r="C2013" s="10">
        <v>4099854067686</v>
      </c>
      <c r="D2013" s="224">
        <v>4058075591196</v>
      </c>
      <c r="E2013" s="245" t="s">
        <v>2352</v>
      </c>
      <c r="F2013" s="246"/>
      <c r="G2013" s="66" t="str">
        <f>HYPERLINK("https://ledvance.com/pt/product-datasheet/251456/238305","Ficha de Produto")</f>
        <v>Ficha de Produto</v>
      </c>
      <c r="H2013" s="217">
        <v>10</v>
      </c>
      <c r="I2013" s="34" t="s">
        <v>6354</v>
      </c>
      <c r="J2013" s="34" t="s">
        <v>6365</v>
      </c>
      <c r="K2013" s="34" t="s">
        <v>788</v>
      </c>
      <c r="L2013" s="34" t="s">
        <v>765</v>
      </c>
      <c r="M2013" s="247">
        <v>8.4</v>
      </c>
      <c r="N2013" s="288" t="s">
        <v>722</v>
      </c>
    </row>
    <row r="2014" spans="1:1095" s="39" customFormat="1" ht="14.25" customHeight="1">
      <c r="A2014" s="8" t="s">
        <v>1722</v>
      </c>
      <c r="B2014" s="244" t="s">
        <v>2353</v>
      </c>
      <c r="C2014" s="8"/>
      <c r="D2014" s="7"/>
      <c r="E2014" s="230"/>
      <c r="F2014" s="7"/>
      <c r="G2014" s="68" t="s">
        <v>6505</v>
      </c>
      <c r="H2014" s="230"/>
      <c r="I2014" s="230"/>
      <c r="J2014" s="230"/>
      <c r="K2014" s="230"/>
      <c r="L2014" s="230"/>
      <c r="M2014" s="248"/>
      <c r="N2014" s="284"/>
      <c r="O2014" s="38"/>
      <c r="P2014" s="38"/>
      <c r="Q2014" s="38"/>
      <c r="R2014" s="38"/>
      <c r="S2014" s="38"/>
      <c r="T2014" s="38"/>
      <c r="U2014" s="38"/>
      <c r="V2014" s="38"/>
      <c r="W2014" s="38"/>
      <c r="X2014" s="38"/>
      <c r="Y2014" s="38"/>
      <c r="Z2014" s="38"/>
      <c r="AA2014" s="38"/>
      <c r="AB2014" s="38"/>
      <c r="AC2014" s="38"/>
      <c r="AD2014" s="38"/>
      <c r="AE2014" s="38"/>
      <c r="AF2014" s="38"/>
      <c r="AG2014" s="38"/>
      <c r="AH2014" s="38"/>
      <c r="AI2014" s="38"/>
      <c r="AJ2014" s="38"/>
      <c r="AK2014" s="38"/>
      <c r="AL2014" s="38"/>
      <c r="AM2014" s="38"/>
      <c r="AN2014" s="38"/>
      <c r="AO2014" s="38"/>
      <c r="AP2014" s="38"/>
      <c r="AQ2014" s="38"/>
      <c r="AR2014" s="38"/>
      <c r="AS2014" s="38"/>
      <c r="AT2014" s="38"/>
      <c r="AU2014" s="38"/>
      <c r="AV2014" s="38"/>
      <c r="AW2014" s="38"/>
      <c r="AX2014" s="38"/>
      <c r="AY2014" s="38"/>
      <c r="AZ2014" s="38"/>
      <c r="BA2014" s="38"/>
      <c r="BB2014" s="38"/>
      <c r="BC2014" s="38"/>
      <c r="BD2014" s="38"/>
      <c r="BE2014" s="38"/>
      <c r="BF2014" s="38"/>
      <c r="BG2014" s="38"/>
      <c r="BH2014" s="38"/>
      <c r="BI2014" s="38"/>
      <c r="BJ2014" s="38"/>
      <c r="BK2014" s="38"/>
      <c r="BL2014" s="38"/>
      <c r="BM2014" s="38"/>
      <c r="BN2014" s="38"/>
      <c r="BO2014" s="38"/>
      <c r="BP2014" s="38"/>
      <c r="BQ2014" s="38"/>
      <c r="BR2014" s="38"/>
      <c r="BS2014" s="38"/>
      <c r="BT2014" s="38"/>
      <c r="BU2014" s="38"/>
      <c r="BV2014" s="38"/>
      <c r="BW2014" s="38"/>
      <c r="BX2014" s="38"/>
      <c r="BY2014" s="38"/>
      <c r="BZ2014" s="38"/>
      <c r="CA2014" s="38"/>
      <c r="CB2014" s="38"/>
      <c r="CC2014" s="38"/>
      <c r="CD2014" s="38"/>
      <c r="CE2014" s="38"/>
      <c r="CF2014" s="38"/>
      <c r="CG2014" s="38"/>
      <c r="CH2014" s="38"/>
      <c r="CI2014" s="38"/>
      <c r="CJ2014" s="38"/>
      <c r="CK2014" s="38"/>
      <c r="CL2014" s="38"/>
      <c r="CM2014" s="38"/>
      <c r="CN2014" s="38"/>
      <c r="CO2014" s="38"/>
      <c r="CP2014" s="38"/>
      <c r="CQ2014" s="38"/>
      <c r="CR2014" s="38"/>
      <c r="CS2014" s="38"/>
      <c r="CT2014" s="38"/>
      <c r="CU2014" s="38"/>
      <c r="CV2014" s="38"/>
      <c r="CW2014" s="38"/>
      <c r="CX2014" s="38"/>
      <c r="CY2014" s="38"/>
      <c r="CZ2014" s="38"/>
      <c r="DA2014" s="38"/>
      <c r="DB2014" s="38"/>
      <c r="DC2014" s="38"/>
      <c r="DD2014" s="38"/>
      <c r="DE2014" s="38"/>
      <c r="DF2014" s="38"/>
      <c r="DG2014" s="38"/>
      <c r="DH2014" s="38"/>
      <c r="DI2014" s="38"/>
      <c r="DJ2014" s="38"/>
      <c r="DK2014" s="38"/>
      <c r="DL2014" s="38"/>
      <c r="DM2014" s="38"/>
      <c r="DN2014" s="38"/>
      <c r="DO2014" s="38"/>
      <c r="DP2014" s="38"/>
      <c r="DQ2014" s="38"/>
      <c r="DR2014" s="38"/>
      <c r="DS2014" s="38"/>
      <c r="DT2014" s="38"/>
      <c r="DU2014" s="38"/>
      <c r="DV2014" s="38"/>
      <c r="DW2014" s="38"/>
      <c r="DX2014" s="38"/>
      <c r="DY2014" s="38"/>
      <c r="DZ2014" s="38"/>
      <c r="EA2014" s="38"/>
      <c r="EB2014" s="38"/>
      <c r="EC2014" s="38"/>
      <c r="ED2014" s="38"/>
      <c r="EE2014" s="38"/>
      <c r="EF2014" s="38"/>
      <c r="EG2014" s="38"/>
      <c r="EH2014" s="38"/>
      <c r="EI2014" s="38"/>
      <c r="EJ2014" s="38"/>
      <c r="EK2014" s="38"/>
      <c r="EL2014" s="38"/>
      <c r="EM2014" s="38"/>
      <c r="EN2014" s="38"/>
      <c r="EO2014" s="38"/>
      <c r="EP2014" s="38"/>
      <c r="EQ2014" s="38"/>
      <c r="ER2014" s="38"/>
      <c r="ES2014" s="38"/>
      <c r="ET2014" s="38"/>
      <c r="EU2014" s="38"/>
      <c r="EV2014" s="38"/>
      <c r="EW2014" s="38"/>
      <c r="EX2014" s="38"/>
      <c r="EY2014" s="38"/>
      <c r="EZ2014" s="38"/>
      <c r="FA2014" s="38"/>
      <c r="FB2014" s="38"/>
      <c r="FC2014" s="38"/>
      <c r="FD2014" s="38"/>
      <c r="FE2014" s="38"/>
      <c r="FF2014" s="38"/>
      <c r="FG2014" s="38"/>
      <c r="FH2014" s="38"/>
      <c r="FI2014" s="38"/>
      <c r="FJ2014" s="38"/>
      <c r="FK2014" s="38"/>
      <c r="FL2014" s="38"/>
      <c r="FM2014" s="38"/>
      <c r="FN2014" s="38"/>
      <c r="FO2014" s="38"/>
      <c r="FP2014" s="38"/>
      <c r="FQ2014" s="38"/>
      <c r="FR2014" s="38"/>
      <c r="FS2014" s="38"/>
      <c r="FT2014" s="38"/>
      <c r="FU2014" s="38"/>
      <c r="FV2014" s="38"/>
      <c r="FW2014" s="38"/>
      <c r="FX2014" s="38"/>
      <c r="FY2014" s="38"/>
      <c r="FZ2014" s="38"/>
      <c r="GA2014" s="38"/>
      <c r="GB2014" s="38"/>
      <c r="GC2014" s="38"/>
      <c r="GD2014" s="38"/>
      <c r="GE2014" s="38"/>
      <c r="GF2014" s="38"/>
      <c r="GG2014" s="38"/>
      <c r="GH2014" s="38"/>
      <c r="GI2014" s="38"/>
      <c r="GJ2014" s="38"/>
      <c r="GK2014" s="38"/>
      <c r="GL2014" s="38"/>
      <c r="GM2014" s="38"/>
      <c r="GN2014" s="38"/>
      <c r="GO2014" s="38"/>
      <c r="GP2014" s="38"/>
      <c r="GQ2014" s="38"/>
      <c r="GR2014" s="38"/>
      <c r="GS2014" s="38"/>
      <c r="GT2014" s="38"/>
      <c r="GU2014" s="38"/>
      <c r="GV2014" s="38"/>
      <c r="GW2014" s="38"/>
      <c r="GX2014" s="38"/>
      <c r="GY2014" s="38"/>
      <c r="GZ2014" s="38"/>
      <c r="HA2014" s="38"/>
      <c r="HB2014" s="38"/>
      <c r="HC2014" s="38"/>
      <c r="HD2014" s="38"/>
      <c r="HE2014" s="38"/>
      <c r="HF2014" s="38"/>
      <c r="HG2014" s="38"/>
      <c r="HH2014" s="38"/>
      <c r="HI2014" s="38"/>
      <c r="HJ2014" s="38"/>
      <c r="HK2014" s="38"/>
      <c r="HL2014" s="38"/>
      <c r="HM2014" s="38"/>
      <c r="HN2014" s="38"/>
      <c r="HO2014" s="38"/>
      <c r="HP2014" s="38"/>
      <c r="HQ2014" s="38"/>
      <c r="HR2014" s="38"/>
      <c r="HS2014" s="38"/>
      <c r="HT2014" s="38"/>
      <c r="HU2014" s="38"/>
      <c r="HV2014" s="38"/>
      <c r="HW2014" s="38"/>
      <c r="HX2014" s="38"/>
      <c r="HY2014" s="38"/>
      <c r="HZ2014" s="38"/>
      <c r="IA2014" s="38"/>
      <c r="IB2014" s="38"/>
      <c r="IC2014" s="38"/>
      <c r="ID2014" s="38"/>
      <c r="IE2014" s="38"/>
      <c r="IF2014" s="38"/>
      <c r="IG2014" s="38"/>
      <c r="IH2014" s="38"/>
      <c r="II2014" s="38"/>
      <c r="IJ2014" s="38"/>
      <c r="IK2014" s="38"/>
      <c r="IL2014" s="38"/>
      <c r="IM2014" s="38"/>
      <c r="IN2014" s="38"/>
      <c r="IO2014" s="38"/>
      <c r="IP2014" s="38"/>
      <c r="IQ2014" s="38"/>
      <c r="IR2014" s="38"/>
      <c r="IS2014" s="38"/>
      <c r="IT2014" s="38"/>
      <c r="IU2014" s="38"/>
      <c r="IV2014" s="38"/>
      <c r="IW2014" s="38"/>
      <c r="IX2014" s="38"/>
      <c r="IY2014" s="38"/>
      <c r="IZ2014" s="38"/>
      <c r="JA2014" s="38"/>
      <c r="JB2014" s="38"/>
      <c r="JC2014" s="38"/>
      <c r="JD2014" s="38"/>
      <c r="JE2014" s="38"/>
      <c r="JF2014" s="38"/>
      <c r="JG2014" s="38"/>
      <c r="JH2014" s="38"/>
      <c r="JI2014" s="38"/>
      <c r="JJ2014" s="38"/>
      <c r="JK2014" s="38"/>
      <c r="JL2014" s="38"/>
      <c r="JM2014" s="38"/>
      <c r="JN2014" s="38"/>
      <c r="JO2014" s="38"/>
      <c r="JP2014" s="38"/>
      <c r="JQ2014" s="38"/>
      <c r="JR2014" s="38"/>
      <c r="JS2014" s="38"/>
      <c r="JT2014" s="38"/>
      <c r="JU2014" s="38"/>
      <c r="JV2014" s="38"/>
      <c r="JW2014" s="38"/>
      <c r="JX2014" s="38"/>
      <c r="JY2014" s="38"/>
      <c r="JZ2014" s="38"/>
      <c r="KA2014" s="38"/>
      <c r="KB2014" s="38"/>
      <c r="KC2014" s="38"/>
      <c r="KD2014" s="38"/>
      <c r="KE2014" s="38"/>
      <c r="KF2014" s="38"/>
      <c r="KG2014" s="38"/>
      <c r="KH2014" s="38"/>
      <c r="KI2014" s="38"/>
      <c r="KJ2014" s="38"/>
      <c r="KK2014" s="38"/>
      <c r="KL2014" s="38"/>
      <c r="KM2014" s="38"/>
      <c r="KN2014" s="38"/>
      <c r="KO2014" s="38"/>
      <c r="KP2014" s="38"/>
      <c r="KQ2014" s="38"/>
      <c r="KR2014" s="38"/>
      <c r="KS2014" s="38"/>
      <c r="KT2014" s="38"/>
      <c r="KU2014" s="38"/>
      <c r="KV2014" s="38"/>
      <c r="KW2014" s="38"/>
      <c r="KX2014" s="38"/>
      <c r="KY2014" s="38"/>
      <c r="KZ2014" s="38"/>
      <c r="LA2014" s="38"/>
      <c r="LB2014" s="38"/>
      <c r="LC2014" s="38"/>
      <c r="LD2014" s="38"/>
      <c r="LE2014" s="38"/>
      <c r="LF2014" s="38"/>
      <c r="LG2014" s="38"/>
      <c r="LH2014" s="38"/>
      <c r="LI2014" s="38"/>
      <c r="LJ2014" s="38"/>
      <c r="LK2014" s="38"/>
      <c r="LL2014" s="38"/>
      <c r="LM2014" s="38"/>
      <c r="LN2014" s="38"/>
      <c r="LO2014" s="38"/>
      <c r="LP2014" s="38"/>
      <c r="LQ2014" s="38"/>
      <c r="LR2014" s="38"/>
      <c r="LS2014" s="38"/>
      <c r="LT2014" s="38"/>
      <c r="LU2014" s="38"/>
      <c r="LV2014" s="38"/>
      <c r="LW2014" s="38"/>
      <c r="LX2014" s="38"/>
      <c r="LY2014" s="38"/>
      <c r="LZ2014" s="38"/>
      <c r="MA2014" s="38"/>
      <c r="MB2014" s="38"/>
      <c r="MC2014" s="38"/>
      <c r="MD2014" s="38"/>
      <c r="ME2014" s="38"/>
      <c r="MF2014" s="38"/>
      <c r="MG2014" s="38"/>
      <c r="MH2014" s="38"/>
      <c r="MI2014" s="38"/>
      <c r="MJ2014" s="38"/>
      <c r="MK2014" s="38"/>
      <c r="ML2014" s="38"/>
      <c r="MM2014" s="38"/>
      <c r="MN2014" s="38"/>
      <c r="MO2014" s="38"/>
      <c r="MP2014" s="38"/>
      <c r="MQ2014" s="38"/>
      <c r="MR2014" s="38"/>
      <c r="MS2014" s="38"/>
      <c r="MT2014" s="38"/>
      <c r="MU2014" s="38"/>
      <c r="MV2014" s="38"/>
      <c r="MW2014" s="38"/>
      <c r="MX2014" s="38"/>
      <c r="MY2014" s="38"/>
      <c r="MZ2014" s="38"/>
      <c r="NA2014" s="38"/>
      <c r="NB2014" s="38"/>
      <c r="NC2014" s="38"/>
      <c r="ND2014" s="38"/>
      <c r="NE2014" s="38"/>
      <c r="NF2014" s="38"/>
      <c r="NG2014" s="38"/>
      <c r="NH2014" s="38"/>
      <c r="NI2014" s="38"/>
      <c r="NJ2014" s="38"/>
      <c r="NK2014" s="38"/>
      <c r="NL2014" s="38"/>
      <c r="NM2014" s="38"/>
      <c r="NN2014" s="38"/>
      <c r="NO2014" s="38"/>
      <c r="NP2014" s="38"/>
      <c r="NQ2014" s="38"/>
      <c r="NR2014" s="38"/>
      <c r="NS2014" s="38"/>
      <c r="NT2014" s="38"/>
      <c r="NU2014" s="38"/>
      <c r="NV2014" s="38"/>
      <c r="NW2014" s="38"/>
      <c r="NX2014" s="38"/>
      <c r="NY2014" s="38"/>
      <c r="NZ2014" s="38"/>
      <c r="OA2014" s="38"/>
      <c r="OB2014" s="38"/>
      <c r="OC2014" s="38"/>
      <c r="OD2014" s="38"/>
      <c r="OE2014" s="38"/>
      <c r="OF2014" s="38"/>
      <c r="OG2014" s="38"/>
      <c r="OH2014" s="38"/>
      <c r="OI2014" s="38"/>
      <c r="OJ2014" s="38"/>
      <c r="OK2014" s="38"/>
      <c r="OL2014" s="38"/>
      <c r="OM2014" s="38"/>
      <c r="ON2014" s="38"/>
      <c r="OO2014" s="38"/>
      <c r="OP2014" s="38"/>
      <c r="OQ2014" s="38"/>
      <c r="OR2014" s="38"/>
      <c r="OS2014" s="38"/>
      <c r="OT2014" s="38"/>
      <c r="OU2014" s="38"/>
      <c r="OV2014" s="38"/>
      <c r="OW2014" s="38"/>
      <c r="OX2014" s="38"/>
      <c r="OY2014" s="38"/>
      <c r="OZ2014" s="38"/>
      <c r="PA2014" s="38"/>
      <c r="PB2014" s="38"/>
      <c r="PC2014" s="38"/>
      <c r="PD2014" s="38"/>
      <c r="PE2014" s="38"/>
      <c r="PF2014" s="38"/>
      <c r="PG2014" s="38"/>
      <c r="PH2014" s="38"/>
      <c r="PI2014" s="38"/>
      <c r="PJ2014" s="38"/>
      <c r="PK2014" s="38"/>
      <c r="PL2014" s="38"/>
      <c r="PM2014" s="38"/>
      <c r="PN2014" s="38"/>
      <c r="PO2014" s="38"/>
      <c r="PP2014" s="38"/>
      <c r="PQ2014" s="38"/>
      <c r="PR2014" s="38"/>
      <c r="PS2014" s="38"/>
      <c r="PT2014" s="38"/>
      <c r="PU2014" s="38"/>
      <c r="PV2014" s="38"/>
      <c r="PW2014" s="38"/>
      <c r="PX2014" s="38"/>
      <c r="PY2014" s="38"/>
      <c r="PZ2014" s="38"/>
      <c r="QA2014" s="38"/>
      <c r="QB2014" s="38"/>
      <c r="QC2014" s="38"/>
      <c r="QD2014" s="38"/>
      <c r="QE2014" s="38"/>
      <c r="QF2014" s="38"/>
      <c r="QG2014" s="38"/>
      <c r="QH2014" s="38"/>
      <c r="QI2014" s="38"/>
      <c r="QJ2014" s="38"/>
      <c r="QK2014" s="38"/>
      <c r="QL2014" s="38"/>
      <c r="QM2014" s="38"/>
      <c r="QN2014" s="38"/>
      <c r="QO2014" s="38"/>
      <c r="QP2014" s="38"/>
      <c r="QQ2014" s="38"/>
      <c r="QR2014" s="38"/>
      <c r="QS2014" s="38"/>
      <c r="QT2014" s="38"/>
      <c r="QU2014" s="38"/>
      <c r="QV2014" s="38"/>
      <c r="QW2014" s="38"/>
      <c r="QX2014" s="38"/>
      <c r="QY2014" s="38"/>
      <c r="QZ2014" s="38"/>
      <c r="RA2014" s="38"/>
      <c r="RB2014" s="38"/>
      <c r="RC2014" s="38"/>
      <c r="RD2014" s="38"/>
      <c r="RE2014" s="38"/>
      <c r="RF2014" s="38"/>
      <c r="RG2014" s="38"/>
      <c r="RH2014" s="38"/>
      <c r="RI2014" s="38"/>
      <c r="RJ2014" s="38"/>
      <c r="RK2014" s="38"/>
      <c r="RL2014" s="38"/>
      <c r="RM2014" s="38"/>
      <c r="RN2014" s="38"/>
      <c r="RO2014" s="38"/>
      <c r="RP2014" s="38"/>
      <c r="RQ2014" s="38"/>
      <c r="RR2014" s="38"/>
      <c r="RS2014" s="38"/>
      <c r="RT2014" s="38"/>
      <c r="RU2014" s="38"/>
      <c r="RV2014" s="38"/>
      <c r="RW2014" s="38"/>
      <c r="RX2014" s="38"/>
      <c r="RY2014" s="38"/>
      <c r="RZ2014" s="38"/>
      <c r="SA2014" s="38"/>
      <c r="SB2014" s="38"/>
      <c r="SC2014" s="38"/>
      <c r="SD2014" s="38"/>
      <c r="SE2014" s="38"/>
      <c r="SF2014" s="38"/>
      <c r="SG2014" s="38"/>
      <c r="SH2014" s="38"/>
      <c r="SI2014" s="38"/>
      <c r="SJ2014" s="38"/>
      <c r="SK2014" s="38"/>
      <c r="SL2014" s="38"/>
      <c r="SM2014" s="38"/>
      <c r="SN2014" s="38"/>
      <c r="SO2014" s="38"/>
      <c r="SP2014" s="38"/>
      <c r="SQ2014" s="38"/>
      <c r="SR2014" s="38"/>
      <c r="SS2014" s="38"/>
      <c r="ST2014" s="38"/>
      <c r="SU2014" s="38"/>
      <c r="SV2014" s="38"/>
      <c r="SW2014" s="38"/>
      <c r="SX2014" s="38"/>
      <c r="SY2014" s="38"/>
      <c r="SZ2014" s="38"/>
      <c r="TA2014" s="38"/>
      <c r="TB2014" s="38"/>
      <c r="TC2014" s="38"/>
      <c r="TD2014" s="38"/>
      <c r="TE2014" s="38"/>
      <c r="TF2014" s="38"/>
      <c r="TG2014" s="38"/>
      <c r="TH2014" s="38"/>
      <c r="TI2014" s="38"/>
      <c r="TJ2014" s="38"/>
      <c r="TK2014" s="38"/>
      <c r="TL2014" s="38"/>
      <c r="TM2014" s="38"/>
      <c r="TN2014" s="38"/>
      <c r="TO2014" s="38"/>
      <c r="TP2014" s="38"/>
      <c r="TQ2014" s="38"/>
      <c r="TR2014" s="38"/>
      <c r="TS2014" s="38"/>
      <c r="TT2014" s="38"/>
      <c r="TU2014" s="38"/>
      <c r="TV2014" s="38"/>
      <c r="TW2014" s="38"/>
      <c r="TX2014" s="38"/>
      <c r="TY2014" s="38"/>
      <c r="TZ2014" s="38"/>
      <c r="UA2014" s="38"/>
      <c r="UB2014" s="38"/>
      <c r="UC2014" s="38"/>
      <c r="UD2014" s="38"/>
      <c r="UE2014" s="38"/>
      <c r="UF2014" s="38"/>
      <c r="UG2014" s="38"/>
      <c r="UH2014" s="38"/>
      <c r="UI2014" s="38"/>
      <c r="UJ2014" s="38"/>
      <c r="UK2014" s="38"/>
      <c r="UL2014" s="38"/>
      <c r="UM2014" s="38"/>
      <c r="UN2014" s="38"/>
      <c r="UO2014" s="38"/>
      <c r="UP2014" s="38"/>
      <c r="UQ2014" s="38"/>
      <c r="UR2014" s="38"/>
      <c r="US2014" s="38"/>
      <c r="UT2014" s="38"/>
      <c r="UU2014" s="38"/>
      <c r="UV2014" s="38"/>
      <c r="UW2014" s="38"/>
      <c r="UX2014" s="38"/>
      <c r="UY2014" s="38"/>
      <c r="UZ2014" s="38"/>
      <c r="VA2014" s="38"/>
      <c r="VB2014" s="38"/>
      <c r="VC2014" s="38"/>
      <c r="VD2014" s="38"/>
      <c r="VE2014" s="38"/>
      <c r="VF2014" s="38"/>
      <c r="VG2014" s="38"/>
      <c r="VH2014" s="38"/>
      <c r="VI2014" s="38"/>
      <c r="VJ2014" s="38"/>
      <c r="VK2014" s="38"/>
      <c r="VL2014" s="38"/>
      <c r="VM2014" s="38"/>
      <c r="VN2014" s="38"/>
      <c r="VO2014" s="38"/>
      <c r="VP2014" s="38"/>
      <c r="VQ2014" s="38"/>
      <c r="VR2014" s="38"/>
      <c r="VS2014" s="38"/>
      <c r="VT2014" s="38"/>
      <c r="VU2014" s="38"/>
      <c r="VV2014" s="38"/>
      <c r="VW2014" s="38"/>
      <c r="VX2014" s="38"/>
      <c r="VY2014" s="38"/>
      <c r="VZ2014" s="38"/>
      <c r="WA2014" s="38"/>
      <c r="WB2014" s="38"/>
      <c r="WC2014" s="38"/>
      <c r="WD2014" s="38"/>
      <c r="WE2014" s="38"/>
      <c r="WF2014" s="38"/>
      <c r="WG2014" s="38"/>
      <c r="WH2014" s="38"/>
      <c r="WI2014" s="38"/>
      <c r="WJ2014" s="38"/>
      <c r="WK2014" s="38"/>
      <c r="WL2014" s="38"/>
      <c r="WM2014" s="38"/>
      <c r="WN2014" s="38"/>
      <c r="WO2014" s="38"/>
      <c r="WP2014" s="38"/>
      <c r="WQ2014" s="38"/>
      <c r="WR2014" s="38"/>
      <c r="WS2014" s="38"/>
      <c r="WT2014" s="38"/>
      <c r="WU2014" s="38"/>
      <c r="WV2014" s="38"/>
      <c r="WW2014" s="38"/>
      <c r="WX2014" s="38"/>
      <c r="WY2014" s="38"/>
      <c r="WZ2014" s="38"/>
      <c r="XA2014" s="38"/>
      <c r="XB2014" s="38"/>
      <c r="XC2014" s="38"/>
      <c r="XD2014" s="38"/>
      <c r="XE2014" s="38"/>
      <c r="XF2014" s="38"/>
      <c r="XG2014" s="38"/>
      <c r="XH2014" s="38"/>
      <c r="XI2014" s="38"/>
      <c r="XJ2014" s="38"/>
      <c r="XK2014" s="38"/>
      <c r="XL2014" s="38"/>
      <c r="XM2014" s="38"/>
      <c r="XN2014" s="38"/>
      <c r="XO2014" s="38"/>
      <c r="XP2014" s="38"/>
      <c r="XQ2014" s="38"/>
      <c r="XR2014" s="38"/>
      <c r="XS2014" s="38"/>
      <c r="XT2014" s="38"/>
      <c r="XU2014" s="38"/>
      <c r="XV2014" s="38"/>
      <c r="XW2014" s="38"/>
      <c r="XX2014" s="38"/>
      <c r="XY2014" s="38"/>
      <c r="XZ2014" s="38"/>
      <c r="YA2014" s="38"/>
      <c r="YB2014" s="38"/>
      <c r="YC2014" s="38"/>
      <c r="YD2014" s="38"/>
      <c r="YE2014" s="38"/>
      <c r="YF2014" s="38"/>
      <c r="YG2014" s="38"/>
      <c r="YH2014" s="38"/>
      <c r="YI2014" s="38"/>
      <c r="YJ2014" s="38"/>
      <c r="YK2014" s="38"/>
      <c r="YL2014" s="38"/>
      <c r="YM2014" s="38"/>
      <c r="YN2014" s="38"/>
      <c r="YO2014" s="38"/>
      <c r="YP2014" s="38"/>
      <c r="YQ2014" s="38"/>
      <c r="YR2014" s="38"/>
      <c r="YS2014" s="38"/>
      <c r="YT2014" s="38"/>
      <c r="YU2014" s="38"/>
      <c r="YV2014" s="38"/>
      <c r="YW2014" s="38"/>
      <c r="YX2014" s="38"/>
      <c r="YY2014" s="38"/>
      <c r="YZ2014" s="38"/>
      <c r="ZA2014" s="38"/>
      <c r="ZB2014" s="38"/>
      <c r="ZC2014" s="38"/>
      <c r="ZD2014" s="38"/>
      <c r="ZE2014" s="38"/>
      <c r="ZF2014" s="38"/>
      <c r="ZG2014" s="38"/>
      <c r="ZH2014" s="38"/>
      <c r="ZI2014" s="38"/>
      <c r="ZJ2014" s="38"/>
      <c r="ZK2014" s="38"/>
      <c r="ZL2014" s="38"/>
      <c r="ZM2014" s="38"/>
      <c r="ZN2014" s="38"/>
      <c r="ZO2014" s="38"/>
      <c r="ZP2014" s="38"/>
      <c r="ZQ2014" s="38"/>
      <c r="ZR2014" s="38"/>
      <c r="ZS2014" s="38"/>
      <c r="ZT2014" s="38"/>
      <c r="ZU2014" s="38"/>
      <c r="ZV2014" s="38"/>
      <c r="ZW2014" s="38"/>
      <c r="ZX2014" s="38"/>
      <c r="ZY2014" s="38"/>
      <c r="ZZ2014" s="38"/>
      <c r="AAA2014" s="38"/>
      <c r="AAB2014" s="38"/>
      <c r="AAC2014" s="38"/>
      <c r="AAD2014" s="38"/>
      <c r="AAE2014" s="38"/>
      <c r="AAF2014" s="38"/>
      <c r="AAG2014" s="38"/>
      <c r="AAH2014" s="38"/>
      <c r="AAI2014" s="38"/>
      <c r="AAJ2014" s="38"/>
      <c r="AAK2014" s="38"/>
      <c r="AAL2014" s="38"/>
      <c r="AAM2014" s="38"/>
      <c r="AAN2014" s="38"/>
      <c r="AAO2014" s="38"/>
      <c r="AAP2014" s="38"/>
      <c r="AAQ2014" s="38"/>
      <c r="AAR2014" s="38"/>
      <c r="AAS2014" s="38"/>
      <c r="AAT2014" s="38"/>
      <c r="AAU2014" s="38"/>
      <c r="AAV2014" s="38"/>
      <c r="AAW2014" s="38"/>
      <c r="AAX2014" s="38"/>
      <c r="AAY2014" s="38"/>
      <c r="AAZ2014" s="38"/>
      <c r="ABA2014" s="38"/>
      <c r="ABB2014" s="38"/>
      <c r="ABC2014" s="38"/>
      <c r="ABD2014" s="38"/>
      <c r="ABE2014" s="38"/>
      <c r="ABF2014" s="38"/>
      <c r="ABG2014" s="38"/>
      <c r="ABH2014" s="38"/>
      <c r="ABI2014" s="38"/>
      <c r="ABJ2014" s="38"/>
      <c r="ABK2014" s="38"/>
      <c r="ABL2014" s="38"/>
      <c r="ABM2014" s="38"/>
      <c r="ABN2014" s="38"/>
      <c r="ABO2014" s="38"/>
      <c r="ABP2014" s="38"/>
      <c r="ABQ2014" s="38"/>
      <c r="ABR2014" s="38"/>
      <c r="ABS2014" s="38"/>
      <c r="ABT2014" s="38"/>
      <c r="ABU2014" s="38"/>
      <c r="ABV2014" s="38"/>
      <c r="ABW2014" s="38"/>
      <c r="ABX2014" s="38"/>
      <c r="ABY2014" s="38"/>
      <c r="ABZ2014" s="38"/>
      <c r="ACA2014" s="38"/>
      <c r="ACB2014" s="38"/>
      <c r="ACC2014" s="38"/>
      <c r="ACD2014" s="38"/>
      <c r="ACE2014" s="38"/>
      <c r="ACF2014" s="38"/>
      <c r="ACG2014" s="38"/>
      <c r="ACH2014" s="38"/>
      <c r="ACI2014" s="38"/>
      <c r="ACJ2014" s="38"/>
      <c r="ACK2014" s="38"/>
      <c r="ACL2014" s="38"/>
      <c r="ACM2014" s="38"/>
      <c r="ACN2014" s="38"/>
      <c r="ACO2014" s="38"/>
      <c r="ACP2014" s="38"/>
      <c r="ACQ2014" s="38"/>
      <c r="ACR2014" s="38"/>
      <c r="ACS2014" s="38"/>
      <c r="ACT2014" s="38"/>
      <c r="ACU2014" s="38"/>
      <c r="ACV2014" s="38"/>
      <c r="ACW2014" s="38"/>
      <c r="ACX2014" s="38"/>
      <c r="ACY2014" s="38"/>
      <c r="ACZ2014" s="38"/>
      <c r="ADA2014" s="38"/>
      <c r="ADB2014" s="38"/>
      <c r="ADC2014" s="38"/>
      <c r="ADD2014" s="38"/>
      <c r="ADE2014" s="38"/>
      <c r="ADF2014" s="38"/>
      <c r="ADG2014" s="38"/>
      <c r="ADH2014" s="38"/>
      <c r="ADI2014" s="38"/>
      <c r="ADJ2014" s="38"/>
      <c r="ADK2014" s="38"/>
      <c r="ADL2014" s="38"/>
      <c r="ADM2014" s="38"/>
      <c r="ADN2014" s="38"/>
      <c r="ADO2014" s="38"/>
      <c r="ADP2014" s="38"/>
      <c r="ADQ2014" s="38"/>
      <c r="ADR2014" s="38"/>
      <c r="ADS2014" s="38"/>
      <c r="ADT2014" s="38"/>
      <c r="ADU2014" s="38"/>
      <c r="ADV2014" s="38"/>
      <c r="ADW2014" s="38"/>
      <c r="ADX2014" s="38"/>
      <c r="ADY2014" s="38"/>
      <c r="ADZ2014" s="38"/>
      <c r="AEA2014" s="38"/>
      <c r="AEB2014" s="38"/>
      <c r="AEC2014" s="38"/>
      <c r="AED2014" s="38"/>
      <c r="AEE2014" s="38"/>
      <c r="AEF2014" s="38"/>
      <c r="AEG2014" s="38"/>
      <c r="AEH2014" s="38"/>
      <c r="AEI2014" s="38"/>
      <c r="AEJ2014" s="38"/>
      <c r="AEK2014" s="38"/>
      <c r="AEL2014" s="38"/>
      <c r="AEM2014" s="38"/>
      <c r="AEN2014" s="38"/>
      <c r="AEO2014" s="38"/>
      <c r="AEP2014" s="38"/>
      <c r="AEQ2014" s="38"/>
      <c r="AER2014" s="38"/>
      <c r="AES2014" s="38"/>
      <c r="AET2014" s="38"/>
      <c r="AEU2014" s="38"/>
      <c r="AEV2014" s="38"/>
      <c r="AEW2014" s="38"/>
      <c r="AEX2014" s="38"/>
      <c r="AEY2014" s="38"/>
      <c r="AEZ2014" s="38"/>
      <c r="AFA2014" s="38"/>
      <c r="AFB2014" s="38"/>
      <c r="AFC2014" s="38"/>
      <c r="AFD2014" s="38"/>
      <c r="AFE2014" s="38"/>
      <c r="AFF2014" s="38"/>
      <c r="AFG2014" s="38"/>
      <c r="AFH2014" s="38"/>
      <c r="AFI2014" s="38"/>
      <c r="AFJ2014" s="38"/>
      <c r="AFK2014" s="38"/>
      <c r="AFL2014" s="38"/>
      <c r="AFM2014" s="38"/>
      <c r="AFN2014" s="38"/>
      <c r="AFO2014" s="38"/>
      <c r="AFP2014" s="38"/>
      <c r="AFQ2014" s="38"/>
      <c r="AFR2014" s="38"/>
      <c r="AFS2014" s="38"/>
      <c r="AFT2014" s="38"/>
      <c r="AFU2014" s="38"/>
      <c r="AFV2014" s="38"/>
      <c r="AFW2014" s="38"/>
      <c r="AFX2014" s="38"/>
      <c r="AFY2014" s="38"/>
      <c r="AFZ2014" s="38"/>
      <c r="AGA2014" s="38"/>
      <c r="AGB2014" s="38"/>
      <c r="AGC2014" s="38"/>
      <c r="AGD2014" s="38"/>
      <c r="AGE2014" s="38"/>
      <c r="AGF2014" s="38"/>
      <c r="AGG2014" s="38"/>
      <c r="AGH2014" s="38"/>
      <c r="AGI2014" s="38"/>
      <c r="AGJ2014" s="38"/>
      <c r="AGK2014" s="38"/>
      <c r="AGL2014" s="38"/>
      <c r="AGM2014" s="38"/>
      <c r="AGN2014" s="38"/>
      <c r="AGO2014" s="38"/>
      <c r="AGP2014" s="38"/>
      <c r="AGQ2014" s="38"/>
      <c r="AGR2014" s="38"/>
      <c r="AGS2014" s="38"/>
      <c r="AGT2014" s="38"/>
      <c r="AGU2014" s="38"/>
      <c r="AGV2014" s="38"/>
      <c r="AGW2014" s="38"/>
      <c r="AGX2014" s="38"/>
      <c r="AGY2014" s="38"/>
      <c r="AGZ2014" s="38"/>
      <c r="AHA2014" s="38"/>
      <c r="AHB2014" s="38"/>
      <c r="AHC2014" s="38"/>
      <c r="AHD2014" s="38"/>
      <c r="AHE2014" s="38"/>
      <c r="AHF2014" s="38"/>
      <c r="AHG2014" s="38"/>
      <c r="AHH2014" s="38"/>
      <c r="AHI2014" s="38"/>
      <c r="AHJ2014" s="38"/>
      <c r="AHK2014" s="38"/>
      <c r="AHL2014" s="38"/>
      <c r="AHM2014" s="38"/>
      <c r="AHN2014" s="38"/>
      <c r="AHO2014" s="38"/>
      <c r="AHP2014" s="38"/>
      <c r="AHQ2014" s="38"/>
      <c r="AHR2014" s="38"/>
      <c r="AHS2014" s="38"/>
      <c r="AHT2014" s="38"/>
      <c r="AHU2014" s="38"/>
      <c r="AHV2014" s="38"/>
      <c r="AHW2014" s="38"/>
      <c r="AHX2014" s="38"/>
      <c r="AHY2014" s="38"/>
      <c r="AHZ2014" s="38"/>
      <c r="AIA2014" s="38"/>
      <c r="AIB2014" s="38"/>
      <c r="AIC2014" s="38"/>
      <c r="AID2014" s="38"/>
      <c r="AIE2014" s="38"/>
      <c r="AIF2014" s="38"/>
      <c r="AIG2014" s="38"/>
      <c r="AIH2014" s="38"/>
      <c r="AII2014" s="38"/>
      <c r="AIJ2014" s="38"/>
      <c r="AIK2014" s="38"/>
      <c r="AIL2014" s="38"/>
      <c r="AIM2014" s="38"/>
      <c r="AIN2014" s="38"/>
      <c r="AIO2014" s="38"/>
      <c r="AIP2014" s="38"/>
      <c r="AIQ2014" s="38"/>
      <c r="AIR2014" s="38"/>
      <c r="AIS2014" s="38"/>
      <c r="AIT2014" s="38"/>
      <c r="AIU2014" s="38"/>
      <c r="AIV2014" s="38"/>
      <c r="AIW2014" s="38"/>
      <c r="AIX2014" s="38"/>
      <c r="AIY2014" s="38"/>
      <c r="AIZ2014" s="38"/>
      <c r="AJA2014" s="38"/>
      <c r="AJB2014" s="38"/>
      <c r="AJC2014" s="38"/>
      <c r="AJD2014" s="38"/>
      <c r="AJE2014" s="38"/>
      <c r="AJF2014" s="38"/>
      <c r="AJG2014" s="38"/>
      <c r="AJH2014" s="38"/>
      <c r="AJI2014" s="38"/>
      <c r="AJJ2014" s="38"/>
      <c r="AJK2014" s="38"/>
      <c r="AJL2014" s="38"/>
      <c r="AJM2014" s="38"/>
      <c r="AJN2014" s="38"/>
      <c r="AJO2014" s="38"/>
      <c r="AJP2014" s="38"/>
      <c r="AJQ2014" s="38"/>
      <c r="AJR2014" s="38"/>
      <c r="AJS2014" s="38"/>
      <c r="AJT2014" s="38"/>
      <c r="AJU2014" s="38"/>
      <c r="AJV2014" s="38"/>
      <c r="AJW2014" s="38"/>
      <c r="AJX2014" s="38"/>
      <c r="AJY2014" s="38"/>
      <c r="AJZ2014" s="38"/>
      <c r="AKA2014" s="38"/>
      <c r="AKB2014" s="38"/>
      <c r="AKC2014" s="38"/>
      <c r="AKD2014" s="38"/>
      <c r="AKE2014" s="38"/>
      <c r="AKF2014" s="38"/>
      <c r="AKG2014" s="38"/>
      <c r="AKH2014" s="38"/>
      <c r="AKI2014" s="38"/>
      <c r="AKJ2014" s="38"/>
      <c r="AKK2014" s="38"/>
      <c r="AKL2014" s="38"/>
      <c r="AKM2014" s="38"/>
      <c r="AKN2014" s="38"/>
      <c r="AKO2014" s="38"/>
      <c r="AKP2014" s="38"/>
      <c r="AKQ2014" s="38"/>
      <c r="AKR2014" s="38"/>
      <c r="AKS2014" s="38"/>
      <c r="AKT2014" s="38"/>
      <c r="AKU2014" s="38"/>
      <c r="AKV2014" s="38"/>
      <c r="AKW2014" s="38"/>
      <c r="AKX2014" s="38"/>
      <c r="AKY2014" s="38"/>
      <c r="AKZ2014" s="38"/>
      <c r="ALA2014" s="38"/>
      <c r="ALB2014" s="38"/>
      <c r="ALC2014" s="38"/>
      <c r="ALD2014" s="38"/>
      <c r="ALE2014" s="38"/>
      <c r="ALF2014" s="38"/>
      <c r="ALG2014" s="38"/>
      <c r="ALH2014" s="38"/>
      <c r="ALI2014" s="38"/>
      <c r="ALJ2014" s="38"/>
      <c r="ALK2014" s="38"/>
      <c r="ALL2014" s="38"/>
      <c r="ALM2014" s="38"/>
      <c r="ALN2014" s="38"/>
      <c r="ALO2014" s="38"/>
      <c r="ALP2014" s="38"/>
      <c r="ALQ2014" s="38"/>
      <c r="ALR2014" s="38"/>
      <c r="ALS2014" s="38"/>
      <c r="ALT2014" s="38"/>
      <c r="ALU2014" s="38"/>
      <c r="ALV2014" s="38"/>
      <c r="ALW2014" s="38"/>
      <c r="ALX2014" s="38"/>
      <c r="ALY2014" s="38"/>
      <c r="ALZ2014" s="38"/>
      <c r="AMA2014" s="38"/>
      <c r="AMB2014" s="38"/>
      <c r="AMC2014" s="38"/>
      <c r="AMD2014" s="38"/>
      <c r="AME2014" s="38"/>
      <c r="AMF2014" s="38"/>
      <c r="AMG2014" s="38"/>
      <c r="AMH2014" s="38"/>
      <c r="AMI2014" s="38"/>
      <c r="AMJ2014" s="38"/>
      <c r="AMK2014" s="38"/>
      <c r="AML2014" s="38"/>
      <c r="AMM2014" s="38"/>
      <c r="AMN2014" s="38"/>
      <c r="AMO2014" s="38"/>
      <c r="AMP2014" s="38"/>
      <c r="AMQ2014" s="38"/>
      <c r="AMR2014" s="38"/>
      <c r="AMS2014" s="38"/>
      <c r="AMT2014" s="38"/>
      <c r="AMU2014" s="38"/>
      <c r="AMV2014" s="38"/>
      <c r="AMW2014" s="38"/>
      <c r="AMX2014" s="38"/>
      <c r="AMY2014" s="38"/>
      <c r="AMZ2014" s="38"/>
      <c r="ANA2014" s="38"/>
      <c r="ANB2014" s="38"/>
      <c r="ANC2014" s="38"/>
      <c r="AND2014" s="38"/>
      <c r="ANE2014" s="38"/>
      <c r="ANF2014" s="38"/>
      <c r="ANG2014" s="38"/>
      <c r="ANH2014" s="38"/>
      <c r="ANI2014" s="38"/>
      <c r="ANJ2014" s="38"/>
      <c r="ANK2014" s="38"/>
      <c r="ANL2014" s="38"/>
      <c r="ANM2014" s="38"/>
      <c r="ANN2014" s="38"/>
      <c r="ANO2014" s="38"/>
      <c r="ANP2014" s="38"/>
      <c r="ANQ2014" s="38"/>
      <c r="ANR2014" s="38"/>
      <c r="ANS2014" s="38"/>
      <c r="ANT2014" s="38"/>
      <c r="ANU2014" s="38"/>
      <c r="ANV2014" s="38"/>
      <c r="ANW2014" s="38"/>
      <c r="ANX2014" s="38"/>
      <c r="ANY2014" s="38"/>
      <c r="ANZ2014" s="38"/>
      <c r="AOA2014" s="38"/>
      <c r="AOB2014" s="38"/>
      <c r="AOC2014" s="38"/>
      <c r="AOD2014" s="38"/>
      <c r="AOE2014" s="38"/>
      <c r="AOF2014" s="38"/>
      <c r="AOG2014" s="38"/>
      <c r="AOH2014" s="38"/>
      <c r="AOI2014" s="38"/>
      <c r="AOJ2014" s="38"/>
      <c r="AOK2014" s="38"/>
      <c r="AOL2014" s="38"/>
      <c r="AOM2014" s="38"/>
      <c r="AON2014" s="38"/>
      <c r="AOO2014" s="38"/>
      <c r="AOP2014" s="38"/>
      <c r="AOQ2014" s="38"/>
      <c r="AOR2014" s="38"/>
      <c r="AOS2014" s="38"/>
      <c r="AOT2014" s="38"/>
      <c r="AOU2014" s="38"/>
      <c r="AOV2014" s="38"/>
      <c r="AOW2014" s="38"/>
      <c r="AOX2014" s="38"/>
      <c r="AOY2014" s="38"/>
      <c r="AOZ2014" s="38"/>
      <c r="APA2014" s="38"/>
      <c r="APB2014" s="38"/>
      <c r="APC2014" s="38"/>
    </row>
    <row r="2015" spans="1:1095" s="36" customFormat="1" ht="14.25" customHeight="1">
      <c r="A2015" s="3" t="s">
        <v>1722</v>
      </c>
      <c r="B2015" s="36" t="s">
        <v>2354</v>
      </c>
      <c r="C2015" s="10">
        <v>4099854067662</v>
      </c>
      <c r="D2015" s="224">
        <v>4058075591134</v>
      </c>
      <c r="E2015" s="245" t="s">
        <v>2355</v>
      </c>
      <c r="F2015" s="246"/>
      <c r="G2015" s="66" t="str">
        <f>HYPERLINK("https://ledvance.com/pt/product-datasheet/251456/238299","Ficha de Produto")</f>
        <v>Ficha de Produto</v>
      </c>
      <c r="H2015" s="217">
        <v>10</v>
      </c>
      <c r="I2015" s="34" t="s">
        <v>6369</v>
      </c>
      <c r="J2015" s="34" t="s">
        <v>6370</v>
      </c>
      <c r="K2015" s="34" t="s">
        <v>788</v>
      </c>
      <c r="L2015" s="34" t="s">
        <v>765</v>
      </c>
      <c r="M2015" s="247">
        <v>7.9</v>
      </c>
      <c r="N2015" s="288" t="s">
        <v>722</v>
      </c>
    </row>
    <row r="2016" spans="1:1095" s="36" customFormat="1" ht="14.25" customHeight="1">
      <c r="A2016" s="3" t="s">
        <v>1722</v>
      </c>
      <c r="B2016" s="36" t="s">
        <v>2356</v>
      </c>
      <c r="C2016" s="10">
        <v>4099854067631</v>
      </c>
      <c r="D2016" s="224">
        <v>4058075590816</v>
      </c>
      <c r="E2016" s="245" t="s">
        <v>2357</v>
      </c>
      <c r="F2016" s="246"/>
      <c r="G2016" s="66" t="str">
        <f>HYPERLINK("https://ledvance.com/pt/product-datasheet/251456/238335","Ficha de Produto")</f>
        <v>Ficha de Produto</v>
      </c>
      <c r="H2016" s="217">
        <v>10</v>
      </c>
      <c r="I2016" s="34" t="s">
        <v>6369</v>
      </c>
      <c r="J2016" s="34" t="s">
        <v>6370</v>
      </c>
      <c r="K2016" s="34" t="s">
        <v>788</v>
      </c>
      <c r="L2016" s="34" t="s">
        <v>765</v>
      </c>
      <c r="M2016" s="247">
        <v>7.9</v>
      </c>
      <c r="N2016" s="288" t="s">
        <v>722</v>
      </c>
    </row>
    <row r="2017" spans="1:1095" s="36" customFormat="1" ht="14.25" customHeight="1">
      <c r="A2017" s="3" t="s">
        <v>1722</v>
      </c>
      <c r="B2017" s="36" t="s">
        <v>2358</v>
      </c>
      <c r="C2017" s="10">
        <v>4099854067709</v>
      </c>
      <c r="D2017" s="224">
        <v>4058075591233</v>
      </c>
      <c r="E2017" s="245" t="s">
        <v>2359</v>
      </c>
      <c r="F2017" s="246"/>
      <c r="G2017" s="66" t="str">
        <f>HYPERLINK("https://ledvance.com/pt/product-datasheet/251456/238311","Ficha de Produto")</f>
        <v>Ficha de Produto</v>
      </c>
      <c r="H2017" s="217">
        <v>10</v>
      </c>
      <c r="I2017" s="34" t="s">
        <v>6354</v>
      </c>
      <c r="J2017" s="34" t="s">
        <v>6365</v>
      </c>
      <c r="K2017" s="34" t="s">
        <v>788</v>
      </c>
      <c r="L2017" s="34" t="s">
        <v>765</v>
      </c>
      <c r="M2017" s="247">
        <v>7.9</v>
      </c>
      <c r="N2017" s="288" t="s">
        <v>722</v>
      </c>
    </row>
    <row r="2018" spans="1:1095" s="36" customFormat="1" ht="14.25" customHeight="1">
      <c r="A2018" s="3" t="s">
        <v>1722</v>
      </c>
      <c r="B2018" s="36" t="s">
        <v>2360</v>
      </c>
      <c r="C2018" s="10">
        <v>4099854067594</v>
      </c>
      <c r="D2018" s="224">
        <v>4058075590779</v>
      </c>
      <c r="E2018" s="245" t="s">
        <v>2361</v>
      </c>
      <c r="F2018" s="246"/>
      <c r="G2018" s="66" t="str">
        <f>HYPERLINK("https://ledvance.com/pt/product-datasheet/251456/238332","Ficha de Produto")</f>
        <v>Ficha de Produto</v>
      </c>
      <c r="H2018" s="217">
        <v>10</v>
      </c>
      <c r="I2018" s="34" t="s">
        <v>6354</v>
      </c>
      <c r="J2018" s="34" t="s">
        <v>6365</v>
      </c>
      <c r="K2018" s="34" t="s">
        <v>788</v>
      </c>
      <c r="L2018" s="34" t="s">
        <v>765</v>
      </c>
      <c r="M2018" s="247">
        <v>7.9</v>
      </c>
      <c r="N2018" s="288" t="s">
        <v>722</v>
      </c>
    </row>
    <row r="2019" spans="1:1095" s="36" customFormat="1" ht="14.25" customHeight="1">
      <c r="A2019" s="3" t="s">
        <v>1722</v>
      </c>
      <c r="B2019" s="36" t="s">
        <v>2362</v>
      </c>
      <c r="C2019" s="10">
        <v>4099854067617</v>
      </c>
      <c r="D2019" s="224">
        <v>4058075590793</v>
      </c>
      <c r="E2019" s="245" t="s">
        <v>2363</v>
      </c>
      <c r="F2019" s="246"/>
      <c r="G2019" s="66" t="str">
        <f>HYPERLINK("https://ledvance.com/pt/product-datasheet/251456/238329","Ficha de Produto")</f>
        <v>Ficha de Produto</v>
      </c>
      <c r="H2019" s="217">
        <v>10</v>
      </c>
      <c r="I2019" s="34" t="s">
        <v>6354</v>
      </c>
      <c r="J2019" s="34" t="s">
        <v>6365</v>
      </c>
      <c r="K2019" s="34" t="s">
        <v>788</v>
      </c>
      <c r="L2019" s="34" t="s">
        <v>765</v>
      </c>
      <c r="M2019" s="247">
        <v>7.9</v>
      </c>
      <c r="N2019" s="288" t="s">
        <v>722</v>
      </c>
    </row>
    <row r="2020" spans="1:1095" s="36" customFormat="1" ht="14.25" customHeight="1">
      <c r="A2020" s="3" t="s">
        <v>1722</v>
      </c>
      <c r="B2020" s="36" t="s">
        <v>2364</v>
      </c>
      <c r="C2020" s="10">
        <v>4099854065552</v>
      </c>
      <c r="D2020" s="224">
        <v>4058075590731</v>
      </c>
      <c r="E2020" s="245" t="s">
        <v>2365</v>
      </c>
      <c r="F2020" s="246"/>
      <c r="G2020" s="66" t="str">
        <f>HYPERLINK("https://ledvance.com/pt/product-datasheet/251456/238261","Ficha de Produto")</f>
        <v>Ficha de Produto</v>
      </c>
      <c r="H2020" s="217">
        <v>10</v>
      </c>
      <c r="I2020" s="34" t="s">
        <v>6349</v>
      </c>
      <c r="J2020" s="34" t="s">
        <v>6335</v>
      </c>
      <c r="K2020" s="34" t="s">
        <v>788</v>
      </c>
      <c r="L2020" s="34" t="s">
        <v>765</v>
      </c>
      <c r="M2020" s="247">
        <v>12.6</v>
      </c>
      <c r="N2020" s="288" t="s">
        <v>722</v>
      </c>
    </row>
    <row r="2021" spans="1:1095" s="39" customFormat="1" ht="14.25" customHeight="1">
      <c r="A2021" s="8" t="s">
        <v>1722</v>
      </c>
      <c r="B2021" s="244" t="s">
        <v>2366</v>
      </c>
      <c r="C2021" s="8"/>
      <c r="D2021" s="7"/>
      <c r="E2021" s="230"/>
      <c r="F2021" s="7"/>
      <c r="G2021" s="68"/>
      <c r="H2021" s="230"/>
      <c r="I2021" s="230"/>
      <c r="J2021" s="230"/>
      <c r="K2021" s="230"/>
      <c r="L2021" s="230"/>
      <c r="M2021" s="248"/>
      <c r="N2021" s="284"/>
      <c r="O2021" s="38"/>
      <c r="P2021" s="38"/>
      <c r="Q2021" s="38"/>
      <c r="R2021" s="38"/>
      <c r="S2021" s="38"/>
      <c r="T2021" s="38"/>
      <c r="U2021" s="38"/>
      <c r="V2021" s="38"/>
      <c r="W2021" s="38"/>
      <c r="X2021" s="38"/>
      <c r="Y2021" s="38"/>
      <c r="Z2021" s="38"/>
      <c r="AA2021" s="38"/>
      <c r="AB2021" s="38"/>
      <c r="AC2021" s="38"/>
      <c r="AD2021" s="38"/>
      <c r="AE2021" s="38"/>
      <c r="AF2021" s="38"/>
      <c r="AG2021" s="38"/>
      <c r="AH2021" s="38"/>
      <c r="AI2021" s="38"/>
      <c r="AJ2021" s="38"/>
      <c r="AK2021" s="38"/>
      <c r="AL2021" s="38"/>
      <c r="AM2021" s="38"/>
      <c r="AN2021" s="38"/>
      <c r="AO2021" s="38"/>
      <c r="AP2021" s="38"/>
      <c r="AQ2021" s="38"/>
      <c r="AR2021" s="38"/>
      <c r="AS2021" s="38"/>
      <c r="AT2021" s="38"/>
      <c r="AU2021" s="38"/>
      <c r="AV2021" s="38"/>
      <c r="AW2021" s="38"/>
      <c r="AX2021" s="38"/>
      <c r="AY2021" s="38"/>
      <c r="AZ2021" s="38"/>
      <c r="BA2021" s="38"/>
      <c r="BB2021" s="38"/>
      <c r="BC2021" s="38"/>
      <c r="BD2021" s="38"/>
      <c r="BE2021" s="38"/>
      <c r="BF2021" s="38"/>
      <c r="BG2021" s="38"/>
      <c r="BH2021" s="38"/>
      <c r="BI2021" s="38"/>
      <c r="BJ2021" s="38"/>
      <c r="BK2021" s="38"/>
      <c r="BL2021" s="38"/>
      <c r="BM2021" s="38"/>
      <c r="BN2021" s="38"/>
      <c r="BO2021" s="38"/>
      <c r="BP2021" s="38"/>
      <c r="BQ2021" s="38"/>
      <c r="BR2021" s="38"/>
      <c r="BS2021" s="38"/>
      <c r="BT2021" s="38"/>
      <c r="BU2021" s="38"/>
      <c r="BV2021" s="38"/>
      <c r="BW2021" s="38"/>
      <c r="BX2021" s="38"/>
      <c r="BY2021" s="38"/>
      <c r="BZ2021" s="38"/>
      <c r="CA2021" s="38"/>
      <c r="CB2021" s="38"/>
      <c r="CC2021" s="38"/>
      <c r="CD2021" s="38"/>
      <c r="CE2021" s="38"/>
      <c r="CF2021" s="38"/>
      <c r="CG2021" s="38"/>
      <c r="CH2021" s="38"/>
      <c r="CI2021" s="38"/>
      <c r="CJ2021" s="38"/>
      <c r="CK2021" s="38"/>
      <c r="CL2021" s="38"/>
      <c r="CM2021" s="38"/>
      <c r="CN2021" s="38"/>
      <c r="CO2021" s="38"/>
      <c r="CP2021" s="38"/>
      <c r="CQ2021" s="38"/>
      <c r="CR2021" s="38"/>
      <c r="CS2021" s="38"/>
      <c r="CT2021" s="38"/>
      <c r="CU2021" s="38"/>
      <c r="CV2021" s="38"/>
      <c r="CW2021" s="38"/>
      <c r="CX2021" s="38"/>
      <c r="CY2021" s="38"/>
      <c r="CZ2021" s="38"/>
      <c r="DA2021" s="38"/>
      <c r="DB2021" s="38"/>
      <c r="DC2021" s="38"/>
      <c r="DD2021" s="38"/>
      <c r="DE2021" s="38"/>
      <c r="DF2021" s="38"/>
      <c r="DG2021" s="38"/>
      <c r="DH2021" s="38"/>
      <c r="DI2021" s="38"/>
      <c r="DJ2021" s="38"/>
      <c r="DK2021" s="38"/>
      <c r="DL2021" s="38"/>
      <c r="DM2021" s="38"/>
      <c r="DN2021" s="38"/>
      <c r="DO2021" s="38"/>
      <c r="DP2021" s="38"/>
      <c r="DQ2021" s="38"/>
      <c r="DR2021" s="38"/>
      <c r="DS2021" s="38"/>
      <c r="DT2021" s="38"/>
      <c r="DU2021" s="38"/>
      <c r="DV2021" s="38"/>
      <c r="DW2021" s="38"/>
      <c r="DX2021" s="38"/>
      <c r="DY2021" s="38"/>
      <c r="DZ2021" s="38"/>
      <c r="EA2021" s="38"/>
      <c r="EB2021" s="38"/>
      <c r="EC2021" s="38"/>
      <c r="ED2021" s="38"/>
      <c r="EE2021" s="38"/>
      <c r="EF2021" s="38"/>
      <c r="EG2021" s="38"/>
      <c r="EH2021" s="38"/>
      <c r="EI2021" s="38"/>
      <c r="EJ2021" s="38"/>
      <c r="EK2021" s="38"/>
      <c r="EL2021" s="38"/>
      <c r="EM2021" s="38"/>
      <c r="EN2021" s="38"/>
      <c r="EO2021" s="38"/>
      <c r="EP2021" s="38"/>
      <c r="EQ2021" s="38"/>
      <c r="ER2021" s="38"/>
      <c r="ES2021" s="38"/>
      <c r="ET2021" s="38"/>
      <c r="EU2021" s="38"/>
      <c r="EV2021" s="38"/>
      <c r="EW2021" s="38"/>
      <c r="EX2021" s="38"/>
      <c r="EY2021" s="38"/>
      <c r="EZ2021" s="38"/>
      <c r="FA2021" s="38"/>
      <c r="FB2021" s="38"/>
      <c r="FC2021" s="38"/>
      <c r="FD2021" s="38"/>
      <c r="FE2021" s="38"/>
      <c r="FF2021" s="38"/>
      <c r="FG2021" s="38"/>
      <c r="FH2021" s="38"/>
      <c r="FI2021" s="38"/>
      <c r="FJ2021" s="38"/>
      <c r="FK2021" s="38"/>
      <c r="FL2021" s="38"/>
      <c r="FM2021" s="38"/>
      <c r="FN2021" s="38"/>
      <c r="FO2021" s="38"/>
      <c r="FP2021" s="38"/>
      <c r="FQ2021" s="38"/>
      <c r="FR2021" s="38"/>
      <c r="FS2021" s="38"/>
      <c r="FT2021" s="38"/>
      <c r="FU2021" s="38"/>
      <c r="FV2021" s="38"/>
      <c r="FW2021" s="38"/>
      <c r="FX2021" s="38"/>
      <c r="FY2021" s="38"/>
      <c r="FZ2021" s="38"/>
      <c r="GA2021" s="38"/>
      <c r="GB2021" s="38"/>
      <c r="GC2021" s="38"/>
      <c r="GD2021" s="38"/>
      <c r="GE2021" s="38"/>
      <c r="GF2021" s="38"/>
      <c r="GG2021" s="38"/>
      <c r="GH2021" s="38"/>
      <c r="GI2021" s="38"/>
      <c r="GJ2021" s="38"/>
      <c r="GK2021" s="38"/>
      <c r="GL2021" s="38"/>
      <c r="GM2021" s="38"/>
      <c r="GN2021" s="38"/>
      <c r="GO2021" s="38"/>
      <c r="GP2021" s="38"/>
      <c r="GQ2021" s="38"/>
      <c r="GR2021" s="38"/>
      <c r="GS2021" s="38"/>
      <c r="GT2021" s="38"/>
      <c r="GU2021" s="38"/>
      <c r="GV2021" s="38"/>
      <c r="GW2021" s="38"/>
      <c r="GX2021" s="38"/>
      <c r="GY2021" s="38"/>
      <c r="GZ2021" s="38"/>
      <c r="HA2021" s="38"/>
      <c r="HB2021" s="38"/>
      <c r="HC2021" s="38"/>
      <c r="HD2021" s="38"/>
      <c r="HE2021" s="38"/>
      <c r="HF2021" s="38"/>
      <c r="HG2021" s="38"/>
      <c r="HH2021" s="38"/>
      <c r="HI2021" s="38"/>
      <c r="HJ2021" s="38"/>
      <c r="HK2021" s="38"/>
      <c r="HL2021" s="38"/>
      <c r="HM2021" s="38"/>
      <c r="HN2021" s="38"/>
      <c r="HO2021" s="38"/>
      <c r="HP2021" s="38"/>
      <c r="HQ2021" s="38"/>
      <c r="HR2021" s="38"/>
      <c r="HS2021" s="38"/>
      <c r="HT2021" s="38"/>
      <c r="HU2021" s="38"/>
      <c r="HV2021" s="38"/>
      <c r="HW2021" s="38"/>
      <c r="HX2021" s="38"/>
      <c r="HY2021" s="38"/>
      <c r="HZ2021" s="38"/>
      <c r="IA2021" s="38"/>
      <c r="IB2021" s="38"/>
      <c r="IC2021" s="38"/>
      <c r="ID2021" s="38"/>
      <c r="IE2021" s="38"/>
      <c r="IF2021" s="38"/>
      <c r="IG2021" s="38"/>
      <c r="IH2021" s="38"/>
      <c r="II2021" s="38"/>
      <c r="IJ2021" s="38"/>
      <c r="IK2021" s="38"/>
      <c r="IL2021" s="38"/>
      <c r="IM2021" s="38"/>
      <c r="IN2021" s="38"/>
      <c r="IO2021" s="38"/>
      <c r="IP2021" s="38"/>
      <c r="IQ2021" s="38"/>
      <c r="IR2021" s="38"/>
      <c r="IS2021" s="38"/>
      <c r="IT2021" s="38"/>
      <c r="IU2021" s="38"/>
      <c r="IV2021" s="38"/>
      <c r="IW2021" s="38"/>
      <c r="IX2021" s="38"/>
      <c r="IY2021" s="38"/>
      <c r="IZ2021" s="38"/>
      <c r="JA2021" s="38"/>
      <c r="JB2021" s="38"/>
      <c r="JC2021" s="38"/>
      <c r="JD2021" s="38"/>
      <c r="JE2021" s="38"/>
      <c r="JF2021" s="38"/>
      <c r="JG2021" s="38"/>
      <c r="JH2021" s="38"/>
      <c r="JI2021" s="38"/>
      <c r="JJ2021" s="38"/>
      <c r="JK2021" s="38"/>
      <c r="JL2021" s="38"/>
      <c r="JM2021" s="38"/>
      <c r="JN2021" s="38"/>
      <c r="JO2021" s="38"/>
      <c r="JP2021" s="38"/>
      <c r="JQ2021" s="38"/>
      <c r="JR2021" s="38"/>
      <c r="JS2021" s="38"/>
      <c r="JT2021" s="38"/>
      <c r="JU2021" s="38"/>
      <c r="JV2021" s="38"/>
      <c r="JW2021" s="38"/>
      <c r="JX2021" s="38"/>
      <c r="JY2021" s="38"/>
      <c r="JZ2021" s="38"/>
      <c r="KA2021" s="38"/>
      <c r="KB2021" s="38"/>
      <c r="KC2021" s="38"/>
      <c r="KD2021" s="38"/>
      <c r="KE2021" s="38"/>
      <c r="KF2021" s="38"/>
      <c r="KG2021" s="38"/>
      <c r="KH2021" s="38"/>
      <c r="KI2021" s="38"/>
      <c r="KJ2021" s="38"/>
      <c r="KK2021" s="38"/>
      <c r="KL2021" s="38"/>
      <c r="KM2021" s="38"/>
      <c r="KN2021" s="38"/>
      <c r="KO2021" s="38"/>
      <c r="KP2021" s="38"/>
      <c r="KQ2021" s="38"/>
      <c r="KR2021" s="38"/>
      <c r="KS2021" s="38"/>
      <c r="KT2021" s="38"/>
      <c r="KU2021" s="38"/>
      <c r="KV2021" s="38"/>
      <c r="KW2021" s="38"/>
      <c r="KX2021" s="38"/>
      <c r="KY2021" s="38"/>
      <c r="KZ2021" s="38"/>
      <c r="LA2021" s="38"/>
      <c r="LB2021" s="38"/>
      <c r="LC2021" s="38"/>
      <c r="LD2021" s="38"/>
      <c r="LE2021" s="38"/>
      <c r="LF2021" s="38"/>
      <c r="LG2021" s="38"/>
      <c r="LH2021" s="38"/>
      <c r="LI2021" s="38"/>
      <c r="LJ2021" s="38"/>
      <c r="LK2021" s="38"/>
      <c r="LL2021" s="38"/>
      <c r="LM2021" s="38"/>
      <c r="LN2021" s="38"/>
      <c r="LO2021" s="38"/>
      <c r="LP2021" s="38"/>
      <c r="LQ2021" s="38"/>
      <c r="LR2021" s="38"/>
      <c r="LS2021" s="38"/>
      <c r="LT2021" s="38"/>
      <c r="LU2021" s="38"/>
      <c r="LV2021" s="38"/>
      <c r="LW2021" s="38"/>
      <c r="LX2021" s="38"/>
      <c r="LY2021" s="38"/>
      <c r="LZ2021" s="38"/>
      <c r="MA2021" s="38"/>
      <c r="MB2021" s="38"/>
      <c r="MC2021" s="38"/>
      <c r="MD2021" s="38"/>
      <c r="ME2021" s="38"/>
      <c r="MF2021" s="38"/>
      <c r="MG2021" s="38"/>
      <c r="MH2021" s="38"/>
      <c r="MI2021" s="38"/>
      <c r="MJ2021" s="38"/>
      <c r="MK2021" s="38"/>
      <c r="ML2021" s="38"/>
      <c r="MM2021" s="38"/>
      <c r="MN2021" s="38"/>
      <c r="MO2021" s="38"/>
      <c r="MP2021" s="38"/>
      <c r="MQ2021" s="38"/>
      <c r="MR2021" s="38"/>
      <c r="MS2021" s="38"/>
      <c r="MT2021" s="38"/>
      <c r="MU2021" s="38"/>
      <c r="MV2021" s="38"/>
      <c r="MW2021" s="38"/>
      <c r="MX2021" s="38"/>
      <c r="MY2021" s="38"/>
      <c r="MZ2021" s="38"/>
      <c r="NA2021" s="38"/>
      <c r="NB2021" s="38"/>
      <c r="NC2021" s="38"/>
      <c r="ND2021" s="38"/>
      <c r="NE2021" s="38"/>
      <c r="NF2021" s="38"/>
      <c r="NG2021" s="38"/>
      <c r="NH2021" s="38"/>
      <c r="NI2021" s="38"/>
      <c r="NJ2021" s="38"/>
      <c r="NK2021" s="38"/>
      <c r="NL2021" s="38"/>
      <c r="NM2021" s="38"/>
      <c r="NN2021" s="38"/>
      <c r="NO2021" s="38"/>
      <c r="NP2021" s="38"/>
      <c r="NQ2021" s="38"/>
      <c r="NR2021" s="38"/>
      <c r="NS2021" s="38"/>
      <c r="NT2021" s="38"/>
      <c r="NU2021" s="38"/>
      <c r="NV2021" s="38"/>
      <c r="NW2021" s="38"/>
      <c r="NX2021" s="38"/>
      <c r="NY2021" s="38"/>
      <c r="NZ2021" s="38"/>
      <c r="OA2021" s="38"/>
      <c r="OB2021" s="38"/>
      <c r="OC2021" s="38"/>
      <c r="OD2021" s="38"/>
      <c r="OE2021" s="38"/>
      <c r="OF2021" s="38"/>
      <c r="OG2021" s="38"/>
      <c r="OH2021" s="38"/>
      <c r="OI2021" s="38"/>
      <c r="OJ2021" s="38"/>
      <c r="OK2021" s="38"/>
      <c r="OL2021" s="38"/>
      <c r="OM2021" s="38"/>
      <c r="ON2021" s="38"/>
      <c r="OO2021" s="38"/>
      <c r="OP2021" s="38"/>
      <c r="OQ2021" s="38"/>
      <c r="OR2021" s="38"/>
      <c r="OS2021" s="38"/>
      <c r="OT2021" s="38"/>
      <c r="OU2021" s="38"/>
      <c r="OV2021" s="38"/>
      <c r="OW2021" s="38"/>
      <c r="OX2021" s="38"/>
      <c r="OY2021" s="38"/>
      <c r="OZ2021" s="38"/>
      <c r="PA2021" s="38"/>
      <c r="PB2021" s="38"/>
      <c r="PC2021" s="38"/>
      <c r="PD2021" s="38"/>
      <c r="PE2021" s="38"/>
      <c r="PF2021" s="38"/>
      <c r="PG2021" s="38"/>
      <c r="PH2021" s="38"/>
      <c r="PI2021" s="38"/>
      <c r="PJ2021" s="38"/>
      <c r="PK2021" s="38"/>
      <c r="PL2021" s="38"/>
      <c r="PM2021" s="38"/>
      <c r="PN2021" s="38"/>
      <c r="PO2021" s="38"/>
      <c r="PP2021" s="38"/>
      <c r="PQ2021" s="38"/>
      <c r="PR2021" s="38"/>
      <c r="PS2021" s="38"/>
      <c r="PT2021" s="38"/>
      <c r="PU2021" s="38"/>
      <c r="PV2021" s="38"/>
      <c r="PW2021" s="38"/>
      <c r="PX2021" s="38"/>
      <c r="PY2021" s="38"/>
      <c r="PZ2021" s="38"/>
      <c r="QA2021" s="38"/>
      <c r="QB2021" s="38"/>
      <c r="QC2021" s="38"/>
      <c r="QD2021" s="38"/>
      <c r="QE2021" s="38"/>
      <c r="QF2021" s="38"/>
      <c r="QG2021" s="38"/>
      <c r="QH2021" s="38"/>
      <c r="QI2021" s="38"/>
      <c r="QJ2021" s="38"/>
      <c r="QK2021" s="38"/>
      <c r="QL2021" s="38"/>
      <c r="QM2021" s="38"/>
      <c r="QN2021" s="38"/>
      <c r="QO2021" s="38"/>
      <c r="QP2021" s="38"/>
      <c r="QQ2021" s="38"/>
      <c r="QR2021" s="38"/>
      <c r="QS2021" s="38"/>
      <c r="QT2021" s="38"/>
      <c r="QU2021" s="38"/>
      <c r="QV2021" s="38"/>
      <c r="QW2021" s="38"/>
      <c r="QX2021" s="38"/>
      <c r="QY2021" s="38"/>
      <c r="QZ2021" s="38"/>
      <c r="RA2021" s="38"/>
      <c r="RB2021" s="38"/>
      <c r="RC2021" s="38"/>
      <c r="RD2021" s="38"/>
      <c r="RE2021" s="38"/>
      <c r="RF2021" s="38"/>
      <c r="RG2021" s="38"/>
      <c r="RH2021" s="38"/>
      <c r="RI2021" s="38"/>
      <c r="RJ2021" s="38"/>
      <c r="RK2021" s="38"/>
      <c r="RL2021" s="38"/>
      <c r="RM2021" s="38"/>
      <c r="RN2021" s="38"/>
      <c r="RO2021" s="38"/>
      <c r="RP2021" s="38"/>
      <c r="RQ2021" s="38"/>
      <c r="RR2021" s="38"/>
      <c r="RS2021" s="38"/>
      <c r="RT2021" s="38"/>
      <c r="RU2021" s="38"/>
      <c r="RV2021" s="38"/>
      <c r="RW2021" s="38"/>
      <c r="RX2021" s="38"/>
      <c r="RY2021" s="38"/>
      <c r="RZ2021" s="38"/>
      <c r="SA2021" s="38"/>
      <c r="SB2021" s="38"/>
      <c r="SC2021" s="38"/>
      <c r="SD2021" s="38"/>
      <c r="SE2021" s="38"/>
      <c r="SF2021" s="38"/>
      <c r="SG2021" s="38"/>
      <c r="SH2021" s="38"/>
      <c r="SI2021" s="38"/>
      <c r="SJ2021" s="38"/>
      <c r="SK2021" s="38"/>
      <c r="SL2021" s="38"/>
      <c r="SM2021" s="38"/>
      <c r="SN2021" s="38"/>
      <c r="SO2021" s="38"/>
      <c r="SP2021" s="38"/>
      <c r="SQ2021" s="38"/>
      <c r="SR2021" s="38"/>
      <c r="SS2021" s="38"/>
      <c r="ST2021" s="38"/>
      <c r="SU2021" s="38"/>
      <c r="SV2021" s="38"/>
      <c r="SW2021" s="38"/>
      <c r="SX2021" s="38"/>
      <c r="SY2021" s="38"/>
      <c r="SZ2021" s="38"/>
      <c r="TA2021" s="38"/>
      <c r="TB2021" s="38"/>
      <c r="TC2021" s="38"/>
      <c r="TD2021" s="38"/>
      <c r="TE2021" s="38"/>
      <c r="TF2021" s="38"/>
      <c r="TG2021" s="38"/>
      <c r="TH2021" s="38"/>
      <c r="TI2021" s="38"/>
      <c r="TJ2021" s="38"/>
      <c r="TK2021" s="38"/>
      <c r="TL2021" s="38"/>
      <c r="TM2021" s="38"/>
      <c r="TN2021" s="38"/>
      <c r="TO2021" s="38"/>
      <c r="TP2021" s="38"/>
      <c r="TQ2021" s="38"/>
      <c r="TR2021" s="38"/>
      <c r="TS2021" s="38"/>
      <c r="TT2021" s="38"/>
      <c r="TU2021" s="38"/>
      <c r="TV2021" s="38"/>
      <c r="TW2021" s="38"/>
      <c r="TX2021" s="38"/>
      <c r="TY2021" s="38"/>
      <c r="TZ2021" s="38"/>
      <c r="UA2021" s="38"/>
      <c r="UB2021" s="38"/>
      <c r="UC2021" s="38"/>
      <c r="UD2021" s="38"/>
      <c r="UE2021" s="38"/>
      <c r="UF2021" s="38"/>
      <c r="UG2021" s="38"/>
      <c r="UH2021" s="38"/>
      <c r="UI2021" s="38"/>
      <c r="UJ2021" s="38"/>
      <c r="UK2021" s="38"/>
      <c r="UL2021" s="38"/>
      <c r="UM2021" s="38"/>
      <c r="UN2021" s="38"/>
      <c r="UO2021" s="38"/>
      <c r="UP2021" s="38"/>
      <c r="UQ2021" s="38"/>
      <c r="UR2021" s="38"/>
      <c r="US2021" s="38"/>
      <c r="UT2021" s="38"/>
      <c r="UU2021" s="38"/>
      <c r="UV2021" s="38"/>
      <c r="UW2021" s="38"/>
      <c r="UX2021" s="38"/>
      <c r="UY2021" s="38"/>
      <c r="UZ2021" s="38"/>
      <c r="VA2021" s="38"/>
      <c r="VB2021" s="38"/>
      <c r="VC2021" s="38"/>
      <c r="VD2021" s="38"/>
      <c r="VE2021" s="38"/>
      <c r="VF2021" s="38"/>
      <c r="VG2021" s="38"/>
      <c r="VH2021" s="38"/>
      <c r="VI2021" s="38"/>
      <c r="VJ2021" s="38"/>
      <c r="VK2021" s="38"/>
      <c r="VL2021" s="38"/>
      <c r="VM2021" s="38"/>
      <c r="VN2021" s="38"/>
      <c r="VO2021" s="38"/>
      <c r="VP2021" s="38"/>
      <c r="VQ2021" s="38"/>
      <c r="VR2021" s="38"/>
      <c r="VS2021" s="38"/>
      <c r="VT2021" s="38"/>
      <c r="VU2021" s="38"/>
      <c r="VV2021" s="38"/>
      <c r="VW2021" s="38"/>
      <c r="VX2021" s="38"/>
      <c r="VY2021" s="38"/>
      <c r="VZ2021" s="38"/>
      <c r="WA2021" s="38"/>
      <c r="WB2021" s="38"/>
      <c r="WC2021" s="38"/>
      <c r="WD2021" s="38"/>
      <c r="WE2021" s="38"/>
      <c r="WF2021" s="38"/>
      <c r="WG2021" s="38"/>
      <c r="WH2021" s="38"/>
      <c r="WI2021" s="38"/>
      <c r="WJ2021" s="38"/>
      <c r="WK2021" s="38"/>
      <c r="WL2021" s="38"/>
      <c r="WM2021" s="38"/>
      <c r="WN2021" s="38"/>
      <c r="WO2021" s="38"/>
      <c r="WP2021" s="38"/>
      <c r="WQ2021" s="38"/>
      <c r="WR2021" s="38"/>
      <c r="WS2021" s="38"/>
      <c r="WT2021" s="38"/>
      <c r="WU2021" s="38"/>
      <c r="WV2021" s="38"/>
      <c r="WW2021" s="38"/>
      <c r="WX2021" s="38"/>
      <c r="WY2021" s="38"/>
      <c r="WZ2021" s="38"/>
      <c r="XA2021" s="38"/>
      <c r="XB2021" s="38"/>
      <c r="XC2021" s="38"/>
      <c r="XD2021" s="38"/>
      <c r="XE2021" s="38"/>
      <c r="XF2021" s="38"/>
      <c r="XG2021" s="38"/>
      <c r="XH2021" s="38"/>
      <c r="XI2021" s="38"/>
      <c r="XJ2021" s="38"/>
      <c r="XK2021" s="38"/>
      <c r="XL2021" s="38"/>
      <c r="XM2021" s="38"/>
      <c r="XN2021" s="38"/>
      <c r="XO2021" s="38"/>
      <c r="XP2021" s="38"/>
      <c r="XQ2021" s="38"/>
      <c r="XR2021" s="38"/>
      <c r="XS2021" s="38"/>
      <c r="XT2021" s="38"/>
      <c r="XU2021" s="38"/>
      <c r="XV2021" s="38"/>
      <c r="XW2021" s="38"/>
      <c r="XX2021" s="38"/>
      <c r="XY2021" s="38"/>
      <c r="XZ2021" s="38"/>
      <c r="YA2021" s="38"/>
      <c r="YB2021" s="38"/>
      <c r="YC2021" s="38"/>
      <c r="YD2021" s="38"/>
      <c r="YE2021" s="38"/>
      <c r="YF2021" s="38"/>
      <c r="YG2021" s="38"/>
      <c r="YH2021" s="38"/>
      <c r="YI2021" s="38"/>
      <c r="YJ2021" s="38"/>
      <c r="YK2021" s="38"/>
      <c r="YL2021" s="38"/>
      <c r="YM2021" s="38"/>
      <c r="YN2021" s="38"/>
      <c r="YO2021" s="38"/>
      <c r="YP2021" s="38"/>
      <c r="YQ2021" s="38"/>
      <c r="YR2021" s="38"/>
      <c r="YS2021" s="38"/>
      <c r="YT2021" s="38"/>
      <c r="YU2021" s="38"/>
      <c r="YV2021" s="38"/>
      <c r="YW2021" s="38"/>
      <c r="YX2021" s="38"/>
      <c r="YY2021" s="38"/>
      <c r="YZ2021" s="38"/>
      <c r="ZA2021" s="38"/>
      <c r="ZB2021" s="38"/>
      <c r="ZC2021" s="38"/>
      <c r="ZD2021" s="38"/>
      <c r="ZE2021" s="38"/>
      <c r="ZF2021" s="38"/>
      <c r="ZG2021" s="38"/>
      <c r="ZH2021" s="38"/>
      <c r="ZI2021" s="38"/>
      <c r="ZJ2021" s="38"/>
      <c r="ZK2021" s="38"/>
      <c r="ZL2021" s="38"/>
      <c r="ZM2021" s="38"/>
      <c r="ZN2021" s="38"/>
      <c r="ZO2021" s="38"/>
      <c r="ZP2021" s="38"/>
      <c r="ZQ2021" s="38"/>
      <c r="ZR2021" s="38"/>
      <c r="ZS2021" s="38"/>
      <c r="ZT2021" s="38"/>
      <c r="ZU2021" s="38"/>
      <c r="ZV2021" s="38"/>
      <c r="ZW2021" s="38"/>
      <c r="ZX2021" s="38"/>
      <c r="ZY2021" s="38"/>
      <c r="ZZ2021" s="38"/>
      <c r="AAA2021" s="38"/>
      <c r="AAB2021" s="38"/>
      <c r="AAC2021" s="38"/>
      <c r="AAD2021" s="38"/>
      <c r="AAE2021" s="38"/>
      <c r="AAF2021" s="38"/>
      <c r="AAG2021" s="38"/>
      <c r="AAH2021" s="38"/>
      <c r="AAI2021" s="38"/>
      <c r="AAJ2021" s="38"/>
      <c r="AAK2021" s="38"/>
      <c r="AAL2021" s="38"/>
      <c r="AAM2021" s="38"/>
      <c r="AAN2021" s="38"/>
      <c r="AAO2021" s="38"/>
      <c r="AAP2021" s="38"/>
      <c r="AAQ2021" s="38"/>
      <c r="AAR2021" s="38"/>
      <c r="AAS2021" s="38"/>
      <c r="AAT2021" s="38"/>
      <c r="AAU2021" s="38"/>
      <c r="AAV2021" s="38"/>
      <c r="AAW2021" s="38"/>
      <c r="AAX2021" s="38"/>
      <c r="AAY2021" s="38"/>
      <c r="AAZ2021" s="38"/>
      <c r="ABA2021" s="38"/>
      <c r="ABB2021" s="38"/>
      <c r="ABC2021" s="38"/>
      <c r="ABD2021" s="38"/>
      <c r="ABE2021" s="38"/>
      <c r="ABF2021" s="38"/>
      <c r="ABG2021" s="38"/>
      <c r="ABH2021" s="38"/>
      <c r="ABI2021" s="38"/>
      <c r="ABJ2021" s="38"/>
      <c r="ABK2021" s="38"/>
      <c r="ABL2021" s="38"/>
      <c r="ABM2021" s="38"/>
      <c r="ABN2021" s="38"/>
      <c r="ABO2021" s="38"/>
      <c r="ABP2021" s="38"/>
      <c r="ABQ2021" s="38"/>
      <c r="ABR2021" s="38"/>
      <c r="ABS2021" s="38"/>
      <c r="ABT2021" s="38"/>
      <c r="ABU2021" s="38"/>
      <c r="ABV2021" s="38"/>
      <c r="ABW2021" s="38"/>
      <c r="ABX2021" s="38"/>
      <c r="ABY2021" s="38"/>
      <c r="ABZ2021" s="38"/>
      <c r="ACA2021" s="38"/>
      <c r="ACB2021" s="38"/>
      <c r="ACC2021" s="38"/>
      <c r="ACD2021" s="38"/>
      <c r="ACE2021" s="38"/>
      <c r="ACF2021" s="38"/>
      <c r="ACG2021" s="38"/>
      <c r="ACH2021" s="38"/>
      <c r="ACI2021" s="38"/>
      <c r="ACJ2021" s="38"/>
      <c r="ACK2021" s="38"/>
      <c r="ACL2021" s="38"/>
      <c r="ACM2021" s="38"/>
      <c r="ACN2021" s="38"/>
      <c r="ACO2021" s="38"/>
      <c r="ACP2021" s="38"/>
      <c r="ACQ2021" s="38"/>
      <c r="ACR2021" s="38"/>
      <c r="ACS2021" s="38"/>
      <c r="ACT2021" s="38"/>
      <c r="ACU2021" s="38"/>
      <c r="ACV2021" s="38"/>
      <c r="ACW2021" s="38"/>
      <c r="ACX2021" s="38"/>
      <c r="ACY2021" s="38"/>
      <c r="ACZ2021" s="38"/>
      <c r="ADA2021" s="38"/>
      <c r="ADB2021" s="38"/>
      <c r="ADC2021" s="38"/>
      <c r="ADD2021" s="38"/>
      <c r="ADE2021" s="38"/>
      <c r="ADF2021" s="38"/>
      <c r="ADG2021" s="38"/>
      <c r="ADH2021" s="38"/>
      <c r="ADI2021" s="38"/>
      <c r="ADJ2021" s="38"/>
      <c r="ADK2021" s="38"/>
      <c r="ADL2021" s="38"/>
      <c r="ADM2021" s="38"/>
      <c r="ADN2021" s="38"/>
      <c r="ADO2021" s="38"/>
      <c r="ADP2021" s="38"/>
      <c r="ADQ2021" s="38"/>
      <c r="ADR2021" s="38"/>
      <c r="ADS2021" s="38"/>
      <c r="ADT2021" s="38"/>
      <c r="ADU2021" s="38"/>
      <c r="ADV2021" s="38"/>
      <c r="ADW2021" s="38"/>
      <c r="ADX2021" s="38"/>
      <c r="ADY2021" s="38"/>
      <c r="ADZ2021" s="38"/>
      <c r="AEA2021" s="38"/>
      <c r="AEB2021" s="38"/>
      <c r="AEC2021" s="38"/>
      <c r="AED2021" s="38"/>
      <c r="AEE2021" s="38"/>
      <c r="AEF2021" s="38"/>
      <c r="AEG2021" s="38"/>
      <c r="AEH2021" s="38"/>
      <c r="AEI2021" s="38"/>
      <c r="AEJ2021" s="38"/>
      <c r="AEK2021" s="38"/>
      <c r="AEL2021" s="38"/>
      <c r="AEM2021" s="38"/>
      <c r="AEN2021" s="38"/>
      <c r="AEO2021" s="38"/>
      <c r="AEP2021" s="38"/>
      <c r="AEQ2021" s="38"/>
      <c r="AER2021" s="38"/>
      <c r="AES2021" s="38"/>
      <c r="AET2021" s="38"/>
      <c r="AEU2021" s="38"/>
      <c r="AEV2021" s="38"/>
      <c r="AEW2021" s="38"/>
      <c r="AEX2021" s="38"/>
      <c r="AEY2021" s="38"/>
      <c r="AEZ2021" s="38"/>
      <c r="AFA2021" s="38"/>
      <c r="AFB2021" s="38"/>
      <c r="AFC2021" s="38"/>
      <c r="AFD2021" s="38"/>
      <c r="AFE2021" s="38"/>
      <c r="AFF2021" s="38"/>
      <c r="AFG2021" s="38"/>
      <c r="AFH2021" s="38"/>
      <c r="AFI2021" s="38"/>
      <c r="AFJ2021" s="38"/>
      <c r="AFK2021" s="38"/>
      <c r="AFL2021" s="38"/>
      <c r="AFM2021" s="38"/>
      <c r="AFN2021" s="38"/>
      <c r="AFO2021" s="38"/>
      <c r="AFP2021" s="38"/>
      <c r="AFQ2021" s="38"/>
      <c r="AFR2021" s="38"/>
      <c r="AFS2021" s="38"/>
      <c r="AFT2021" s="38"/>
      <c r="AFU2021" s="38"/>
      <c r="AFV2021" s="38"/>
      <c r="AFW2021" s="38"/>
      <c r="AFX2021" s="38"/>
      <c r="AFY2021" s="38"/>
      <c r="AFZ2021" s="38"/>
      <c r="AGA2021" s="38"/>
      <c r="AGB2021" s="38"/>
      <c r="AGC2021" s="38"/>
      <c r="AGD2021" s="38"/>
      <c r="AGE2021" s="38"/>
      <c r="AGF2021" s="38"/>
      <c r="AGG2021" s="38"/>
      <c r="AGH2021" s="38"/>
      <c r="AGI2021" s="38"/>
      <c r="AGJ2021" s="38"/>
      <c r="AGK2021" s="38"/>
      <c r="AGL2021" s="38"/>
      <c r="AGM2021" s="38"/>
      <c r="AGN2021" s="38"/>
      <c r="AGO2021" s="38"/>
      <c r="AGP2021" s="38"/>
      <c r="AGQ2021" s="38"/>
      <c r="AGR2021" s="38"/>
      <c r="AGS2021" s="38"/>
      <c r="AGT2021" s="38"/>
      <c r="AGU2021" s="38"/>
      <c r="AGV2021" s="38"/>
      <c r="AGW2021" s="38"/>
      <c r="AGX2021" s="38"/>
      <c r="AGY2021" s="38"/>
      <c r="AGZ2021" s="38"/>
      <c r="AHA2021" s="38"/>
      <c r="AHB2021" s="38"/>
      <c r="AHC2021" s="38"/>
      <c r="AHD2021" s="38"/>
      <c r="AHE2021" s="38"/>
      <c r="AHF2021" s="38"/>
      <c r="AHG2021" s="38"/>
      <c r="AHH2021" s="38"/>
      <c r="AHI2021" s="38"/>
      <c r="AHJ2021" s="38"/>
      <c r="AHK2021" s="38"/>
      <c r="AHL2021" s="38"/>
      <c r="AHM2021" s="38"/>
      <c r="AHN2021" s="38"/>
      <c r="AHO2021" s="38"/>
      <c r="AHP2021" s="38"/>
      <c r="AHQ2021" s="38"/>
      <c r="AHR2021" s="38"/>
      <c r="AHS2021" s="38"/>
      <c r="AHT2021" s="38"/>
      <c r="AHU2021" s="38"/>
      <c r="AHV2021" s="38"/>
      <c r="AHW2021" s="38"/>
      <c r="AHX2021" s="38"/>
      <c r="AHY2021" s="38"/>
      <c r="AHZ2021" s="38"/>
      <c r="AIA2021" s="38"/>
      <c r="AIB2021" s="38"/>
      <c r="AIC2021" s="38"/>
      <c r="AID2021" s="38"/>
      <c r="AIE2021" s="38"/>
      <c r="AIF2021" s="38"/>
      <c r="AIG2021" s="38"/>
      <c r="AIH2021" s="38"/>
      <c r="AII2021" s="38"/>
      <c r="AIJ2021" s="38"/>
      <c r="AIK2021" s="38"/>
      <c r="AIL2021" s="38"/>
      <c r="AIM2021" s="38"/>
      <c r="AIN2021" s="38"/>
      <c r="AIO2021" s="38"/>
      <c r="AIP2021" s="38"/>
      <c r="AIQ2021" s="38"/>
      <c r="AIR2021" s="38"/>
      <c r="AIS2021" s="38"/>
      <c r="AIT2021" s="38"/>
      <c r="AIU2021" s="38"/>
      <c r="AIV2021" s="38"/>
      <c r="AIW2021" s="38"/>
      <c r="AIX2021" s="38"/>
      <c r="AIY2021" s="38"/>
      <c r="AIZ2021" s="38"/>
      <c r="AJA2021" s="38"/>
      <c r="AJB2021" s="38"/>
      <c r="AJC2021" s="38"/>
      <c r="AJD2021" s="38"/>
      <c r="AJE2021" s="38"/>
      <c r="AJF2021" s="38"/>
      <c r="AJG2021" s="38"/>
      <c r="AJH2021" s="38"/>
      <c r="AJI2021" s="38"/>
      <c r="AJJ2021" s="38"/>
      <c r="AJK2021" s="38"/>
      <c r="AJL2021" s="38"/>
      <c r="AJM2021" s="38"/>
      <c r="AJN2021" s="38"/>
      <c r="AJO2021" s="38"/>
      <c r="AJP2021" s="38"/>
      <c r="AJQ2021" s="38"/>
      <c r="AJR2021" s="38"/>
      <c r="AJS2021" s="38"/>
      <c r="AJT2021" s="38"/>
      <c r="AJU2021" s="38"/>
      <c r="AJV2021" s="38"/>
      <c r="AJW2021" s="38"/>
      <c r="AJX2021" s="38"/>
      <c r="AJY2021" s="38"/>
      <c r="AJZ2021" s="38"/>
      <c r="AKA2021" s="38"/>
      <c r="AKB2021" s="38"/>
      <c r="AKC2021" s="38"/>
      <c r="AKD2021" s="38"/>
      <c r="AKE2021" s="38"/>
      <c r="AKF2021" s="38"/>
      <c r="AKG2021" s="38"/>
      <c r="AKH2021" s="38"/>
      <c r="AKI2021" s="38"/>
      <c r="AKJ2021" s="38"/>
      <c r="AKK2021" s="38"/>
      <c r="AKL2021" s="38"/>
      <c r="AKM2021" s="38"/>
      <c r="AKN2021" s="38"/>
      <c r="AKO2021" s="38"/>
      <c r="AKP2021" s="38"/>
      <c r="AKQ2021" s="38"/>
      <c r="AKR2021" s="38"/>
      <c r="AKS2021" s="38"/>
      <c r="AKT2021" s="38"/>
      <c r="AKU2021" s="38"/>
      <c r="AKV2021" s="38"/>
      <c r="AKW2021" s="38"/>
      <c r="AKX2021" s="38"/>
      <c r="AKY2021" s="38"/>
      <c r="AKZ2021" s="38"/>
      <c r="ALA2021" s="38"/>
      <c r="ALB2021" s="38"/>
      <c r="ALC2021" s="38"/>
      <c r="ALD2021" s="38"/>
      <c r="ALE2021" s="38"/>
      <c r="ALF2021" s="38"/>
      <c r="ALG2021" s="38"/>
      <c r="ALH2021" s="38"/>
      <c r="ALI2021" s="38"/>
      <c r="ALJ2021" s="38"/>
      <c r="ALK2021" s="38"/>
      <c r="ALL2021" s="38"/>
      <c r="ALM2021" s="38"/>
      <c r="ALN2021" s="38"/>
      <c r="ALO2021" s="38"/>
      <c r="ALP2021" s="38"/>
      <c r="ALQ2021" s="38"/>
      <c r="ALR2021" s="38"/>
      <c r="ALS2021" s="38"/>
      <c r="ALT2021" s="38"/>
      <c r="ALU2021" s="38"/>
      <c r="ALV2021" s="38"/>
      <c r="ALW2021" s="38"/>
      <c r="ALX2021" s="38"/>
      <c r="ALY2021" s="38"/>
      <c r="ALZ2021" s="38"/>
      <c r="AMA2021" s="38"/>
      <c r="AMB2021" s="38"/>
      <c r="AMC2021" s="38"/>
      <c r="AMD2021" s="38"/>
      <c r="AME2021" s="38"/>
      <c r="AMF2021" s="38"/>
      <c r="AMG2021" s="38"/>
      <c r="AMH2021" s="38"/>
      <c r="AMI2021" s="38"/>
      <c r="AMJ2021" s="38"/>
      <c r="AMK2021" s="38"/>
      <c r="AML2021" s="38"/>
      <c r="AMM2021" s="38"/>
      <c r="AMN2021" s="38"/>
      <c r="AMO2021" s="38"/>
      <c r="AMP2021" s="38"/>
      <c r="AMQ2021" s="38"/>
      <c r="AMR2021" s="38"/>
      <c r="AMS2021" s="38"/>
      <c r="AMT2021" s="38"/>
      <c r="AMU2021" s="38"/>
      <c r="AMV2021" s="38"/>
      <c r="AMW2021" s="38"/>
      <c r="AMX2021" s="38"/>
      <c r="AMY2021" s="38"/>
      <c r="AMZ2021" s="38"/>
      <c r="ANA2021" s="38"/>
      <c r="ANB2021" s="38"/>
      <c r="ANC2021" s="38"/>
      <c r="AND2021" s="38"/>
      <c r="ANE2021" s="38"/>
      <c r="ANF2021" s="38"/>
      <c r="ANG2021" s="38"/>
      <c r="ANH2021" s="38"/>
      <c r="ANI2021" s="38"/>
      <c r="ANJ2021" s="38"/>
      <c r="ANK2021" s="38"/>
      <c r="ANL2021" s="38"/>
      <c r="ANM2021" s="38"/>
      <c r="ANN2021" s="38"/>
      <c r="ANO2021" s="38"/>
      <c r="ANP2021" s="38"/>
      <c r="ANQ2021" s="38"/>
      <c r="ANR2021" s="38"/>
      <c r="ANS2021" s="38"/>
      <c r="ANT2021" s="38"/>
      <c r="ANU2021" s="38"/>
      <c r="ANV2021" s="38"/>
      <c r="ANW2021" s="38"/>
      <c r="ANX2021" s="38"/>
      <c r="ANY2021" s="38"/>
      <c r="ANZ2021" s="38"/>
      <c r="AOA2021" s="38"/>
      <c r="AOB2021" s="38"/>
      <c r="AOC2021" s="38"/>
      <c r="AOD2021" s="38"/>
      <c r="AOE2021" s="38"/>
      <c r="AOF2021" s="38"/>
      <c r="AOG2021" s="38"/>
      <c r="AOH2021" s="38"/>
      <c r="AOI2021" s="38"/>
      <c r="AOJ2021" s="38"/>
      <c r="AOK2021" s="38"/>
      <c r="AOL2021" s="38"/>
      <c r="AOM2021" s="38"/>
      <c r="AON2021" s="38"/>
      <c r="AOO2021" s="38"/>
      <c r="AOP2021" s="38"/>
      <c r="AOQ2021" s="38"/>
      <c r="AOR2021" s="38"/>
      <c r="AOS2021" s="38"/>
      <c r="AOT2021" s="38"/>
      <c r="AOU2021" s="38"/>
      <c r="AOV2021" s="38"/>
      <c r="AOW2021" s="38"/>
      <c r="AOX2021" s="38"/>
      <c r="AOY2021" s="38"/>
      <c r="AOZ2021" s="38"/>
      <c r="APA2021" s="38"/>
      <c r="APB2021" s="38"/>
      <c r="APC2021" s="38"/>
    </row>
    <row r="2022" spans="1:1095" s="36" customFormat="1" ht="14.25" customHeight="1">
      <c r="A2022" s="3" t="s">
        <v>1722</v>
      </c>
      <c r="B2022" s="36" t="s">
        <v>2367</v>
      </c>
      <c r="C2022" s="10">
        <v>4099854069253</v>
      </c>
      <c r="D2022" s="224">
        <v>4058075590557</v>
      </c>
      <c r="E2022" s="245" t="s">
        <v>2368</v>
      </c>
      <c r="F2022" s="246"/>
      <c r="G2022" s="66" t="str">
        <f>HYPERLINK("https://ledvance.com/pt/product-datasheet/251489/238787","Ficha de Produto")</f>
        <v>Ficha de Produto</v>
      </c>
      <c r="H2022" s="217">
        <v>10</v>
      </c>
      <c r="I2022" s="34" t="s">
        <v>6371</v>
      </c>
      <c r="J2022" s="34" t="s">
        <v>6372</v>
      </c>
      <c r="K2022" s="34" t="s">
        <v>788</v>
      </c>
      <c r="L2022" s="34" t="s">
        <v>6506</v>
      </c>
      <c r="M2022" s="247">
        <v>5</v>
      </c>
      <c r="N2022" s="288" t="s">
        <v>722</v>
      </c>
    </row>
    <row r="2023" spans="1:1095" s="36" customFormat="1" ht="14.25" customHeight="1">
      <c r="A2023" s="3" t="s">
        <v>1722</v>
      </c>
      <c r="B2023" s="36" t="s">
        <v>2369</v>
      </c>
      <c r="C2023" s="10">
        <v>4099854069215</v>
      </c>
      <c r="D2023" s="224">
        <v>4058075590472</v>
      </c>
      <c r="E2023" s="245" t="s">
        <v>2370</v>
      </c>
      <c r="F2023" s="246"/>
      <c r="G2023" s="66" t="str">
        <f>HYPERLINK("https://ledvance.com/pt/product-datasheet/251489/238775","Ficha de Produto")</f>
        <v>Ficha de Produto</v>
      </c>
      <c r="H2023" s="217">
        <v>10</v>
      </c>
      <c r="I2023" s="34" t="s">
        <v>6369</v>
      </c>
      <c r="J2023" s="34" t="s">
        <v>5840</v>
      </c>
      <c r="K2023" s="34" t="s">
        <v>788</v>
      </c>
      <c r="L2023" s="34" t="s">
        <v>6506</v>
      </c>
      <c r="M2023" s="247">
        <v>5.2</v>
      </c>
      <c r="N2023" s="288" t="s">
        <v>722</v>
      </c>
    </row>
    <row r="2024" spans="1:1095" s="36" customFormat="1" ht="14.25" customHeight="1">
      <c r="A2024" s="3" t="s">
        <v>1722</v>
      </c>
      <c r="B2024" s="36" t="s">
        <v>2371</v>
      </c>
      <c r="C2024" s="10">
        <v>4099854069192</v>
      </c>
      <c r="D2024" s="224">
        <v>4058075590410</v>
      </c>
      <c r="E2024" s="245" t="s">
        <v>2372</v>
      </c>
      <c r="F2024" s="246"/>
      <c r="G2024" s="66" t="str">
        <f>HYPERLINK("https://ledvance.com/pt/product-datasheet/251489/238769","Ficha de Produto")</f>
        <v>Ficha de Produto</v>
      </c>
      <c r="H2024" s="217">
        <v>10</v>
      </c>
      <c r="I2024" s="34" t="s">
        <v>6369</v>
      </c>
      <c r="J2024" s="34" t="s">
        <v>5840</v>
      </c>
      <c r="K2024" s="34" t="s">
        <v>788</v>
      </c>
      <c r="L2024" s="34" t="s">
        <v>6506</v>
      </c>
      <c r="M2024" s="247">
        <v>5.2</v>
      </c>
      <c r="N2024" s="288" t="s">
        <v>722</v>
      </c>
    </row>
    <row r="2025" spans="1:1095" s="36" customFormat="1" ht="14.25" customHeight="1">
      <c r="A2025" s="3" t="s">
        <v>1722</v>
      </c>
      <c r="B2025" s="36" t="s">
        <v>2373</v>
      </c>
      <c r="C2025" s="10">
        <v>4099854069178</v>
      </c>
      <c r="D2025" s="224">
        <v>4058075590397</v>
      </c>
      <c r="E2025" s="245" t="s">
        <v>2374</v>
      </c>
      <c r="F2025" s="246"/>
      <c r="G2025" s="66" t="str">
        <f>HYPERLINK("https://ledvance.com/pt/product-datasheet/251489/238766","Ficha de Produto")</f>
        <v>Ficha de Produto</v>
      </c>
      <c r="H2025" s="217">
        <v>10</v>
      </c>
      <c r="I2025" s="34" t="s">
        <v>6354</v>
      </c>
      <c r="J2025" s="34" t="s">
        <v>855</v>
      </c>
      <c r="K2025" s="34" t="s">
        <v>788</v>
      </c>
      <c r="L2025" s="34" t="s">
        <v>6506</v>
      </c>
      <c r="M2025" s="247">
        <v>6</v>
      </c>
      <c r="N2025" s="288" t="s">
        <v>722</v>
      </c>
    </row>
    <row r="2026" spans="1:1095" s="36" customFormat="1" ht="14.25" customHeight="1">
      <c r="A2026" s="3" t="s">
        <v>1722</v>
      </c>
      <c r="B2026" s="36" t="s">
        <v>2375</v>
      </c>
      <c r="C2026" s="10">
        <v>4099854062223</v>
      </c>
      <c r="D2026" s="224">
        <v>4058075590977</v>
      </c>
      <c r="E2026" s="245" t="s">
        <v>2376</v>
      </c>
      <c r="F2026" s="246"/>
      <c r="G2026" s="66" t="str">
        <f>HYPERLINK("https://ledvance.com/pt/product-datasheet/251489/237482","Ficha de Produto")</f>
        <v>Ficha de Produto</v>
      </c>
      <c r="H2026" s="217">
        <v>10</v>
      </c>
      <c r="I2026" s="34" t="s">
        <v>6349</v>
      </c>
      <c r="J2026" s="34" t="s">
        <v>6335</v>
      </c>
      <c r="K2026" s="34" t="s">
        <v>788</v>
      </c>
      <c r="L2026" s="34" t="s">
        <v>6506</v>
      </c>
      <c r="M2026" s="247">
        <v>9.4</v>
      </c>
      <c r="N2026" s="288" t="s">
        <v>722</v>
      </c>
    </row>
    <row r="2027" spans="1:1095" s="36" customFormat="1" ht="14.25" customHeight="1">
      <c r="A2027" s="3" t="s">
        <v>1722</v>
      </c>
      <c r="B2027" s="36" t="s">
        <v>2377</v>
      </c>
      <c r="C2027" s="10">
        <v>4099854062209</v>
      </c>
      <c r="D2027" s="224">
        <v>4058075590953</v>
      </c>
      <c r="E2027" s="245" t="s">
        <v>2378</v>
      </c>
      <c r="F2027" s="246"/>
      <c r="G2027" s="66" t="str">
        <f>HYPERLINK("https://ledvance.com/pt/product-datasheet/251489/237473","Ficha de Produto")</f>
        <v>Ficha de Produto</v>
      </c>
      <c r="H2027" s="217">
        <v>10</v>
      </c>
      <c r="I2027" s="34" t="s">
        <v>6349</v>
      </c>
      <c r="J2027" s="34" t="s">
        <v>6335</v>
      </c>
      <c r="K2027" s="34" t="s">
        <v>788</v>
      </c>
      <c r="L2027" s="34" t="s">
        <v>6506</v>
      </c>
      <c r="M2027" s="247">
        <v>9.4</v>
      </c>
      <c r="N2027" s="288" t="s">
        <v>722</v>
      </c>
    </row>
    <row r="2028" spans="1:1095" s="39" customFormat="1" ht="14.25" customHeight="1">
      <c r="A2028" s="8" t="s">
        <v>1722</v>
      </c>
      <c r="B2028" s="244" t="s">
        <v>2379</v>
      </c>
      <c r="C2028" s="8"/>
      <c r="D2028" s="7"/>
      <c r="E2028" s="230"/>
      <c r="F2028" s="7"/>
      <c r="G2028" s="68"/>
      <c r="H2028" s="230"/>
      <c r="I2028" s="230"/>
      <c r="J2028" s="230"/>
      <c r="K2028" s="230"/>
      <c r="L2028" s="230"/>
      <c r="M2028" s="248"/>
      <c r="N2028" s="284"/>
      <c r="O2028" s="38"/>
      <c r="P2028" s="38"/>
      <c r="Q2028" s="38"/>
      <c r="R2028" s="38"/>
      <c r="S2028" s="38"/>
      <c r="T2028" s="38"/>
      <c r="U2028" s="38"/>
      <c r="V2028" s="38"/>
      <c r="W2028" s="38"/>
      <c r="X2028" s="38"/>
      <c r="Y2028" s="38"/>
      <c r="Z2028" s="38"/>
      <c r="AA2028" s="38"/>
      <c r="AB2028" s="38"/>
      <c r="AC2028" s="38"/>
      <c r="AD2028" s="38"/>
      <c r="AE2028" s="38"/>
      <c r="AF2028" s="38"/>
      <c r="AG2028" s="38"/>
      <c r="AH2028" s="38"/>
      <c r="AI2028" s="38"/>
      <c r="AJ2028" s="38"/>
      <c r="AK2028" s="38"/>
      <c r="AL2028" s="38"/>
      <c r="AM2028" s="38"/>
      <c r="AN2028" s="38"/>
      <c r="AO2028" s="38"/>
      <c r="AP2028" s="38"/>
      <c r="AQ2028" s="38"/>
      <c r="AR2028" s="38"/>
      <c r="AS2028" s="38"/>
      <c r="AT2028" s="38"/>
      <c r="AU2028" s="38"/>
      <c r="AV2028" s="38"/>
      <c r="AW2028" s="38"/>
      <c r="AX2028" s="38"/>
      <c r="AY2028" s="38"/>
      <c r="AZ2028" s="38"/>
      <c r="BA2028" s="38"/>
      <c r="BB2028" s="38"/>
      <c r="BC2028" s="38"/>
      <c r="BD2028" s="38"/>
      <c r="BE2028" s="38"/>
      <c r="BF2028" s="38"/>
      <c r="BG2028" s="38"/>
      <c r="BH2028" s="38"/>
      <c r="BI2028" s="38"/>
      <c r="BJ2028" s="38"/>
      <c r="BK2028" s="38"/>
      <c r="BL2028" s="38"/>
      <c r="BM2028" s="38"/>
      <c r="BN2028" s="38"/>
      <c r="BO2028" s="38"/>
      <c r="BP2028" s="38"/>
      <c r="BQ2028" s="38"/>
      <c r="BR2028" s="38"/>
      <c r="BS2028" s="38"/>
      <c r="BT2028" s="38"/>
      <c r="BU2028" s="38"/>
      <c r="BV2028" s="38"/>
      <c r="BW2028" s="38"/>
      <c r="BX2028" s="38"/>
      <c r="BY2028" s="38"/>
      <c r="BZ2028" s="38"/>
      <c r="CA2028" s="38"/>
      <c r="CB2028" s="38"/>
      <c r="CC2028" s="38"/>
      <c r="CD2028" s="38"/>
      <c r="CE2028" s="38"/>
      <c r="CF2028" s="38"/>
      <c r="CG2028" s="38"/>
      <c r="CH2028" s="38"/>
      <c r="CI2028" s="38"/>
      <c r="CJ2028" s="38"/>
      <c r="CK2028" s="38"/>
      <c r="CL2028" s="38"/>
      <c r="CM2028" s="38"/>
      <c r="CN2028" s="38"/>
      <c r="CO2028" s="38"/>
      <c r="CP2028" s="38"/>
      <c r="CQ2028" s="38"/>
      <c r="CR2028" s="38"/>
      <c r="CS2028" s="38"/>
      <c r="CT2028" s="38"/>
      <c r="CU2028" s="38"/>
      <c r="CV2028" s="38"/>
      <c r="CW2028" s="38"/>
      <c r="CX2028" s="38"/>
      <c r="CY2028" s="38"/>
      <c r="CZ2028" s="38"/>
      <c r="DA2028" s="38"/>
      <c r="DB2028" s="38"/>
      <c r="DC2028" s="38"/>
      <c r="DD2028" s="38"/>
      <c r="DE2028" s="38"/>
      <c r="DF2028" s="38"/>
      <c r="DG2028" s="38"/>
      <c r="DH2028" s="38"/>
      <c r="DI2028" s="38"/>
      <c r="DJ2028" s="38"/>
      <c r="DK2028" s="38"/>
      <c r="DL2028" s="38"/>
      <c r="DM2028" s="38"/>
      <c r="DN2028" s="38"/>
      <c r="DO2028" s="38"/>
      <c r="DP2028" s="38"/>
      <c r="DQ2028" s="38"/>
      <c r="DR2028" s="38"/>
      <c r="DS2028" s="38"/>
      <c r="DT2028" s="38"/>
      <c r="DU2028" s="38"/>
      <c r="DV2028" s="38"/>
      <c r="DW2028" s="38"/>
      <c r="DX2028" s="38"/>
      <c r="DY2028" s="38"/>
      <c r="DZ2028" s="38"/>
      <c r="EA2028" s="38"/>
      <c r="EB2028" s="38"/>
      <c r="EC2028" s="38"/>
      <c r="ED2028" s="38"/>
      <c r="EE2028" s="38"/>
      <c r="EF2028" s="38"/>
      <c r="EG2028" s="38"/>
      <c r="EH2028" s="38"/>
      <c r="EI2028" s="38"/>
      <c r="EJ2028" s="38"/>
      <c r="EK2028" s="38"/>
      <c r="EL2028" s="38"/>
      <c r="EM2028" s="38"/>
      <c r="EN2028" s="38"/>
      <c r="EO2028" s="38"/>
      <c r="EP2028" s="38"/>
      <c r="EQ2028" s="38"/>
      <c r="ER2028" s="38"/>
      <c r="ES2028" s="38"/>
      <c r="ET2028" s="38"/>
      <c r="EU2028" s="38"/>
      <c r="EV2028" s="38"/>
      <c r="EW2028" s="38"/>
      <c r="EX2028" s="38"/>
      <c r="EY2028" s="38"/>
      <c r="EZ2028" s="38"/>
      <c r="FA2028" s="38"/>
      <c r="FB2028" s="38"/>
      <c r="FC2028" s="38"/>
      <c r="FD2028" s="38"/>
      <c r="FE2028" s="38"/>
      <c r="FF2028" s="38"/>
      <c r="FG2028" s="38"/>
      <c r="FH2028" s="38"/>
      <c r="FI2028" s="38"/>
      <c r="FJ2028" s="38"/>
      <c r="FK2028" s="38"/>
      <c r="FL2028" s="38"/>
      <c r="FM2028" s="38"/>
      <c r="FN2028" s="38"/>
      <c r="FO2028" s="38"/>
      <c r="FP2028" s="38"/>
      <c r="FQ2028" s="38"/>
      <c r="FR2028" s="38"/>
      <c r="FS2028" s="38"/>
      <c r="FT2028" s="38"/>
      <c r="FU2028" s="38"/>
      <c r="FV2028" s="38"/>
      <c r="FW2028" s="38"/>
      <c r="FX2028" s="38"/>
      <c r="FY2028" s="38"/>
      <c r="FZ2028" s="38"/>
      <c r="GA2028" s="38"/>
      <c r="GB2028" s="38"/>
      <c r="GC2028" s="38"/>
      <c r="GD2028" s="38"/>
      <c r="GE2028" s="38"/>
      <c r="GF2028" s="38"/>
      <c r="GG2028" s="38"/>
      <c r="GH2028" s="38"/>
      <c r="GI2028" s="38"/>
      <c r="GJ2028" s="38"/>
      <c r="GK2028" s="38"/>
      <c r="GL2028" s="38"/>
      <c r="GM2028" s="38"/>
      <c r="GN2028" s="38"/>
      <c r="GO2028" s="38"/>
      <c r="GP2028" s="38"/>
      <c r="GQ2028" s="38"/>
      <c r="GR2028" s="38"/>
      <c r="GS2028" s="38"/>
      <c r="GT2028" s="38"/>
      <c r="GU2028" s="38"/>
      <c r="GV2028" s="38"/>
      <c r="GW2028" s="38"/>
      <c r="GX2028" s="38"/>
      <c r="GY2028" s="38"/>
      <c r="GZ2028" s="38"/>
      <c r="HA2028" s="38"/>
      <c r="HB2028" s="38"/>
      <c r="HC2028" s="38"/>
      <c r="HD2028" s="38"/>
      <c r="HE2028" s="38"/>
      <c r="HF2028" s="38"/>
      <c r="HG2028" s="38"/>
      <c r="HH2028" s="38"/>
      <c r="HI2028" s="38"/>
      <c r="HJ2028" s="38"/>
      <c r="HK2028" s="38"/>
      <c r="HL2028" s="38"/>
      <c r="HM2028" s="38"/>
      <c r="HN2028" s="38"/>
      <c r="HO2028" s="38"/>
      <c r="HP2028" s="38"/>
      <c r="HQ2028" s="38"/>
      <c r="HR2028" s="38"/>
      <c r="HS2028" s="38"/>
      <c r="HT2028" s="38"/>
      <c r="HU2028" s="38"/>
      <c r="HV2028" s="38"/>
      <c r="HW2028" s="38"/>
      <c r="HX2028" s="38"/>
      <c r="HY2028" s="38"/>
      <c r="HZ2028" s="38"/>
      <c r="IA2028" s="38"/>
      <c r="IB2028" s="38"/>
      <c r="IC2028" s="38"/>
      <c r="ID2028" s="38"/>
      <c r="IE2028" s="38"/>
      <c r="IF2028" s="38"/>
      <c r="IG2028" s="38"/>
      <c r="IH2028" s="38"/>
      <c r="II2028" s="38"/>
      <c r="IJ2028" s="38"/>
      <c r="IK2028" s="38"/>
      <c r="IL2028" s="38"/>
      <c r="IM2028" s="38"/>
      <c r="IN2028" s="38"/>
      <c r="IO2028" s="38"/>
      <c r="IP2028" s="38"/>
      <c r="IQ2028" s="38"/>
      <c r="IR2028" s="38"/>
      <c r="IS2028" s="38"/>
      <c r="IT2028" s="38"/>
      <c r="IU2028" s="38"/>
      <c r="IV2028" s="38"/>
      <c r="IW2028" s="38"/>
      <c r="IX2028" s="38"/>
      <c r="IY2028" s="38"/>
      <c r="IZ2028" s="38"/>
      <c r="JA2028" s="38"/>
      <c r="JB2028" s="38"/>
      <c r="JC2028" s="38"/>
      <c r="JD2028" s="38"/>
      <c r="JE2028" s="38"/>
      <c r="JF2028" s="38"/>
      <c r="JG2028" s="38"/>
      <c r="JH2028" s="38"/>
      <c r="JI2028" s="38"/>
      <c r="JJ2028" s="38"/>
      <c r="JK2028" s="38"/>
      <c r="JL2028" s="38"/>
      <c r="JM2028" s="38"/>
      <c r="JN2028" s="38"/>
      <c r="JO2028" s="38"/>
      <c r="JP2028" s="38"/>
      <c r="JQ2028" s="38"/>
      <c r="JR2028" s="38"/>
      <c r="JS2028" s="38"/>
      <c r="JT2028" s="38"/>
      <c r="JU2028" s="38"/>
      <c r="JV2028" s="38"/>
      <c r="JW2028" s="38"/>
      <c r="JX2028" s="38"/>
      <c r="JY2028" s="38"/>
      <c r="JZ2028" s="38"/>
      <c r="KA2028" s="38"/>
      <c r="KB2028" s="38"/>
      <c r="KC2028" s="38"/>
      <c r="KD2028" s="38"/>
      <c r="KE2028" s="38"/>
      <c r="KF2028" s="38"/>
      <c r="KG2028" s="38"/>
      <c r="KH2028" s="38"/>
      <c r="KI2028" s="38"/>
      <c r="KJ2028" s="38"/>
      <c r="KK2028" s="38"/>
      <c r="KL2028" s="38"/>
      <c r="KM2028" s="38"/>
      <c r="KN2028" s="38"/>
      <c r="KO2028" s="38"/>
      <c r="KP2028" s="38"/>
      <c r="KQ2028" s="38"/>
      <c r="KR2028" s="38"/>
      <c r="KS2028" s="38"/>
      <c r="KT2028" s="38"/>
      <c r="KU2028" s="38"/>
      <c r="KV2028" s="38"/>
      <c r="KW2028" s="38"/>
      <c r="KX2028" s="38"/>
      <c r="KY2028" s="38"/>
      <c r="KZ2028" s="38"/>
      <c r="LA2028" s="38"/>
      <c r="LB2028" s="38"/>
      <c r="LC2028" s="38"/>
      <c r="LD2028" s="38"/>
      <c r="LE2028" s="38"/>
      <c r="LF2028" s="38"/>
      <c r="LG2028" s="38"/>
      <c r="LH2028" s="38"/>
      <c r="LI2028" s="38"/>
      <c r="LJ2028" s="38"/>
      <c r="LK2028" s="38"/>
      <c r="LL2028" s="38"/>
      <c r="LM2028" s="38"/>
      <c r="LN2028" s="38"/>
      <c r="LO2028" s="38"/>
      <c r="LP2028" s="38"/>
      <c r="LQ2028" s="38"/>
      <c r="LR2028" s="38"/>
      <c r="LS2028" s="38"/>
      <c r="LT2028" s="38"/>
      <c r="LU2028" s="38"/>
      <c r="LV2028" s="38"/>
      <c r="LW2028" s="38"/>
      <c r="LX2028" s="38"/>
      <c r="LY2028" s="38"/>
      <c r="LZ2028" s="38"/>
      <c r="MA2028" s="38"/>
      <c r="MB2028" s="38"/>
      <c r="MC2028" s="38"/>
      <c r="MD2028" s="38"/>
      <c r="ME2028" s="38"/>
      <c r="MF2028" s="38"/>
      <c r="MG2028" s="38"/>
      <c r="MH2028" s="38"/>
      <c r="MI2028" s="38"/>
      <c r="MJ2028" s="38"/>
      <c r="MK2028" s="38"/>
      <c r="ML2028" s="38"/>
      <c r="MM2028" s="38"/>
      <c r="MN2028" s="38"/>
      <c r="MO2028" s="38"/>
      <c r="MP2028" s="38"/>
      <c r="MQ2028" s="38"/>
      <c r="MR2028" s="38"/>
      <c r="MS2028" s="38"/>
      <c r="MT2028" s="38"/>
      <c r="MU2028" s="38"/>
      <c r="MV2028" s="38"/>
      <c r="MW2028" s="38"/>
      <c r="MX2028" s="38"/>
      <c r="MY2028" s="38"/>
      <c r="MZ2028" s="38"/>
      <c r="NA2028" s="38"/>
      <c r="NB2028" s="38"/>
      <c r="NC2028" s="38"/>
      <c r="ND2028" s="38"/>
      <c r="NE2028" s="38"/>
      <c r="NF2028" s="38"/>
      <c r="NG2028" s="38"/>
      <c r="NH2028" s="38"/>
      <c r="NI2028" s="38"/>
      <c r="NJ2028" s="38"/>
      <c r="NK2028" s="38"/>
      <c r="NL2028" s="38"/>
      <c r="NM2028" s="38"/>
      <c r="NN2028" s="38"/>
      <c r="NO2028" s="38"/>
      <c r="NP2028" s="38"/>
      <c r="NQ2028" s="38"/>
      <c r="NR2028" s="38"/>
      <c r="NS2028" s="38"/>
      <c r="NT2028" s="38"/>
      <c r="NU2028" s="38"/>
      <c r="NV2028" s="38"/>
      <c r="NW2028" s="38"/>
      <c r="NX2028" s="38"/>
      <c r="NY2028" s="38"/>
      <c r="NZ2028" s="38"/>
      <c r="OA2028" s="38"/>
      <c r="OB2028" s="38"/>
      <c r="OC2028" s="38"/>
      <c r="OD2028" s="38"/>
      <c r="OE2028" s="38"/>
      <c r="OF2028" s="38"/>
      <c r="OG2028" s="38"/>
      <c r="OH2028" s="38"/>
      <c r="OI2028" s="38"/>
      <c r="OJ2028" s="38"/>
      <c r="OK2028" s="38"/>
      <c r="OL2028" s="38"/>
      <c r="OM2028" s="38"/>
      <c r="ON2028" s="38"/>
      <c r="OO2028" s="38"/>
      <c r="OP2028" s="38"/>
      <c r="OQ2028" s="38"/>
      <c r="OR2028" s="38"/>
      <c r="OS2028" s="38"/>
      <c r="OT2028" s="38"/>
      <c r="OU2028" s="38"/>
      <c r="OV2028" s="38"/>
      <c r="OW2028" s="38"/>
      <c r="OX2028" s="38"/>
      <c r="OY2028" s="38"/>
      <c r="OZ2028" s="38"/>
      <c r="PA2028" s="38"/>
      <c r="PB2028" s="38"/>
      <c r="PC2028" s="38"/>
      <c r="PD2028" s="38"/>
      <c r="PE2028" s="38"/>
      <c r="PF2028" s="38"/>
      <c r="PG2028" s="38"/>
      <c r="PH2028" s="38"/>
      <c r="PI2028" s="38"/>
      <c r="PJ2028" s="38"/>
      <c r="PK2028" s="38"/>
      <c r="PL2028" s="38"/>
      <c r="PM2028" s="38"/>
      <c r="PN2028" s="38"/>
      <c r="PO2028" s="38"/>
      <c r="PP2028" s="38"/>
      <c r="PQ2028" s="38"/>
      <c r="PR2028" s="38"/>
      <c r="PS2028" s="38"/>
      <c r="PT2028" s="38"/>
      <c r="PU2028" s="38"/>
      <c r="PV2028" s="38"/>
      <c r="PW2028" s="38"/>
      <c r="PX2028" s="38"/>
      <c r="PY2028" s="38"/>
      <c r="PZ2028" s="38"/>
      <c r="QA2028" s="38"/>
      <c r="QB2028" s="38"/>
      <c r="QC2028" s="38"/>
      <c r="QD2028" s="38"/>
      <c r="QE2028" s="38"/>
      <c r="QF2028" s="38"/>
      <c r="QG2028" s="38"/>
      <c r="QH2028" s="38"/>
      <c r="QI2028" s="38"/>
      <c r="QJ2028" s="38"/>
      <c r="QK2028" s="38"/>
      <c r="QL2028" s="38"/>
      <c r="QM2028" s="38"/>
      <c r="QN2028" s="38"/>
      <c r="QO2028" s="38"/>
      <c r="QP2028" s="38"/>
      <c r="QQ2028" s="38"/>
      <c r="QR2028" s="38"/>
      <c r="QS2028" s="38"/>
      <c r="QT2028" s="38"/>
      <c r="QU2028" s="38"/>
      <c r="QV2028" s="38"/>
      <c r="QW2028" s="38"/>
      <c r="QX2028" s="38"/>
      <c r="QY2028" s="38"/>
      <c r="QZ2028" s="38"/>
      <c r="RA2028" s="38"/>
      <c r="RB2028" s="38"/>
      <c r="RC2028" s="38"/>
      <c r="RD2028" s="38"/>
      <c r="RE2028" s="38"/>
      <c r="RF2028" s="38"/>
      <c r="RG2028" s="38"/>
      <c r="RH2028" s="38"/>
      <c r="RI2028" s="38"/>
      <c r="RJ2028" s="38"/>
      <c r="RK2028" s="38"/>
      <c r="RL2028" s="38"/>
      <c r="RM2028" s="38"/>
      <c r="RN2028" s="38"/>
      <c r="RO2028" s="38"/>
      <c r="RP2028" s="38"/>
      <c r="RQ2028" s="38"/>
      <c r="RR2028" s="38"/>
      <c r="RS2028" s="38"/>
      <c r="RT2028" s="38"/>
      <c r="RU2028" s="38"/>
      <c r="RV2028" s="38"/>
      <c r="RW2028" s="38"/>
      <c r="RX2028" s="38"/>
      <c r="RY2028" s="38"/>
      <c r="RZ2028" s="38"/>
      <c r="SA2028" s="38"/>
      <c r="SB2028" s="38"/>
      <c r="SC2028" s="38"/>
      <c r="SD2028" s="38"/>
      <c r="SE2028" s="38"/>
      <c r="SF2028" s="38"/>
      <c r="SG2028" s="38"/>
      <c r="SH2028" s="38"/>
      <c r="SI2028" s="38"/>
      <c r="SJ2028" s="38"/>
      <c r="SK2028" s="38"/>
      <c r="SL2028" s="38"/>
      <c r="SM2028" s="38"/>
      <c r="SN2028" s="38"/>
      <c r="SO2028" s="38"/>
      <c r="SP2028" s="38"/>
      <c r="SQ2028" s="38"/>
      <c r="SR2028" s="38"/>
      <c r="SS2028" s="38"/>
      <c r="ST2028" s="38"/>
      <c r="SU2028" s="38"/>
      <c r="SV2028" s="38"/>
      <c r="SW2028" s="38"/>
      <c r="SX2028" s="38"/>
      <c r="SY2028" s="38"/>
      <c r="SZ2028" s="38"/>
      <c r="TA2028" s="38"/>
      <c r="TB2028" s="38"/>
      <c r="TC2028" s="38"/>
      <c r="TD2028" s="38"/>
      <c r="TE2028" s="38"/>
      <c r="TF2028" s="38"/>
      <c r="TG2028" s="38"/>
      <c r="TH2028" s="38"/>
      <c r="TI2028" s="38"/>
      <c r="TJ2028" s="38"/>
      <c r="TK2028" s="38"/>
      <c r="TL2028" s="38"/>
      <c r="TM2028" s="38"/>
      <c r="TN2028" s="38"/>
      <c r="TO2028" s="38"/>
      <c r="TP2028" s="38"/>
      <c r="TQ2028" s="38"/>
      <c r="TR2028" s="38"/>
      <c r="TS2028" s="38"/>
      <c r="TT2028" s="38"/>
      <c r="TU2028" s="38"/>
      <c r="TV2028" s="38"/>
      <c r="TW2028" s="38"/>
      <c r="TX2028" s="38"/>
      <c r="TY2028" s="38"/>
      <c r="TZ2028" s="38"/>
      <c r="UA2028" s="38"/>
      <c r="UB2028" s="38"/>
      <c r="UC2028" s="38"/>
      <c r="UD2028" s="38"/>
      <c r="UE2028" s="38"/>
      <c r="UF2028" s="38"/>
      <c r="UG2028" s="38"/>
      <c r="UH2028" s="38"/>
      <c r="UI2028" s="38"/>
      <c r="UJ2028" s="38"/>
      <c r="UK2028" s="38"/>
      <c r="UL2028" s="38"/>
      <c r="UM2028" s="38"/>
      <c r="UN2028" s="38"/>
      <c r="UO2028" s="38"/>
      <c r="UP2028" s="38"/>
      <c r="UQ2028" s="38"/>
      <c r="UR2028" s="38"/>
      <c r="US2028" s="38"/>
      <c r="UT2028" s="38"/>
      <c r="UU2028" s="38"/>
      <c r="UV2028" s="38"/>
      <c r="UW2028" s="38"/>
      <c r="UX2028" s="38"/>
      <c r="UY2028" s="38"/>
      <c r="UZ2028" s="38"/>
      <c r="VA2028" s="38"/>
      <c r="VB2028" s="38"/>
      <c r="VC2028" s="38"/>
      <c r="VD2028" s="38"/>
      <c r="VE2028" s="38"/>
      <c r="VF2028" s="38"/>
      <c r="VG2028" s="38"/>
      <c r="VH2028" s="38"/>
      <c r="VI2028" s="38"/>
      <c r="VJ2028" s="38"/>
      <c r="VK2028" s="38"/>
      <c r="VL2028" s="38"/>
      <c r="VM2028" s="38"/>
      <c r="VN2028" s="38"/>
      <c r="VO2028" s="38"/>
      <c r="VP2028" s="38"/>
      <c r="VQ2028" s="38"/>
      <c r="VR2028" s="38"/>
      <c r="VS2028" s="38"/>
      <c r="VT2028" s="38"/>
      <c r="VU2028" s="38"/>
      <c r="VV2028" s="38"/>
      <c r="VW2028" s="38"/>
      <c r="VX2028" s="38"/>
      <c r="VY2028" s="38"/>
      <c r="VZ2028" s="38"/>
      <c r="WA2028" s="38"/>
      <c r="WB2028" s="38"/>
      <c r="WC2028" s="38"/>
      <c r="WD2028" s="38"/>
      <c r="WE2028" s="38"/>
      <c r="WF2028" s="38"/>
      <c r="WG2028" s="38"/>
      <c r="WH2028" s="38"/>
      <c r="WI2028" s="38"/>
      <c r="WJ2028" s="38"/>
      <c r="WK2028" s="38"/>
      <c r="WL2028" s="38"/>
      <c r="WM2028" s="38"/>
      <c r="WN2028" s="38"/>
      <c r="WO2028" s="38"/>
      <c r="WP2028" s="38"/>
      <c r="WQ2028" s="38"/>
      <c r="WR2028" s="38"/>
      <c r="WS2028" s="38"/>
      <c r="WT2028" s="38"/>
      <c r="WU2028" s="38"/>
      <c r="WV2028" s="38"/>
      <c r="WW2028" s="38"/>
      <c r="WX2028" s="38"/>
      <c r="WY2028" s="38"/>
      <c r="WZ2028" s="38"/>
      <c r="XA2028" s="38"/>
      <c r="XB2028" s="38"/>
      <c r="XC2028" s="38"/>
      <c r="XD2028" s="38"/>
      <c r="XE2028" s="38"/>
      <c r="XF2028" s="38"/>
      <c r="XG2028" s="38"/>
      <c r="XH2028" s="38"/>
      <c r="XI2028" s="38"/>
      <c r="XJ2028" s="38"/>
      <c r="XK2028" s="38"/>
      <c r="XL2028" s="38"/>
      <c r="XM2028" s="38"/>
      <c r="XN2028" s="38"/>
      <c r="XO2028" s="38"/>
      <c r="XP2028" s="38"/>
      <c r="XQ2028" s="38"/>
      <c r="XR2028" s="38"/>
      <c r="XS2028" s="38"/>
      <c r="XT2028" s="38"/>
      <c r="XU2028" s="38"/>
      <c r="XV2028" s="38"/>
      <c r="XW2028" s="38"/>
      <c r="XX2028" s="38"/>
      <c r="XY2028" s="38"/>
      <c r="XZ2028" s="38"/>
      <c r="YA2028" s="38"/>
      <c r="YB2028" s="38"/>
      <c r="YC2028" s="38"/>
      <c r="YD2028" s="38"/>
      <c r="YE2028" s="38"/>
      <c r="YF2028" s="38"/>
      <c r="YG2028" s="38"/>
      <c r="YH2028" s="38"/>
      <c r="YI2028" s="38"/>
      <c r="YJ2028" s="38"/>
      <c r="YK2028" s="38"/>
      <c r="YL2028" s="38"/>
      <c r="YM2028" s="38"/>
      <c r="YN2028" s="38"/>
      <c r="YO2028" s="38"/>
      <c r="YP2028" s="38"/>
      <c r="YQ2028" s="38"/>
      <c r="YR2028" s="38"/>
      <c r="YS2028" s="38"/>
      <c r="YT2028" s="38"/>
      <c r="YU2028" s="38"/>
      <c r="YV2028" s="38"/>
      <c r="YW2028" s="38"/>
      <c r="YX2028" s="38"/>
      <c r="YY2028" s="38"/>
      <c r="YZ2028" s="38"/>
      <c r="ZA2028" s="38"/>
      <c r="ZB2028" s="38"/>
      <c r="ZC2028" s="38"/>
      <c r="ZD2028" s="38"/>
      <c r="ZE2028" s="38"/>
      <c r="ZF2028" s="38"/>
      <c r="ZG2028" s="38"/>
      <c r="ZH2028" s="38"/>
      <c r="ZI2028" s="38"/>
      <c r="ZJ2028" s="38"/>
      <c r="ZK2028" s="38"/>
      <c r="ZL2028" s="38"/>
      <c r="ZM2028" s="38"/>
      <c r="ZN2028" s="38"/>
      <c r="ZO2028" s="38"/>
      <c r="ZP2028" s="38"/>
      <c r="ZQ2028" s="38"/>
      <c r="ZR2028" s="38"/>
      <c r="ZS2028" s="38"/>
      <c r="ZT2028" s="38"/>
      <c r="ZU2028" s="38"/>
      <c r="ZV2028" s="38"/>
      <c r="ZW2028" s="38"/>
      <c r="ZX2028" s="38"/>
      <c r="ZY2028" s="38"/>
      <c r="ZZ2028" s="38"/>
      <c r="AAA2028" s="38"/>
      <c r="AAB2028" s="38"/>
      <c r="AAC2028" s="38"/>
      <c r="AAD2028" s="38"/>
      <c r="AAE2028" s="38"/>
      <c r="AAF2028" s="38"/>
      <c r="AAG2028" s="38"/>
      <c r="AAH2028" s="38"/>
      <c r="AAI2028" s="38"/>
      <c r="AAJ2028" s="38"/>
      <c r="AAK2028" s="38"/>
      <c r="AAL2028" s="38"/>
      <c r="AAM2028" s="38"/>
      <c r="AAN2028" s="38"/>
      <c r="AAO2028" s="38"/>
      <c r="AAP2028" s="38"/>
      <c r="AAQ2028" s="38"/>
      <c r="AAR2028" s="38"/>
      <c r="AAS2028" s="38"/>
      <c r="AAT2028" s="38"/>
      <c r="AAU2028" s="38"/>
      <c r="AAV2028" s="38"/>
      <c r="AAW2028" s="38"/>
      <c r="AAX2028" s="38"/>
      <c r="AAY2028" s="38"/>
      <c r="AAZ2028" s="38"/>
      <c r="ABA2028" s="38"/>
      <c r="ABB2028" s="38"/>
      <c r="ABC2028" s="38"/>
      <c r="ABD2028" s="38"/>
      <c r="ABE2028" s="38"/>
      <c r="ABF2028" s="38"/>
      <c r="ABG2028" s="38"/>
      <c r="ABH2028" s="38"/>
      <c r="ABI2028" s="38"/>
      <c r="ABJ2028" s="38"/>
      <c r="ABK2028" s="38"/>
      <c r="ABL2028" s="38"/>
      <c r="ABM2028" s="38"/>
      <c r="ABN2028" s="38"/>
      <c r="ABO2028" s="38"/>
      <c r="ABP2028" s="38"/>
      <c r="ABQ2028" s="38"/>
      <c r="ABR2028" s="38"/>
      <c r="ABS2028" s="38"/>
      <c r="ABT2028" s="38"/>
      <c r="ABU2028" s="38"/>
      <c r="ABV2028" s="38"/>
      <c r="ABW2028" s="38"/>
      <c r="ABX2028" s="38"/>
      <c r="ABY2028" s="38"/>
      <c r="ABZ2028" s="38"/>
      <c r="ACA2028" s="38"/>
      <c r="ACB2028" s="38"/>
      <c r="ACC2028" s="38"/>
      <c r="ACD2028" s="38"/>
      <c r="ACE2028" s="38"/>
      <c r="ACF2028" s="38"/>
      <c r="ACG2028" s="38"/>
      <c r="ACH2028" s="38"/>
      <c r="ACI2028" s="38"/>
      <c r="ACJ2028" s="38"/>
      <c r="ACK2028" s="38"/>
      <c r="ACL2028" s="38"/>
      <c r="ACM2028" s="38"/>
      <c r="ACN2028" s="38"/>
      <c r="ACO2028" s="38"/>
      <c r="ACP2028" s="38"/>
      <c r="ACQ2028" s="38"/>
      <c r="ACR2028" s="38"/>
      <c r="ACS2028" s="38"/>
      <c r="ACT2028" s="38"/>
      <c r="ACU2028" s="38"/>
      <c r="ACV2028" s="38"/>
      <c r="ACW2028" s="38"/>
      <c r="ACX2028" s="38"/>
      <c r="ACY2028" s="38"/>
      <c r="ACZ2028" s="38"/>
      <c r="ADA2028" s="38"/>
      <c r="ADB2028" s="38"/>
      <c r="ADC2028" s="38"/>
      <c r="ADD2028" s="38"/>
      <c r="ADE2028" s="38"/>
      <c r="ADF2028" s="38"/>
      <c r="ADG2028" s="38"/>
      <c r="ADH2028" s="38"/>
      <c r="ADI2028" s="38"/>
      <c r="ADJ2028" s="38"/>
      <c r="ADK2028" s="38"/>
      <c r="ADL2028" s="38"/>
      <c r="ADM2028" s="38"/>
      <c r="ADN2028" s="38"/>
      <c r="ADO2028" s="38"/>
      <c r="ADP2028" s="38"/>
      <c r="ADQ2028" s="38"/>
      <c r="ADR2028" s="38"/>
      <c r="ADS2028" s="38"/>
      <c r="ADT2028" s="38"/>
      <c r="ADU2028" s="38"/>
      <c r="ADV2028" s="38"/>
      <c r="ADW2028" s="38"/>
      <c r="ADX2028" s="38"/>
      <c r="ADY2028" s="38"/>
      <c r="ADZ2028" s="38"/>
      <c r="AEA2028" s="38"/>
      <c r="AEB2028" s="38"/>
      <c r="AEC2028" s="38"/>
      <c r="AED2028" s="38"/>
      <c r="AEE2028" s="38"/>
      <c r="AEF2028" s="38"/>
      <c r="AEG2028" s="38"/>
      <c r="AEH2028" s="38"/>
      <c r="AEI2028" s="38"/>
      <c r="AEJ2028" s="38"/>
      <c r="AEK2028" s="38"/>
      <c r="AEL2028" s="38"/>
      <c r="AEM2028" s="38"/>
      <c r="AEN2028" s="38"/>
      <c r="AEO2028" s="38"/>
      <c r="AEP2028" s="38"/>
      <c r="AEQ2028" s="38"/>
      <c r="AER2028" s="38"/>
      <c r="AES2028" s="38"/>
      <c r="AET2028" s="38"/>
      <c r="AEU2028" s="38"/>
      <c r="AEV2028" s="38"/>
      <c r="AEW2028" s="38"/>
      <c r="AEX2028" s="38"/>
      <c r="AEY2028" s="38"/>
      <c r="AEZ2028" s="38"/>
      <c r="AFA2028" s="38"/>
      <c r="AFB2028" s="38"/>
      <c r="AFC2028" s="38"/>
      <c r="AFD2028" s="38"/>
      <c r="AFE2028" s="38"/>
      <c r="AFF2028" s="38"/>
      <c r="AFG2028" s="38"/>
      <c r="AFH2028" s="38"/>
      <c r="AFI2028" s="38"/>
      <c r="AFJ2028" s="38"/>
      <c r="AFK2028" s="38"/>
      <c r="AFL2028" s="38"/>
      <c r="AFM2028" s="38"/>
      <c r="AFN2028" s="38"/>
      <c r="AFO2028" s="38"/>
      <c r="AFP2028" s="38"/>
      <c r="AFQ2028" s="38"/>
      <c r="AFR2028" s="38"/>
      <c r="AFS2028" s="38"/>
      <c r="AFT2028" s="38"/>
      <c r="AFU2028" s="38"/>
      <c r="AFV2028" s="38"/>
      <c r="AFW2028" s="38"/>
      <c r="AFX2028" s="38"/>
      <c r="AFY2028" s="38"/>
      <c r="AFZ2028" s="38"/>
      <c r="AGA2028" s="38"/>
      <c r="AGB2028" s="38"/>
      <c r="AGC2028" s="38"/>
      <c r="AGD2028" s="38"/>
      <c r="AGE2028" s="38"/>
      <c r="AGF2028" s="38"/>
      <c r="AGG2028" s="38"/>
      <c r="AGH2028" s="38"/>
      <c r="AGI2028" s="38"/>
      <c r="AGJ2028" s="38"/>
      <c r="AGK2028" s="38"/>
      <c r="AGL2028" s="38"/>
      <c r="AGM2028" s="38"/>
      <c r="AGN2028" s="38"/>
      <c r="AGO2028" s="38"/>
      <c r="AGP2028" s="38"/>
      <c r="AGQ2028" s="38"/>
      <c r="AGR2028" s="38"/>
      <c r="AGS2028" s="38"/>
      <c r="AGT2028" s="38"/>
      <c r="AGU2028" s="38"/>
      <c r="AGV2028" s="38"/>
      <c r="AGW2028" s="38"/>
      <c r="AGX2028" s="38"/>
      <c r="AGY2028" s="38"/>
      <c r="AGZ2028" s="38"/>
      <c r="AHA2028" s="38"/>
      <c r="AHB2028" s="38"/>
      <c r="AHC2028" s="38"/>
      <c r="AHD2028" s="38"/>
      <c r="AHE2028" s="38"/>
      <c r="AHF2028" s="38"/>
      <c r="AHG2028" s="38"/>
      <c r="AHH2028" s="38"/>
      <c r="AHI2028" s="38"/>
      <c r="AHJ2028" s="38"/>
      <c r="AHK2028" s="38"/>
      <c r="AHL2028" s="38"/>
      <c r="AHM2028" s="38"/>
      <c r="AHN2028" s="38"/>
      <c r="AHO2028" s="38"/>
      <c r="AHP2028" s="38"/>
      <c r="AHQ2028" s="38"/>
      <c r="AHR2028" s="38"/>
      <c r="AHS2028" s="38"/>
      <c r="AHT2028" s="38"/>
      <c r="AHU2028" s="38"/>
      <c r="AHV2028" s="38"/>
      <c r="AHW2028" s="38"/>
      <c r="AHX2028" s="38"/>
      <c r="AHY2028" s="38"/>
      <c r="AHZ2028" s="38"/>
      <c r="AIA2028" s="38"/>
      <c r="AIB2028" s="38"/>
      <c r="AIC2028" s="38"/>
      <c r="AID2028" s="38"/>
      <c r="AIE2028" s="38"/>
      <c r="AIF2028" s="38"/>
      <c r="AIG2028" s="38"/>
      <c r="AIH2028" s="38"/>
      <c r="AII2028" s="38"/>
      <c r="AIJ2028" s="38"/>
      <c r="AIK2028" s="38"/>
      <c r="AIL2028" s="38"/>
      <c r="AIM2028" s="38"/>
      <c r="AIN2028" s="38"/>
      <c r="AIO2028" s="38"/>
      <c r="AIP2028" s="38"/>
      <c r="AIQ2028" s="38"/>
      <c r="AIR2028" s="38"/>
      <c r="AIS2028" s="38"/>
      <c r="AIT2028" s="38"/>
      <c r="AIU2028" s="38"/>
      <c r="AIV2028" s="38"/>
      <c r="AIW2028" s="38"/>
      <c r="AIX2028" s="38"/>
      <c r="AIY2028" s="38"/>
      <c r="AIZ2028" s="38"/>
      <c r="AJA2028" s="38"/>
      <c r="AJB2028" s="38"/>
      <c r="AJC2028" s="38"/>
      <c r="AJD2028" s="38"/>
      <c r="AJE2028" s="38"/>
      <c r="AJF2028" s="38"/>
      <c r="AJG2028" s="38"/>
      <c r="AJH2028" s="38"/>
      <c r="AJI2028" s="38"/>
      <c r="AJJ2028" s="38"/>
      <c r="AJK2028" s="38"/>
      <c r="AJL2028" s="38"/>
      <c r="AJM2028" s="38"/>
      <c r="AJN2028" s="38"/>
      <c r="AJO2028" s="38"/>
      <c r="AJP2028" s="38"/>
      <c r="AJQ2028" s="38"/>
      <c r="AJR2028" s="38"/>
      <c r="AJS2028" s="38"/>
      <c r="AJT2028" s="38"/>
      <c r="AJU2028" s="38"/>
      <c r="AJV2028" s="38"/>
      <c r="AJW2028" s="38"/>
      <c r="AJX2028" s="38"/>
      <c r="AJY2028" s="38"/>
      <c r="AJZ2028" s="38"/>
      <c r="AKA2028" s="38"/>
      <c r="AKB2028" s="38"/>
      <c r="AKC2028" s="38"/>
      <c r="AKD2028" s="38"/>
      <c r="AKE2028" s="38"/>
      <c r="AKF2028" s="38"/>
      <c r="AKG2028" s="38"/>
      <c r="AKH2028" s="38"/>
      <c r="AKI2028" s="38"/>
      <c r="AKJ2028" s="38"/>
      <c r="AKK2028" s="38"/>
      <c r="AKL2028" s="38"/>
      <c r="AKM2028" s="38"/>
      <c r="AKN2028" s="38"/>
      <c r="AKO2028" s="38"/>
      <c r="AKP2028" s="38"/>
      <c r="AKQ2028" s="38"/>
      <c r="AKR2028" s="38"/>
      <c r="AKS2028" s="38"/>
      <c r="AKT2028" s="38"/>
      <c r="AKU2028" s="38"/>
      <c r="AKV2028" s="38"/>
      <c r="AKW2028" s="38"/>
      <c r="AKX2028" s="38"/>
      <c r="AKY2028" s="38"/>
      <c r="AKZ2028" s="38"/>
      <c r="ALA2028" s="38"/>
      <c r="ALB2028" s="38"/>
      <c r="ALC2028" s="38"/>
      <c r="ALD2028" s="38"/>
      <c r="ALE2028" s="38"/>
      <c r="ALF2028" s="38"/>
      <c r="ALG2028" s="38"/>
      <c r="ALH2028" s="38"/>
      <c r="ALI2028" s="38"/>
      <c r="ALJ2028" s="38"/>
      <c r="ALK2028" s="38"/>
      <c r="ALL2028" s="38"/>
      <c r="ALM2028" s="38"/>
      <c r="ALN2028" s="38"/>
      <c r="ALO2028" s="38"/>
      <c r="ALP2028" s="38"/>
      <c r="ALQ2028" s="38"/>
      <c r="ALR2028" s="38"/>
      <c r="ALS2028" s="38"/>
      <c r="ALT2028" s="38"/>
      <c r="ALU2028" s="38"/>
      <c r="ALV2028" s="38"/>
      <c r="ALW2028" s="38"/>
      <c r="ALX2028" s="38"/>
      <c r="ALY2028" s="38"/>
      <c r="ALZ2028" s="38"/>
      <c r="AMA2028" s="38"/>
      <c r="AMB2028" s="38"/>
      <c r="AMC2028" s="38"/>
      <c r="AMD2028" s="38"/>
      <c r="AME2028" s="38"/>
      <c r="AMF2028" s="38"/>
      <c r="AMG2028" s="38"/>
      <c r="AMH2028" s="38"/>
      <c r="AMI2028" s="38"/>
      <c r="AMJ2028" s="38"/>
      <c r="AMK2028" s="38"/>
      <c r="AML2028" s="38"/>
      <c r="AMM2028" s="38"/>
      <c r="AMN2028" s="38"/>
      <c r="AMO2028" s="38"/>
      <c r="AMP2028" s="38"/>
      <c r="AMQ2028" s="38"/>
      <c r="AMR2028" s="38"/>
      <c r="AMS2028" s="38"/>
      <c r="AMT2028" s="38"/>
      <c r="AMU2028" s="38"/>
      <c r="AMV2028" s="38"/>
      <c r="AMW2028" s="38"/>
      <c r="AMX2028" s="38"/>
      <c r="AMY2028" s="38"/>
      <c r="AMZ2028" s="38"/>
      <c r="ANA2028" s="38"/>
      <c r="ANB2028" s="38"/>
      <c r="ANC2028" s="38"/>
      <c r="AND2028" s="38"/>
      <c r="ANE2028" s="38"/>
      <c r="ANF2028" s="38"/>
      <c r="ANG2028" s="38"/>
      <c r="ANH2028" s="38"/>
      <c r="ANI2028" s="38"/>
      <c r="ANJ2028" s="38"/>
      <c r="ANK2028" s="38"/>
      <c r="ANL2028" s="38"/>
      <c r="ANM2028" s="38"/>
      <c r="ANN2028" s="38"/>
      <c r="ANO2028" s="38"/>
      <c r="ANP2028" s="38"/>
      <c r="ANQ2028" s="38"/>
      <c r="ANR2028" s="38"/>
      <c r="ANS2028" s="38"/>
      <c r="ANT2028" s="38"/>
      <c r="ANU2028" s="38"/>
      <c r="ANV2028" s="38"/>
      <c r="ANW2028" s="38"/>
      <c r="ANX2028" s="38"/>
      <c r="ANY2028" s="38"/>
      <c r="ANZ2028" s="38"/>
      <c r="AOA2028" s="38"/>
      <c r="AOB2028" s="38"/>
      <c r="AOC2028" s="38"/>
      <c r="AOD2028" s="38"/>
      <c r="AOE2028" s="38"/>
      <c r="AOF2028" s="38"/>
      <c r="AOG2028" s="38"/>
      <c r="AOH2028" s="38"/>
      <c r="AOI2028" s="38"/>
      <c r="AOJ2028" s="38"/>
      <c r="AOK2028" s="38"/>
      <c r="AOL2028" s="38"/>
      <c r="AOM2028" s="38"/>
      <c r="AON2028" s="38"/>
      <c r="AOO2028" s="38"/>
      <c r="AOP2028" s="38"/>
      <c r="AOQ2028" s="38"/>
      <c r="AOR2028" s="38"/>
      <c r="AOS2028" s="38"/>
      <c r="AOT2028" s="38"/>
      <c r="AOU2028" s="38"/>
      <c r="AOV2028" s="38"/>
      <c r="AOW2028" s="38"/>
      <c r="AOX2028" s="38"/>
      <c r="AOY2028" s="38"/>
      <c r="AOZ2028" s="38"/>
      <c r="APA2028" s="38"/>
      <c r="APB2028" s="38"/>
      <c r="APC2028" s="38"/>
    </row>
    <row r="2029" spans="1:1095" s="36" customFormat="1" ht="14.25" customHeight="1">
      <c r="A2029" s="3" t="s">
        <v>1722</v>
      </c>
      <c r="B2029" s="36" t="s">
        <v>2380</v>
      </c>
      <c r="C2029" s="10">
        <v>4099854069239</v>
      </c>
      <c r="D2029" s="224">
        <v>4058075590496</v>
      </c>
      <c r="E2029" s="245" t="s">
        <v>2381</v>
      </c>
      <c r="F2029" s="246"/>
      <c r="G2029" s="66" t="str">
        <f>HYPERLINK("https://ledvance.com/pt/product-datasheet/251489/238778","Ficha de Produto")</f>
        <v>Ficha de Produto</v>
      </c>
      <c r="H2029" s="217">
        <v>10</v>
      </c>
      <c r="I2029" s="34" t="s">
        <v>6369</v>
      </c>
      <c r="J2029" s="34" t="s">
        <v>5840</v>
      </c>
      <c r="K2029" s="34" t="s">
        <v>788</v>
      </c>
      <c r="L2029" s="34" t="s">
        <v>6506</v>
      </c>
      <c r="M2029" s="247">
        <v>5.2</v>
      </c>
      <c r="N2029" s="288" t="s">
        <v>722</v>
      </c>
    </row>
    <row r="2030" spans="1:1095" s="36" customFormat="1" ht="14.25" customHeight="1">
      <c r="A2030" s="3" t="s">
        <v>1722</v>
      </c>
      <c r="B2030" s="36" t="s">
        <v>2382</v>
      </c>
      <c r="C2030" s="10">
        <v>4099854069123</v>
      </c>
      <c r="D2030" s="224">
        <v>4058075590212</v>
      </c>
      <c r="E2030" s="245" t="s">
        <v>2383</v>
      </c>
      <c r="F2030" s="246"/>
      <c r="G2030" s="66" t="str">
        <f>HYPERLINK("https://ledvance.com/pt/product-datasheet/251489/238823","Ficha de Produto")</f>
        <v>Ficha de Produto</v>
      </c>
      <c r="H2030" s="217">
        <v>10</v>
      </c>
      <c r="I2030" s="34" t="s">
        <v>6369</v>
      </c>
      <c r="J2030" s="34" t="s">
        <v>5840</v>
      </c>
      <c r="K2030" s="34" t="s">
        <v>788</v>
      </c>
      <c r="L2030" s="34" t="s">
        <v>6506</v>
      </c>
      <c r="M2030" s="247">
        <v>5.2</v>
      </c>
      <c r="N2030" s="288" t="s">
        <v>722</v>
      </c>
    </row>
    <row r="2031" spans="1:1095" s="36" customFormat="1" ht="14.25" customHeight="1">
      <c r="A2031" s="3" t="s">
        <v>1722</v>
      </c>
      <c r="B2031" s="36" t="s">
        <v>2384</v>
      </c>
      <c r="C2031" s="10">
        <v>4099854069154</v>
      </c>
      <c r="D2031" s="224">
        <v>4058075590335</v>
      </c>
      <c r="E2031" s="245" t="s">
        <v>2385</v>
      </c>
      <c r="F2031" s="246"/>
      <c r="G2031" s="66" t="str">
        <f>HYPERLINK("https://ledvance.com/pt/product-datasheet/251489/238760","Ficha de Produto")</f>
        <v>Ficha de Produto</v>
      </c>
      <c r="H2031" s="217">
        <v>10</v>
      </c>
      <c r="I2031" s="34" t="s">
        <v>6354</v>
      </c>
      <c r="J2031" s="34" t="s">
        <v>855</v>
      </c>
      <c r="K2031" s="34" t="s">
        <v>788</v>
      </c>
      <c r="L2031" s="34" t="s">
        <v>6506</v>
      </c>
      <c r="M2031" s="247">
        <v>6</v>
      </c>
      <c r="N2031" s="288" t="s">
        <v>722</v>
      </c>
    </row>
    <row r="2032" spans="1:1095" s="36" customFormat="1" ht="14.25" customHeight="1">
      <c r="A2032" s="3" t="s">
        <v>1722</v>
      </c>
      <c r="B2032" s="36" t="s">
        <v>2386</v>
      </c>
      <c r="C2032" s="10">
        <v>4099854069109</v>
      </c>
      <c r="D2032" s="224">
        <v>4058075591370</v>
      </c>
      <c r="E2032" s="245" t="s">
        <v>2387</v>
      </c>
      <c r="F2032" s="246"/>
      <c r="G2032" s="66" t="str">
        <f>HYPERLINK("https://ledvance.com/pt/product-datasheet/251489/238832","Ficha de Produto")</f>
        <v>Ficha de Produto</v>
      </c>
      <c r="H2032" s="217">
        <v>10</v>
      </c>
      <c r="I2032" s="34" t="s">
        <v>6354</v>
      </c>
      <c r="J2032" s="34" t="s">
        <v>855</v>
      </c>
      <c r="K2032" s="34" t="s">
        <v>788</v>
      </c>
      <c r="L2032" s="34" t="s">
        <v>6506</v>
      </c>
      <c r="M2032" s="247">
        <v>6</v>
      </c>
      <c r="N2032" s="288" t="s">
        <v>722</v>
      </c>
    </row>
    <row r="2033" spans="1:1095" s="36" customFormat="1" ht="14.25" customHeight="1">
      <c r="A2033" s="3" t="s">
        <v>1722</v>
      </c>
      <c r="B2033" s="36" t="s">
        <v>2388</v>
      </c>
      <c r="C2033" s="10">
        <v>4099854069086</v>
      </c>
      <c r="D2033" s="224">
        <v>4058075591356</v>
      </c>
      <c r="E2033" s="245" t="s">
        <v>2389</v>
      </c>
      <c r="F2033" s="246"/>
      <c r="G2033" s="66" t="str">
        <f>HYPERLINK("https://ledvance.com/pt/product-datasheet/251489/238826","Ficha de Produto")</f>
        <v>Ficha de Produto</v>
      </c>
      <c r="H2033" s="217">
        <v>10</v>
      </c>
      <c r="I2033" s="34" t="s">
        <v>6354</v>
      </c>
      <c r="J2033" s="34" t="s">
        <v>855</v>
      </c>
      <c r="K2033" s="34" t="s">
        <v>788</v>
      </c>
      <c r="L2033" s="34" t="s">
        <v>6506</v>
      </c>
      <c r="M2033" s="247">
        <v>6</v>
      </c>
      <c r="N2033" s="288" t="s">
        <v>722</v>
      </c>
    </row>
    <row r="2034" spans="1:1095" s="36" customFormat="1" ht="14.25" customHeight="1">
      <c r="A2034" s="3" t="s">
        <v>1722</v>
      </c>
      <c r="B2034" s="36" t="s">
        <v>2390</v>
      </c>
      <c r="C2034" s="10">
        <v>4099854062261</v>
      </c>
      <c r="D2034" s="224">
        <v>4058075590991</v>
      </c>
      <c r="E2034" s="245" t="s">
        <v>2391</v>
      </c>
      <c r="F2034" s="246"/>
      <c r="G2034" s="66" t="str">
        <f>HYPERLINK("https://ledvance.com/pt/product-datasheet/251489/237488","Ficha de Produto")</f>
        <v>Ficha de Produto</v>
      </c>
      <c r="H2034" s="217">
        <v>10</v>
      </c>
      <c r="I2034" s="34" t="s">
        <v>6349</v>
      </c>
      <c r="J2034" s="34" t="s">
        <v>6335</v>
      </c>
      <c r="K2034" s="34" t="s">
        <v>788</v>
      </c>
      <c r="L2034" s="34" t="s">
        <v>6506</v>
      </c>
      <c r="M2034" s="247">
        <v>9.4</v>
      </c>
      <c r="N2034" s="288" t="s">
        <v>722</v>
      </c>
    </row>
    <row r="2035" spans="1:1095" s="39" customFormat="1" ht="14.25" customHeight="1">
      <c r="A2035" s="8" t="s">
        <v>1722</v>
      </c>
      <c r="B2035" s="244" t="s">
        <v>2392</v>
      </c>
      <c r="C2035" s="8"/>
      <c r="D2035" s="7"/>
      <c r="E2035" s="230"/>
      <c r="F2035" s="7"/>
      <c r="G2035" s="68" t="s">
        <v>6505</v>
      </c>
      <c r="H2035" s="230"/>
      <c r="I2035" s="230"/>
      <c r="J2035" s="230"/>
      <c r="K2035" s="230"/>
      <c r="L2035" s="230"/>
      <c r="M2035" s="248"/>
      <c r="N2035" s="284"/>
      <c r="O2035" s="38"/>
      <c r="P2035" s="38"/>
      <c r="Q2035" s="38"/>
      <c r="R2035" s="38"/>
      <c r="S2035" s="38"/>
      <c r="T2035" s="38"/>
      <c r="U2035" s="38"/>
      <c r="V2035" s="38"/>
      <c r="W2035" s="38"/>
      <c r="X2035" s="38"/>
      <c r="Y2035" s="38"/>
      <c r="Z2035" s="38"/>
      <c r="AA2035" s="38"/>
      <c r="AB2035" s="38"/>
      <c r="AC2035" s="38"/>
      <c r="AD2035" s="38"/>
      <c r="AE2035" s="38"/>
      <c r="AF2035" s="38"/>
      <c r="AG2035" s="38"/>
      <c r="AH2035" s="38"/>
      <c r="AI2035" s="38"/>
      <c r="AJ2035" s="38"/>
      <c r="AK2035" s="38"/>
      <c r="AL2035" s="38"/>
      <c r="AM2035" s="38"/>
      <c r="AN2035" s="38"/>
      <c r="AO2035" s="38"/>
      <c r="AP2035" s="38"/>
      <c r="AQ2035" s="38"/>
      <c r="AR2035" s="38"/>
      <c r="AS2035" s="38"/>
      <c r="AT2035" s="38"/>
      <c r="AU2035" s="38"/>
      <c r="AV2035" s="38"/>
      <c r="AW2035" s="38"/>
      <c r="AX2035" s="38"/>
      <c r="AY2035" s="38"/>
      <c r="AZ2035" s="38"/>
      <c r="BA2035" s="38"/>
      <c r="BB2035" s="38"/>
      <c r="BC2035" s="38"/>
      <c r="BD2035" s="38"/>
      <c r="BE2035" s="38"/>
      <c r="BF2035" s="38"/>
      <c r="BG2035" s="38"/>
      <c r="BH2035" s="38"/>
      <c r="BI2035" s="38"/>
      <c r="BJ2035" s="38"/>
      <c r="BK2035" s="38"/>
      <c r="BL2035" s="38"/>
      <c r="BM2035" s="38"/>
      <c r="BN2035" s="38"/>
      <c r="BO2035" s="38"/>
      <c r="BP2035" s="38"/>
      <c r="BQ2035" s="38"/>
      <c r="BR2035" s="38"/>
      <c r="BS2035" s="38"/>
      <c r="BT2035" s="38"/>
      <c r="BU2035" s="38"/>
      <c r="BV2035" s="38"/>
      <c r="BW2035" s="38"/>
      <c r="BX2035" s="38"/>
      <c r="BY2035" s="38"/>
      <c r="BZ2035" s="38"/>
      <c r="CA2035" s="38"/>
      <c r="CB2035" s="38"/>
      <c r="CC2035" s="38"/>
      <c r="CD2035" s="38"/>
      <c r="CE2035" s="38"/>
      <c r="CF2035" s="38"/>
      <c r="CG2035" s="38"/>
      <c r="CH2035" s="38"/>
      <c r="CI2035" s="38"/>
      <c r="CJ2035" s="38"/>
      <c r="CK2035" s="38"/>
      <c r="CL2035" s="38"/>
      <c r="CM2035" s="38"/>
      <c r="CN2035" s="38"/>
      <c r="CO2035" s="38"/>
      <c r="CP2035" s="38"/>
      <c r="CQ2035" s="38"/>
      <c r="CR2035" s="38"/>
      <c r="CS2035" s="38"/>
      <c r="CT2035" s="38"/>
      <c r="CU2035" s="38"/>
      <c r="CV2035" s="38"/>
      <c r="CW2035" s="38"/>
      <c r="CX2035" s="38"/>
      <c r="CY2035" s="38"/>
      <c r="CZ2035" s="38"/>
      <c r="DA2035" s="38"/>
      <c r="DB2035" s="38"/>
      <c r="DC2035" s="38"/>
      <c r="DD2035" s="38"/>
      <c r="DE2035" s="38"/>
      <c r="DF2035" s="38"/>
      <c r="DG2035" s="38"/>
      <c r="DH2035" s="38"/>
      <c r="DI2035" s="38"/>
      <c r="DJ2035" s="38"/>
      <c r="DK2035" s="38"/>
      <c r="DL2035" s="38"/>
      <c r="DM2035" s="38"/>
      <c r="DN2035" s="38"/>
      <c r="DO2035" s="38"/>
      <c r="DP2035" s="38"/>
      <c r="DQ2035" s="38"/>
      <c r="DR2035" s="38"/>
      <c r="DS2035" s="38"/>
      <c r="DT2035" s="38"/>
      <c r="DU2035" s="38"/>
      <c r="DV2035" s="38"/>
      <c r="DW2035" s="38"/>
      <c r="DX2035" s="38"/>
      <c r="DY2035" s="38"/>
      <c r="DZ2035" s="38"/>
      <c r="EA2035" s="38"/>
      <c r="EB2035" s="38"/>
      <c r="EC2035" s="38"/>
      <c r="ED2035" s="38"/>
      <c r="EE2035" s="38"/>
      <c r="EF2035" s="38"/>
      <c r="EG2035" s="38"/>
      <c r="EH2035" s="38"/>
      <c r="EI2035" s="38"/>
      <c r="EJ2035" s="38"/>
      <c r="EK2035" s="38"/>
      <c r="EL2035" s="38"/>
      <c r="EM2035" s="38"/>
      <c r="EN2035" s="38"/>
      <c r="EO2035" s="38"/>
      <c r="EP2035" s="38"/>
      <c r="EQ2035" s="38"/>
      <c r="ER2035" s="38"/>
      <c r="ES2035" s="38"/>
      <c r="ET2035" s="38"/>
      <c r="EU2035" s="38"/>
      <c r="EV2035" s="38"/>
      <c r="EW2035" s="38"/>
      <c r="EX2035" s="38"/>
      <c r="EY2035" s="38"/>
      <c r="EZ2035" s="38"/>
      <c r="FA2035" s="38"/>
      <c r="FB2035" s="38"/>
      <c r="FC2035" s="38"/>
      <c r="FD2035" s="38"/>
      <c r="FE2035" s="38"/>
      <c r="FF2035" s="38"/>
      <c r="FG2035" s="38"/>
      <c r="FH2035" s="38"/>
      <c r="FI2035" s="38"/>
      <c r="FJ2035" s="38"/>
      <c r="FK2035" s="38"/>
      <c r="FL2035" s="38"/>
      <c r="FM2035" s="38"/>
      <c r="FN2035" s="38"/>
      <c r="FO2035" s="38"/>
      <c r="FP2035" s="38"/>
      <c r="FQ2035" s="38"/>
      <c r="FR2035" s="38"/>
      <c r="FS2035" s="38"/>
      <c r="FT2035" s="38"/>
      <c r="FU2035" s="38"/>
      <c r="FV2035" s="38"/>
      <c r="FW2035" s="38"/>
      <c r="FX2035" s="38"/>
      <c r="FY2035" s="38"/>
      <c r="FZ2035" s="38"/>
      <c r="GA2035" s="38"/>
      <c r="GB2035" s="38"/>
      <c r="GC2035" s="38"/>
      <c r="GD2035" s="38"/>
      <c r="GE2035" s="38"/>
      <c r="GF2035" s="38"/>
      <c r="GG2035" s="38"/>
      <c r="GH2035" s="38"/>
      <c r="GI2035" s="38"/>
      <c r="GJ2035" s="38"/>
      <c r="GK2035" s="38"/>
      <c r="GL2035" s="38"/>
      <c r="GM2035" s="38"/>
      <c r="GN2035" s="38"/>
      <c r="GO2035" s="38"/>
      <c r="GP2035" s="38"/>
      <c r="GQ2035" s="38"/>
      <c r="GR2035" s="38"/>
      <c r="GS2035" s="38"/>
      <c r="GT2035" s="38"/>
      <c r="GU2035" s="38"/>
      <c r="GV2035" s="38"/>
      <c r="GW2035" s="38"/>
      <c r="GX2035" s="38"/>
      <c r="GY2035" s="38"/>
      <c r="GZ2035" s="38"/>
      <c r="HA2035" s="38"/>
      <c r="HB2035" s="38"/>
      <c r="HC2035" s="38"/>
      <c r="HD2035" s="38"/>
      <c r="HE2035" s="38"/>
      <c r="HF2035" s="38"/>
      <c r="HG2035" s="38"/>
      <c r="HH2035" s="38"/>
      <c r="HI2035" s="38"/>
      <c r="HJ2035" s="38"/>
      <c r="HK2035" s="38"/>
      <c r="HL2035" s="38"/>
      <c r="HM2035" s="38"/>
      <c r="HN2035" s="38"/>
      <c r="HO2035" s="38"/>
      <c r="HP2035" s="38"/>
      <c r="HQ2035" s="38"/>
      <c r="HR2035" s="38"/>
      <c r="HS2035" s="38"/>
      <c r="HT2035" s="38"/>
      <c r="HU2035" s="38"/>
      <c r="HV2035" s="38"/>
      <c r="HW2035" s="38"/>
      <c r="HX2035" s="38"/>
      <c r="HY2035" s="38"/>
      <c r="HZ2035" s="38"/>
      <c r="IA2035" s="38"/>
      <c r="IB2035" s="38"/>
      <c r="IC2035" s="38"/>
      <c r="ID2035" s="38"/>
      <c r="IE2035" s="38"/>
      <c r="IF2035" s="38"/>
      <c r="IG2035" s="38"/>
      <c r="IH2035" s="38"/>
      <c r="II2035" s="38"/>
      <c r="IJ2035" s="38"/>
      <c r="IK2035" s="38"/>
      <c r="IL2035" s="38"/>
      <c r="IM2035" s="38"/>
      <c r="IN2035" s="38"/>
      <c r="IO2035" s="38"/>
      <c r="IP2035" s="38"/>
      <c r="IQ2035" s="38"/>
      <c r="IR2035" s="38"/>
      <c r="IS2035" s="38"/>
      <c r="IT2035" s="38"/>
      <c r="IU2035" s="38"/>
      <c r="IV2035" s="38"/>
      <c r="IW2035" s="38"/>
      <c r="IX2035" s="38"/>
      <c r="IY2035" s="38"/>
      <c r="IZ2035" s="38"/>
      <c r="JA2035" s="38"/>
      <c r="JB2035" s="38"/>
      <c r="JC2035" s="38"/>
      <c r="JD2035" s="38"/>
      <c r="JE2035" s="38"/>
      <c r="JF2035" s="38"/>
      <c r="JG2035" s="38"/>
      <c r="JH2035" s="38"/>
      <c r="JI2035" s="38"/>
      <c r="JJ2035" s="38"/>
      <c r="JK2035" s="38"/>
      <c r="JL2035" s="38"/>
      <c r="JM2035" s="38"/>
      <c r="JN2035" s="38"/>
      <c r="JO2035" s="38"/>
      <c r="JP2035" s="38"/>
      <c r="JQ2035" s="38"/>
      <c r="JR2035" s="38"/>
      <c r="JS2035" s="38"/>
      <c r="JT2035" s="38"/>
      <c r="JU2035" s="38"/>
      <c r="JV2035" s="38"/>
      <c r="JW2035" s="38"/>
      <c r="JX2035" s="38"/>
      <c r="JY2035" s="38"/>
      <c r="JZ2035" s="38"/>
      <c r="KA2035" s="38"/>
      <c r="KB2035" s="38"/>
      <c r="KC2035" s="38"/>
      <c r="KD2035" s="38"/>
      <c r="KE2035" s="38"/>
      <c r="KF2035" s="38"/>
      <c r="KG2035" s="38"/>
      <c r="KH2035" s="38"/>
      <c r="KI2035" s="38"/>
      <c r="KJ2035" s="38"/>
      <c r="KK2035" s="38"/>
      <c r="KL2035" s="38"/>
      <c r="KM2035" s="38"/>
      <c r="KN2035" s="38"/>
      <c r="KO2035" s="38"/>
      <c r="KP2035" s="38"/>
      <c r="KQ2035" s="38"/>
      <c r="KR2035" s="38"/>
      <c r="KS2035" s="38"/>
      <c r="KT2035" s="38"/>
      <c r="KU2035" s="38"/>
      <c r="KV2035" s="38"/>
      <c r="KW2035" s="38"/>
      <c r="KX2035" s="38"/>
      <c r="KY2035" s="38"/>
      <c r="KZ2035" s="38"/>
      <c r="LA2035" s="38"/>
      <c r="LB2035" s="38"/>
      <c r="LC2035" s="38"/>
      <c r="LD2035" s="38"/>
      <c r="LE2035" s="38"/>
      <c r="LF2035" s="38"/>
      <c r="LG2035" s="38"/>
      <c r="LH2035" s="38"/>
      <c r="LI2035" s="38"/>
      <c r="LJ2035" s="38"/>
      <c r="LK2035" s="38"/>
      <c r="LL2035" s="38"/>
      <c r="LM2035" s="38"/>
      <c r="LN2035" s="38"/>
      <c r="LO2035" s="38"/>
      <c r="LP2035" s="38"/>
      <c r="LQ2035" s="38"/>
      <c r="LR2035" s="38"/>
      <c r="LS2035" s="38"/>
      <c r="LT2035" s="38"/>
      <c r="LU2035" s="38"/>
      <c r="LV2035" s="38"/>
      <c r="LW2035" s="38"/>
      <c r="LX2035" s="38"/>
      <c r="LY2035" s="38"/>
      <c r="LZ2035" s="38"/>
      <c r="MA2035" s="38"/>
      <c r="MB2035" s="38"/>
      <c r="MC2035" s="38"/>
      <c r="MD2035" s="38"/>
      <c r="ME2035" s="38"/>
      <c r="MF2035" s="38"/>
      <c r="MG2035" s="38"/>
      <c r="MH2035" s="38"/>
      <c r="MI2035" s="38"/>
      <c r="MJ2035" s="38"/>
      <c r="MK2035" s="38"/>
      <c r="ML2035" s="38"/>
      <c r="MM2035" s="38"/>
      <c r="MN2035" s="38"/>
      <c r="MO2035" s="38"/>
      <c r="MP2035" s="38"/>
      <c r="MQ2035" s="38"/>
      <c r="MR2035" s="38"/>
      <c r="MS2035" s="38"/>
      <c r="MT2035" s="38"/>
      <c r="MU2035" s="38"/>
      <c r="MV2035" s="38"/>
      <c r="MW2035" s="38"/>
      <c r="MX2035" s="38"/>
      <c r="MY2035" s="38"/>
      <c r="MZ2035" s="38"/>
      <c r="NA2035" s="38"/>
      <c r="NB2035" s="38"/>
      <c r="NC2035" s="38"/>
      <c r="ND2035" s="38"/>
      <c r="NE2035" s="38"/>
      <c r="NF2035" s="38"/>
      <c r="NG2035" s="38"/>
      <c r="NH2035" s="38"/>
      <c r="NI2035" s="38"/>
      <c r="NJ2035" s="38"/>
      <c r="NK2035" s="38"/>
      <c r="NL2035" s="38"/>
      <c r="NM2035" s="38"/>
      <c r="NN2035" s="38"/>
      <c r="NO2035" s="38"/>
      <c r="NP2035" s="38"/>
      <c r="NQ2035" s="38"/>
      <c r="NR2035" s="38"/>
      <c r="NS2035" s="38"/>
      <c r="NT2035" s="38"/>
      <c r="NU2035" s="38"/>
      <c r="NV2035" s="38"/>
      <c r="NW2035" s="38"/>
      <c r="NX2035" s="38"/>
      <c r="NY2035" s="38"/>
      <c r="NZ2035" s="38"/>
      <c r="OA2035" s="38"/>
      <c r="OB2035" s="38"/>
      <c r="OC2035" s="38"/>
      <c r="OD2035" s="38"/>
      <c r="OE2035" s="38"/>
      <c r="OF2035" s="38"/>
      <c r="OG2035" s="38"/>
      <c r="OH2035" s="38"/>
      <c r="OI2035" s="38"/>
      <c r="OJ2035" s="38"/>
      <c r="OK2035" s="38"/>
      <c r="OL2035" s="38"/>
      <c r="OM2035" s="38"/>
      <c r="ON2035" s="38"/>
      <c r="OO2035" s="38"/>
      <c r="OP2035" s="38"/>
      <c r="OQ2035" s="38"/>
      <c r="OR2035" s="38"/>
      <c r="OS2035" s="38"/>
      <c r="OT2035" s="38"/>
      <c r="OU2035" s="38"/>
      <c r="OV2035" s="38"/>
      <c r="OW2035" s="38"/>
      <c r="OX2035" s="38"/>
      <c r="OY2035" s="38"/>
      <c r="OZ2035" s="38"/>
      <c r="PA2035" s="38"/>
      <c r="PB2035" s="38"/>
      <c r="PC2035" s="38"/>
      <c r="PD2035" s="38"/>
      <c r="PE2035" s="38"/>
      <c r="PF2035" s="38"/>
      <c r="PG2035" s="38"/>
      <c r="PH2035" s="38"/>
      <c r="PI2035" s="38"/>
      <c r="PJ2035" s="38"/>
      <c r="PK2035" s="38"/>
      <c r="PL2035" s="38"/>
      <c r="PM2035" s="38"/>
      <c r="PN2035" s="38"/>
      <c r="PO2035" s="38"/>
      <c r="PP2035" s="38"/>
      <c r="PQ2035" s="38"/>
      <c r="PR2035" s="38"/>
      <c r="PS2035" s="38"/>
      <c r="PT2035" s="38"/>
      <c r="PU2035" s="38"/>
      <c r="PV2035" s="38"/>
      <c r="PW2035" s="38"/>
      <c r="PX2035" s="38"/>
      <c r="PY2035" s="38"/>
      <c r="PZ2035" s="38"/>
      <c r="QA2035" s="38"/>
      <c r="QB2035" s="38"/>
      <c r="QC2035" s="38"/>
      <c r="QD2035" s="38"/>
      <c r="QE2035" s="38"/>
      <c r="QF2035" s="38"/>
      <c r="QG2035" s="38"/>
      <c r="QH2035" s="38"/>
      <c r="QI2035" s="38"/>
      <c r="QJ2035" s="38"/>
      <c r="QK2035" s="38"/>
      <c r="QL2035" s="38"/>
      <c r="QM2035" s="38"/>
      <c r="QN2035" s="38"/>
      <c r="QO2035" s="38"/>
      <c r="QP2035" s="38"/>
      <c r="QQ2035" s="38"/>
      <c r="QR2035" s="38"/>
      <c r="QS2035" s="38"/>
      <c r="QT2035" s="38"/>
      <c r="QU2035" s="38"/>
      <c r="QV2035" s="38"/>
      <c r="QW2035" s="38"/>
      <c r="QX2035" s="38"/>
      <c r="QY2035" s="38"/>
      <c r="QZ2035" s="38"/>
      <c r="RA2035" s="38"/>
      <c r="RB2035" s="38"/>
      <c r="RC2035" s="38"/>
      <c r="RD2035" s="38"/>
      <c r="RE2035" s="38"/>
      <c r="RF2035" s="38"/>
      <c r="RG2035" s="38"/>
      <c r="RH2035" s="38"/>
      <c r="RI2035" s="38"/>
      <c r="RJ2035" s="38"/>
      <c r="RK2035" s="38"/>
      <c r="RL2035" s="38"/>
      <c r="RM2035" s="38"/>
      <c r="RN2035" s="38"/>
      <c r="RO2035" s="38"/>
      <c r="RP2035" s="38"/>
      <c r="RQ2035" s="38"/>
      <c r="RR2035" s="38"/>
      <c r="RS2035" s="38"/>
      <c r="RT2035" s="38"/>
      <c r="RU2035" s="38"/>
      <c r="RV2035" s="38"/>
      <c r="RW2035" s="38"/>
      <c r="RX2035" s="38"/>
      <c r="RY2035" s="38"/>
      <c r="RZ2035" s="38"/>
      <c r="SA2035" s="38"/>
      <c r="SB2035" s="38"/>
      <c r="SC2035" s="38"/>
      <c r="SD2035" s="38"/>
      <c r="SE2035" s="38"/>
      <c r="SF2035" s="38"/>
      <c r="SG2035" s="38"/>
      <c r="SH2035" s="38"/>
      <c r="SI2035" s="38"/>
      <c r="SJ2035" s="38"/>
      <c r="SK2035" s="38"/>
      <c r="SL2035" s="38"/>
      <c r="SM2035" s="38"/>
      <c r="SN2035" s="38"/>
      <c r="SO2035" s="38"/>
      <c r="SP2035" s="38"/>
      <c r="SQ2035" s="38"/>
      <c r="SR2035" s="38"/>
      <c r="SS2035" s="38"/>
      <c r="ST2035" s="38"/>
      <c r="SU2035" s="38"/>
      <c r="SV2035" s="38"/>
      <c r="SW2035" s="38"/>
      <c r="SX2035" s="38"/>
      <c r="SY2035" s="38"/>
      <c r="SZ2035" s="38"/>
      <c r="TA2035" s="38"/>
      <c r="TB2035" s="38"/>
      <c r="TC2035" s="38"/>
      <c r="TD2035" s="38"/>
      <c r="TE2035" s="38"/>
      <c r="TF2035" s="38"/>
      <c r="TG2035" s="38"/>
      <c r="TH2035" s="38"/>
      <c r="TI2035" s="38"/>
      <c r="TJ2035" s="38"/>
      <c r="TK2035" s="38"/>
      <c r="TL2035" s="38"/>
      <c r="TM2035" s="38"/>
      <c r="TN2035" s="38"/>
      <c r="TO2035" s="38"/>
      <c r="TP2035" s="38"/>
      <c r="TQ2035" s="38"/>
      <c r="TR2035" s="38"/>
      <c r="TS2035" s="38"/>
      <c r="TT2035" s="38"/>
      <c r="TU2035" s="38"/>
      <c r="TV2035" s="38"/>
      <c r="TW2035" s="38"/>
      <c r="TX2035" s="38"/>
      <c r="TY2035" s="38"/>
      <c r="TZ2035" s="38"/>
      <c r="UA2035" s="38"/>
      <c r="UB2035" s="38"/>
      <c r="UC2035" s="38"/>
      <c r="UD2035" s="38"/>
      <c r="UE2035" s="38"/>
      <c r="UF2035" s="38"/>
      <c r="UG2035" s="38"/>
      <c r="UH2035" s="38"/>
      <c r="UI2035" s="38"/>
      <c r="UJ2035" s="38"/>
      <c r="UK2035" s="38"/>
      <c r="UL2035" s="38"/>
      <c r="UM2035" s="38"/>
      <c r="UN2035" s="38"/>
      <c r="UO2035" s="38"/>
      <c r="UP2035" s="38"/>
      <c r="UQ2035" s="38"/>
      <c r="UR2035" s="38"/>
      <c r="US2035" s="38"/>
      <c r="UT2035" s="38"/>
      <c r="UU2035" s="38"/>
      <c r="UV2035" s="38"/>
      <c r="UW2035" s="38"/>
      <c r="UX2035" s="38"/>
      <c r="UY2035" s="38"/>
      <c r="UZ2035" s="38"/>
      <c r="VA2035" s="38"/>
      <c r="VB2035" s="38"/>
      <c r="VC2035" s="38"/>
      <c r="VD2035" s="38"/>
      <c r="VE2035" s="38"/>
      <c r="VF2035" s="38"/>
      <c r="VG2035" s="38"/>
      <c r="VH2035" s="38"/>
      <c r="VI2035" s="38"/>
      <c r="VJ2035" s="38"/>
      <c r="VK2035" s="38"/>
      <c r="VL2035" s="38"/>
      <c r="VM2035" s="38"/>
      <c r="VN2035" s="38"/>
      <c r="VO2035" s="38"/>
      <c r="VP2035" s="38"/>
      <c r="VQ2035" s="38"/>
      <c r="VR2035" s="38"/>
      <c r="VS2035" s="38"/>
      <c r="VT2035" s="38"/>
      <c r="VU2035" s="38"/>
      <c r="VV2035" s="38"/>
      <c r="VW2035" s="38"/>
      <c r="VX2035" s="38"/>
      <c r="VY2035" s="38"/>
      <c r="VZ2035" s="38"/>
      <c r="WA2035" s="38"/>
      <c r="WB2035" s="38"/>
      <c r="WC2035" s="38"/>
      <c r="WD2035" s="38"/>
      <c r="WE2035" s="38"/>
      <c r="WF2035" s="38"/>
      <c r="WG2035" s="38"/>
      <c r="WH2035" s="38"/>
      <c r="WI2035" s="38"/>
      <c r="WJ2035" s="38"/>
      <c r="WK2035" s="38"/>
      <c r="WL2035" s="38"/>
      <c r="WM2035" s="38"/>
      <c r="WN2035" s="38"/>
      <c r="WO2035" s="38"/>
      <c r="WP2035" s="38"/>
      <c r="WQ2035" s="38"/>
      <c r="WR2035" s="38"/>
      <c r="WS2035" s="38"/>
      <c r="WT2035" s="38"/>
      <c r="WU2035" s="38"/>
      <c r="WV2035" s="38"/>
      <c r="WW2035" s="38"/>
      <c r="WX2035" s="38"/>
      <c r="WY2035" s="38"/>
      <c r="WZ2035" s="38"/>
      <c r="XA2035" s="38"/>
      <c r="XB2035" s="38"/>
      <c r="XC2035" s="38"/>
      <c r="XD2035" s="38"/>
      <c r="XE2035" s="38"/>
      <c r="XF2035" s="38"/>
      <c r="XG2035" s="38"/>
      <c r="XH2035" s="38"/>
      <c r="XI2035" s="38"/>
      <c r="XJ2035" s="38"/>
      <c r="XK2035" s="38"/>
      <c r="XL2035" s="38"/>
      <c r="XM2035" s="38"/>
      <c r="XN2035" s="38"/>
      <c r="XO2035" s="38"/>
      <c r="XP2035" s="38"/>
      <c r="XQ2035" s="38"/>
      <c r="XR2035" s="38"/>
      <c r="XS2035" s="38"/>
      <c r="XT2035" s="38"/>
      <c r="XU2035" s="38"/>
      <c r="XV2035" s="38"/>
      <c r="XW2035" s="38"/>
      <c r="XX2035" s="38"/>
      <c r="XY2035" s="38"/>
      <c r="XZ2035" s="38"/>
      <c r="YA2035" s="38"/>
      <c r="YB2035" s="38"/>
      <c r="YC2035" s="38"/>
      <c r="YD2035" s="38"/>
      <c r="YE2035" s="38"/>
      <c r="YF2035" s="38"/>
      <c r="YG2035" s="38"/>
      <c r="YH2035" s="38"/>
      <c r="YI2035" s="38"/>
      <c r="YJ2035" s="38"/>
      <c r="YK2035" s="38"/>
      <c r="YL2035" s="38"/>
      <c r="YM2035" s="38"/>
      <c r="YN2035" s="38"/>
      <c r="YO2035" s="38"/>
      <c r="YP2035" s="38"/>
      <c r="YQ2035" s="38"/>
      <c r="YR2035" s="38"/>
      <c r="YS2035" s="38"/>
      <c r="YT2035" s="38"/>
      <c r="YU2035" s="38"/>
      <c r="YV2035" s="38"/>
      <c r="YW2035" s="38"/>
      <c r="YX2035" s="38"/>
      <c r="YY2035" s="38"/>
      <c r="YZ2035" s="38"/>
      <c r="ZA2035" s="38"/>
      <c r="ZB2035" s="38"/>
      <c r="ZC2035" s="38"/>
      <c r="ZD2035" s="38"/>
      <c r="ZE2035" s="38"/>
      <c r="ZF2035" s="38"/>
      <c r="ZG2035" s="38"/>
      <c r="ZH2035" s="38"/>
      <c r="ZI2035" s="38"/>
      <c r="ZJ2035" s="38"/>
      <c r="ZK2035" s="38"/>
      <c r="ZL2035" s="38"/>
      <c r="ZM2035" s="38"/>
      <c r="ZN2035" s="38"/>
      <c r="ZO2035" s="38"/>
      <c r="ZP2035" s="38"/>
      <c r="ZQ2035" s="38"/>
      <c r="ZR2035" s="38"/>
      <c r="ZS2035" s="38"/>
      <c r="ZT2035" s="38"/>
      <c r="ZU2035" s="38"/>
      <c r="ZV2035" s="38"/>
      <c r="ZW2035" s="38"/>
      <c r="ZX2035" s="38"/>
      <c r="ZY2035" s="38"/>
      <c r="ZZ2035" s="38"/>
      <c r="AAA2035" s="38"/>
      <c r="AAB2035" s="38"/>
      <c r="AAC2035" s="38"/>
      <c r="AAD2035" s="38"/>
      <c r="AAE2035" s="38"/>
      <c r="AAF2035" s="38"/>
      <c r="AAG2035" s="38"/>
      <c r="AAH2035" s="38"/>
      <c r="AAI2035" s="38"/>
      <c r="AAJ2035" s="38"/>
      <c r="AAK2035" s="38"/>
      <c r="AAL2035" s="38"/>
      <c r="AAM2035" s="38"/>
      <c r="AAN2035" s="38"/>
      <c r="AAO2035" s="38"/>
      <c r="AAP2035" s="38"/>
      <c r="AAQ2035" s="38"/>
      <c r="AAR2035" s="38"/>
      <c r="AAS2035" s="38"/>
      <c r="AAT2035" s="38"/>
      <c r="AAU2035" s="38"/>
      <c r="AAV2035" s="38"/>
      <c r="AAW2035" s="38"/>
      <c r="AAX2035" s="38"/>
      <c r="AAY2035" s="38"/>
      <c r="AAZ2035" s="38"/>
      <c r="ABA2035" s="38"/>
      <c r="ABB2035" s="38"/>
      <c r="ABC2035" s="38"/>
      <c r="ABD2035" s="38"/>
      <c r="ABE2035" s="38"/>
      <c r="ABF2035" s="38"/>
      <c r="ABG2035" s="38"/>
      <c r="ABH2035" s="38"/>
      <c r="ABI2035" s="38"/>
      <c r="ABJ2035" s="38"/>
      <c r="ABK2035" s="38"/>
      <c r="ABL2035" s="38"/>
      <c r="ABM2035" s="38"/>
      <c r="ABN2035" s="38"/>
      <c r="ABO2035" s="38"/>
      <c r="ABP2035" s="38"/>
      <c r="ABQ2035" s="38"/>
      <c r="ABR2035" s="38"/>
      <c r="ABS2035" s="38"/>
      <c r="ABT2035" s="38"/>
      <c r="ABU2035" s="38"/>
      <c r="ABV2035" s="38"/>
      <c r="ABW2035" s="38"/>
      <c r="ABX2035" s="38"/>
      <c r="ABY2035" s="38"/>
      <c r="ABZ2035" s="38"/>
      <c r="ACA2035" s="38"/>
      <c r="ACB2035" s="38"/>
      <c r="ACC2035" s="38"/>
      <c r="ACD2035" s="38"/>
      <c r="ACE2035" s="38"/>
      <c r="ACF2035" s="38"/>
      <c r="ACG2035" s="38"/>
      <c r="ACH2035" s="38"/>
      <c r="ACI2035" s="38"/>
      <c r="ACJ2035" s="38"/>
      <c r="ACK2035" s="38"/>
      <c r="ACL2035" s="38"/>
      <c r="ACM2035" s="38"/>
      <c r="ACN2035" s="38"/>
      <c r="ACO2035" s="38"/>
      <c r="ACP2035" s="38"/>
      <c r="ACQ2035" s="38"/>
      <c r="ACR2035" s="38"/>
      <c r="ACS2035" s="38"/>
      <c r="ACT2035" s="38"/>
      <c r="ACU2035" s="38"/>
      <c r="ACV2035" s="38"/>
      <c r="ACW2035" s="38"/>
      <c r="ACX2035" s="38"/>
      <c r="ACY2035" s="38"/>
      <c r="ACZ2035" s="38"/>
      <c r="ADA2035" s="38"/>
      <c r="ADB2035" s="38"/>
      <c r="ADC2035" s="38"/>
      <c r="ADD2035" s="38"/>
      <c r="ADE2035" s="38"/>
      <c r="ADF2035" s="38"/>
      <c r="ADG2035" s="38"/>
      <c r="ADH2035" s="38"/>
      <c r="ADI2035" s="38"/>
      <c r="ADJ2035" s="38"/>
      <c r="ADK2035" s="38"/>
      <c r="ADL2035" s="38"/>
      <c r="ADM2035" s="38"/>
      <c r="ADN2035" s="38"/>
      <c r="ADO2035" s="38"/>
      <c r="ADP2035" s="38"/>
      <c r="ADQ2035" s="38"/>
      <c r="ADR2035" s="38"/>
      <c r="ADS2035" s="38"/>
      <c r="ADT2035" s="38"/>
      <c r="ADU2035" s="38"/>
      <c r="ADV2035" s="38"/>
      <c r="ADW2035" s="38"/>
      <c r="ADX2035" s="38"/>
      <c r="ADY2035" s="38"/>
      <c r="ADZ2035" s="38"/>
      <c r="AEA2035" s="38"/>
      <c r="AEB2035" s="38"/>
      <c r="AEC2035" s="38"/>
      <c r="AED2035" s="38"/>
      <c r="AEE2035" s="38"/>
      <c r="AEF2035" s="38"/>
      <c r="AEG2035" s="38"/>
      <c r="AEH2035" s="38"/>
      <c r="AEI2035" s="38"/>
      <c r="AEJ2035" s="38"/>
      <c r="AEK2035" s="38"/>
      <c r="AEL2035" s="38"/>
      <c r="AEM2035" s="38"/>
      <c r="AEN2035" s="38"/>
      <c r="AEO2035" s="38"/>
      <c r="AEP2035" s="38"/>
      <c r="AEQ2035" s="38"/>
      <c r="AER2035" s="38"/>
      <c r="AES2035" s="38"/>
      <c r="AET2035" s="38"/>
      <c r="AEU2035" s="38"/>
      <c r="AEV2035" s="38"/>
      <c r="AEW2035" s="38"/>
      <c r="AEX2035" s="38"/>
      <c r="AEY2035" s="38"/>
      <c r="AEZ2035" s="38"/>
      <c r="AFA2035" s="38"/>
      <c r="AFB2035" s="38"/>
      <c r="AFC2035" s="38"/>
      <c r="AFD2035" s="38"/>
      <c r="AFE2035" s="38"/>
      <c r="AFF2035" s="38"/>
      <c r="AFG2035" s="38"/>
      <c r="AFH2035" s="38"/>
      <c r="AFI2035" s="38"/>
      <c r="AFJ2035" s="38"/>
      <c r="AFK2035" s="38"/>
      <c r="AFL2035" s="38"/>
      <c r="AFM2035" s="38"/>
      <c r="AFN2035" s="38"/>
      <c r="AFO2035" s="38"/>
      <c r="AFP2035" s="38"/>
      <c r="AFQ2035" s="38"/>
      <c r="AFR2035" s="38"/>
      <c r="AFS2035" s="38"/>
      <c r="AFT2035" s="38"/>
      <c r="AFU2035" s="38"/>
      <c r="AFV2035" s="38"/>
      <c r="AFW2035" s="38"/>
      <c r="AFX2035" s="38"/>
      <c r="AFY2035" s="38"/>
      <c r="AFZ2035" s="38"/>
      <c r="AGA2035" s="38"/>
      <c r="AGB2035" s="38"/>
      <c r="AGC2035" s="38"/>
      <c r="AGD2035" s="38"/>
      <c r="AGE2035" s="38"/>
      <c r="AGF2035" s="38"/>
      <c r="AGG2035" s="38"/>
      <c r="AGH2035" s="38"/>
      <c r="AGI2035" s="38"/>
      <c r="AGJ2035" s="38"/>
      <c r="AGK2035" s="38"/>
      <c r="AGL2035" s="38"/>
      <c r="AGM2035" s="38"/>
      <c r="AGN2035" s="38"/>
      <c r="AGO2035" s="38"/>
      <c r="AGP2035" s="38"/>
      <c r="AGQ2035" s="38"/>
      <c r="AGR2035" s="38"/>
      <c r="AGS2035" s="38"/>
      <c r="AGT2035" s="38"/>
      <c r="AGU2035" s="38"/>
      <c r="AGV2035" s="38"/>
      <c r="AGW2035" s="38"/>
      <c r="AGX2035" s="38"/>
      <c r="AGY2035" s="38"/>
      <c r="AGZ2035" s="38"/>
      <c r="AHA2035" s="38"/>
      <c r="AHB2035" s="38"/>
      <c r="AHC2035" s="38"/>
      <c r="AHD2035" s="38"/>
      <c r="AHE2035" s="38"/>
      <c r="AHF2035" s="38"/>
      <c r="AHG2035" s="38"/>
      <c r="AHH2035" s="38"/>
      <c r="AHI2035" s="38"/>
      <c r="AHJ2035" s="38"/>
      <c r="AHK2035" s="38"/>
      <c r="AHL2035" s="38"/>
      <c r="AHM2035" s="38"/>
      <c r="AHN2035" s="38"/>
      <c r="AHO2035" s="38"/>
      <c r="AHP2035" s="38"/>
      <c r="AHQ2035" s="38"/>
      <c r="AHR2035" s="38"/>
      <c r="AHS2035" s="38"/>
      <c r="AHT2035" s="38"/>
      <c r="AHU2035" s="38"/>
      <c r="AHV2035" s="38"/>
      <c r="AHW2035" s="38"/>
      <c r="AHX2035" s="38"/>
      <c r="AHY2035" s="38"/>
      <c r="AHZ2035" s="38"/>
      <c r="AIA2035" s="38"/>
      <c r="AIB2035" s="38"/>
      <c r="AIC2035" s="38"/>
      <c r="AID2035" s="38"/>
      <c r="AIE2035" s="38"/>
      <c r="AIF2035" s="38"/>
      <c r="AIG2035" s="38"/>
      <c r="AIH2035" s="38"/>
      <c r="AII2035" s="38"/>
      <c r="AIJ2035" s="38"/>
      <c r="AIK2035" s="38"/>
      <c r="AIL2035" s="38"/>
      <c r="AIM2035" s="38"/>
      <c r="AIN2035" s="38"/>
      <c r="AIO2035" s="38"/>
      <c r="AIP2035" s="38"/>
      <c r="AIQ2035" s="38"/>
      <c r="AIR2035" s="38"/>
      <c r="AIS2035" s="38"/>
      <c r="AIT2035" s="38"/>
      <c r="AIU2035" s="38"/>
      <c r="AIV2035" s="38"/>
      <c r="AIW2035" s="38"/>
      <c r="AIX2035" s="38"/>
      <c r="AIY2035" s="38"/>
      <c r="AIZ2035" s="38"/>
      <c r="AJA2035" s="38"/>
      <c r="AJB2035" s="38"/>
      <c r="AJC2035" s="38"/>
      <c r="AJD2035" s="38"/>
      <c r="AJE2035" s="38"/>
      <c r="AJF2035" s="38"/>
      <c r="AJG2035" s="38"/>
      <c r="AJH2035" s="38"/>
      <c r="AJI2035" s="38"/>
      <c r="AJJ2035" s="38"/>
      <c r="AJK2035" s="38"/>
      <c r="AJL2035" s="38"/>
      <c r="AJM2035" s="38"/>
      <c r="AJN2035" s="38"/>
      <c r="AJO2035" s="38"/>
      <c r="AJP2035" s="38"/>
      <c r="AJQ2035" s="38"/>
      <c r="AJR2035" s="38"/>
      <c r="AJS2035" s="38"/>
      <c r="AJT2035" s="38"/>
      <c r="AJU2035" s="38"/>
      <c r="AJV2035" s="38"/>
      <c r="AJW2035" s="38"/>
      <c r="AJX2035" s="38"/>
      <c r="AJY2035" s="38"/>
      <c r="AJZ2035" s="38"/>
      <c r="AKA2035" s="38"/>
      <c r="AKB2035" s="38"/>
      <c r="AKC2035" s="38"/>
      <c r="AKD2035" s="38"/>
      <c r="AKE2035" s="38"/>
      <c r="AKF2035" s="38"/>
      <c r="AKG2035" s="38"/>
      <c r="AKH2035" s="38"/>
      <c r="AKI2035" s="38"/>
      <c r="AKJ2035" s="38"/>
      <c r="AKK2035" s="38"/>
      <c r="AKL2035" s="38"/>
      <c r="AKM2035" s="38"/>
      <c r="AKN2035" s="38"/>
      <c r="AKO2035" s="38"/>
      <c r="AKP2035" s="38"/>
      <c r="AKQ2035" s="38"/>
      <c r="AKR2035" s="38"/>
      <c r="AKS2035" s="38"/>
      <c r="AKT2035" s="38"/>
      <c r="AKU2035" s="38"/>
      <c r="AKV2035" s="38"/>
      <c r="AKW2035" s="38"/>
      <c r="AKX2035" s="38"/>
      <c r="AKY2035" s="38"/>
      <c r="AKZ2035" s="38"/>
      <c r="ALA2035" s="38"/>
      <c r="ALB2035" s="38"/>
      <c r="ALC2035" s="38"/>
      <c r="ALD2035" s="38"/>
      <c r="ALE2035" s="38"/>
      <c r="ALF2035" s="38"/>
      <c r="ALG2035" s="38"/>
      <c r="ALH2035" s="38"/>
      <c r="ALI2035" s="38"/>
      <c r="ALJ2035" s="38"/>
      <c r="ALK2035" s="38"/>
      <c r="ALL2035" s="38"/>
      <c r="ALM2035" s="38"/>
      <c r="ALN2035" s="38"/>
      <c r="ALO2035" s="38"/>
      <c r="ALP2035" s="38"/>
      <c r="ALQ2035" s="38"/>
      <c r="ALR2035" s="38"/>
      <c r="ALS2035" s="38"/>
      <c r="ALT2035" s="38"/>
      <c r="ALU2035" s="38"/>
      <c r="ALV2035" s="38"/>
      <c r="ALW2035" s="38"/>
      <c r="ALX2035" s="38"/>
      <c r="ALY2035" s="38"/>
      <c r="ALZ2035" s="38"/>
      <c r="AMA2035" s="38"/>
      <c r="AMB2035" s="38"/>
      <c r="AMC2035" s="38"/>
      <c r="AMD2035" s="38"/>
      <c r="AME2035" s="38"/>
      <c r="AMF2035" s="38"/>
      <c r="AMG2035" s="38"/>
      <c r="AMH2035" s="38"/>
      <c r="AMI2035" s="38"/>
      <c r="AMJ2035" s="38"/>
      <c r="AMK2035" s="38"/>
      <c r="AML2035" s="38"/>
      <c r="AMM2035" s="38"/>
      <c r="AMN2035" s="38"/>
      <c r="AMO2035" s="38"/>
      <c r="AMP2035" s="38"/>
      <c r="AMQ2035" s="38"/>
      <c r="AMR2035" s="38"/>
      <c r="AMS2035" s="38"/>
      <c r="AMT2035" s="38"/>
      <c r="AMU2035" s="38"/>
      <c r="AMV2035" s="38"/>
      <c r="AMW2035" s="38"/>
      <c r="AMX2035" s="38"/>
      <c r="AMY2035" s="38"/>
      <c r="AMZ2035" s="38"/>
      <c r="ANA2035" s="38"/>
      <c r="ANB2035" s="38"/>
      <c r="ANC2035" s="38"/>
      <c r="AND2035" s="38"/>
      <c r="ANE2035" s="38"/>
      <c r="ANF2035" s="38"/>
      <c r="ANG2035" s="38"/>
      <c r="ANH2035" s="38"/>
      <c r="ANI2035" s="38"/>
      <c r="ANJ2035" s="38"/>
      <c r="ANK2035" s="38"/>
      <c r="ANL2035" s="38"/>
      <c r="ANM2035" s="38"/>
      <c r="ANN2035" s="38"/>
      <c r="ANO2035" s="38"/>
      <c r="ANP2035" s="38"/>
      <c r="ANQ2035" s="38"/>
      <c r="ANR2035" s="38"/>
      <c r="ANS2035" s="38"/>
      <c r="ANT2035" s="38"/>
      <c r="ANU2035" s="38"/>
      <c r="ANV2035" s="38"/>
      <c r="ANW2035" s="38"/>
      <c r="ANX2035" s="38"/>
      <c r="ANY2035" s="38"/>
      <c r="ANZ2035" s="38"/>
      <c r="AOA2035" s="38"/>
      <c r="AOB2035" s="38"/>
      <c r="AOC2035" s="38"/>
      <c r="AOD2035" s="38"/>
      <c r="AOE2035" s="38"/>
      <c r="AOF2035" s="38"/>
      <c r="AOG2035" s="38"/>
      <c r="AOH2035" s="38"/>
      <c r="AOI2035" s="38"/>
      <c r="AOJ2035" s="38"/>
      <c r="AOK2035" s="38"/>
      <c r="AOL2035" s="38"/>
      <c r="AOM2035" s="38"/>
      <c r="AON2035" s="38"/>
      <c r="AOO2035" s="38"/>
      <c r="AOP2035" s="38"/>
      <c r="AOQ2035" s="38"/>
      <c r="AOR2035" s="38"/>
      <c r="AOS2035" s="38"/>
      <c r="AOT2035" s="38"/>
      <c r="AOU2035" s="38"/>
      <c r="AOV2035" s="38"/>
      <c r="AOW2035" s="38"/>
      <c r="AOX2035" s="38"/>
      <c r="AOY2035" s="38"/>
      <c r="AOZ2035" s="38"/>
      <c r="APA2035" s="38"/>
      <c r="APB2035" s="38"/>
      <c r="APC2035" s="38"/>
    </row>
    <row r="2036" spans="1:1095" s="36" customFormat="1" ht="14.25" customHeight="1">
      <c r="A2036" s="3" t="s">
        <v>1722</v>
      </c>
      <c r="B2036" s="36" t="s">
        <v>2393</v>
      </c>
      <c r="C2036" s="10">
        <v>4099854054259</v>
      </c>
      <c r="D2036" s="224">
        <v>4058075590656</v>
      </c>
      <c r="E2036" s="245" t="s">
        <v>2394</v>
      </c>
      <c r="F2036" s="246"/>
      <c r="G2036" s="66" t="str">
        <f>HYPERLINK("https://ledvance.com/pt/product-datasheet/251486/236280","Ficha de Produto")</f>
        <v>Ficha de Produto</v>
      </c>
      <c r="H2036" s="217">
        <v>10</v>
      </c>
      <c r="I2036" s="34" t="s">
        <v>6369</v>
      </c>
      <c r="J2036" s="34" t="s">
        <v>5840</v>
      </c>
      <c r="K2036" s="34" t="s">
        <v>788</v>
      </c>
      <c r="L2036" s="34" t="s">
        <v>6506</v>
      </c>
      <c r="M2036" s="247">
        <v>10.200000000000001</v>
      </c>
      <c r="N2036" s="288" t="s">
        <v>722</v>
      </c>
    </row>
    <row r="2037" spans="1:1095" s="36" customFormat="1" ht="14.25" customHeight="1">
      <c r="A2037" s="3" t="s">
        <v>1722</v>
      </c>
      <c r="B2037" s="36" t="s">
        <v>2395</v>
      </c>
      <c r="C2037" s="10">
        <v>4099854054198</v>
      </c>
      <c r="D2037" s="224">
        <v>4058075591455</v>
      </c>
      <c r="E2037" s="245" t="s">
        <v>2396</v>
      </c>
      <c r="F2037" s="246"/>
      <c r="G2037" s="66" t="str">
        <f>HYPERLINK("https://ledvance.com/pt/product-datasheet/251486/236271","Ficha de Produto")</f>
        <v>Ficha de Produto</v>
      </c>
      <c r="H2037" s="217">
        <v>10</v>
      </c>
      <c r="I2037" s="34" t="s">
        <v>6354</v>
      </c>
      <c r="J2037" s="34" t="s">
        <v>855</v>
      </c>
      <c r="K2037" s="34" t="s">
        <v>788</v>
      </c>
      <c r="L2037" s="34" t="s">
        <v>6506</v>
      </c>
      <c r="M2037" s="247">
        <v>12.200000000000001</v>
      </c>
      <c r="N2037" s="288" t="s">
        <v>722</v>
      </c>
    </row>
    <row r="2038" spans="1:1095" s="36" customFormat="1" ht="14.25" customHeight="1">
      <c r="A2038" s="3" t="s">
        <v>1722</v>
      </c>
      <c r="B2038" s="36" t="s">
        <v>2397</v>
      </c>
      <c r="C2038" s="10">
        <v>4099854054761</v>
      </c>
      <c r="D2038" s="224">
        <v>4058075591431</v>
      </c>
      <c r="E2038" s="245" t="s">
        <v>2398</v>
      </c>
      <c r="F2038" s="246"/>
      <c r="G2038" s="66" t="str">
        <f>HYPERLINK("https://ledvance.com/pt/product-datasheet/251486/236268","Ficha de Produto")</f>
        <v>Ficha de Produto</v>
      </c>
      <c r="H2038" s="217">
        <v>10</v>
      </c>
      <c r="I2038" s="34" t="s">
        <v>6349</v>
      </c>
      <c r="J2038" s="34" t="s">
        <v>809</v>
      </c>
      <c r="K2038" s="34" t="s">
        <v>788</v>
      </c>
      <c r="L2038" s="34" t="s">
        <v>6506</v>
      </c>
      <c r="M2038" s="247">
        <v>14.700000000000001</v>
      </c>
      <c r="N2038" s="288" t="s">
        <v>722</v>
      </c>
    </row>
    <row r="2039" spans="1:1095" s="39" customFormat="1" ht="14.25" customHeight="1">
      <c r="A2039" s="8" t="s">
        <v>1722</v>
      </c>
      <c r="B2039" s="244" t="s">
        <v>2399</v>
      </c>
      <c r="C2039" s="8"/>
      <c r="D2039" s="7"/>
      <c r="E2039" s="230"/>
      <c r="F2039" s="7"/>
      <c r="G2039" s="68"/>
      <c r="H2039" s="230"/>
      <c r="I2039" s="230"/>
      <c r="J2039" s="230"/>
      <c r="K2039" s="230"/>
      <c r="L2039" s="230"/>
      <c r="M2039" s="248"/>
      <c r="N2039" s="284"/>
      <c r="O2039" s="38"/>
      <c r="P2039" s="38"/>
      <c r="Q2039" s="38"/>
      <c r="R2039" s="38"/>
      <c r="S2039" s="38"/>
      <c r="T2039" s="38"/>
      <c r="U2039" s="38"/>
      <c r="V2039" s="38"/>
      <c r="W2039" s="38"/>
      <c r="X2039" s="38"/>
      <c r="Y2039" s="38"/>
      <c r="Z2039" s="38"/>
      <c r="AA2039" s="38"/>
      <c r="AB2039" s="38"/>
      <c r="AC2039" s="38"/>
      <c r="AD2039" s="38"/>
      <c r="AE2039" s="38"/>
      <c r="AF2039" s="38"/>
      <c r="AG2039" s="38"/>
      <c r="AH2039" s="38"/>
      <c r="AI2039" s="38"/>
      <c r="AJ2039" s="38"/>
      <c r="AK2039" s="38"/>
      <c r="AL2039" s="38"/>
      <c r="AM2039" s="38"/>
      <c r="AN2039" s="38"/>
      <c r="AO2039" s="38"/>
      <c r="AP2039" s="38"/>
      <c r="AQ2039" s="38"/>
      <c r="AR2039" s="38"/>
      <c r="AS2039" s="38"/>
      <c r="AT2039" s="38"/>
      <c r="AU2039" s="38"/>
      <c r="AV2039" s="38"/>
      <c r="AW2039" s="38"/>
      <c r="AX2039" s="38"/>
      <c r="AY2039" s="38"/>
      <c r="AZ2039" s="38"/>
      <c r="BA2039" s="38"/>
      <c r="BB2039" s="38"/>
      <c r="BC2039" s="38"/>
      <c r="BD2039" s="38"/>
      <c r="BE2039" s="38"/>
      <c r="BF2039" s="38"/>
      <c r="BG2039" s="38"/>
      <c r="BH2039" s="38"/>
      <c r="BI2039" s="38"/>
      <c r="BJ2039" s="38"/>
      <c r="BK2039" s="38"/>
      <c r="BL2039" s="38"/>
      <c r="BM2039" s="38"/>
      <c r="BN2039" s="38"/>
      <c r="BO2039" s="38"/>
      <c r="BP2039" s="38"/>
      <c r="BQ2039" s="38"/>
      <c r="BR2039" s="38"/>
      <c r="BS2039" s="38"/>
      <c r="BT2039" s="38"/>
      <c r="BU2039" s="38"/>
      <c r="BV2039" s="38"/>
      <c r="BW2039" s="38"/>
      <c r="BX2039" s="38"/>
      <c r="BY2039" s="38"/>
      <c r="BZ2039" s="38"/>
      <c r="CA2039" s="38"/>
      <c r="CB2039" s="38"/>
      <c r="CC2039" s="38"/>
      <c r="CD2039" s="38"/>
      <c r="CE2039" s="38"/>
      <c r="CF2039" s="38"/>
      <c r="CG2039" s="38"/>
      <c r="CH2039" s="38"/>
      <c r="CI2039" s="38"/>
      <c r="CJ2039" s="38"/>
      <c r="CK2039" s="38"/>
      <c r="CL2039" s="38"/>
      <c r="CM2039" s="38"/>
      <c r="CN2039" s="38"/>
      <c r="CO2039" s="38"/>
      <c r="CP2039" s="38"/>
      <c r="CQ2039" s="38"/>
      <c r="CR2039" s="38"/>
      <c r="CS2039" s="38"/>
      <c r="CT2039" s="38"/>
      <c r="CU2039" s="38"/>
      <c r="CV2039" s="38"/>
      <c r="CW2039" s="38"/>
      <c r="CX2039" s="38"/>
      <c r="CY2039" s="38"/>
      <c r="CZ2039" s="38"/>
      <c r="DA2039" s="38"/>
      <c r="DB2039" s="38"/>
      <c r="DC2039" s="38"/>
      <c r="DD2039" s="38"/>
      <c r="DE2039" s="38"/>
      <c r="DF2039" s="38"/>
      <c r="DG2039" s="38"/>
      <c r="DH2039" s="38"/>
      <c r="DI2039" s="38"/>
      <c r="DJ2039" s="38"/>
      <c r="DK2039" s="38"/>
      <c r="DL2039" s="38"/>
      <c r="DM2039" s="38"/>
      <c r="DN2039" s="38"/>
      <c r="DO2039" s="38"/>
      <c r="DP2039" s="38"/>
      <c r="DQ2039" s="38"/>
      <c r="DR2039" s="38"/>
      <c r="DS2039" s="38"/>
      <c r="DT2039" s="38"/>
      <c r="DU2039" s="38"/>
      <c r="DV2039" s="38"/>
      <c r="DW2039" s="38"/>
      <c r="DX2039" s="38"/>
      <c r="DY2039" s="38"/>
      <c r="DZ2039" s="38"/>
      <c r="EA2039" s="38"/>
      <c r="EB2039" s="38"/>
      <c r="EC2039" s="38"/>
      <c r="ED2039" s="38"/>
      <c r="EE2039" s="38"/>
      <c r="EF2039" s="38"/>
      <c r="EG2039" s="38"/>
      <c r="EH2039" s="38"/>
      <c r="EI2039" s="38"/>
      <c r="EJ2039" s="38"/>
      <c r="EK2039" s="38"/>
      <c r="EL2039" s="38"/>
      <c r="EM2039" s="38"/>
      <c r="EN2039" s="38"/>
      <c r="EO2039" s="38"/>
      <c r="EP2039" s="38"/>
      <c r="EQ2039" s="38"/>
      <c r="ER2039" s="38"/>
      <c r="ES2039" s="38"/>
      <c r="ET2039" s="38"/>
      <c r="EU2039" s="38"/>
      <c r="EV2039" s="38"/>
      <c r="EW2039" s="38"/>
      <c r="EX2039" s="38"/>
      <c r="EY2039" s="38"/>
      <c r="EZ2039" s="38"/>
      <c r="FA2039" s="38"/>
      <c r="FB2039" s="38"/>
      <c r="FC2039" s="38"/>
      <c r="FD2039" s="38"/>
      <c r="FE2039" s="38"/>
      <c r="FF2039" s="38"/>
      <c r="FG2039" s="38"/>
      <c r="FH2039" s="38"/>
      <c r="FI2039" s="38"/>
      <c r="FJ2039" s="38"/>
      <c r="FK2039" s="38"/>
      <c r="FL2039" s="38"/>
      <c r="FM2039" s="38"/>
      <c r="FN2039" s="38"/>
      <c r="FO2039" s="38"/>
      <c r="FP2039" s="38"/>
      <c r="FQ2039" s="38"/>
      <c r="FR2039" s="38"/>
      <c r="FS2039" s="38"/>
      <c r="FT2039" s="38"/>
      <c r="FU2039" s="38"/>
      <c r="FV2039" s="38"/>
      <c r="FW2039" s="38"/>
      <c r="FX2039" s="38"/>
      <c r="FY2039" s="38"/>
      <c r="FZ2039" s="38"/>
      <c r="GA2039" s="38"/>
      <c r="GB2039" s="38"/>
      <c r="GC2039" s="38"/>
      <c r="GD2039" s="38"/>
      <c r="GE2039" s="38"/>
      <c r="GF2039" s="38"/>
      <c r="GG2039" s="38"/>
      <c r="GH2039" s="38"/>
      <c r="GI2039" s="38"/>
      <c r="GJ2039" s="38"/>
      <c r="GK2039" s="38"/>
      <c r="GL2039" s="38"/>
      <c r="GM2039" s="38"/>
      <c r="GN2039" s="38"/>
      <c r="GO2039" s="38"/>
      <c r="GP2039" s="38"/>
      <c r="GQ2039" s="38"/>
      <c r="GR2039" s="38"/>
      <c r="GS2039" s="38"/>
      <c r="GT2039" s="38"/>
      <c r="GU2039" s="38"/>
      <c r="GV2039" s="38"/>
      <c r="GW2039" s="38"/>
      <c r="GX2039" s="38"/>
      <c r="GY2039" s="38"/>
      <c r="GZ2039" s="38"/>
      <c r="HA2039" s="38"/>
      <c r="HB2039" s="38"/>
      <c r="HC2039" s="38"/>
      <c r="HD2039" s="38"/>
      <c r="HE2039" s="38"/>
      <c r="HF2039" s="38"/>
      <c r="HG2039" s="38"/>
      <c r="HH2039" s="38"/>
      <c r="HI2039" s="38"/>
      <c r="HJ2039" s="38"/>
      <c r="HK2039" s="38"/>
      <c r="HL2039" s="38"/>
      <c r="HM2039" s="38"/>
      <c r="HN2039" s="38"/>
      <c r="HO2039" s="38"/>
      <c r="HP2039" s="38"/>
      <c r="HQ2039" s="38"/>
      <c r="HR2039" s="38"/>
      <c r="HS2039" s="38"/>
      <c r="HT2039" s="38"/>
      <c r="HU2039" s="38"/>
      <c r="HV2039" s="38"/>
      <c r="HW2039" s="38"/>
      <c r="HX2039" s="38"/>
      <c r="HY2039" s="38"/>
      <c r="HZ2039" s="38"/>
      <c r="IA2039" s="38"/>
      <c r="IB2039" s="38"/>
      <c r="IC2039" s="38"/>
      <c r="ID2039" s="38"/>
      <c r="IE2039" s="38"/>
      <c r="IF2039" s="38"/>
      <c r="IG2039" s="38"/>
      <c r="IH2039" s="38"/>
      <c r="II2039" s="38"/>
      <c r="IJ2039" s="38"/>
      <c r="IK2039" s="38"/>
      <c r="IL2039" s="38"/>
      <c r="IM2039" s="38"/>
      <c r="IN2039" s="38"/>
      <c r="IO2039" s="38"/>
      <c r="IP2039" s="38"/>
      <c r="IQ2039" s="38"/>
      <c r="IR2039" s="38"/>
      <c r="IS2039" s="38"/>
      <c r="IT2039" s="38"/>
      <c r="IU2039" s="38"/>
      <c r="IV2039" s="38"/>
      <c r="IW2039" s="38"/>
      <c r="IX2039" s="38"/>
      <c r="IY2039" s="38"/>
      <c r="IZ2039" s="38"/>
      <c r="JA2039" s="38"/>
      <c r="JB2039" s="38"/>
      <c r="JC2039" s="38"/>
      <c r="JD2039" s="38"/>
      <c r="JE2039" s="38"/>
      <c r="JF2039" s="38"/>
      <c r="JG2039" s="38"/>
      <c r="JH2039" s="38"/>
      <c r="JI2039" s="38"/>
      <c r="JJ2039" s="38"/>
      <c r="JK2039" s="38"/>
      <c r="JL2039" s="38"/>
      <c r="JM2039" s="38"/>
      <c r="JN2039" s="38"/>
      <c r="JO2039" s="38"/>
      <c r="JP2039" s="38"/>
      <c r="JQ2039" s="38"/>
      <c r="JR2039" s="38"/>
      <c r="JS2039" s="38"/>
      <c r="JT2039" s="38"/>
      <c r="JU2039" s="38"/>
      <c r="JV2039" s="38"/>
      <c r="JW2039" s="38"/>
      <c r="JX2039" s="38"/>
      <c r="JY2039" s="38"/>
      <c r="JZ2039" s="38"/>
      <c r="KA2039" s="38"/>
      <c r="KB2039" s="38"/>
      <c r="KC2039" s="38"/>
      <c r="KD2039" s="38"/>
      <c r="KE2039" s="38"/>
      <c r="KF2039" s="38"/>
      <c r="KG2039" s="38"/>
      <c r="KH2039" s="38"/>
      <c r="KI2039" s="38"/>
      <c r="KJ2039" s="38"/>
      <c r="KK2039" s="38"/>
      <c r="KL2039" s="38"/>
      <c r="KM2039" s="38"/>
      <c r="KN2039" s="38"/>
      <c r="KO2039" s="38"/>
      <c r="KP2039" s="38"/>
      <c r="KQ2039" s="38"/>
      <c r="KR2039" s="38"/>
      <c r="KS2039" s="38"/>
      <c r="KT2039" s="38"/>
      <c r="KU2039" s="38"/>
      <c r="KV2039" s="38"/>
      <c r="KW2039" s="38"/>
      <c r="KX2039" s="38"/>
      <c r="KY2039" s="38"/>
      <c r="KZ2039" s="38"/>
      <c r="LA2039" s="38"/>
      <c r="LB2039" s="38"/>
      <c r="LC2039" s="38"/>
      <c r="LD2039" s="38"/>
      <c r="LE2039" s="38"/>
      <c r="LF2039" s="38"/>
      <c r="LG2039" s="38"/>
      <c r="LH2039" s="38"/>
      <c r="LI2039" s="38"/>
      <c r="LJ2039" s="38"/>
      <c r="LK2039" s="38"/>
      <c r="LL2039" s="38"/>
      <c r="LM2039" s="38"/>
      <c r="LN2039" s="38"/>
      <c r="LO2039" s="38"/>
      <c r="LP2039" s="38"/>
      <c r="LQ2039" s="38"/>
      <c r="LR2039" s="38"/>
      <c r="LS2039" s="38"/>
      <c r="LT2039" s="38"/>
      <c r="LU2039" s="38"/>
      <c r="LV2039" s="38"/>
      <c r="LW2039" s="38"/>
      <c r="LX2039" s="38"/>
      <c r="LY2039" s="38"/>
      <c r="LZ2039" s="38"/>
      <c r="MA2039" s="38"/>
      <c r="MB2039" s="38"/>
      <c r="MC2039" s="38"/>
      <c r="MD2039" s="38"/>
      <c r="ME2039" s="38"/>
      <c r="MF2039" s="38"/>
      <c r="MG2039" s="38"/>
      <c r="MH2039" s="38"/>
      <c r="MI2039" s="38"/>
      <c r="MJ2039" s="38"/>
      <c r="MK2039" s="38"/>
      <c r="ML2039" s="38"/>
      <c r="MM2039" s="38"/>
      <c r="MN2039" s="38"/>
      <c r="MO2039" s="38"/>
      <c r="MP2039" s="38"/>
      <c r="MQ2039" s="38"/>
      <c r="MR2039" s="38"/>
      <c r="MS2039" s="38"/>
      <c r="MT2039" s="38"/>
      <c r="MU2039" s="38"/>
      <c r="MV2039" s="38"/>
      <c r="MW2039" s="38"/>
      <c r="MX2039" s="38"/>
      <c r="MY2039" s="38"/>
      <c r="MZ2039" s="38"/>
      <c r="NA2039" s="38"/>
      <c r="NB2039" s="38"/>
      <c r="NC2039" s="38"/>
      <c r="ND2039" s="38"/>
      <c r="NE2039" s="38"/>
      <c r="NF2039" s="38"/>
      <c r="NG2039" s="38"/>
      <c r="NH2039" s="38"/>
      <c r="NI2039" s="38"/>
      <c r="NJ2039" s="38"/>
      <c r="NK2039" s="38"/>
      <c r="NL2039" s="38"/>
      <c r="NM2039" s="38"/>
      <c r="NN2039" s="38"/>
      <c r="NO2039" s="38"/>
      <c r="NP2039" s="38"/>
      <c r="NQ2039" s="38"/>
      <c r="NR2039" s="38"/>
      <c r="NS2039" s="38"/>
      <c r="NT2039" s="38"/>
      <c r="NU2039" s="38"/>
      <c r="NV2039" s="38"/>
      <c r="NW2039" s="38"/>
      <c r="NX2039" s="38"/>
      <c r="NY2039" s="38"/>
      <c r="NZ2039" s="38"/>
      <c r="OA2039" s="38"/>
      <c r="OB2039" s="38"/>
      <c r="OC2039" s="38"/>
      <c r="OD2039" s="38"/>
      <c r="OE2039" s="38"/>
      <c r="OF2039" s="38"/>
      <c r="OG2039" s="38"/>
      <c r="OH2039" s="38"/>
      <c r="OI2039" s="38"/>
      <c r="OJ2039" s="38"/>
      <c r="OK2039" s="38"/>
      <c r="OL2039" s="38"/>
      <c r="OM2039" s="38"/>
      <c r="ON2039" s="38"/>
      <c r="OO2039" s="38"/>
      <c r="OP2039" s="38"/>
      <c r="OQ2039" s="38"/>
      <c r="OR2039" s="38"/>
      <c r="OS2039" s="38"/>
      <c r="OT2039" s="38"/>
      <c r="OU2039" s="38"/>
      <c r="OV2039" s="38"/>
      <c r="OW2039" s="38"/>
      <c r="OX2039" s="38"/>
      <c r="OY2039" s="38"/>
      <c r="OZ2039" s="38"/>
      <c r="PA2039" s="38"/>
      <c r="PB2039" s="38"/>
      <c r="PC2039" s="38"/>
      <c r="PD2039" s="38"/>
      <c r="PE2039" s="38"/>
      <c r="PF2039" s="38"/>
      <c r="PG2039" s="38"/>
      <c r="PH2039" s="38"/>
      <c r="PI2039" s="38"/>
      <c r="PJ2039" s="38"/>
      <c r="PK2039" s="38"/>
      <c r="PL2039" s="38"/>
      <c r="PM2039" s="38"/>
      <c r="PN2039" s="38"/>
      <c r="PO2039" s="38"/>
      <c r="PP2039" s="38"/>
      <c r="PQ2039" s="38"/>
      <c r="PR2039" s="38"/>
      <c r="PS2039" s="38"/>
      <c r="PT2039" s="38"/>
      <c r="PU2039" s="38"/>
      <c r="PV2039" s="38"/>
      <c r="PW2039" s="38"/>
      <c r="PX2039" s="38"/>
      <c r="PY2039" s="38"/>
      <c r="PZ2039" s="38"/>
      <c r="QA2039" s="38"/>
      <c r="QB2039" s="38"/>
      <c r="QC2039" s="38"/>
      <c r="QD2039" s="38"/>
      <c r="QE2039" s="38"/>
      <c r="QF2039" s="38"/>
      <c r="QG2039" s="38"/>
      <c r="QH2039" s="38"/>
      <c r="QI2039" s="38"/>
      <c r="QJ2039" s="38"/>
      <c r="QK2039" s="38"/>
      <c r="QL2039" s="38"/>
      <c r="QM2039" s="38"/>
      <c r="QN2039" s="38"/>
      <c r="QO2039" s="38"/>
      <c r="QP2039" s="38"/>
      <c r="QQ2039" s="38"/>
      <c r="QR2039" s="38"/>
      <c r="QS2039" s="38"/>
      <c r="QT2039" s="38"/>
      <c r="QU2039" s="38"/>
      <c r="QV2039" s="38"/>
      <c r="QW2039" s="38"/>
      <c r="QX2039" s="38"/>
      <c r="QY2039" s="38"/>
      <c r="QZ2039" s="38"/>
      <c r="RA2039" s="38"/>
      <c r="RB2039" s="38"/>
      <c r="RC2039" s="38"/>
      <c r="RD2039" s="38"/>
      <c r="RE2039" s="38"/>
      <c r="RF2039" s="38"/>
      <c r="RG2039" s="38"/>
      <c r="RH2039" s="38"/>
      <c r="RI2039" s="38"/>
      <c r="RJ2039" s="38"/>
      <c r="RK2039" s="38"/>
      <c r="RL2039" s="38"/>
      <c r="RM2039" s="38"/>
      <c r="RN2039" s="38"/>
      <c r="RO2039" s="38"/>
      <c r="RP2039" s="38"/>
      <c r="RQ2039" s="38"/>
      <c r="RR2039" s="38"/>
      <c r="RS2039" s="38"/>
      <c r="RT2039" s="38"/>
      <c r="RU2039" s="38"/>
      <c r="RV2039" s="38"/>
      <c r="RW2039" s="38"/>
      <c r="RX2039" s="38"/>
      <c r="RY2039" s="38"/>
      <c r="RZ2039" s="38"/>
      <c r="SA2039" s="38"/>
      <c r="SB2039" s="38"/>
      <c r="SC2039" s="38"/>
      <c r="SD2039" s="38"/>
      <c r="SE2039" s="38"/>
      <c r="SF2039" s="38"/>
      <c r="SG2039" s="38"/>
      <c r="SH2039" s="38"/>
      <c r="SI2039" s="38"/>
      <c r="SJ2039" s="38"/>
      <c r="SK2039" s="38"/>
      <c r="SL2039" s="38"/>
      <c r="SM2039" s="38"/>
      <c r="SN2039" s="38"/>
      <c r="SO2039" s="38"/>
      <c r="SP2039" s="38"/>
      <c r="SQ2039" s="38"/>
      <c r="SR2039" s="38"/>
      <c r="SS2039" s="38"/>
      <c r="ST2039" s="38"/>
      <c r="SU2039" s="38"/>
      <c r="SV2039" s="38"/>
      <c r="SW2039" s="38"/>
      <c r="SX2039" s="38"/>
      <c r="SY2039" s="38"/>
      <c r="SZ2039" s="38"/>
      <c r="TA2039" s="38"/>
      <c r="TB2039" s="38"/>
      <c r="TC2039" s="38"/>
      <c r="TD2039" s="38"/>
      <c r="TE2039" s="38"/>
      <c r="TF2039" s="38"/>
      <c r="TG2039" s="38"/>
      <c r="TH2039" s="38"/>
      <c r="TI2039" s="38"/>
      <c r="TJ2039" s="38"/>
      <c r="TK2039" s="38"/>
      <c r="TL2039" s="38"/>
      <c r="TM2039" s="38"/>
      <c r="TN2039" s="38"/>
      <c r="TO2039" s="38"/>
      <c r="TP2039" s="38"/>
      <c r="TQ2039" s="38"/>
      <c r="TR2039" s="38"/>
      <c r="TS2039" s="38"/>
      <c r="TT2039" s="38"/>
      <c r="TU2039" s="38"/>
      <c r="TV2039" s="38"/>
      <c r="TW2039" s="38"/>
      <c r="TX2039" s="38"/>
      <c r="TY2039" s="38"/>
      <c r="TZ2039" s="38"/>
      <c r="UA2039" s="38"/>
      <c r="UB2039" s="38"/>
      <c r="UC2039" s="38"/>
      <c r="UD2039" s="38"/>
      <c r="UE2039" s="38"/>
      <c r="UF2039" s="38"/>
      <c r="UG2039" s="38"/>
      <c r="UH2039" s="38"/>
      <c r="UI2039" s="38"/>
      <c r="UJ2039" s="38"/>
      <c r="UK2039" s="38"/>
      <c r="UL2039" s="38"/>
      <c r="UM2039" s="38"/>
      <c r="UN2039" s="38"/>
      <c r="UO2039" s="38"/>
      <c r="UP2039" s="38"/>
      <c r="UQ2039" s="38"/>
      <c r="UR2039" s="38"/>
      <c r="US2039" s="38"/>
      <c r="UT2039" s="38"/>
      <c r="UU2039" s="38"/>
      <c r="UV2039" s="38"/>
      <c r="UW2039" s="38"/>
      <c r="UX2039" s="38"/>
      <c r="UY2039" s="38"/>
      <c r="UZ2039" s="38"/>
      <c r="VA2039" s="38"/>
      <c r="VB2039" s="38"/>
      <c r="VC2039" s="38"/>
      <c r="VD2039" s="38"/>
      <c r="VE2039" s="38"/>
      <c r="VF2039" s="38"/>
      <c r="VG2039" s="38"/>
      <c r="VH2039" s="38"/>
      <c r="VI2039" s="38"/>
      <c r="VJ2039" s="38"/>
      <c r="VK2039" s="38"/>
      <c r="VL2039" s="38"/>
      <c r="VM2039" s="38"/>
      <c r="VN2039" s="38"/>
      <c r="VO2039" s="38"/>
      <c r="VP2039" s="38"/>
      <c r="VQ2039" s="38"/>
      <c r="VR2039" s="38"/>
      <c r="VS2039" s="38"/>
      <c r="VT2039" s="38"/>
      <c r="VU2039" s="38"/>
      <c r="VV2039" s="38"/>
      <c r="VW2039" s="38"/>
      <c r="VX2039" s="38"/>
      <c r="VY2039" s="38"/>
      <c r="VZ2039" s="38"/>
      <c r="WA2039" s="38"/>
      <c r="WB2039" s="38"/>
      <c r="WC2039" s="38"/>
      <c r="WD2039" s="38"/>
      <c r="WE2039" s="38"/>
      <c r="WF2039" s="38"/>
      <c r="WG2039" s="38"/>
      <c r="WH2039" s="38"/>
      <c r="WI2039" s="38"/>
      <c r="WJ2039" s="38"/>
      <c r="WK2039" s="38"/>
      <c r="WL2039" s="38"/>
      <c r="WM2039" s="38"/>
      <c r="WN2039" s="38"/>
      <c r="WO2039" s="38"/>
      <c r="WP2039" s="38"/>
      <c r="WQ2039" s="38"/>
      <c r="WR2039" s="38"/>
      <c r="WS2039" s="38"/>
      <c r="WT2039" s="38"/>
      <c r="WU2039" s="38"/>
      <c r="WV2039" s="38"/>
      <c r="WW2039" s="38"/>
      <c r="WX2039" s="38"/>
      <c r="WY2039" s="38"/>
      <c r="WZ2039" s="38"/>
      <c r="XA2039" s="38"/>
      <c r="XB2039" s="38"/>
      <c r="XC2039" s="38"/>
      <c r="XD2039" s="38"/>
      <c r="XE2039" s="38"/>
      <c r="XF2039" s="38"/>
      <c r="XG2039" s="38"/>
      <c r="XH2039" s="38"/>
      <c r="XI2039" s="38"/>
      <c r="XJ2039" s="38"/>
      <c r="XK2039" s="38"/>
      <c r="XL2039" s="38"/>
      <c r="XM2039" s="38"/>
      <c r="XN2039" s="38"/>
      <c r="XO2039" s="38"/>
      <c r="XP2039" s="38"/>
      <c r="XQ2039" s="38"/>
      <c r="XR2039" s="38"/>
      <c r="XS2039" s="38"/>
      <c r="XT2039" s="38"/>
      <c r="XU2039" s="38"/>
      <c r="XV2039" s="38"/>
      <c r="XW2039" s="38"/>
      <c r="XX2039" s="38"/>
      <c r="XY2039" s="38"/>
      <c r="XZ2039" s="38"/>
      <c r="YA2039" s="38"/>
      <c r="YB2039" s="38"/>
      <c r="YC2039" s="38"/>
      <c r="YD2039" s="38"/>
      <c r="YE2039" s="38"/>
      <c r="YF2039" s="38"/>
      <c r="YG2039" s="38"/>
      <c r="YH2039" s="38"/>
      <c r="YI2039" s="38"/>
      <c r="YJ2039" s="38"/>
      <c r="YK2039" s="38"/>
      <c r="YL2039" s="38"/>
      <c r="YM2039" s="38"/>
      <c r="YN2039" s="38"/>
      <c r="YO2039" s="38"/>
      <c r="YP2039" s="38"/>
      <c r="YQ2039" s="38"/>
      <c r="YR2039" s="38"/>
      <c r="YS2039" s="38"/>
      <c r="YT2039" s="38"/>
      <c r="YU2039" s="38"/>
      <c r="YV2039" s="38"/>
      <c r="YW2039" s="38"/>
      <c r="YX2039" s="38"/>
      <c r="YY2039" s="38"/>
      <c r="YZ2039" s="38"/>
      <c r="ZA2039" s="38"/>
      <c r="ZB2039" s="38"/>
      <c r="ZC2039" s="38"/>
      <c r="ZD2039" s="38"/>
      <c r="ZE2039" s="38"/>
      <c r="ZF2039" s="38"/>
      <c r="ZG2039" s="38"/>
      <c r="ZH2039" s="38"/>
      <c r="ZI2039" s="38"/>
      <c r="ZJ2039" s="38"/>
      <c r="ZK2039" s="38"/>
      <c r="ZL2039" s="38"/>
      <c r="ZM2039" s="38"/>
      <c r="ZN2039" s="38"/>
      <c r="ZO2039" s="38"/>
      <c r="ZP2039" s="38"/>
      <c r="ZQ2039" s="38"/>
      <c r="ZR2039" s="38"/>
      <c r="ZS2039" s="38"/>
      <c r="ZT2039" s="38"/>
      <c r="ZU2039" s="38"/>
      <c r="ZV2039" s="38"/>
      <c r="ZW2039" s="38"/>
      <c r="ZX2039" s="38"/>
      <c r="ZY2039" s="38"/>
      <c r="ZZ2039" s="38"/>
      <c r="AAA2039" s="38"/>
      <c r="AAB2039" s="38"/>
      <c r="AAC2039" s="38"/>
      <c r="AAD2039" s="38"/>
      <c r="AAE2039" s="38"/>
      <c r="AAF2039" s="38"/>
      <c r="AAG2039" s="38"/>
      <c r="AAH2039" s="38"/>
      <c r="AAI2039" s="38"/>
      <c r="AAJ2039" s="38"/>
      <c r="AAK2039" s="38"/>
      <c r="AAL2039" s="38"/>
      <c r="AAM2039" s="38"/>
      <c r="AAN2039" s="38"/>
      <c r="AAO2039" s="38"/>
      <c r="AAP2039" s="38"/>
      <c r="AAQ2039" s="38"/>
      <c r="AAR2039" s="38"/>
      <c r="AAS2039" s="38"/>
      <c r="AAT2039" s="38"/>
      <c r="AAU2039" s="38"/>
      <c r="AAV2039" s="38"/>
      <c r="AAW2039" s="38"/>
      <c r="AAX2039" s="38"/>
      <c r="AAY2039" s="38"/>
      <c r="AAZ2039" s="38"/>
      <c r="ABA2039" s="38"/>
      <c r="ABB2039" s="38"/>
      <c r="ABC2039" s="38"/>
      <c r="ABD2039" s="38"/>
      <c r="ABE2039" s="38"/>
      <c r="ABF2039" s="38"/>
      <c r="ABG2039" s="38"/>
      <c r="ABH2039" s="38"/>
      <c r="ABI2039" s="38"/>
      <c r="ABJ2039" s="38"/>
      <c r="ABK2039" s="38"/>
      <c r="ABL2039" s="38"/>
      <c r="ABM2039" s="38"/>
      <c r="ABN2039" s="38"/>
      <c r="ABO2039" s="38"/>
      <c r="ABP2039" s="38"/>
      <c r="ABQ2039" s="38"/>
      <c r="ABR2039" s="38"/>
      <c r="ABS2039" s="38"/>
      <c r="ABT2039" s="38"/>
      <c r="ABU2039" s="38"/>
      <c r="ABV2039" s="38"/>
      <c r="ABW2039" s="38"/>
      <c r="ABX2039" s="38"/>
      <c r="ABY2039" s="38"/>
      <c r="ABZ2039" s="38"/>
      <c r="ACA2039" s="38"/>
      <c r="ACB2039" s="38"/>
      <c r="ACC2039" s="38"/>
      <c r="ACD2039" s="38"/>
      <c r="ACE2039" s="38"/>
      <c r="ACF2039" s="38"/>
      <c r="ACG2039" s="38"/>
      <c r="ACH2039" s="38"/>
      <c r="ACI2039" s="38"/>
      <c r="ACJ2039" s="38"/>
      <c r="ACK2039" s="38"/>
      <c r="ACL2039" s="38"/>
      <c r="ACM2039" s="38"/>
      <c r="ACN2039" s="38"/>
      <c r="ACO2039" s="38"/>
      <c r="ACP2039" s="38"/>
      <c r="ACQ2039" s="38"/>
      <c r="ACR2039" s="38"/>
      <c r="ACS2039" s="38"/>
      <c r="ACT2039" s="38"/>
      <c r="ACU2039" s="38"/>
      <c r="ACV2039" s="38"/>
      <c r="ACW2039" s="38"/>
      <c r="ACX2039" s="38"/>
      <c r="ACY2039" s="38"/>
      <c r="ACZ2039" s="38"/>
      <c r="ADA2039" s="38"/>
      <c r="ADB2039" s="38"/>
      <c r="ADC2039" s="38"/>
      <c r="ADD2039" s="38"/>
      <c r="ADE2039" s="38"/>
      <c r="ADF2039" s="38"/>
      <c r="ADG2039" s="38"/>
      <c r="ADH2039" s="38"/>
      <c r="ADI2039" s="38"/>
      <c r="ADJ2039" s="38"/>
      <c r="ADK2039" s="38"/>
      <c r="ADL2039" s="38"/>
      <c r="ADM2039" s="38"/>
      <c r="ADN2039" s="38"/>
      <c r="ADO2039" s="38"/>
      <c r="ADP2039" s="38"/>
      <c r="ADQ2039" s="38"/>
      <c r="ADR2039" s="38"/>
      <c r="ADS2039" s="38"/>
      <c r="ADT2039" s="38"/>
      <c r="ADU2039" s="38"/>
      <c r="ADV2039" s="38"/>
      <c r="ADW2039" s="38"/>
      <c r="ADX2039" s="38"/>
      <c r="ADY2039" s="38"/>
      <c r="ADZ2039" s="38"/>
      <c r="AEA2039" s="38"/>
      <c r="AEB2039" s="38"/>
      <c r="AEC2039" s="38"/>
      <c r="AED2039" s="38"/>
      <c r="AEE2039" s="38"/>
      <c r="AEF2039" s="38"/>
      <c r="AEG2039" s="38"/>
      <c r="AEH2039" s="38"/>
      <c r="AEI2039" s="38"/>
      <c r="AEJ2039" s="38"/>
      <c r="AEK2039" s="38"/>
      <c r="AEL2039" s="38"/>
      <c r="AEM2039" s="38"/>
      <c r="AEN2039" s="38"/>
      <c r="AEO2039" s="38"/>
      <c r="AEP2039" s="38"/>
      <c r="AEQ2039" s="38"/>
      <c r="AER2039" s="38"/>
      <c r="AES2039" s="38"/>
      <c r="AET2039" s="38"/>
      <c r="AEU2039" s="38"/>
      <c r="AEV2039" s="38"/>
      <c r="AEW2039" s="38"/>
      <c r="AEX2039" s="38"/>
      <c r="AEY2039" s="38"/>
      <c r="AEZ2039" s="38"/>
      <c r="AFA2039" s="38"/>
      <c r="AFB2039" s="38"/>
      <c r="AFC2039" s="38"/>
      <c r="AFD2039" s="38"/>
      <c r="AFE2039" s="38"/>
      <c r="AFF2039" s="38"/>
      <c r="AFG2039" s="38"/>
      <c r="AFH2039" s="38"/>
      <c r="AFI2039" s="38"/>
      <c r="AFJ2039" s="38"/>
      <c r="AFK2039" s="38"/>
      <c r="AFL2039" s="38"/>
      <c r="AFM2039" s="38"/>
      <c r="AFN2039" s="38"/>
      <c r="AFO2039" s="38"/>
      <c r="AFP2039" s="38"/>
      <c r="AFQ2039" s="38"/>
      <c r="AFR2039" s="38"/>
      <c r="AFS2039" s="38"/>
      <c r="AFT2039" s="38"/>
      <c r="AFU2039" s="38"/>
      <c r="AFV2039" s="38"/>
      <c r="AFW2039" s="38"/>
      <c r="AFX2039" s="38"/>
      <c r="AFY2039" s="38"/>
      <c r="AFZ2039" s="38"/>
      <c r="AGA2039" s="38"/>
      <c r="AGB2039" s="38"/>
      <c r="AGC2039" s="38"/>
      <c r="AGD2039" s="38"/>
      <c r="AGE2039" s="38"/>
      <c r="AGF2039" s="38"/>
      <c r="AGG2039" s="38"/>
      <c r="AGH2039" s="38"/>
      <c r="AGI2039" s="38"/>
      <c r="AGJ2039" s="38"/>
      <c r="AGK2039" s="38"/>
      <c r="AGL2039" s="38"/>
      <c r="AGM2039" s="38"/>
      <c r="AGN2039" s="38"/>
      <c r="AGO2039" s="38"/>
      <c r="AGP2039" s="38"/>
      <c r="AGQ2039" s="38"/>
      <c r="AGR2039" s="38"/>
      <c r="AGS2039" s="38"/>
      <c r="AGT2039" s="38"/>
      <c r="AGU2039" s="38"/>
      <c r="AGV2039" s="38"/>
      <c r="AGW2039" s="38"/>
      <c r="AGX2039" s="38"/>
      <c r="AGY2039" s="38"/>
      <c r="AGZ2039" s="38"/>
      <c r="AHA2039" s="38"/>
      <c r="AHB2039" s="38"/>
      <c r="AHC2039" s="38"/>
      <c r="AHD2039" s="38"/>
      <c r="AHE2039" s="38"/>
      <c r="AHF2039" s="38"/>
      <c r="AHG2039" s="38"/>
      <c r="AHH2039" s="38"/>
      <c r="AHI2039" s="38"/>
      <c r="AHJ2039" s="38"/>
      <c r="AHK2039" s="38"/>
      <c r="AHL2039" s="38"/>
      <c r="AHM2039" s="38"/>
      <c r="AHN2039" s="38"/>
      <c r="AHO2039" s="38"/>
      <c r="AHP2039" s="38"/>
      <c r="AHQ2039" s="38"/>
      <c r="AHR2039" s="38"/>
      <c r="AHS2039" s="38"/>
      <c r="AHT2039" s="38"/>
      <c r="AHU2039" s="38"/>
      <c r="AHV2039" s="38"/>
      <c r="AHW2039" s="38"/>
      <c r="AHX2039" s="38"/>
      <c r="AHY2039" s="38"/>
      <c r="AHZ2039" s="38"/>
      <c r="AIA2039" s="38"/>
      <c r="AIB2039" s="38"/>
      <c r="AIC2039" s="38"/>
      <c r="AID2039" s="38"/>
      <c r="AIE2039" s="38"/>
      <c r="AIF2039" s="38"/>
      <c r="AIG2039" s="38"/>
      <c r="AIH2039" s="38"/>
      <c r="AII2039" s="38"/>
      <c r="AIJ2039" s="38"/>
      <c r="AIK2039" s="38"/>
      <c r="AIL2039" s="38"/>
      <c r="AIM2039" s="38"/>
      <c r="AIN2039" s="38"/>
      <c r="AIO2039" s="38"/>
      <c r="AIP2039" s="38"/>
      <c r="AIQ2039" s="38"/>
      <c r="AIR2039" s="38"/>
      <c r="AIS2039" s="38"/>
      <c r="AIT2039" s="38"/>
      <c r="AIU2039" s="38"/>
      <c r="AIV2039" s="38"/>
      <c r="AIW2039" s="38"/>
      <c r="AIX2039" s="38"/>
      <c r="AIY2039" s="38"/>
      <c r="AIZ2039" s="38"/>
      <c r="AJA2039" s="38"/>
      <c r="AJB2039" s="38"/>
      <c r="AJC2039" s="38"/>
      <c r="AJD2039" s="38"/>
      <c r="AJE2039" s="38"/>
      <c r="AJF2039" s="38"/>
      <c r="AJG2039" s="38"/>
      <c r="AJH2039" s="38"/>
      <c r="AJI2039" s="38"/>
      <c r="AJJ2039" s="38"/>
      <c r="AJK2039" s="38"/>
      <c r="AJL2039" s="38"/>
      <c r="AJM2039" s="38"/>
      <c r="AJN2039" s="38"/>
      <c r="AJO2039" s="38"/>
      <c r="AJP2039" s="38"/>
      <c r="AJQ2039" s="38"/>
      <c r="AJR2039" s="38"/>
      <c r="AJS2039" s="38"/>
      <c r="AJT2039" s="38"/>
      <c r="AJU2039" s="38"/>
      <c r="AJV2039" s="38"/>
      <c r="AJW2039" s="38"/>
      <c r="AJX2039" s="38"/>
      <c r="AJY2039" s="38"/>
      <c r="AJZ2039" s="38"/>
      <c r="AKA2039" s="38"/>
      <c r="AKB2039" s="38"/>
      <c r="AKC2039" s="38"/>
      <c r="AKD2039" s="38"/>
      <c r="AKE2039" s="38"/>
      <c r="AKF2039" s="38"/>
      <c r="AKG2039" s="38"/>
      <c r="AKH2039" s="38"/>
      <c r="AKI2039" s="38"/>
      <c r="AKJ2039" s="38"/>
      <c r="AKK2039" s="38"/>
      <c r="AKL2039" s="38"/>
      <c r="AKM2039" s="38"/>
      <c r="AKN2039" s="38"/>
      <c r="AKO2039" s="38"/>
      <c r="AKP2039" s="38"/>
      <c r="AKQ2039" s="38"/>
      <c r="AKR2039" s="38"/>
      <c r="AKS2039" s="38"/>
      <c r="AKT2039" s="38"/>
      <c r="AKU2039" s="38"/>
      <c r="AKV2039" s="38"/>
      <c r="AKW2039" s="38"/>
      <c r="AKX2039" s="38"/>
      <c r="AKY2039" s="38"/>
      <c r="AKZ2039" s="38"/>
      <c r="ALA2039" s="38"/>
      <c r="ALB2039" s="38"/>
      <c r="ALC2039" s="38"/>
      <c r="ALD2039" s="38"/>
      <c r="ALE2039" s="38"/>
      <c r="ALF2039" s="38"/>
      <c r="ALG2039" s="38"/>
      <c r="ALH2039" s="38"/>
      <c r="ALI2039" s="38"/>
      <c r="ALJ2039" s="38"/>
      <c r="ALK2039" s="38"/>
      <c r="ALL2039" s="38"/>
      <c r="ALM2039" s="38"/>
      <c r="ALN2039" s="38"/>
      <c r="ALO2039" s="38"/>
      <c r="ALP2039" s="38"/>
      <c r="ALQ2039" s="38"/>
      <c r="ALR2039" s="38"/>
      <c r="ALS2039" s="38"/>
      <c r="ALT2039" s="38"/>
      <c r="ALU2039" s="38"/>
      <c r="ALV2039" s="38"/>
      <c r="ALW2039" s="38"/>
      <c r="ALX2039" s="38"/>
      <c r="ALY2039" s="38"/>
      <c r="ALZ2039" s="38"/>
      <c r="AMA2039" s="38"/>
      <c r="AMB2039" s="38"/>
      <c r="AMC2039" s="38"/>
      <c r="AMD2039" s="38"/>
      <c r="AME2039" s="38"/>
      <c r="AMF2039" s="38"/>
      <c r="AMG2039" s="38"/>
      <c r="AMH2039" s="38"/>
      <c r="AMI2039" s="38"/>
      <c r="AMJ2039" s="38"/>
      <c r="AMK2039" s="38"/>
      <c r="AML2039" s="38"/>
      <c r="AMM2039" s="38"/>
      <c r="AMN2039" s="38"/>
      <c r="AMO2039" s="38"/>
      <c r="AMP2039" s="38"/>
      <c r="AMQ2039" s="38"/>
      <c r="AMR2039" s="38"/>
      <c r="AMS2039" s="38"/>
      <c r="AMT2039" s="38"/>
      <c r="AMU2039" s="38"/>
      <c r="AMV2039" s="38"/>
      <c r="AMW2039" s="38"/>
      <c r="AMX2039" s="38"/>
      <c r="AMY2039" s="38"/>
      <c r="AMZ2039" s="38"/>
      <c r="ANA2039" s="38"/>
      <c r="ANB2039" s="38"/>
      <c r="ANC2039" s="38"/>
      <c r="AND2039" s="38"/>
      <c r="ANE2039" s="38"/>
      <c r="ANF2039" s="38"/>
      <c r="ANG2039" s="38"/>
      <c r="ANH2039" s="38"/>
      <c r="ANI2039" s="38"/>
      <c r="ANJ2039" s="38"/>
      <c r="ANK2039" s="38"/>
      <c r="ANL2039" s="38"/>
      <c r="ANM2039" s="38"/>
      <c r="ANN2039" s="38"/>
      <c r="ANO2039" s="38"/>
      <c r="ANP2039" s="38"/>
      <c r="ANQ2039" s="38"/>
      <c r="ANR2039" s="38"/>
      <c r="ANS2039" s="38"/>
      <c r="ANT2039" s="38"/>
      <c r="ANU2039" s="38"/>
      <c r="ANV2039" s="38"/>
      <c r="ANW2039" s="38"/>
      <c r="ANX2039" s="38"/>
      <c r="ANY2039" s="38"/>
      <c r="ANZ2039" s="38"/>
      <c r="AOA2039" s="38"/>
      <c r="AOB2039" s="38"/>
      <c r="AOC2039" s="38"/>
      <c r="AOD2039" s="38"/>
      <c r="AOE2039" s="38"/>
      <c r="AOF2039" s="38"/>
      <c r="AOG2039" s="38"/>
      <c r="AOH2039" s="38"/>
      <c r="AOI2039" s="38"/>
      <c r="AOJ2039" s="38"/>
      <c r="AOK2039" s="38"/>
      <c r="AOL2039" s="38"/>
      <c r="AOM2039" s="38"/>
      <c r="AON2039" s="38"/>
      <c r="AOO2039" s="38"/>
      <c r="AOP2039" s="38"/>
      <c r="AOQ2039" s="38"/>
      <c r="AOR2039" s="38"/>
      <c r="AOS2039" s="38"/>
      <c r="AOT2039" s="38"/>
      <c r="AOU2039" s="38"/>
      <c r="AOV2039" s="38"/>
      <c r="AOW2039" s="38"/>
      <c r="AOX2039" s="38"/>
      <c r="AOY2039" s="38"/>
      <c r="AOZ2039" s="38"/>
      <c r="APA2039" s="38"/>
      <c r="APB2039" s="38"/>
      <c r="APC2039" s="38"/>
    </row>
    <row r="2040" spans="1:1095" s="36" customFormat="1" ht="14.25" customHeight="1">
      <c r="A2040" s="3" t="s">
        <v>1722</v>
      </c>
      <c r="B2040" s="36" t="s">
        <v>2400</v>
      </c>
      <c r="C2040" s="10">
        <v>4099854060717</v>
      </c>
      <c r="D2040" s="224">
        <v>4058075590915</v>
      </c>
      <c r="E2040" s="245" t="s">
        <v>2401</v>
      </c>
      <c r="F2040" s="246"/>
      <c r="G2040" s="66" t="str">
        <f>HYPERLINK("https://ledvance.com/pt/product-datasheet/251460/237162","Ficha de Produto")</f>
        <v>Ficha de Produto</v>
      </c>
      <c r="H2040" s="217">
        <v>6</v>
      </c>
      <c r="I2040" s="34" t="s">
        <v>6351</v>
      </c>
      <c r="J2040" s="34" t="s">
        <v>6292</v>
      </c>
      <c r="K2040" s="34" t="s">
        <v>788</v>
      </c>
      <c r="L2040" s="34" t="s">
        <v>765</v>
      </c>
      <c r="M2040" s="247">
        <v>16</v>
      </c>
      <c r="N2040" s="288" t="s">
        <v>722</v>
      </c>
    </row>
    <row r="2041" spans="1:1095" s="36" customFormat="1" ht="14.25" customHeight="1">
      <c r="A2041" s="3" t="s">
        <v>1722</v>
      </c>
      <c r="B2041" s="36" t="s">
        <v>2402</v>
      </c>
      <c r="C2041" s="10">
        <v>4099854060793</v>
      </c>
      <c r="D2041" s="224">
        <v>4058075590939</v>
      </c>
      <c r="E2041" s="245" t="s">
        <v>2403</v>
      </c>
      <c r="F2041" s="246"/>
      <c r="G2041" s="66" t="str">
        <f>HYPERLINK("https://ledvance.com/pt/product-datasheet/251460/237165","Ficha de Produto")</f>
        <v>Ficha de Produto</v>
      </c>
      <c r="H2041" s="217">
        <v>6</v>
      </c>
      <c r="I2041" s="34" t="s">
        <v>6352</v>
      </c>
      <c r="J2041" s="34" t="s">
        <v>1053</v>
      </c>
      <c r="K2041" s="34" t="s">
        <v>788</v>
      </c>
      <c r="L2041" s="34" t="s">
        <v>765</v>
      </c>
      <c r="M2041" s="247">
        <v>21.1</v>
      </c>
      <c r="N2041" s="288" t="s">
        <v>722</v>
      </c>
    </row>
    <row r="2042" spans="1:1095" s="39" customFormat="1" ht="14.25" customHeight="1">
      <c r="A2042" s="8" t="s">
        <v>1722</v>
      </c>
      <c r="B2042" s="244" t="s">
        <v>2404</v>
      </c>
      <c r="C2042" s="8"/>
      <c r="D2042" s="7"/>
      <c r="E2042" s="230"/>
      <c r="F2042" s="7"/>
      <c r="G2042" s="68"/>
      <c r="H2042" s="230"/>
      <c r="I2042" s="230"/>
      <c r="J2042" s="230"/>
      <c r="K2042" s="230"/>
      <c r="L2042" s="230"/>
      <c r="M2042" s="248"/>
      <c r="N2042" s="284"/>
      <c r="O2042" s="38"/>
      <c r="P2042" s="38"/>
      <c r="Q2042" s="38"/>
      <c r="R2042" s="38"/>
      <c r="S2042" s="38"/>
      <c r="T2042" s="38"/>
      <c r="U2042" s="38"/>
      <c r="V2042" s="38"/>
      <c r="W2042" s="38"/>
      <c r="X2042" s="38"/>
      <c r="Y2042" s="38"/>
      <c r="Z2042" s="38"/>
      <c r="AA2042" s="38"/>
      <c r="AB2042" s="38"/>
      <c r="AC2042" s="38"/>
      <c r="AD2042" s="38"/>
      <c r="AE2042" s="38"/>
      <c r="AF2042" s="38"/>
      <c r="AG2042" s="38"/>
      <c r="AH2042" s="38"/>
      <c r="AI2042" s="38"/>
      <c r="AJ2042" s="38"/>
      <c r="AK2042" s="38"/>
      <c r="AL2042" s="38"/>
      <c r="AM2042" s="38"/>
      <c r="AN2042" s="38"/>
      <c r="AO2042" s="38"/>
      <c r="AP2042" s="38"/>
      <c r="AQ2042" s="38"/>
      <c r="AR2042" s="38"/>
      <c r="AS2042" s="38"/>
      <c r="AT2042" s="38"/>
      <c r="AU2042" s="38"/>
      <c r="AV2042" s="38"/>
      <c r="AW2042" s="38"/>
      <c r="AX2042" s="38"/>
      <c r="AY2042" s="38"/>
      <c r="AZ2042" s="38"/>
      <c r="BA2042" s="38"/>
      <c r="BB2042" s="38"/>
      <c r="BC2042" s="38"/>
      <c r="BD2042" s="38"/>
      <c r="BE2042" s="38"/>
      <c r="BF2042" s="38"/>
      <c r="BG2042" s="38"/>
      <c r="BH2042" s="38"/>
      <c r="BI2042" s="38"/>
      <c r="BJ2042" s="38"/>
      <c r="BK2042" s="38"/>
      <c r="BL2042" s="38"/>
      <c r="BM2042" s="38"/>
      <c r="BN2042" s="38"/>
      <c r="BO2042" s="38"/>
      <c r="BP2042" s="38"/>
      <c r="BQ2042" s="38"/>
      <c r="BR2042" s="38"/>
      <c r="BS2042" s="38"/>
      <c r="BT2042" s="38"/>
      <c r="BU2042" s="38"/>
      <c r="BV2042" s="38"/>
      <c r="BW2042" s="38"/>
      <c r="BX2042" s="38"/>
      <c r="BY2042" s="38"/>
      <c r="BZ2042" s="38"/>
      <c r="CA2042" s="38"/>
      <c r="CB2042" s="38"/>
      <c r="CC2042" s="38"/>
      <c r="CD2042" s="38"/>
      <c r="CE2042" s="38"/>
      <c r="CF2042" s="38"/>
      <c r="CG2042" s="38"/>
      <c r="CH2042" s="38"/>
      <c r="CI2042" s="38"/>
      <c r="CJ2042" s="38"/>
      <c r="CK2042" s="38"/>
      <c r="CL2042" s="38"/>
      <c r="CM2042" s="38"/>
      <c r="CN2042" s="38"/>
      <c r="CO2042" s="38"/>
      <c r="CP2042" s="38"/>
      <c r="CQ2042" s="38"/>
      <c r="CR2042" s="38"/>
      <c r="CS2042" s="38"/>
      <c r="CT2042" s="38"/>
      <c r="CU2042" s="38"/>
      <c r="CV2042" s="38"/>
      <c r="CW2042" s="38"/>
      <c r="CX2042" s="38"/>
      <c r="CY2042" s="38"/>
      <c r="CZ2042" s="38"/>
      <c r="DA2042" s="38"/>
      <c r="DB2042" s="38"/>
      <c r="DC2042" s="38"/>
      <c r="DD2042" s="38"/>
      <c r="DE2042" s="38"/>
      <c r="DF2042" s="38"/>
      <c r="DG2042" s="38"/>
      <c r="DH2042" s="38"/>
      <c r="DI2042" s="38"/>
      <c r="DJ2042" s="38"/>
      <c r="DK2042" s="38"/>
      <c r="DL2042" s="38"/>
      <c r="DM2042" s="38"/>
      <c r="DN2042" s="38"/>
      <c r="DO2042" s="38"/>
      <c r="DP2042" s="38"/>
      <c r="DQ2042" s="38"/>
      <c r="DR2042" s="38"/>
      <c r="DS2042" s="38"/>
      <c r="DT2042" s="38"/>
      <c r="DU2042" s="38"/>
      <c r="DV2042" s="38"/>
      <c r="DW2042" s="38"/>
      <c r="DX2042" s="38"/>
      <c r="DY2042" s="38"/>
      <c r="DZ2042" s="38"/>
      <c r="EA2042" s="38"/>
      <c r="EB2042" s="38"/>
      <c r="EC2042" s="38"/>
      <c r="ED2042" s="38"/>
      <c r="EE2042" s="38"/>
      <c r="EF2042" s="38"/>
      <c r="EG2042" s="38"/>
      <c r="EH2042" s="38"/>
      <c r="EI2042" s="38"/>
      <c r="EJ2042" s="38"/>
      <c r="EK2042" s="38"/>
      <c r="EL2042" s="38"/>
      <c r="EM2042" s="38"/>
      <c r="EN2042" s="38"/>
      <c r="EO2042" s="38"/>
      <c r="EP2042" s="38"/>
      <c r="EQ2042" s="38"/>
      <c r="ER2042" s="38"/>
      <c r="ES2042" s="38"/>
      <c r="ET2042" s="38"/>
      <c r="EU2042" s="38"/>
      <c r="EV2042" s="38"/>
      <c r="EW2042" s="38"/>
      <c r="EX2042" s="38"/>
      <c r="EY2042" s="38"/>
      <c r="EZ2042" s="38"/>
      <c r="FA2042" s="38"/>
      <c r="FB2042" s="38"/>
      <c r="FC2042" s="38"/>
      <c r="FD2042" s="38"/>
      <c r="FE2042" s="38"/>
      <c r="FF2042" s="38"/>
      <c r="FG2042" s="38"/>
      <c r="FH2042" s="38"/>
      <c r="FI2042" s="38"/>
      <c r="FJ2042" s="38"/>
      <c r="FK2042" s="38"/>
      <c r="FL2042" s="38"/>
      <c r="FM2042" s="38"/>
      <c r="FN2042" s="38"/>
      <c r="FO2042" s="38"/>
      <c r="FP2042" s="38"/>
      <c r="FQ2042" s="38"/>
      <c r="FR2042" s="38"/>
      <c r="FS2042" s="38"/>
      <c r="FT2042" s="38"/>
      <c r="FU2042" s="38"/>
      <c r="FV2042" s="38"/>
      <c r="FW2042" s="38"/>
      <c r="FX2042" s="38"/>
      <c r="FY2042" s="38"/>
      <c r="FZ2042" s="38"/>
      <c r="GA2042" s="38"/>
      <c r="GB2042" s="38"/>
      <c r="GC2042" s="38"/>
      <c r="GD2042" s="38"/>
      <c r="GE2042" s="38"/>
      <c r="GF2042" s="38"/>
      <c r="GG2042" s="38"/>
      <c r="GH2042" s="38"/>
      <c r="GI2042" s="38"/>
      <c r="GJ2042" s="38"/>
      <c r="GK2042" s="38"/>
      <c r="GL2042" s="38"/>
      <c r="GM2042" s="38"/>
      <c r="GN2042" s="38"/>
      <c r="GO2042" s="38"/>
      <c r="GP2042" s="38"/>
      <c r="GQ2042" s="38"/>
      <c r="GR2042" s="38"/>
      <c r="GS2042" s="38"/>
      <c r="GT2042" s="38"/>
      <c r="GU2042" s="38"/>
      <c r="GV2042" s="38"/>
      <c r="GW2042" s="38"/>
      <c r="GX2042" s="38"/>
      <c r="GY2042" s="38"/>
      <c r="GZ2042" s="38"/>
      <c r="HA2042" s="38"/>
      <c r="HB2042" s="38"/>
      <c r="HC2042" s="38"/>
      <c r="HD2042" s="38"/>
      <c r="HE2042" s="38"/>
      <c r="HF2042" s="38"/>
      <c r="HG2042" s="38"/>
      <c r="HH2042" s="38"/>
      <c r="HI2042" s="38"/>
      <c r="HJ2042" s="38"/>
      <c r="HK2042" s="38"/>
      <c r="HL2042" s="38"/>
      <c r="HM2042" s="38"/>
      <c r="HN2042" s="38"/>
      <c r="HO2042" s="38"/>
      <c r="HP2042" s="38"/>
      <c r="HQ2042" s="38"/>
      <c r="HR2042" s="38"/>
      <c r="HS2042" s="38"/>
      <c r="HT2042" s="38"/>
      <c r="HU2042" s="38"/>
      <c r="HV2042" s="38"/>
      <c r="HW2042" s="38"/>
      <c r="HX2042" s="38"/>
      <c r="HY2042" s="38"/>
      <c r="HZ2042" s="38"/>
      <c r="IA2042" s="38"/>
      <c r="IB2042" s="38"/>
      <c r="IC2042" s="38"/>
      <c r="ID2042" s="38"/>
      <c r="IE2042" s="38"/>
      <c r="IF2042" s="38"/>
      <c r="IG2042" s="38"/>
      <c r="IH2042" s="38"/>
      <c r="II2042" s="38"/>
      <c r="IJ2042" s="38"/>
      <c r="IK2042" s="38"/>
      <c r="IL2042" s="38"/>
      <c r="IM2042" s="38"/>
      <c r="IN2042" s="38"/>
      <c r="IO2042" s="38"/>
      <c r="IP2042" s="38"/>
      <c r="IQ2042" s="38"/>
      <c r="IR2042" s="38"/>
      <c r="IS2042" s="38"/>
      <c r="IT2042" s="38"/>
      <c r="IU2042" s="38"/>
      <c r="IV2042" s="38"/>
      <c r="IW2042" s="38"/>
      <c r="IX2042" s="38"/>
      <c r="IY2042" s="38"/>
      <c r="IZ2042" s="38"/>
      <c r="JA2042" s="38"/>
      <c r="JB2042" s="38"/>
      <c r="JC2042" s="38"/>
      <c r="JD2042" s="38"/>
      <c r="JE2042" s="38"/>
      <c r="JF2042" s="38"/>
      <c r="JG2042" s="38"/>
      <c r="JH2042" s="38"/>
      <c r="JI2042" s="38"/>
      <c r="JJ2042" s="38"/>
      <c r="JK2042" s="38"/>
      <c r="JL2042" s="38"/>
      <c r="JM2042" s="38"/>
      <c r="JN2042" s="38"/>
      <c r="JO2042" s="38"/>
      <c r="JP2042" s="38"/>
      <c r="JQ2042" s="38"/>
      <c r="JR2042" s="38"/>
      <c r="JS2042" s="38"/>
      <c r="JT2042" s="38"/>
      <c r="JU2042" s="38"/>
      <c r="JV2042" s="38"/>
      <c r="JW2042" s="38"/>
      <c r="JX2042" s="38"/>
      <c r="JY2042" s="38"/>
      <c r="JZ2042" s="38"/>
      <c r="KA2042" s="38"/>
      <c r="KB2042" s="38"/>
      <c r="KC2042" s="38"/>
      <c r="KD2042" s="38"/>
      <c r="KE2042" s="38"/>
      <c r="KF2042" s="38"/>
      <c r="KG2042" s="38"/>
      <c r="KH2042" s="38"/>
      <c r="KI2042" s="38"/>
      <c r="KJ2042" s="38"/>
      <c r="KK2042" s="38"/>
      <c r="KL2042" s="38"/>
      <c r="KM2042" s="38"/>
      <c r="KN2042" s="38"/>
      <c r="KO2042" s="38"/>
      <c r="KP2042" s="38"/>
      <c r="KQ2042" s="38"/>
      <c r="KR2042" s="38"/>
      <c r="KS2042" s="38"/>
      <c r="KT2042" s="38"/>
      <c r="KU2042" s="38"/>
      <c r="KV2042" s="38"/>
      <c r="KW2042" s="38"/>
      <c r="KX2042" s="38"/>
      <c r="KY2042" s="38"/>
      <c r="KZ2042" s="38"/>
      <c r="LA2042" s="38"/>
      <c r="LB2042" s="38"/>
      <c r="LC2042" s="38"/>
      <c r="LD2042" s="38"/>
      <c r="LE2042" s="38"/>
      <c r="LF2042" s="38"/>
      <c r="LG2042" s="38"/>
      <c r="LH2042" s="38"/>
      <c r="LI2042" s="38"/>
      <c r="LJ2042" s="38"/>
      <c r="LK2042" s="38"/>
      <c r="LL2042" s="38"/>
      <c r="LM2042" s="38"/>
      <c r="LN2042" s="38"/>
      <c r="LO2042" s="38"/>
      <c r="LP2042" s="38"/>
      <c r="LQ2042" s="38"/>
      <c r="LR2042" s="38"/>
      <c r="LS2042" s="38"/>
      <c r="LT2042" s="38"/>
      <c r="LU2042" s="38"/>
      <c r="LV2042" s="38"/>
      <c r="LW2042" s="38"/>
      <c r="LX2042" s="38"/>
      <c r="LY2042" s="38"/>
      <c r="LZ2042" s="38"/>
      <c r="MA2042" s="38"/>
      <c r="MB2042" s="38"/>
      <c r="MC2042" s="38"/>
      <c r="MD2042" s="38"/>
      <c r="ME2042" s="38"/>
      <c r="MF2042" s="38"/>
      <c r="MG2042" s="38"/>
      <c r="MH2042" s="38"/>
      <c r="MI2042" s="38"/>
      <c r="MJ2042" s="38"/>
      <c r="MK2042" s="38"/>
      <c r="ML2042" s="38"/>
      <c r="MM2042" s="38"/>
      <c r="MN2042" s="38"/>
      <c r="MO2042" s="38"/>
      <c r="MP2042" s="38"/>
      <c r="MQ2042" s="38"/>
      <c r="MR2042" s="38"/>
      <c r="MS2042" s="38"/>
      <c r="MT2042" s="38"/>
      <c r="MU2042" s="38"/>
      <c r="MV2042" s="38"/>
      <c r="MW2042" s="38"/>
      <c r="MX2042" s="38"/>
      <c r="MY2042" s="38"/>
      <c r="MZ2042" s="38"/>
      <c r="NA2042" s="38"/>
      <c r="NB2042" s="38"/>
      <c r="NC2042" s="38"/>
      <c r="ND2042" s="38"/>
      <c r="NE2042" s="38"/>
      <c r="NF2042" s="38"/>
      <c r="NG2042" s="38"/>
      <c r="NH2042" s="38"/>
      <c r="NI2042" s="38"/>
      <c r="NJ2042" s="38"/>
      <c r="NK2042" s="38"/>
      <c r="NL2042" s="38"/>
      <c r="NM2042" s="38"/>
      <c r="NN2042" s="38"/>
      <c r="NO2042" s="38"/>
      <c r="NP2042" s="38"/>
      <c r="NQ2042" s="38"/>
      <c r="NR2042" s="38"/>
      <c r="NS2042" s="38"/>
      <c r="NT2042" s="38"/>
      <c r="NU2042" s="38"/>
      <c r="NV2042" s="38"/>
      <c r="NW2042" s="38"/>
      <c r="NX2042" s="38"/>
      <c r="NY2042" s="38"/>
      <c r="NZ2042" s="38"/>
      <c r="OA2042" s="38"/>
      <c r="OB2042" s="38"/>
      <c r="OC2042" s="38"/>
      <c r="OD2042" s="38"/>
      <c r="OE2042" s="38"/>
      <c r="OF2042" s="38"/>
      <c r="OG2042" s="38"/>
      <c r="OH2042" s="38"/>
      <c r="OI2042" s="38"/>
      <c r="OJ2042" s="38"/>
      <c r="OK2042" s="38"/>
      <c r="OL2042" s="38"/>
      <c r="OM2042" s="38"/>
      <c r="ON2042" s="38"/>
      <c r="OO2042" s="38"/>
      <c r="OP2042" s="38"/>
      <c r="OQ2042" s="38"/>
      <c r="OR2042" s="38"/>
      <c r="OS2042" s="38"/>
      <c r="OT2042" s="38"/>
      <c r="OU2042" s="38"/>
      <c r="OV2042" s="38"/>
      <c r="OW2042" s="38"/>
      <c r="OX2042" s="38"/>
      <c r="OY2042" s="38"/>
      <c r="OZ2042" s="38"/>
      <c r="PA2042" s="38"/>
      <c r="PB2042" s="38"/>
      <c r="PC2042" s="38"/>
      <c r="PD2042" s="38"/>
      <c r="PE2042" s="38"/>
      <c r="PF2042" s="38"/>
      <c r="PG2042" s="38"/>
      <c r="PH2042" s="38"/>
      <c r="PI2042" s="38"/>
      <c r="PJ2042" s="38"/>
      <c r="PK2042" s="38"/>
      <c r="PL2042" s="38"/>
      <c r="PM2042" s="38"/>
      <c r="PN2042" s="38"/>
      <c r="PO2042" s="38"/>
      <c r="PP2042" s="38"/>
      <c r="PQ2042" s="38"/>
      <c r="PR2042" s="38"/>
      <c r="PS2042" s="38"/>
      <c r="PT2042" s="38"/>
      <c r="PU2042" s="38"/>
      <c r="PV2042" s="38"/>
      <c r="PW2042" s="38"/>
      <c r="PX2042" s="38"/>
      <c r="PY2042" s="38"/>
      <c r="PZ2042" s="38"/>
      <c r="QA2042" s="38"/>
      <c r="QB2042" s="38"/>
      <c r="QC2042" s="38"/>
      <c r="QD2042" s="38"/>
      <c r="QE2042" s="38"/>
      <c r="QF2042" s="38"/>
      <c r="QG2042" s="38"/>
      <c r="QH2042" s="38"/>
      <c r="QI2042" s="38"/>
      <c r="QJ2042" s="38"/>
      <c r="QK2042" s="38"/>
      <c r="QL2042" s="38"/>
      <c r="QM2042" s="38"/>
      <c r="QN2042" s="38"/>
      <c r="QO2042" s="38"/>
      <c r="QP2042" s="38"/>
      <c r="QQ2042" s="38"/>
      <c r="QR2042" s="38"/>
      <c r="QS2042" s="38"/>
      <c r="QT2042" s="38"/>
      <c r="QU2042" s="38"/>
      <c r="QV2042" s="38"/>
      <c r="QW2042" s="38"/>
      <c r="QX2042" s="38"/>
      <c r="QY2042" s="38"/>
      <c r="QZ2042" s="38"/>
      <c r="RA2042" s="38"/>
      <c r="RB2042" s="38"/>
      <c r="RC2042" s="38"/>
      <c r="RD2042" s="38"/>
      <c r="RE2042" s="38"/>
      <c r="RF2042" s="38"/>
      <c r="RG2042" s="38"/>
      <c r="RH2042" s="38"/>
      <c r="RI2042" s="38"/>
      <c r="RJ2042" s="38"/>
      <c r="RK2042" s="38"/>
      <c r="RL2042" s="38"/>
      <c r="RM2042" s="38"/>
      <c r="RN2042" s="38"/>
      <c r="RO2042" s="38"/>
      <c r="RP2042" s="38"/>
      <c r="RQ2042" s="38"/>
      <c r="RR2042" s="38"/>
      <c r="RS2042" s="38"/>
      <c r="RT2042" s="38"/>
      <c r="RU2042" s="38"/>
      <c r="RV2042" s="38"/>
      <c r="RW2042" s="38"/>
      <c r="RX2042" s="38"/>
      <c r="RY2042" s="38"/>
      <c r="RZ2042" s="38"/>
      <c r="SA2042" s="38"/>
      <c r="SB2042" s="38"/>
      <c r="SC2042" s="38"/>
      <c r="SD2042" s="38"/>
      <c r="SE2042" s="38"/>
      <c r="SF2042" s="38"/>
      <c r="SG2042" s="38"/>
      <c r="SH2042" s="38"/>
      <c r="SI2042" s="38"/>
      <c r="SJ2042" s="38"/>
      <c r="SK2042" s="38"/>
      <c r="SL2042" s="38"/>
      <c r="SM2042" s="38"/>
      <c r="SN2042" s="38"/>
      <c r="SO2042" s="38"/>
      <c r="SP2042" s="38"/>
      <c r="SQ2042" s="38"/>
      <c r="SR2042" s="38"/>
      <c r="SS2042" s="38"/>
      <c r="ST2042" s="38"/>
      <c r="SU2042" s="38"/>
      <c r="SV2042" s="38"/>
      <c r="SW2042" s="38"/>
      <c r="SX2042" s="38"/>
      <c r="SY2042" s="38"/>
      <c r="SZ2042" s="38"/>
      <c r="TA2042" s="38"/>
      <c r="TB2042" s="38"/>
      <c r="TC2042" s="38"/>
      <c r="TD2042" s="38"/>
      <c r="TE2042" s="38"/>
      <c r="TF2042" s="38"/>
      <c r="TG2042" s="38"/>
      <c r="TH2042" s="38"/>
      <c r="TI2042" s="38"/>
      <c r="TJ2042" s="38"/>
      <c r="TK2042" s="38"/>
      <c r="TL2042" s="38"/>
      <c r="TM2042" s="38"/>
      <c r="TN2042" s="38"/>
      <c r="TO2042" s="38"/>
      <c r="TP2042" s="38"/>
      <c r="TQ2042" s="38"/>
      <c r="TR2042" s="38"/>
      <c r="TS2042" s="38"/>
      <c r="TT2042" s="38"/>
      <c r="TU2042" s="38"/>
      <c r="TV2042" s="38"/>
      <c r="TW2042" s="38"/>
      <c r="TX2042" s="38"/>
      <c r="TY2042" s="38"/>
      <c r="TZ2042" s="38"/>
      <c r="UA2042" s="38"/>
      <c r="UB2042" s="38"/>
      <c r="UC2042" s="38"/>
      <c r="UD2042" s="38"/>
      <c r="UE2042" s="38"/>
      <c r="UF2042" s="38"/>
      <c r="UG2042" s="38"/>
      <c r="UH2042" s="38"/>
      <c r="UI2042" s="38"/>
      <c r="UJ2042" s="38"/>
      <c r="UK2042" s="38"/>
      <c r="UL2042" s="38"/>
      <c r="UM2042" s="38"/>
      <c r="UN2042" s="38"/>
      <c r="UO2042" s="38"/>
      <c r="UP2042" s="38"/>
      <c r="UQ2042" s="38"/>
      <c r="UR2042" s="38"/>
      <c r="US2042" s="38"/>
      <c r="UT2042" s="38"/>
      <c r="UU2042" s="38"/>
      <c r="UV2042" s="38"/>
      <c r="UW2042" s="38"/>
      <c r="UX2042" s="38"/>
      <c r="UY2042" s="38"/>
      <c r="UZ2042" s="38"/>
      <c r="VA2042" s="38"/>
      <c r="VB2042" s="38"/>
      <c r="VC2042" s="38"/>
      <c r="VD2042" s="38"/>
      <c r="VE2042" s="38"/>
      <c r="VF2042" s="38"/>
      <c r="VG2042" s="38"/>
      <c r="VH2042" s="38"/>
      <c r="VI2042" s="38"/>
      <c r="VJ2042" s="38"/>
      <c r="VK2042" s="38"/>
      <c r="VL2042" s="38"/>
      <c r="VM2042" s="38"/>
      <c r="VN2042" s="38"/>
      <c r="VO2042" s="38"/>
      <c r="VP2042" s="38"/>
      <c r="VQ2042" s="38"/>
      <c r="VR2042" s="38"/>
      <c r="VS2042" s="38"/>
      <c r="VT2042" s="38"/>
      <c r="VU2042" s="38"/>
      <c r="VV2042" s="38"/>
      <c r="VW2042" s="38"/>
      <c r="VX2042" s="38"/>
      <c r="VY2042" s="38"/>
      <c r="VZ2042" s="38"/>
      <c r="WA2042" s="38"/>
      <c r="WB2042" s="38"/>
      <c r="WC2042" s="38"/>
      <c r="WD2042" s="38"/>
      <c r="WE2042" s="38"/>
      <c r="WF2042" s="38"/>
      <c r="WG2042" s="38"/>
      <c r="WH2042" s="38"/>
      <c r="WI2042" s="38"/>
      <c r="WJ2042" s="38"/>
      <c r="WK2042" s="38"/>
      <c r="WL2042" s="38"/>
      <c r="WM2042" s="38"/>
      <c r="WN2042" s="38"/>
      <c r="WO2042" s="38"/>
      <c r="WP2042" s="38"/>
      <c r="WQ2042" s="38"/>
      <c r="WR2042" s="38"/>
      <c r="WS2042" s="38"/>
      <c r="WT2042" s="38"/>
      <c r="WU2042" s="38"/>
      <c r="WV2042" s="38"/>
      <c r="WW2042" s="38"/>
      <c r="WX2042" s="38"/>
      <c r="WY2042" s="38"/>
      <c r="WZ2042" s="38"/>
      <c r="XA2042" s="38"/>
      <c r="XB2042" s="38"/>
      <c r="XC2042" s="38"/>
      <c r="XD2042" s="38"/>
      <c r="XE2042" s="38"/>
      <c r="XF2042" s="38"/>
      <c r="XG2042" s="38"/>
      <c r="XH2042" s="38"/>
      <c r="XI2042" s="38"/>
      <c r="XJ2042" s="38"/>
      <c r="XK2042" s="38"/>
      <c r="XL2042" s="38"/>
      <c r="XM2042" s="38"/>
      <c r="XN2042" s="38"/>
      <c r="XO2042" s="38"/>
      <c r="XP2042" s="38"/>
      <c r="XQ2042" s="38"/>
      <c r="XR2042" s="38"/>
      <c r="XS2042" s="38"/>
      <c r="XT2042" s="38"/>
      <c r="XU2042" s="38"/>
      <c r="XV2042" s="38"/>
      <c r="XW2042" s="38"/>
      <c r="XX2042" s="38"/>
      <c r="XY2042" s="38"/>
      <c r="XZ2042" s="38"/>
      <c r="YA2042" s="38"/>
      <c r="YB2042" s="38"/>
      <c r="YC2042" s="38"/>
      <c r="YD2042" s="38"/>
      <c r="YE2042" s="38"/>
      <c r="YF2042" s="38"/>
      <c r="YG2042" s="38"/>
      <c r="YH2042" s="38"/>
      <c r="YI2042" s="38"/>
      <c r="YJ2042" s="38"/>
      <c r="YK2042" s="38"/>
      <c r="YL2042" s="38"/>
      <c r="YM2042" s="38"/>
      <c r="YN2042" s="38"/>
      <c r="YO2042" s="38"/>
      <c r="YP2042" s="38"/>
      <c r="YQ2042" s="38"/>
      <c r="YR2042" s="38"/>
      <c r="YS2042" s="38"/>
      <c r="YT2042" s="38"/>
      <c r="YU2042" s="38"/>
      <c r="YV2042" s="38"/>
      <c r="YW2042" s="38"/>
      <c r="YX2042" s="38"/>
      <c r="YY2042" s="38"/>
      <c r="YZ2042" s="38"/>
      <c r="ZA2042" s="38"/>
      <c r="ZB2042" s="38"/>
      <c r="ZC2042" s="38"/>
      <c r="ZD2042" s="38"/>
      <c r="ZE2042" s="38"/>
      <c r="ZF2042" s="38"/>
      <c r="ZG2042" s="38"/>
      <c r="ZH2042" s="38"/>
      <c r="ZI2042" s="38"/>
      <c r="ZJ2042" s="38"/>
      <c r="ZK2042" s="38"/>
      <c r="ZL2042" s="38"/>
      <c r="ZM2042" s="38"/>
      <c r="ZN2042" s="38"/>
      <c r="ZO2042" s="38"/>
      <c r="ZP2042" s="38"/>
      <c r="ZQ2042" s="38"/>
      <c r="ZR2042" s="38"/>
      <c r="ZS2042" s="38"/>
      <c r="ZT2042" s="38"/>
      <c r="ZU2042" s="38"/>
      <c r="ZV2042" s="38"/>
      <c r="ZW2042" s="38"/>
      <c r="ZX2042" s="38"/>
      <c r="ZY2042" s="38"/>
      <c r="ZZ2042" s="38"/>
      <c r="AAA2042" s="38"/>
      <c r="AAB2042" s="38"/>
      <c r="AAC2042" s="38"/>
      <c r="AAD2042" s="38"/>
      <c r="AAE2042" s="38"/>
      <c r="AAF2042" s="38"/>
      <c r="AAG2042" s="38"/>
      <c r="AAH2042" s="38"/>
      <c r="AAI2042" s="38"/>
      <c r="AAJ2042" s="38"/>
      <c r="AAK2042" s="38"/>
      <c r="AAL2042" s="38"/>
      <c r="AAM2042" s="38"/>
      <c r="AAN2042" s="38"/>
      <c r="AAO2042" s="38"/>
      <c r="AAP2042" s="38"/>
      <c r="AAQ2042" s="38"/>
      <c r="AAR2042" s="38"/>
      <c r="AAS2042" s="38"/>
      <c r="AAT2042" s="38"/>
      <c r="AAU2042" s="38"/>
      <c r="AAV2042" s="38"/>
      <c r="AAW2042" s="38"/>
      <c r="AAX2042" s="38"/>
      <c r="AAY2042" s="38"/>
      <c r="AAZ2042" s="38"/>
      <c r="ABA2042" s="38"/>
      <c r="ABB2042" s="38"/>
      <c r="ABC2042" s="38"/>
      <c r="ABD2042" s="38"/>
      <c r="ABE2042" s="38"/>
      <c r="ABF2042" s="38"/>
      <c r="ABG2042" s="38"/>
      <c r="ABH2042" s="38"/>
      <c r="ABI2042" s="38"/>
      <c r="ABJ2042" s="38"/>
      <c r="ABK2042" s="38"/>
      <c r="ABL2042" s="38"/>
      <c r="ABM2042" s="38"/>
      <c r="ABN2042" s="38"/>
      <c r="ABO2042" s="38"/>
      <c r="ABP2042" s="38"/>
      <c r="ABQ2042" s="38"/>
      <c r="ABR2042" s="38"/>
      <c r="ABS2042" s="38"/>
      <c r="ABT2042" s="38"/>
      <c r="ABU2042" s="38"/>
      <c r="ABV2042" s="38"/>
      <c r="ABW2042" s="38"/>
      <c r="ABX2042" s="38"/>
      <c r="ABY2042" s="38"/>
      <c r="ABZ2042" s="38"/>
      <c r="ACA2042" s="38"/>
      <c r="ACB2042" s="38"/>
      <c r="ACC2042" s="38"/>
      <c r="ACD2042" s="38"/>
      <c r="ACE2042" s="38"/>
      <c r="ACF2042" s="38"/>
      <c r="ACG2042" s="38"/>
      <c r="ACH2042" s="38"/>
      <c r="ACI2042" s="38"/>
      <c r="ACJ2042" s="38"/>
      <c r="ACK2042" s="38"/>
      <c r="ACL2042" s="38"/>
      <c r="ACM2042" s="38"/>
      <c r="ACN2042" s="38"/>
      <c r="ACO2042" s="38"/>
      <c r="ACP2042" s="38"/>
      <c r="ACQ2042" s="38"/>
      <c r="ACR2042" s="38"/>
      <c r="ACS2042" s="38"/>
      <c r="ACT2042" s="38"/>
      <c r="ACU2042" s="38"/>
      <c r="ACV2042" s="38"/>
      <c r="ACW2042" s="38"/>
      <c r="ACX2042" s="38"/>
      <c r="ACY2042" s="38"/>
      <c r="ACZ2042" s="38"/>
      <c r="ADA2042" s="38"/>
      <c r="ADB2042" s="38"/>
      <c r="ADC2042" s="38"/>
      <c r="ADD2042" s="38"/>
      <c r="ADE2042" s="38"/>
      <c r="ADF2042" s="38"/>
      <c r="ADG2042" s="38"/>
      <c r="ADH2042" s="38"/>
      <c r="ADI2042" s="38"/>
      <c r="ADJ2042" s="38"/>
      <c r="ADK2042" s="38"/>
      <c r="ADL2042" s="38"/>
      <c r="ADM2042" s="38"/>
      <c r="ADN2042" s="38"/>
      <c r="ADO2042" s="38"/>
      <c r="ADP2042" s="38"/>
      <c r="ADQ2042" s="38"/>
      <c r="ADR2042" s="38"/>
      <c r="ADS2042" s="38"/>
      <c r="ADT2042" s="38"/>
      <c r="ADU2042" s="38"/>
      <c r="ADV2042" s="38"/>
      <c r="ADW2042" s="38"/>
      <c r="ADX2042" s="38"/>
      <c r="ADY2042" s="38"/>
      <c r="ADZ2042" s="38"/>
      <c r="AEA2042" s="38"/>
      <c r="AEB2042" s="38"/>
      <c r="AEC2042" s="38"/>
      <c r="AED2042" s="38"/>
      <c r="AEE2042" s="38"/>
      <c r="AEF2042" s="38"/>
      <c r="AEG2042" s="38"/>
      <c r="AEH2042" s="38"/>
      <c r="AEI2042" s="38"/>
      <c r="AEJ2042" s="38"/>
      <c r="AEK2042" s="38"/>
      <c r="AEL2042" s="38"/>
      <c r="AEM2042" s="38"/>
      <c r="AEN2042" s="38"/>
      <c r="AEO2042" s="38"/>
      <c r="AEP2042" s="38"/>
      <c r="AEQ2042" s="38"/>
      <c r="AER2042" s="38"/>
      <c r="AES2042" s="38"/>
      <c r="AET2042" s="38"/>
      <c r="AEU2042" s="38"/>
      <c r="AEV2042" s="38"/>
      <c r="AEW2042" s="38"/>
      <c r="AEX2042" s="38"/>
      <c r="AEY2042" s="38"/>
      <c r="AEZ2042" s="38"/>
      <c r="AFA2042" s="38"/>
      <c r="AFB2042" s="38"/>
      <c r="AFC2042" s="38"/>
      <c r="AFD2042" s="38"/>
      <c r="AFE2042" s="38"/>
      <c r="AFF2042" s="38"/>
      <c r="AFG2042" s="38"/>
      <c r="AFH2042" s="38"/>
      <c r="AFI2042" s="38"/>
      <c r="AFJ2042" s="38"/>
      <c r="AFK2042" s="38"/>
      <c r="AFL2042" s="38"/>
      <c r="AFM2042" s="38"/>
      <c r="AFN2042" s="38"/>
      <c r="AFO2042" s="38"/>
      <c r="AFP2042" s="38"/>
      <c r="AFQ2042" s="38"/>
      <c r="AFR2042" s="38"/>
      <c r="AFS2042" s="38"/>
      <c r="AFT2042" s="38"/>
      <c r="AFU2042" s="38"/>
      <c r="AFV2042" s="38"/>
      <c r="AFW2042" s="38"/>
      <c r="AFX2042" s="38"/>
      <c r="AFY2042" s="38"/>
      <c r="AFZ2042" s="38"/>
      <c r="AGA2042" s="38"/>
      <c r="AGB2042" s="38"/>
      <c r="AGC2042" s="38"/>
      <c r="AGD2042" s="38"/>
      <c r="AGE2042" s="38"/>
      <c r="AGF2042" s="38"/>
      <c r="AGG2042" s="38"/>
      <c r="AGH2042" s="38"/>
      <c r="AGI2042" s="38"/>
      <c r="AGJ2042" s="38"/>
      <c r="AGK2042" s="38"/>
      <c r="AGL2042" s="38"/>
      <c r="AGM2042" s="38"/>
      <c r="AGN2042" s="38"/>
      <c r="AGO2042" s="38"/>
      <c r="AGP2042" s="38"/>
      <c r="AGQ2042" s="38"/>
      <c r="AGR2042" s="38"/>
      <c r="AGS2042" s="38"/>
      <c r="AGT2042" s="38"/>
      <c r="AGU2042" s="38"/>
      <c r="AGV2042" s="38"/>
      <c r="AGW2042" s="38"/>
      <c r="AGX2042" s="38"/>
      <c r="AGY2042" s="38"/>
      <c r="AGZ2042" s="38"/>
      <c r="AHA2042" s="38"/>
      <c r="AHB2042" s="38"/>
      <c r="AHC2042" s="38"/>
      <c r="AHD2042" s="38"/>
      <c r="AHE2042" s="38"/>
      <c r="AHF2042" s="38"/>
      <c r="AHG2042" s="38"/>
      <c r="AHH2042" s="38"/>
      <c r="AHI2042" s="38"/>
      <c r="AHJ2042" s="38"/>
      <c r="AHK2042" s="38"/>
      <c r="AHL2042" s="38"/>
      <c r="AHM2042" s="38"/>
      <c r="AHN2042" s="38"/>
      <c r="AHO2042" s="38"/>
      <c r="AHP2042" s="38"/>
      <c r="AHQ2042" s="38"/>
      <c r="AHR2042" s="38"/>
      <c r="AHS2042" s="38"/>
      <c r="AHT2042" s="38"/>
      <c r="AHU2042" s="38"/>
      <c r="AHV2042" s="38"/>
      <c r="AHW2042" s="38"/>
      <c r="AHX2042" s="38"/>
      <c r="AHY2042" s="38"/>
      <c r="AHZ2042" s="38"/>
      <c r="AIA2042" s="38"/>
      <c r="AIB2042" s="38"/>
      <c r="AIC2042" s="38"/>
      <c r="AID2042" s="38"/>
      <c r="AIE2042" s="38"/>
      <c r="AIF2042" s="38"/>
      <c r="AIG2042" s="38"/>
      <c r="AIH2042" s="38"/>
      <c r="AII2042" s="38"/>
      <c r="AIJ2042" s="38"/>
      <c r="AIK2042" s="38"/>
      <c r="AIL2042" s="38"/>
      <c r="AIM2042" s="38"/>
      <c r="AIN2042" s="38"/>
      <c r="AIO2042" s="38"/>
      <c r="AIP2042" s="38"/>
      <c r="AIQ2042" s="38"/>
      <c r="AIR2042" s="38"/>
      <c r="AIS2042" s="38"/>
      <c r="AIT2042" s="38"/>
      <c r="AIU2042" s="38"/>
      <c r="AIV2042" s="38"/>
      <c r="AIW2042" s="38"/>
      <c r="AIX2042" s="38"/>
      <c r="AIY2042" s="38"/>
      <c r="AIZ2042" s="38"/>
      <c r="AJA2042" s="38"/>
      <c r="AJB2042" s="38"/>
      <c r="AJC2042" s="38"/>
      <c r="AJD2042" s="38"/>
      <c r="AJE2042" s="38"/>
      <c r="AJF2042" s="38"/>
      <c r="AJG2042" s="38"/>
      <c r="AJH2042" s="38"/>
      <c r="AJI2042" s="38"/>
      <c r="AJJ2042" s="38"/>
      <c r="AJK2042" s="38"/>
      <c r="AJL2042" s="38"/>
      <c r="AJM2042" s="38"/>
      <c r="AJN2042" s="38"/>
      <c r="AJO2042" s="38"/>
      <c r="AJP2042" s="38"/>
      <c r="AJQ2042" s="38"/>
      <c r="AJR2042" s="38"/>
      <c r="AJS2042" s="38"/>
      <c r="AJT2042" s="38"/>
      <c r="AJU2042" s="38"/>
      <c r="AJV2042" s="38"/>
      <c r="AJW2042" s="38"/>
      <c r="AJX2042" s="38"/>
      <c r="AJY2042" s="38"/>
      <c r="AJZ2042" s="38"/>
      <c r="AKA2042" s="38"/>
      <c r="AKB2042" s="38"/>
      <c r="AKC2042" s="38"/>
      <c r="AKD2042" s="38"/>
      <c r="AKE2042" s="38"/>
      <c r="AKF2042" s="38"/>
      <c r="AKG2042" s="38"/>
      <c r="AKH2042" s="38"/>
      <c r="AKI2042" s="38"/>
      <c r="AKJ2042" s="38"/>
      <c r="AKK2042" s="38"/>
      <c r="AKL2042" s="38"/>
      <c r="AKM2042" s="38"/>
      <c r="AKN2042" s="38"/>
      <c r="AKO2042" s="38"/>
      <c r="AKP2042" s="38"/>
      <c r="AKQ2042" s="38"/>
      <c r="AKR2042" s="38"/>
      <c r="AKS2042" s="38"/>
      <c r="AKT2042" s="38"/>
      <c r="AKU2042" s="38"/>
      <c r="AKV2042" s="38"/>
      <c r="AKW2042" s="38"/>
      <c r="AKX2042" s="38"/>
      <c r="AKY2042" s="38"/>
      <c r="AKZ2042" s="38"/>
      <c r="ALA2042" s="38"/>
      <c r="ALB2042" s="38"/>
      <c r="ALC2042" s="38"/>
      <c r="ALD2042" s="38"/>
      <c r="ALE2042" s="38"/>
      <c r="ALF2042" s="38"/>
      <c r="ALG2042" s="38"/>
      <c r="ALH2042" s="38"/>
      <c r="ALI2042" s="38"/>
      <c r="ALJ2042" s="38"/>
      <c r="ALK2042" s="38"/>
      <c r="ALL2042" s="38"/>
      <c r="ALM2042" s="38"/>
      <c r="ALN2042" s="38"/>
      <c r="ALO2042" s="38"/>
      <c r="ALP2042" s="38"/>
      <c r="ALQ2042" s="38"/>
      <c r="ALR2042" s="38"/>
      <c r="ALS2042" s="38"/>
      <c r="ALT2042" s="38"/>
      <c r="ALU2042" s="38"/>
      <c r="ALV2042" s="38"/>
      <c r="ALW2042" s="38"/>
      <c r="ALX2042" s="38"/>
      <c r="ALY2042" s="38"/>
      <c r="ALZ2042" s="38"/>
      <c r="AMA2042" s="38"/>
      <c r="AMB2042" s="38"/>
      <c r="AMC2042" s="38"/>
      <c r="AMD2042" s="38"/>
      <c r="AME2042" s="38"/>
      <c r="AMF2042" s="38"/>
      <c r="AMG2042" s="38"/>
      <c r="AMH2042" s="38"/>
      <c r="AMI2042" s="38"/>
      <c r="AMJ2042" s="38"/>
      <c r="AMK2042" s="38"/>
      <c r="AML2042" s="38"/>
      <c r="AMM2042" s="38"/>
      <c r="AMN2042" s="38"/>
      <c r="AMO2042" s="38"/>
      <c r="AMP2042" s="38"/>
      <c r="AMQ2042" s="38"/>
      <c r="AMR2042" s="38"/>
      <c r="AMS2042" s="38"/>
      <c r="AMT2042" s="38"/>
      <c r="AMU2042" s="38"/>
      <c r="AMV2042" s="38"/>
      <c r="AMW2042" s="38"/>
      <c r="AMX2042" s="38"/>
      <c r="AMY2042" s="38"/>
      <c r="AMZ2042" s="38"/>
      <c r="ANA2042" s="38"/>
      <c r="ANB2042" s="38"/>
      <c r="ANC2042" s="38"/>
      <c r="AND2042" s="38"/>
      <c r="ANE2042" s="38"/>
      <c r="ANF2042" s="38"/>
      <c r="ANG2042" s="38"/>
      <c r="ANH2042" s="38"/>
      <c r="ANI2042" s="38"/>
      <c r="ANJ2042" s="38"/>
      <c r="ANK2042" s="38"/>
      <c r="ANL2042" s="38"/>
      <c r="ANM2042" s="38"/>
      <c r="ANN2042" s="38"/>
      <c r="ANO2042" s="38"/>
      <c r="ANP2042" s="38"/>
      <c r="ANQ2042" s="38"/>
      <c r="ANR2042" s="38"/>
      <c r="ANS2042" s="38"/>
      <c r="ANT2042" s="38"/>
      <c r="ANU2042" s="38"/>
      <c r="ANV2042" s="38"/>
      <c r="ANW2042" s="38"/>
      <c r="ANX2042" s="38"/>
      <c r="ANY2042" s="38"/>
      <c r="ANZ2042" s="38"/>
      <c r="AOA2042" s="38"/>
      <c r="AOB2042" s="38"/>
      <c r="AOC2042" s="38"/>
      <c r="AOD2042" s="38"/>
      <c r="AOE2042" s="38"/>
      <c r="AOF2042" s="38"/>
      <c r="AOG2042" s="38"/>
      <c r="AOH2042" s="38"/>
      <c r="AOI2042" s="38"/>
      <c r="AOJ2042" s="38"/>
      <c r="AOK2042" s="38"/>
      <c r="AOL2042" s="38"/>
      <c r="AOM2042" s="38"/>
      <c r="AON2042" s="38"/>
      <c r="AOO2042" s="38"/>
      <c r="AOP2042" s="38"/>
      <c r="AOQ2042" s="38"/>
      <c r="AOR2042" s="38"/>
      <c r="AOS2042" s="38"/>
      <c r="AOT2042" s="38"/>
      <c r="AOU2042" s="38"/>
      <c r="AOV2042" s="38"/>
      <c r="AOW2042" s="38"/>
      <c r="AOX2042" s="38"/>
      <c r="AOY2042" s="38"/>
      <c r="AOZ2042" s="38"/>
      <c r="APA2042" s="38"/>
      <c r="APB2042" s="38"/>
      <c r="APC2042" s="38"/>
    </row>
    <row r="2043" spans="1:1095" s="36" customFormat="1" ht="14.25" customHeight="1">
      <c r="A2043" s="3" t="s">
        <v>1722</v>
      </c>
      <c r="B2043" s="36" t="s">
        <v>2405</v>
      </c>
      <c r="C2043" s="10">
        <v>4099854062384</v>
      </c>
      <c r="D2043" s="224">
        <v>4058075591417</v>
      </c>
      <c r="E2043" s="245" t="s">
        <v>2406</v>
      </c>
      <c r="F2043" s="246"/>
      <c r="G2043" s="66" t="str">
        <f>HYPERLINK("https://ledvance.com/pt/product-datasheet/251486/237530","Ficha de Produto")</f>
        <v>Ficha de Produto</v>
      </c>
      <c r="H2043" s="217">
        <v>6</v>
      </c>
      <c r="I2043" s="34" t="s">
        <v>6349</v>
      </c>
      <c r="J2043" s="34" t="s">
        <v>6367</v>
      </c>
      <c r="K2043" s="34" t="s">
        <v>788</v>
      </c>
      <c r="L2043" s="34" t="s">
        <v>6506</v>
      </c>
      <c r="M2043" s="247">
        <v>10.9</v>
      </c>
      <c r="N2043" s="288" t="s">
        <v>722</v>
      </c>
    </row>
    <row r="2044" spans="1:1095" s="36" customFormat="1" ht="14.25" customHeight="1">
      <c r="A2044" s="3" t="s">
        <v>1722</v>
      </c>
      <c r="B2044" s="36" t="s">
        <v>2407</v>
      </c>
      <c r="C2044" s="10">
        <v>4099854062865</v>
      </c>
      <c r="D2044" s="224">
        <v>4058075590618</v>
      </c>
      <c r="E2044" s="245" t="s">
        <v>2408</v>
      </c>
      <c r="F2044" s="246"/>
      <c r="G2044" s="66" t="str">
        <f>HYPERLINK("https://ledvance.com/pt/product-datasheet/251486/237658","Ficha de Produto")</f>
        <v>Ficha de Produto</v>
      </c>
      <c r="H2044" s="217">
        <v>6</v>
      </c>
      <c r="I2044" s="34" t="s">
        <v>6352</v>
      </c>
      <c r="J2044" s="34" t="s">
        <v>1053</v>
      </c>
      <c r="K2044" s="34" t="s">
        <v>788</v>
      </c>
      <c r="L2044" s="34" t="s">
        <v>6506</v>
      </c>
      <c r="M2044" s="247">
        <v>18.2</v>
      </c>
      <c r="N2044" s="288" t="s">
        <v>722</v>
      </c>
    </row>
    <row r="2045" spans="1:1095" s="39" customFormat="1" ht="14.25" customHeight="1">
      <c r="A2045" s="8" t="s">
        <v>1722</v>
      </c>
      <c r="B2045" s="244" t="s">
        <v>2409</v>
      </c>
      <c r="C2045" s="8"/>
      <c r="D2045" s="7"/>
      <c r="E2045" s="230"/>
      <c r="F2045" s="7"/>
      <c r="G2045" s="68"/>
      <c r="H2045" s="230"/>
      <c r="I2045" s="230"/>
      <c r="J2045" s="230"/>
      <c r="K2045" s="230"/>
      <c r="L2045" s="230"/>
      <c r="M2045" s="248"/>
      <c r="N2045" s="284"/>
      <c r="O2045" s="38"/>
      <c r="P2045" s="38"/>
      <c r="Q2045" s="38"/>
      <c r="R2045" s="38"/>
      <c r="S2045" s="38"/>
      <c r="T2045" s="38"/>
      <c r="U2045" s="38"/>
      <c r="V2045" s="38"/>
      <c r="W2045" s="38"/>
      <c r="X2045" s="38"/>
      <c r="Y2045" s="38"/>
      <c r="Z2045" s="38"/>
      <c r="AA2045" s="38"/>
      <c r="AB2045" s="38"/>
      <c r="AC2045" s="38"/>
      <c r="AD2045" s="38"/>
      <c r="AE2045" s="38"/>
      <c r="AF2045" s="38"/>
      <c r="AG2045" s="38"/>
      <c r="AH2045" s="38"/>
      <c r="AI2045" s="38"/>
      <c r="AJ2045" s="38"/>
      <c r="AK2045" s="38"/>
      <c r="AL2045" s="38"/>
      <c r="AM2045" s="38"/>
      <c r="AN2045" s="38"/>
      <c r="AO2045" s="38"/>
      <c r="AP2045" s="38"/>
      <c r="AQ2045" s="38"/>
      <c r="AR2045" s="38"/>
      <c r="AS2045" s="38"/>
      <c r="AT2045" s="38"/>
      <c r="AU2045" s="38"/>
      <c r="AV2045" s="38"/>
      <c r="AW2045" s="38"/>
      <c r="AX2045" s="38"/>
      <c r="AY2045" s="38"/>
      <c r="AZ2045" s="38"/>
      <c r="BA2045" s="38"/>
      <c r="BB2045" s="38"/>
      <c r="BC2045" s="38"/>
      <c r="BD2045" s="38"/>
      <c r="BE2045" s="38"/>
      <c r="BF2045" s="38"/>
      <c r="BG2045" s="38"/>
      <c r="BH2045" s="38"/>
      <c r="BI2045" s="38"/>
      <c r="BJ2045" s="38"/>
      <c r="BK2045" s="38"/>
      <c r="BL2045" s="38"/>
      <c r="BM2045" s="38"/>
      <c r="BN2045" s="38"/>
      <c r="BO2045" s="38"/>
      <c r="BP2045" s="38"/>
      <c r="BQ2045" s="38"/>
      <c r="BR2045" s="38"/>
      <c r="BS2045" s="38"/>
      <c r="BT2045" s="38"/>
      <c r="BU2045" s="38"/>
      <c r="BV2045" s="38"/>
      <c r="BW2045" s="38"/>
      <c r="BX2045" s="38"/>
      <c r="BY2045" s="38"/>
      <c r="BZ2045" s="38"/>
      <c r="CA2045" s="38"/>
      <c r="CB2045" s="38"/>
      <c r="CC2045" s="38"/>
      <c r="CD2045" s="38"/>
      <c r="CE2045" s="38"/>
      <c r="CF2045" s="38"/>
      <c r="CG2045" s="38"/>
      <c r="CH2045" s="38"/>
      <c r="CI2045" s="38"/>
      <c r="CJ2045" s="38"/>
      <c r="CK2045" s="38"/>
      <c r="CL2045" s="38"/>
      <c r="CM2045" s="38"/>
      <c r="CN2045" s="38"/>
      <c r="CO2045" s="38"/>
      <c r="CP2045" s="38"/>
      <c r="CQ2045" s="38"/>
      <c r="CR2045" s="38"/>
      <c r="CS2045" s="38"/>
      <c r="CT2045" s="38"/>
      <c r="CU2045" s="38"/>
      <c r="CV2045" s="38"/>
      <c r="CW2045" s="38"/>
      <c r="CX2045" s="38"/>
      <c r="CY2045" s="38"/>
      <c r="CZ2045" s="38"/>
      <c r="DA2045" s="38"/>
      <c r="DB2045" s="38"/>
      <c r="DC2045" s="38"/>
      <c r="DD2045" s="38"/>
      <c r="DE2045" s="38"/>
      <c r="DF2045" s="38"/>
      <c r="DG2045" s="38"/>
      <c r="DH2045" s="38"/>
      <c r="DI2045" s="38"/>
      <c r="DJ2045" s="38"/>
      <c r="DK2045" s="38"/>
      <c r="DL2045" s="38"/>
      <c r="DM2045" s="38"/>
      <c r="DN2045" s="38"/>
      <c r="DO2045" s="38"/>
      <c r="DP2045" s="38"/>
      <c r="DQ2045" s="38"/>
      <c r="DR2045" s="38"/>
      <c r="DS2045" s="38"/>
      <c r="DT2045" s="38"/>
      <c r="DU2045" s="38"/>
      <c r="DV2045" s="38"/>
      <c r="DW2045" s="38"/>
      <c r="DX2045" s="38"/>
      <c r="DY2045" s="38"/>
      <c r="DZ2045" s="38"/>
      <c r="EA2045" s="38"/>
      <c r="EB2045" s="38"/>
      <c r="EC2045" s="38"/>
      <c r="ED2045" s="38"/>
      <c r="EE2045" s="38"/>
      <c r="EF2045" s="38"/>
      <c r="EG2045" s="38"/>
      <c r="EH2045" s="38"/>
      <c r="EI2045" s="38"/>
      <c r="EJ2045" s="38"/>
      <c r="EK2045" s="38"/>
      <c r="EL2045" s="38"/>
      <c r="EM2045" s="38"/>
      <c r="EN2045" s="38"/>
      <c r="EO2045" s="38"/>
      <c r="EP2045" s="38"/>
      <c r="EQ2045" s="38"/>
      <c r="ER2045" s="38"/>
      <c r="ES2045" s="38"/>
      <c r="ET2045" s="38"/>
      <c r="EU2045" s="38"/>
      <c r="EV2045" s="38"/>
      <c r="EW2045" s="38"/>
      <c r="EX2045" s="38"/>
      <c r="EY2045" s="38"/>
      <c r="EZ2045" s="38"/>
      <c r="FA2045" s="38"/>
      <c r="FB2045" s="38"/>
      <c r="FC2045" s="38"/>
      <c r="FD2045" s="38"/>
      <c r="FE2045" s="38"/>
      <c r="FF2045" s="38"/>
      <c r="FG2045" s="38"/>
      <c r="FH2045" s="38"/>
      <c r="FI2045" s="38"/>
      <c r="FJ2045" s="38"/>
      <c r="FK2045" s="38"/>
      <c r="FL2045" s="38"/>
      <c r="FM2045" s="38"/>
      <c r="FN2045" s="38"/>
      <c r="FO2045" s="38"/>
      <c r="FP2045" s="38"/>
      <c r="FQ2045" s="38"/>
      <c r="FR2045" s="38"/>
      <c r="FS2045" s="38"/>
      <c r="FT2045" s="38"/>
      <c r="FU2045" s="38"/>
      <c r="FV2045" s="38"/>
      <c r="FW2045" s="38"/>
      <c r="FX2045" s="38"/>
      <c r="FY2045" s="38"/>
      <c r="FZ2045" s="38"/>
      <c r="GA2045" s="38"/>
      <c r="GB2045" s="38"/>
      <c r="GC2045" s="38"/>
      <c r="GD2045" s="38"/>
      <c r="GE2045" s="38"/>
      <c r="GF2045" s="38"/>
      <c r="GG2045" s="38"/>
      <c r="GH2045" s="38"/>
      <c r="GI2045" s="38"/>
      <c r="GJ2045" s="38"/>
      <c r="GK2045" s="38"/>
      <c r="GL2045" s="38"/>
      <c r="GM2045" s="38"/>
      <c r="GN2045" s="38"/>
      <c r="GO2045" s="38"/>
      <c r="GP2045" s="38"/>
      <c r="GQ2045" s="38"/>
      <c r="GR2045" s="38"/>
      <c r="GS2045" s="38"/>
      <c r="GT2045" s="38"/>
      <c r="GU2045" s="38"/>
      <c r="GV2045" s="38"/>
      <c r="GW2045" s="38"/>
      <c r="GX2045" s="38"/>
      <c r="GY2045" s="38"/>
      <c r="GZ2045" s="38"/>
      <c r="HA2045" s="38"/>
      <c r="HB2045" s="38"/>
      <c r="HC2045" s="38"/>
      <c r="HD2045" s="38"/>
      <c r="HE2045" s="38"/>
      <c r="HF2045" s="38"/>
      <c r="HG2045" s="38"/>
      <c r="HH2045" s="38"/>
      <c r="HI2045" s="38"/>
      <c r="HJ2045" s="38"/>
      <c r="HK2045" s="38"/>
      <c r="HL2045" s="38"/>
      <c r="HM2045" s="38"/>
      <c r="HN2045" s="38"/>
      <c r="HO2045" s="38"/>
      <c r="HP2045" s="38"/>
      <c r="HQ2045" s="38"/>
      <c r="HR2045" s="38"/>
      <c r="HS2045" s="38"/>
      <c r="HT2045" s="38"/>
      <c r="HU2045" s="38"/>
      <c r="HV2045" s="38"/>
      <c r="HW2045" s="38"/>
      <c r="HX2045" s="38"/>
      <c r="HY2045" s="38"/>
      <c r="HZ2045" s="38"/>
      <c r="IA2045" s="38"/>
      <c r="IB2045" s="38"/>
      <c r="IC2045" s="38"/>
      <c r="ID2045" s="38"/>
      <c r="IE2045" s="38"/>
      <c r="IF2045" s="38"/>
      <c r="IG2045" s="38"/>
      <c r="IH2045" s="38"/>
      <c r="II2045" s="38"/>
      <c r="IJ2045" s="38"/>
      <c r="IK2045" s="38"/>
      <c r="IL2045" s="38"/>
      <c r="IM2045" s="38"/>
      <c r="IN2045" s="38"/>
      <c r="IO2045" s="38"/>
      <c r="IP2045" s="38"/>
      <c r="IQ2045" s="38"/>
      <c r="IR2045" s="38"/>
      <c r="IS2045" s="38"/>
      <c r="IT2045" s="38"/>
      <c r="IU2045" s="38"/>
      <c r="IV2045" s="38"/>
      <c r="IW2045" s="38"/>
      <c r="IX2045" s="38"/>
      <c r="IY2045" s="38"/>
      <c r="IZ2045" s="38"/>
      <c r="JA2045" s="38"/>
      <c r="JB2045" s="38"/>
      <c r="JC2045" s="38"/>
      <c r="JD2045" s="38"/>
      <c r="JE2045" s="38"/>
      <c r="JF2045" s="38"/>
      <c r="JG2045" s="38"/>
      <c r="JH2045" s="38"/>
      <c r="JI2045" s="38"/>
      <c r="JJ2045" s="38"/>
      <c r="JK2045" s="38"/>
      <c r="JL2045" s="38"/>
      <c r="JM2045" s="38"/>
      <c r="JN2045" s="38"/>
      <c r="JO2045" s="38"/>
      <c r="JP2045" s="38"/>
      <c r="JQ2045" s="38"/>
      <c r="JR2045" s="38"/>
      <c r="JS2045" s="38"/>
      <c r="JT2045" s="38"/>
      <c r="JU2045" s="38"/>
      <c r="JV2045" s="38"/>
      <c r="JW2045" s="38"/>
      <c r="JX2045" s="38"/>
      <c r="JY2045" s="38"/>
      <c r="JZ2045" s="38"/>
      <c r="KA2045" s="38"/>
      <c r="KB2045" s="38"/>
      <c r="KC2045" s="38"/>
      <c r="KD2045" s="38"/>
      <c r="KE2045" s="38"/>
      <c r="KF2045" s="38"/>
      <c r="KG2045" s="38"/>
      <c r="KH2045" s="38"/>
      <c r="KI2045" s="38"/>
      <c r="KJ2045" s="38"/>
      <c r="KK2045" s="38"/>
      <c r="KL2045" s="38"/>
      <c r="KM2045" s="38"/>
      <c r="KN2045" s="38"/>
      <c r="KO2045" s="38"/>
      <c r="KP2045" s="38"/>
      <c r="KQ2045" s="38"/>
      <c r="KR2045" s="38"/>
      <c r="KS2045" s="38"/>
      <c r="KT2045" s="38"/>
      <c r="KU2045" s="38"/>
      <c r="KV2045" s="38"/>
      <c r="KW2045" s="38"/>
      <c r="KX2045" s="38"/>
      <c r="KY2045" s="38"/>
      <c r="KZ2045" s="38"/>
      <c r="LA2045" s="38"/>
      <c r="LB2045" s="38"/>
      <c r="LC2045" s="38"/>
      <c r="LD2045" s="38"/>
      <c r="LE2045" s="38"/>
      <c r="LF2045" s="38"/>
      <c r="LG2045" s="38"/>
      <c r="LH2045" s="38"/>
      <c r="LI2045" s="38"/>
      <c r="LJ2045" s="38"/>
      <c r="LK2045" s="38"/>
      <c r="LL2045" s="38"/>
      <c r="LM2045" s="38"/>
      <c r="LN2045" s="38"/>
      <c r="LO2045" s="38"/>
      <c r="LP2045" s="38"/>
      <c r="LQ2045" s="38"/>
      <c r="LR2045" s="38"/>
      <c r="LS2045" s="38"/>
      <c r="LT2045" s="38"/>
      <c r="LU2045" s="38"/>
      <c r="LV2045" s="38"/>
      <c r="LW2045" s="38"/>
      <c r="LX2045" s="38"/>
      <c r="LY2045" s="38"/>
      <c r="LZ2045" s="38"/>
      <c r="MA2045" s="38"/>
      <c r="MB2045" s="38"/>
      <c r="MC2045" s="38"/>
      <c r="MD2045" s="38"/>
      <c r="ME2045" s="38"/>
      <c r="MF2045" s="38"/>
      <c r="MG2045" s="38"/>
      <c r="MH2045" s="38"/>
      <c r="MI2045" s="38"/>
      <c r="MJ2045" s="38"/>
      <c r="MK2045" s="38"/>
      <c r="ML2045" s="38"/>
      <c r="MM2045" s="38"/>
      <c r="MN2045" s="38"/>
      <c r="MO2045" s="38"/>
      <c r="MP2045" s="38"/>
      <c r="MQ2045" s="38"/>
      <c r="MR2045" s="38"/>
      <c r="MS2045" s="38"/>
      <c r="MT2045" s="38"/>
      <c r="MU2045" s="38"/>
      <c r="MV2045" s="38"/>
      <c r="MW2045" s="38"/>
      <c r="MX2045" s="38"/>
      <c r="MY2045" s="38"/>
      <c r="MZ2045" s="38"/>
      <c r="NA2045" s="38"/>
      <c r="NB2045" s="38"/>
      <c r="NC2045" s="38"/>
      <c r="ND2045" s="38"/>
      <c r="NE2045" s="38"/>
      <c r="NF2045" s="38"/>
      <c r="NG2045" s="38"/>
      <c r="NH2045" s="38"/>
      <c r="NI2045" s="38"/>
      <c r="NJ2045" s="38"/>
      <c r="NK2045" s="38"/>
      <c r="NL2045" s="38"/>
      <c r="NM2045" s="38"/>
      <c r="NN2045" s="38"/>
      <c r="NO2045" s="38"/>
      <c r="NP2045" s="38"/>
      <c r="NQ2045" s="38"/>
      <c r="NR2045" s="38"/>
      <c r="NS2045" s="38"/>
      <c r="NT2045" s="38"/>
      <c r="NU2045" s="38"/>
      <c r="NV2045" s="38"/>
      <c r="NW2045" s="38"/>
      <c r="NX2045" s="38"/>
      <c r="NY2045" s="38"/>
      <c r="NZ2045" s="38"/>
      <c r="OA2045" s="38"/>
      <c r="OB2045" s="38"/>
      <c r="OC2045" s="38"/>
      <c r="OD2045" s="38"/>
      <c r="OE2045" s="38"/>
      <c r="OF2045" s="38"/>
      <c r="OG2045" s="38"/>
      <c r="OH2045" s="38"/>
      <c r="OI2045" s="38"/>
      <c r="OJ2045" s="38"/>
      <c r="OK2045" s="38"/>
      <c r="OL2045" s="38"/>
      <c r="OM2045" s="38"/>
      <c r="ON2045" s="38"/>
      <c r="OO2045" s="38"/>
      <c r="OP2045" s="38"/>
      <c r="OQ2045" s="38"/>
      <c r="OR2045" s="38"/>
      <c r="OS2045" s="38"/>
      <c r="OT2045" s="38"/>
      <c r="OU2045" s="38"/>
      <c r="OV2045" s="38"/>
      <c r="OW2045" s="38"/>
      <c r="OX2045" s="38"/>
      <c r="OY2045" s="38"/>
      <c r="OZ2045" s="38"/>
      <c r="PA2045" s="38"/>
      <c r="PB2045" s="38"/>
      <c r="PC2045" s="38"/>
      <c r="PD2045" s="38"/>
      <c r="PE2045" s="38"/>
      <c r="PF2045" s="38"/>
      <c r="PG2045" s="38"/>
      <c r="PH2045" s="38"/>
      <c r="PI2045" s="38"/>
      <c r="PJ2045" s="38"/>
      <c r="PK2045" s="38"/>
      <c r="PL2045" s="38"/>
      <c r="PM2045" s="38"/>
      <c r="PN2045" s="38"/>
      <c r="PO2045" s="38"/>
      <c r="PP2045" s="38"/>
      <c r="PQ2045" s="38"/>
      <c r="PR2045" s="38"/>
      <c r="PS2045" s="38"/>
      <c r="PT2045" s="38"/>
      <c r="PU2045" s="38"/>
      <c r="PV2045" s="38"/>
      <c r="PW2045" s="38"/>
      <c r="PX2045" s="38"/>
      <c r="PY2045" s="38"/>
      <c r="PZ2045" s="38"/>
      <c r="QA2045" s="38"/>
      <c r="QB2045" s="38"/>
      <c r="QC2045" s="38"/>
      <c r="QD2045" s="38"/>
      <c r="QE2045" s="38"/>
      <c r="QF2045" s="38"/>
      <c r="QG2045" s="38"/>
      <c r="QH2045" s="38"/>
      <c r="QI2045" s="38"/>
      <c r="QJ2045" s="38"/>
      <c r="QK2045" s="38"/>
      <c r="QL2045" s="38"/>
      <c r="QM2045" s="38"/>
      <c r="QN2045" s="38"/>
      <c r="QO2045" s="38"/>
      <c r="QP2045" s="38"/>
      <c r="QQ2045" s="38"/>
      <c r="QR2045" s="38"/>
      <c r="QS2045" s="38"/>
      <c r="QT2045" s="38"/>
      <c r="QU2045" s="38"/>
      <c r="QV2045" s="38"/>
      <c r="QW2045" s="38"/>
      <c r="QX2045" s="38"/>
      <c r="QY2045" s="38"/>
      <c r="QZ2045" s="38"/>
      <c r="RA2045" s="38"/>
      <c r="RB2045" s="38"/>
      <c r="RC2045" s="38"/>
      <c r="RD2045" s="38"/>
      <c r="RE2045" s="38"/>
      <c r="RF2045" s="38"/>
      <c r="RG2045" s="38"/>
      <c r="RH2045" s="38"/>
      <c r="RI2045" s="38"/>
      <c r="RJ2045" s="38"/>
      <c r="RK2045" s="38"/>
      <c r="RL2045" s="38"/>
      <c r="RM2045" s="38"/>
      <c r="RN2045" s="38"/>
      <c r="RO2045" s="38"/>
      <c r="RP2045" s="38"/>
      <c r="RQ2045" s="38"/>
      <c r="RR2045" s="38"/>
      <c r="RS2045" s="38"/>
      <c r="RT2045" s="38"/>
      <c r="RU2045" s="38"/>
      <c r="RV2045" s="38"/>
      <c r="RW2045" s="38"/>
      <c r="RX2045" s="38"/>
      <c r="RY2045" s="38"/>
      <c r="RZ2045" s="38"/>
      <c r="SA2045" s="38"/>
      <c r="SB2045" s="38"/>
      <c r="SC2045" s="38"/>
      <c r="SD2045" s="38"/>
      <c r="SE2045" s="38"/>
      <c r="SF2045" s="38"/>
      <c r="SG2045" s="38"/>
      <c r="SH2045" s="38"/>
      <c r="SI2045" s="38"/>
      <c r="SJ2045" s="38"/>
      <c r="SK2045" s="38"/>
      <c r="SL2045" s="38"/>
      <c r="SM2045" s="38"/>
      <c r="SN2045" s="38"/>
      <c r="SO2045" s="38"/>
      <c r="SP2045" s="38"/>
      <c r="SQ2045" s="38"/>
      <c r="SR2045" s="38"/>
      <c r="SS2045" s="38"/>
      <c r="ST2045" s="38"/>
      <c r="SU2045" s="38"/>
      <c r="SV2045" s="38"/>
      <c r="SW2045" s="38"/>
      <c r="SX2045" s="38"/>
      <c r="SY2045" s="38"/>
      <c r="SZ2045" s="38"/>
      <c r="TA2045" s="38"/>
      <c r="TB2045" s="38"/>
      <c r="TC2045" s="38"/>
      <c r="TD2045" s="38"/>
      <c r="TE2045" s="38"/>
      <c r="TF2045" s="38"/>
      <c r="TG2045" s="38"/>
      <c r="TH2045" s="38"/>
      <c r="TI2045" s="38"/>
      <c r="TJ2045" s="38"/>
      <c r="TK2045" s="38"/>
      <c r="TL2045" s="38"/>
      <c r="TM2045" s="38"/>
      <c r="TN2045" s="38"/>
      <c r="TO2045" s="38"/>
      <c r="TP2045" s="38"/>
      <c r="TQ2045" s="38"/>
      <c r="TR2045" s="38"/>
      <c r="TS2045" s="38"/>
      <c r="TT2045" s="38"/>
      <c r="TU2045" s="38"/>
      <c r="TV2045" s="38"/>
      <c r="TW2045" s="38"/>
      <c r="TX2045" s="38"/>
      <c r="TY2045" s="38"/>
      <c r="TZ2045" s="38"/>
      <c r="UA2045" s="38"/>
      <c r="UB2045" s="38"/>
      <c r="UC2045" s="38"/>
      <c r="UD2045" s="38"/>
      <c r="UE2045" s="38"/>
      <c r="UF2045" s="38"/>
      <c r="UG2045" s="38"/>
      <c r="UH2045" s="38"/>
      <c r="UI2045" s="38"/>
      <c r="UJ2045" s="38"/>
      <c r="UK2045" s="38"/>
      <c r="UL2045" s="38"/>
      <c r="UM2045" s="38"/>
      <c r="UN2045" s="38"/>
      <c r="UO2045" s="38"/>
      <c r="UP2045" s="38"/>
      <c r="UQ2045" s="38"/>
      <c r="UR2045" s="38"/>
      <c r="US2045" s="38"/>
      <c r="UT2045" s="38"/>
      <c r="UU2045" s="38"/>
      <c r="UV2045" s="38"/>
      <c r="UW2045" s="38"/>
      <c r="UX2045" s="38"/>
      <c r="UY2045" s="38"/>
      <c r="UZ2045" s="38"/>
      <c r="VA2045" s="38"/>
      <c r="VB2045" s="38"/>
      <c r="VC2045" s="38"/>
      <c r="VD2045" s="38"/>
      <c r="VE2045" s="38"/>
      <c r="VF2045" s="38"/>
      <c r="VG2045" s="38"/>
      <c r="VH2045" s="38"/>
      <c r="VI2045" s="38"/>
      <c r="VJ2045" s="38"/>
      <c r="VK2045" s="38"/>
      <c r="VL2045" s="38"/>
      <c r="VM2045" s="38"/>
      <c r="VN2045" s="38"/>
      <c r="VO2045" s="38"/>
      <c r="VP2045" s="38"/>
      <c r="VQ2045" s="38"/>
      <c r="VR2045" s="38"/>
      <c r="VS2045" s="38"/>
      <c r="VT2045" s="38"/>
      <c r="VU2045" s="38"/>
      <c r="VV2045" s="38"/>
      <c r="VW2045" s="38"/>
      <c r="VX2045" s="38"/>
      <c r="VY2045" s="38"/>
      <c r="VZ2045" s="38"/>
      <c r="WA2045" s="38"/>
      <c r="WB2045" s="38"/>
      <c r="WC2045" s="38"/>
      <c r="WD2045" s="38"/>
      <c r="WE2045" s="38"/>
      <c r="WF2045" s="38"/>
      <c r="WG2045" s="38"/>
      <c r="WH2045" s="38"/>
      <c r="WI2045" s="38"/>
      <c r="WJ2045" s="38"/>
      <c r="WK2045" s="38"/>
      <c r="WL2045" s="38"/>
      <c r="WM2045" s="38"/>
      <c r="WN2045" s="38"/>
      <c r="WO2045" s="38"/>
      <c r="WP2045" s="38"/>
      <c r="WQ2045" s="38"/>
      <c r="WR2045" s="38"/>
      <c r="WS2045" s="38"/>
      <c r="WT2045" s="38"/>
      <c r="WU2045" s="38"/>
      <c r="WV2045" s="38"/>
      <c r="WW2045" s="38"/>
      <c r="WX2045" s="38"/>
      <c r="WY2045" s="38"/>
      <c r="WZ2045" s="38"/>
      <c r="XA2045" s="38"/>
      <c r="XB2045" s="38"/>
      <c r="XC2045" s="38"/>
      <c r="XD2045" s="38"/>
      <c r="XE2045" s="38"/>
      <c r="XF2045" s="38"/>
      <c r="XG2045" s="38"/>
      <c r="XH2045" s="38"/>
      <c r="XI2045" s="38"/>
      <c r="XJ2045" s="38"/>
      <c r="XK2045" s="38"/>
      <c r="XL2045" s="38"/>
      <c r="XM2045" s="38"/>
      <c r="XN2045" s="38"/>
      <c r="XO2045" s="38"/>
      <c r="XP2045" s="38"/>
      <c r="XQ2045" s="38"/>
      <c r="XR2045" s="38"/>
      <c r="XS2045" s="38"/>
      <c r="XT2045" s="38"/>
      <c r="XU2045" s="38"/>
      <c r="XV2045" s="38"/>
      <c r="XW2045" s="38"/>
      <c r="XX2045" s="38"/>
      <c r="XY2045" s="38"/>
      <c r="XZ2045" s="38"/>
      <c r="YA2045" s="38"/>
      <c r="YB2045" s="38"/>
      <c r="YC2045" s="38"/>
      <c r="YD2045" s="38"/>
      <c r="YE2045" s="38"/>
      <c r="YF2045" s="38"/>
      <c r="YG2045" s="38"/>
      <c r="YH2045" s="38"/>
      <c r="YI2045" s="38"/>
      <c r="YJ2045" s="38"/>
      <c r="YK2045" s="38"/>
      <c r="YL2045" s="38"/>
      <c r="YM2045" s="38"/>
      <c r="YN2045" s="38"/>
      <c r="YO2045" s="38"/>
      <c r="YP2045" s="38"/>
      <c r="YQ2045" s="38"/>
      <c r="YR2045" s="38"/>
      <c r="YS2045" s="38"/>
      <c r="YT2045" s="38"/>
      <c r="YU2045" s="38"/>
      <c r="YV2045" s="38"/>
      <c r="YW2045" s="38"/>
      <c r="YX2045" s="38"/>
      <c r="YY2045" s="38"/>
      <c r="YZ2045" s="38"/>
      <c r="ZA2045" s="38"/>
      <c r="ZB2045" s="38"/>
      <c r="ZC2045" s="38"/>
      <c r="ZD2045" s="38"/>
      <c r="ZE2045" s="38"/>
      <c r="ZF2045" s="38"/>
      <c r="ZG2045" s="38"/>
      <c r="ZH2045" s="38"/>
      <c r="ZI2045" s="38"/>
      <c r="ZJ2045" s="38"/>
      <c r="ZK2045" s="38"/>
      <c r="ZL2045" s="38"/>
      <c r="ZM2045" s="38"/>
      <c r="ZN2045" s="38"/>
      <c r="ZO2045" s="38"/>
      <c r="ZP2045" s="38"/>
      <c r="ZQ2045" s="38"/>
      <c r="ZR2045" s="38"/>
      <c r="ZS2045" s="38"/>
      <c r="ZT2045" s="38"/>
      <c r="ZU2045" s="38"/>
      <c r="ZV2045" s="38"/>
      <c r="ZW2045" s="38"/>
      <c r="ZX2045" s="38"/>
      <c r="ZY2045" s="38"/>
      <c r="ZZ2045" s="38"/>
      <c r="AAA2045" s="38"/>
      <c r="AAB2045" s="38"/>
      <c r="AAC2045" s="38"/>
      <c r="AAD2045" s="38"/>
      <c r="AAE2045" s="38"/>
      <c r="AAF2045" s="38"/>
      <c r="AAG2045" s="38"/>
      <c r="AAH2045" s="38"/>
      <c r="AAI2045" s="38"/>
      <c r="AAJ2045" s="38"/>
      <c r="AAK2045" s="38"/>
      <c r="AAL2045" s="38"/>
      <c r="AAM2045" s="38"/>
      <c r="AAN2045" s="38"/>
      <c r="AAO2045" s="38"/>
      <c r="AAP2045" s="38"/>
      <c r="AAQ2045" s="38"/>
      <c r="AAR2045" s="38"/>
      <c r="AAS2045" s="38"/>
      <c r="AAT2045" s="38"/>
      <c r="AAU2045" s="38"/>
      <c r="AAV2045" s="38"/>
      <c r="AAW2045" s="38"/>
      <c r="AAX2045" s="38"/>
      <c r="AAY2045" s="38"/>
      <c r="AAZ2045" s="38"/>
      <c r="ABA2045" s="38"/>
      <c r="ABB2045" s="38"/>
      <c r="ABC2045" s="38"/>
      <c r="ABD2045" s="38"/>
      <c r="ABE2045" s="38"/>
      <c r="ABF2045" s="38"/>
      <c r="ABG2045" s="38"/>
      <c r="ABH2045" s="38"/>
      <c r="ABI2045" s="38"/>
      <c r="ABJ2045" s="38"/>
      <c r="ABK2045" s="38"/>
      <c r="ABL2045" s="38"/>
      <c r="ABM2045" s="38"/>
      <c r="ABN2045" s="38"/>
      <c r="ABO2045" s="38"/>
      <c r="ABP2045" s="38"/>
      <c r="ABQ2045" s="38"/>
      <c r="ABR2045" s="38"/>
      <c r="ABS2045" s="38"/>
      <c r="ABT2045" s="38"/>
      <c r="ABU2045" s="38"/>
      <c r="ABV2045" s="38"/>
      <c r="ABW2045" s="38"/>
      <c r="ABX2045" s="38"/>
      <c r="ABY2045" s="38"/>
      <c r="ABZ2045" s="38"/>
      <c r="ACA2045" s="38"/>
      <c r="ACB2045" s="38"/>
      <c r="ACC2045" s="38"/>
      <c r="ACD2045" s="38"/>
      <c r="ACE2045" s="38"/>
      <c r="ACF2045" s="38"/>
      <c r="ACG2045" s="38"/>
      <c r="ACH2045" s="38"/>
      <c r="ACI2045" s="38"/>
      <c r="ACJ2045" s="38"/>
      <c r="ACK2045" s="38"/>
      <c r="ACL2045" s="38"/>
      <c r="ACM2045" s="38"/>
      <c r="ACN2045" s="38"/>
      <c r="ACO2045" s="38"/>
      <c r="ACP2045" s="38"/>
      <c r="ACQ2045" s="38"/>
      <c r="ACR2045" s="38"/>
      <c r="ACS2045" s="38"/>
      <c r="ACT2045" s="38"/>
      <c r="ACU2045" s="38"/>
      <c r="ACV2045" s="38"/>
      <c r="ACW2045" s="38"/>
      <c r="ACX2045" s="38"/>
      <c r="ACY2045" s="38"/>
      <c r="ACZ2045" s="38"/>
      <c r="ADA2045" s="38"/>
      <c r="ADB2045" s="38"/>
      <c r="ADC2045" s="38"/>
      <c r="ADD2045" s="38"/>
      <c r="ADE2045" s="38"/>
      <c r="ADF2045" s="38"/>
      <c r="ADG2045" s="38"/>
      <c r="ADH2045" s="38"/>
      <c r="ADI2045" s="38"/>
      <c r="ADJ2045" s="38"/>
      <c r="ADK2045" s="38"/>
      <c r="ADL2045" s="38"/>
      <c r="ADM2045" s="38"/>
      <c r="ADN2045" s="38"/>
      <c r="ADO2045" s="38"/>
      <c r="ADP2045" s="38"/>
      <c r="ADQ2045" s="38"/>
      <c r="ADR2045" s="38"/>
      <c r="ADS2045" s="38"/>
      <c r="ADT2045" s="38"/>
      <c r="ADU2045" s="38"/>
      <c r="ADV2045" s="38"/>
      <c r="ADW2045" s="38"/>
      <c r="ADX2045" s="38"/>
      <c r="ADY2045" s="38"/>
      <c r="ADZ2045" s="38"/>
      <c r="AEA2045" s="38"/>
      <c r="AEB2045" s="38"/>
      <c r="AEC2045" s="38"/>
      <c r="AED2045" s="38"/>
      <c r="AEE2045" s="38"/>
      <c r="AEF2045" s="38"/>
      <c r="AEG2045" s="38"/>
      <c r="AEH2045" s="38"/>
      <c r="AEI2045" s="38"/>
      <c r="AEJ2045" s="38"/>
      <c r="AEK2045" s="38"/>
      <c r="AEL2045" s="38"/>
      <c r="AEM2045" s="38"/>
      <c r="AEN2045" s="38"/>
      <c r="AEO2045" s="38"/>
      <c r="AEP2045" s="38"/>
      <c r="AEQ2045" s="38"/>
      <c r="AER2045" s="38"/>
      <c r="AES2045" s="38"/>
      <c r="AET2045" s="38"/>
      <c r="AEU2045" s="38"/>
      <c r="AEV2045" s="38"/>
      <c r="AEW2045" s="38"/>
      <c r="AEX2045" s="38"/>
      <c r="AEY2045" s="38"/>
      <c r="AEZ2045" s="38"/>
      <c r="AFA2045" s="38"/>
      <c r="AFB2045" s="38"/>
      <c r="AFC2045" s="38"/>
      <c r="AFD2045" s="38"/>
      <c r="AFE2045" s="38"/>
      <c r="AFF2045" s="38"/>
      <c r="AFG2045" s="38"/>
      <c r="AFH2045" s="38"/>
      <c r="AFI2045" s="38"/>
      <c r="AFJ2045" s="38"/>
      <c r="AFK2045" s="38"/>
      <c r="AFL2045" s="38"/>
      <c r="AFM2045" s="38"/>
      <c r="AFN2045" s="38"/>
      <c r="AFO2045" s="38"/>
      <c r="AFP2045" s="38"/>
      <c r="AFQ2045" s="38"/>
      <c r="AFR2045" s="38"/>
      <c r="AFS2045" s="38"/>
      <c r="AFT2045" s="38"/>
      <c r="AFU2045" s="38"/>
      <c r="AFV2045" s="38"/>
      <c r="AFW2045" s="38"/>
      <c r="AFX2045" s="38"/>
      <c r="AFY2045" s="38"/>
      <c r="AFZ2045" s="38"/>
      <c r="AGA2045" s="38"/>
      <c r="AGB2045" s="38"/>
      <c r="AGC2045" s="38"/>
      <c r="AGD2045" s="38"/>
      <c r="AGE2045" s="38"/>
      <c r="AGF2045" s="38"/>
      <c r="AGG2045" s="38"/>
      <c r="AGH2045" s="38"/>
      <c r="AGI2045" s="38"/>
      <c r="AGJ2045" s="38"/>
      <c r="AGK2045" s="38"/>
      <c r="AGL2045" s="38"/>
      <c r="AGM2045" s="38"/>
      <c r="AGN2045" s="38"/>
      <c r="AGO2045" s="38"/>
      <c r="AGP2045" s="38"/>
      <c r="AGQ2045" s="38"/>
      <c r="AGR2045" s="38"/>
      <c r="AGS2045" s="38"/>
      <c r="AGT2045" s="38"/>
      <c r="AGU2045" s="38"/>
      <c r="AGV2045" s="38"/>
      <c r="AGW2045" s="38"/>
      <c r="AGX2045" s="38"/>
      <c r="AGY2045" s="38"/>
      <c r="AGZ2045" s="38"/>
      <c r="AHA2045" s="38"/>
      <c r="AHB2045" s="38"/>
      <c r="AHC2045" s="38"/>
      <c r="AHD2045" s="38"/>
      <c r="AHE2045" s="38"/>
      <c r="AHF2045" s="38"/>
      <c r="AHG2045" s="38"/>
      <c r="AHH2045" s="38"/>
      <c r="AHI2045" s="38"/>
      <c r="AHJ2045" s="38"/>
      <c r="AHK2045" s="38"/>
      <c r="AHL2045" s="38"/>
      <c r="AHM2045" s="38"/>
      <c r="AHN2045" s="38"/>
      <c r="AHO2045" s="38"/>
      <c r="AHP2045" s="38"/>
      <c r="AHQ2045" s="38"/>
      <c r="AHR2045" s="38"/>
      <c r="AHS2045" s="38"/>
      <c r="AHT2045" s="38"/>
      <c r="AHU2045" s="38"/>
      <c r="AHV2045" s="38"/>
      <c r="AHW2045" s="38"/>
      <c r="AHX2045" s="38"/>
      <c r="AHY2045" s="38"/>
      <c r="AHZ2045" s="38"/>
      <c r="AIA2045" s="38"/>
      <c r="AIB2045" s="38"/>
      <c r="AIC2045" s="38"/>
      <c r="AID2045" s="38"/>
      <c r="AIE2045" s="38"/>
      <c r="AIF2045" s="38"/>
      <c r="AIG2045" s="38"/>
      <c r="AIH2045" s="38"/>
      <c r="AII2045" s="38"/>
      <c r="AIJ2045" s="38"/>
      <c r="AIK2045" s="38"/>
      <c r="AIL2045" s="38"/>
      <c r="AIM2045" s="38"/>
      <c r="AIN2045" s="38"/>
      <c r="AIO2045" s="38"/>
      <c r="AIP2045" s="38"/>
      <c r="AIQ2045" s="38"/>
      <c r="AIR2045" s="38"/>
      <c r="AIS2045" s="38"/>
      <c r="AIT2045" s="38"/>
      <c r="AIU2045" s="38"/>
      <c r="AIV2045" s="38"/>
      <c r="AIW2045" s="38"/>
      <c r="AIX2045" s="38"/>
      <c r="AIY2045" s="38"/>
      <c r="AIZ2045" s="38"/>
      <c r="AJA2045" s="38"/>
      <c r="AJB2045" s="38"/>
      <c r="AJC2045" s="38"/>
      <c r="AJD2045" s="38"/>
      <c r="AJE2045" s="38"/>
      <c r="AJF2045" s="38"/>
      <c r="AJG2045" s="38"/>
      <c r="AJH2045" s="38"/>
      <c r="AJI2045" s="38"/>
      <c r="AJJ2045" s="38"/>
      <c r="AJK2045" s="38"/>
      <c r="AJL2045" s="38"/>
      <c r="AJM2045" s="38"/>
      <c r="AJN2045" s="38"/>
      <c r="AJO2045" s="38"/>
      <c r="AJP2045" s="38"/>
      <c r="AJQ2045" s="38"/>
      <c r="AJR2045" s="38"/>
      <c r="AJS2045" s="38"/>
      <c r="AJT2045" s="38"/>
      <c r="AJU2045" s="38"/>
      <c r="AJV2045" s="38"/>
      <c r="AJW2045" s="38"/>
      <c r="AJX2045" s="38"/>
      <c r="AJY2045" s="38"/>
      <c r="AJZ2045" s="38"/>
      <c r="AKA2045" s="38"/>
      <c r="AKB2045" s="38"/>
      <c r="AKC2045" s="38"/>
      <c r="AKD2045" s="38"/>
      <c r="AKE2045" s="38"/>
      <c r="AKF2045" s="38"/>
      <c r="AKG2045" s="38"/>
      <c r="AKH2045" s="38"/>
      <c r="AKI2045" s="38"/>
      <c r="AKJ2045" s="38"/>
      <c r="AKK2045" s="38"/>
      <c r="AKL2045" s="38"/>
      <c r="AKM2045" s="38"/>
      <c r="AKN2045" s="38"/>
      <c r="AKO2045" s="38"/>
      <c r="AKP2045" s="38"/>
      <c r="AKQ2045" s="38"/>
      <c r="AKR2045" s="38"/>
      <c r="AKS2045" s="38"/>
      <c r="AKT2045" s="38"/>
      <c r="AKU2045" s="38"/>
      <c r="AKV2045" s="38"/>
      <c r="AKW2045" s="38"/>
      <c r="AKX2045" s="38"/>
      <c r="AKY2045" s="38"/>
      <c r="AKZ2045" s="38"/>
      <c r="ALA2045" s="38"/>
      <c r="ALB2045" s="38"/>
      <c r="ALC2045" s="38"/>
      <c r="ALD2045" s="38"/>
      <c r="ALE2045" s="38"/>
      <c r="ALF2045" s="38"/>
      <c r="ALG2045" s="38"/>
      <c r="ALH2045" s="38"/>
      <c r="ALI2045" s="38"/>
      <c r="ALJ2045" s="38"/>
      <c r="ALK2045" s="38"/>
      <c r="ALL2045" s="38"/>
      <c r="ALM2045" s="38"/>
      <c r="ALN2045" s="38"/>
      <c r="ALO2045" s="38"/>
      <c r="ALP2045" s="38"/>
      <c r="ALQ2045" s="38"/>
      <c r="ALR2045" s="38"/>
      <c r="ALS2045" s="38"/>
      <c r="ALT2045" s="38"/>
      <c r="ALU2045" s="38"/>
      <c r="ALV2045" s="38"/>
      <c r="ALW2045" s="38"/>
      <c r="ALX2045" s="38"/>
      <c r="ALY2045" s="38"/>
      <c r="ALZ2045" s="38"/>
      <c r="AMA2045" s="38"/>
      <c r="AMB2045" s="38"/>
      <c r="AMC2045" s="38"/>
      <c r="AMD2045" s="38"/>
      <c r="AME2045" s="38"/>
      <c r="AMF2045" s="38"/>
      <c r="AMG2045" s="38"/>
      <c r="AMH2045" s="38"/>
      <c r="AMI2045" s="38"/>
      <c r="AMJ2045" s="38"/>
      <c r="AMK2045" s="38"/>
      <c r="AML2045" s="38"/>
      <c r="AMM2045" s="38"/>
      <c r="AMN2045" s="38"/>
      <c r="AMO2045" s="38"/>
      <c r="AMP2045" s="38"/>
      <c r="AMQ2045" s="38"/>
      <c r="AMR2045" s="38"/>
      <c r="AMS2045" s="38"/>
      <c r="AMT2045" s="38"/>
      <c r="AMU2045" s="38"/>
      <c r="AMV2045" s="38"/>
      <c r="AMW2045" s="38"/>
      <c r="AMX2045" s="38"/>
      <c r="AMY2045" s="38"/>
      <c r="AMZ2045" s="38"/>
      <c r="ANA2045" s="38"/>
      <c r="ANB2045" s="38"/>
      <c r="ANC2045" s="38"/>
      <c r="AND2045" s="38"/>
      <c r="ANE2045" s="38"/>
      <c r="ANF2045" s="38"/>
      <c r="ANG2045" s="38"/>
      <c r="ANH2045" s="38"/>
      <c r="ANI2045" s="38"/>
      <c r="ANJ2045" s="38"/>
      <c r="ANK2045" s="38"/>
      <c r="ANL2045" s="38"/>
      <c r="ANM2045" s="38"/>
      <c r="ANN2045" s="38"/>
      <c r="ANO2045" s="38"/>
      <c r="ANP2045" s="38"/>
      <c r="ANQ2045" s="38"/>
      <c r="ANR2045" s="38"/>
      <c r="ANS2045" s="38"/>
      <c r="ANT2045" s="38"/>
      <c r="ANU2045" s="38"/>
      <c r="ANV2045" s="38"/>
      <c r="ANW2045" s="38"/>
      <c r="ANX2045" s="38"/>
      <c r="ANY2045" s="38"/>
      <c r="ANZ2045" s="38"/>
      <c r="AOA2045" s="38"/>
      <c r="AOB2045" s="38"/>
      <c r="AOC2045" s="38"/>
      <c r="AOD2045" s="38"/>
      <c r="AOE2045" s="38"/>
      <c r="AOF2045" s="38"/>
      <c r="AOG2045" s="38"/>
      <c r="AOH2045" s="38"/>
      <c r="AOI2045" s="38"/>
      <c r="AOJ2045" s="38"/>
      <c r="AOK2045" s="38"/>
      <c r="AOL2045" s="38"/>
      <c r="AOM2045" s="38"/>
      <c r="AON2045" s="38"/>
      <c r="AOO2045" s="38"/>
      <c r="AOP2045" s="38"/>
      <c r="AOQ2045" s="38"/>
      <c r="AOR2045" s="38"/>
      <c r="AOS2045" s="38"/>
      <c r="AOT2045" s="38"/>
      <c r="AOU2045" s="38"/>
      <c r="AOV2045" s="38"/>
      <c r="AOW2045" s="38"/>
      <c r="AOX2045" s="38"/>
      <c r="AOY2045" s="38"/>
      <c r="AOZ2045" s="38"/>
      <c r="APA2045" s="38"/>
      <c r="APB2045" s="38"/>
      <c r="APC2045" s="38"/>
    </row>
    <row r="2046" spans="1:1095" s="36" customFormat="1" ht="14.25" customHeight="1">
      <c r="A2046" s="3" t="s">
        <v>1722</v>
      </c>
      <c r="B2046" s="36" t="s">
        <v>2410</v>
      </c>
      <c r="C2046" s="10">
        <v>4099854070013</v>
      </c>
      <c r="D2046" s="224">
        <v>4058075590632</v>
      </c>
      <c r="E2046" s="245" t="s">
        <v>2411</v>
      </c>
      <c r="F2046" s="246"/>
      <c r="G2046" s="66" t="str">
        <f>HYPERLINK("https://ledvance.com/pt/product-datasheet/251483/238793","Ficha de Produto")</f>
        <v>Ficha de Produto</v>
      </c>
      <c r="H2046" s="217">
        <v>10</v>
      </c>
      <c r="I2046" s="34" t="s">
        <v>6354</v>
      </c>
      <c r="J2046" s="34" t="s">
        <v>855</v>
      </c>
      <c r="K2046" s="34" t="s">
        <v>788</v>
      </c>
      <c r="L2046" s="34" t="s">
        <v>6506</v>
      </c>
      <c r="M2046" s="247">
        <v>11.8</v>
      </c>
      <c r="N2046" s="288" t="s">
        <v>722</v>
      </c>
    </row>
    <row r="2047" spans="1:1095" s="36" customFormat="1" ht="14.25" customHeight="1">
      <c r="A2047" s="3" t="s">
        <v>1722</v>
      </c>
      <c r="B2047" s="36" t="s">
        <v>2412</v>
      </c>
      <c r="C2047" s="10">
        <v>4099854069994</v>
      </c>
      <c r="D2047" s="224">
        <v>4058075590595</v>
      </c>
      <c r="E2047" s="245" t="s">
        <v>2413</v>
      </c>
      <c r="F2047" s="246"/>
      <c r="G2047" s="66" t="str">
        <f>HYPERLINK("https://ledvance.com/pt/product-datasheet/251483/238790","Ficha de Produto")</f>
        <v>Ficha de Produto</v>
      </c>
      <c r="H2047" s="217">
        <v>10</v>
      </c>
      <c r="I2047" s="34" t="s">
        <v>6354</v>
      </c>
      <c r="J2047" s="34" t="s">
        <v>855</v>
      </c>
      <c r="K2047" s="34" t="s">
        <v>788</v>
      </c>
      <c r="L2047" s="34" t="s">
        <v>6506</v>
      </c>
      <c r="M2047" s="247">
        <v>11.8</v>
      </c>
      <c r="N2047" s="288" t="s">
        <v>722</v>
      </c>
    </row>
    <row r="2048" spans="1:1095" s="36" customFormat="1" ht="14.25" customHeight="1">
      <c r="A2048" s="3" t="s">
        <v>1722</v>
      </c>
      <c r="B2048" s="36" t="s">
        <v>2414</v>
      </c>
      <c r="C2048" s="10">
        <v>4099854062803</v>
      </c>
      <c r="D2048" s="224">
        <v>4058075590571</v>
      </c>
      <c r="E2048" s="245" t="s">
        <v>2415</v>
      </c>
      <c r="F2048" s="246"/>
      <c r="G2048" s="66" t="str">
        <f>HYPERLINK("https://ledvance.com/pt/product-datasheet/251483/237649","Ficha de Produto")</f>
        <v>Ficha de Produto</v>
      </c>
      <c r="H2048" s="217">
        <v>10</v>
      </c>
      <c r="I2048" s="34" t="s">
        <v>6373</v>
      </c>
      <c r="J2048" s="34" t="s">
        <v>6367</v>
      </c>
      <c r="K2048" s="34" t="s">
        <v>788</v>
      </c>
      <c r="L2048" s="34" t="s">
        <v>6506</v>
      </c>
      <c r="M2048" s="247">
        <v>17.100000000000001</v>
      </c>
      <c r="N2048" s="288" t="s">
        <v>722</v>
      </c>
    </row>
    <row r="2049" spans="1:1095" s="39" customFormat="1" ht="14.25" customHeight="1">
      <c r="A2049" s="8" t="s">
        <v>1722</v>
      </c>
      <c r="B2049" s="39" t="s">
        <v>2416</v>
      </c>
      <c r="C2049" s="8"/>
      <c r="D2049" s="7"/>
      <c r="E2049" s="230"/>
      <c r="F2049" s="7"/>
      <c r="G2049" s="68" t="s">
        <v>6505</v>
      </c>
      <c r="H2049" s="230"/>
      <c r="I2049" s="230"/>
      <c r="J2049" s="230"/>
      <c r="K2049" s="230"/>
      <c r="L2049" s="230"/>
      <c r="M2049" s="248"/>
      <c r="N2049" s="289"/>
      <c r="O2049" s="38"/>
      <c r="P2049" s="38"/>
      <c r="Q2049" s="38"/>
      <c r="R2049" s="38"/>
      <c r="S2049" s="38"/>
      <c r="T2049" s="38"/>
      <c r="U2049" s="38"/>
      <c r="V2049" s="38"/>
      <c r="W2049" s="38"/>
      <c r="X2049" s="38"/>
      <c r="Y2049" s="38"/>
      <c r="Z2049" s="38"/>
      <c r="AA2049" s="38"/>
      <c r="AB2049" s="38"/>
      <c r="AC2049" s="38"/>
      <c r="AD2049" s="38"/>
      <c r="AE2049" s="38"/>
      <c r="AF2049" s="38"/>
      <c r="AG2049" s="38"/>
      <c r="AH2049" s="38"/>
      <c r="AI2049" s="38"/>
      <c r="AJ2049" s="38"/>
      <c r="AK2049" s="38"/>
      <c r="AL2049" s="38"/>
      <c r="AM2049" s="38"/>
      <c r="AN2049" s="38"/>
      <c r="AO2049" s="38"/>
      <c r="AP2049" s="38"/>
      <c r="AQ2049" s="38"/>
      <c r="AR2049" s="38"/>
      <c r="AS2049" s="38"/>
      <c r="AT2049" s="38"/>
      <c r="AU2049" s="38"/>
      <c r="AV2049" s="38"/>
      <c r="AW2049" s="38"/>
      <c r="AX2049" s="38"/>
      <c r="AY2049" s="38"/>
      <c r="AZ2049" s="38"/>
      <c r="BA2049" s="38"/>
      <c r="BB2049" s="38"/>
      <c r="BC2049" s="38"/>
      <c r="BD2049" s="38"/>
      <c r="BE2049" s="38"/>
      <c r="BF2049" s="38"/>
      <c r="BG2049" s="38"/>
      <c r="BH2049" s="38"/>
      <c r="BI2049" s="38"/>
      <c r="BJ2049" s="38"/>
      <c r="BK2049" s="38"/>
      <c r="BL2049" s="38"/>
      <c r="BM2049" s="38"/>
      <c r="BN2049" s="38"/>
      <c r="BO2049" s="38"/>
      <c r="BP2049" s="38"/>
      <c r="BQ2049" s="38"/>
      <c r="BR2049" s="38"/>
      <c r="BS2049" s="38"/>
      <c r="BT2049" s="38"/>
      <c r="BU2049" s="38"/>
      <c r="BV2049" s="38"/>
      <c r="BW2049" s="38"/>
      <c r="BX2049" s="38"/>
      <c r="BY2049" s="38"/>
      <c r="BZ2049" s="38"/>
      <c r="CA2049" s="38"/>
      <c r="CB2049" s="38"/>
      <c r="CC2049" s="38"/>
      <c r="CD2049" s="38"/>
      <c r="CE2049" s="38"/>
      <c r="CF2049" s="38"/>
      <c r="CG2049" s="38"/>
      <c r="CH2049" s="38"/>
      <c r="CI2049" s="38"/>
      <c r="CJ2049" s="38"/>
      <c r="CK2049" s="38"/>
      <c r="CL2049" s="38"/>
      <c r="CM2049" s="38"/>
      <c r="CN2049" s="38"/>
      <c r="CO2049" s="38"/>
      <c r="CP2049" s="38"/>
      <c r="CQ2049" s="38"/>
      <c r="CR2049" s="38"/>
      <c r="CS2049" s="38"/>
      <c r="CT2049" s="38"/>
      <c r="CU2049" s="38"/>
      <c r="CV2049" s="38"/>
      <c r="CW2049" s="38"/>
      <c r="CX2049" s="38"/>
      <c r="CY2049" s="38"/>
      <c r="CZ2049" s="38"/>
      <c r="DA2049" s="38"/>
      <c r="DB2049" s="38"/>
      <c r="DC2049" s="38"/>
      <c r="DD2049" s="38"/>
      <c r="DE2049" s="38"/>
      <c r="DF2049" s="38"/>
      <c r="DG2049" s="38"/>
      <c r="DH2049" s="38"/>
      <c r="DI2049" s="38"/>
      <c r="DJ2049" s="38"/>
      <c r="DK2049" s="38"/>
      <c r="DL2049" s="38"/>
      <c r="DM2049" s="38"/>
      <c r="DN2049" s="38"/>
      <c r="DO2049" s="38"/>
      <c r="DP2049" s="38"/>
      <c r="DQ2049" s="38"/>
      <c r="DR2049" s="38"/>
      <c r="DS2049" s="38"/>
      <c r="DT2049" s="38"/>
      <c r="DU2049" s="38"/>
      <c r="DV2049" s="38"/>
      <c r="DW2049" s="38"/>
      <c r="DX2049" s="38"/>
      <c r="DY2049" s="38"/>
      <c r="DZ2049" s="38"/>
      <c r="EA2049" s="38"/>
      <c r="EB2049" s="38"/>
      <c r="EC2049" s="38"/>
      <c r="ED2049" s="38"/>
      <c r="EE2049" s="38"/>
      <c r="EF2049" s="38"/>
      <c r="EG2049" s="38"/>
      <c r="EH2049" s="38"/>
      <c r="EI2049" s="38"/>
      <c r="EJ2049" s="38"/>
      <c r="EK2049" s="38"/>
      <c r="EL2049" s="38"/>
      <c r="EM2049" s="38"/>
      <c r="EN2049" s="38"/>
      <c r="EO2049" s="38"/>
      <c r="EP2049" s="38"/>
      <c r="EQ2049" s="38"/>
      <c r="ER2049" s="38"/>
      <c r="ES2049" s="38"/>
      <c r="ET2049" s="38"/>
      <c r="EU2049" s="38"/>
      <c r="EV2049" s="38"/>
      <c r="EW2049" s="38"/>
      <c r="EX2049" s="38"/>
      <c r="EY2049" s="38"/>
      <c r="EZ2049" s="38"/>
      <c r="FA2049" s="38"/>
      <c r="FB2049" s="38"/>
      <c r="FC2049" s="38"/>
      <c r="FD2049" s="38"/>
      <c r="FE2049" s="38"/>
      <c r="FF2049" s="38"/>
      <c r="FG2049" s="38"/>
      <c r="FH2049" s="38"/>
      <c r="FI2049" s="38"/>
      <c r="FJ2049" s="38"/>
      <c r="FK2049" s="38"/>
      <c r="FL2049" s="38"/>
      <c r="FM2049" s="38"/>
      <c r="FN2049" s="38"/>
      <c r="FO2049" s="38"/>
      <c r="FP2049" s="38"/>
      <c r="FQ2049" s="38"/>
      <c r="FR2049" s="38"/>
      <c r="FS2049" s="38"/>
      <c r="FT2049" s="38"/>
      <c r="FU2049" s="38"/>
      <c r="FV2049" s="38"/>
      <c r="FW2049" s="38"/>
      <c r="FX2049" s="38"/>
      <c r="FY2049" s="38"/>
      <c r="FZ2049" s="38"/>
      <c r="GA2049" s="38"/>
      <c r="GB2049" s="38"/>
      <c r="GC2049" s="38"/>
      <c r="GD2049" s="38"/>
      <c r="GE2049" s="38"/>
      <c r="GF2049" s="38"/>
      <c r="GG2049" s="38"/>
      <c r="GH2049" s="38"/>
      <c r="GI2049" s="38"/>
      <c r="GJ2049" s="38"/>
      <c r="GK2049" s="38"/>
      <c r="GL2049" s="38"/>
      <c r="GM2049" s="38"/>
      <c r="GN2049" s="38"/>
      <c r="GO2049" s="38"/>
      <c r="GP2049" s="38"/>
      <c r="GQ2049" s="38"/>
      <c r="GR2049" s="38"/>
      <c r="GS2049" s="38"/>
      <c r="GT2049" s="38"/>
      <c r="GU2049" s="38"/>
      <c r="GV2049" s="38"/>
      <c r="GW2049" s="38"/>
      <c r="GX2049" s="38"/>
      <c r="GY2049" s="38"/>
      <c r="GZ2049" s="38"/>
      <c r="HA2049" s="38"/>
      <c r="HB2049" s="38"/>
      <c r="HC2049" s="38"/>
      <c r="HD2049" s="38"/>
      <c r="HE2049" s="38"/>
      <c r="HF2049" s="38"/>
      <c r="HG2049" s="38"/>
      <c r="HH2049" s="38"/>
      <c r="HI2049" s="38"/>
      <c r="HJ2049" s="38"/>
      <c r="HK2049" s="38"/>
      <c r="HL2049" s="38"/>
      <c r="HM2049" s="38"/>
      <c r="HN2049" s="38"/>
      <c r="HO2049" s="38"/>
      <c r="HP2049" s="38"/>
      <c r="HQ2049" s="38"/>
      <c r="HR2049" s="38"/>
      <c r="HS2049" s="38"/>
      <c r="HT2049" s="38"/>
      <c r="HU2049" s="38"/>
      <c r="HV2049" s="38"/>
      <c r="HW2049" s="38"/>
      <c r="HX2049" s="38"/>
      <c r="HY2049" s="38"/>
      <c r="HZ2049" s="38"/>
      <c r="IA2049" s="38"/>
      <c r="IB2049" s="38"/>
      <c r="IC2049" s="38"/>
      <c r="ID2049" s="38"/>
      <c r="IE2049" s="38"/>
      <c r="IF2049" s="38"/>
      <c r="IG2049" s="38"/>
      <c r="IH2049" s="38"/>
      <c r="II2049" s="38"/>
      <c r="IJ2049" s="38"/>
      <c r="IK2049" s="38"/>
      <c r="IL2049" s="38"/>
      <c r="IM2049" s="38"/>
      <c r="IN2049" s="38"/>
      <c r="IO2049" s="38"/>
      <c r="IP2049" s="38"/>
      <c r="IQ2049" s="38"/>
      <c r="IR2049" s="38"/>
      <c r="IS2049" s="38"/>
      <c r="IT2049" s="38"/>
      <c r="IU2049" s="38"/>
      <c r="IV2049" s="38"/>
      <c r="IW2049" s="38"/>
      <c r="IX2049" s="38"/>
      <c r="IY2049" s="38"/>
      <c r="IZ2049" s="38"/>
      <c r="JA2049" s="38"/>
      <c r="JB2049" s="38"/>
      <c r="JC2049" s="38"/>
      <c r="JD2049" s="38"/>
      <c r="JE2049" s="38"/>
      <c r="JF2049" s="38"/>
      <c r="JG2049" s="38"/>
      <c r="JH2049" s="38"/>
      <c r="JI2049" s="38"/>
      <c r="JJ2049" s="38"/>
      <c r="JK2049" s="38"/>
      <c r="JL2049" s="38"/>
      <c r="JM2049" s="38"/>
      <c r="JN2049" s="38"/>
      <c r="JO2049" s="38"/>
      <c r="JP2049" s="38"/>
      <c r="JQ2049" s="38"/>
      <c r="JR2049" s="38"/>
      <c r="JS2049" s="38"/>
      <c r="JT2049" s="38"/>
      <c r="JU2049" s="38"/>
      <c r="JV2049" s="38"/>
      <c r="JW2049" s="38"/>
      <c r="JX2049" s="38"/>
      <c r="JY2049" s="38"/>
      <c r="JZ2049" s="38"/>
      <c r="KA2049" s="38"/>
      <c r="KB2049" s="38"/>
      <c r="KC2049" s="38"/>
      <c r="KD2049" s="38"/>
      <c r="KE2049" s="38"/>
      <c r="KF2049" s="38"/>
      <c r="KG2049" s="38"/>
      <c r="KH2049" s="38"/>
      <c r="KI2049" s="38"/>
      <c r="KJ2049" s="38"/>
      <c r="KK2049" s="38"/>
      <c r="KL2049" s="38"/>
      <c r="KM2049" s="38"/>
      <c r="KN2049" s="38"/>
      <c r="KO2049" s="38"/>
      <c r="KP2049" s="38"/>
      <c r="KQ2049" s="38"/>
      <c r="KR2049" s="38"/>
      <c r="KS2049" s="38"/>
      <c r="KT2049" s="38"/>
      <c r="KU2049" s="38"/>
      <c r="KV2049" s="38"/>
      <c r="KW2049" s="38"/>
      <c r="KX2049" s="38"/>
      <c r="KY2049" s="38"/>
      <c r="KZ2049" s="38"/>
      <c r="LA2049" s="38"/>
      <c r="LB2049" s="38"/>
      <c r="LC2049" s="38"/>
      <c r="LD2049" s="38"/>
      <c r="LE2049" s="38"/>
      <c r="LF2049" s="38"/>
      <c r="LG2049" s="38"/>
      <c r="LH2049" s="38"/>
      <c r="LI2049" s="38"/>
      <c r="LJ2049" s="38"/>
      <c r="LK2049" s="38"/>
      <c r="LL2049" s="38"/>
      <c r="LM2049" s="38"/>
      <c r="LN2049" s="38"/>
      <c r="LO2049" s="38"/>
      <c r="LP2049" s="38"/>
      <c r="LQ2049" s="38"/>
      <c r="LR2049" s="38"/>
      <c r="LS2049" s="38"/>
      <c r="LT2049" s="38"/>
      <c r="LU2049" s="38"/>
      <c r="LV2049" s="38"/>
      <c r="LW2049" s="38"/>
      <c r="LX2049" s="38"/>
      <c r="LY2049" s="38"/>
      <c r="LZ2049" s="38"/>
      <c r="MA2049" s="38"/>
      <c r="MB2049" s="38"/>
      <c r="MC2049" s="38"/>
      <c r="MD2049" s="38"/>
      <c r="ME2049" s="38"/>
      <c r="MF2049" s="38"/>
      <c r="MG2049" s="38"/>
      <c r="MH2049" s="38"/>
      <c r="MI2049" s="38"/>
      <c r="MJ2049" s="38"/>
      <c r="MK2049" s="38"/>
      <c r="ML2049" s="38"/>
      <c r="MM2049" s="38"/>
      <c r="MN2049" s="38"/>
      <c r="MO2049" s="38"/>
      <c r="MP2049" s="38"/>
      <c r="MQ2049" s="38"/>
      <c r="MR2049" s="38"/>
      <c r="MS2049" s="38"/>
      <c r="MT2049" s="38"/>
      <c r="MU2049" s="38"/>
      <c r="MV2049" s="38"/>
      <c r="MW2049" s="38"/>
      <c r="MX2049" s="38"/>
      <c r="MY2049" s="38"/>
      <c r="MZ2049" s="38"/>
      <c r="NA2049" s="38"/>
      <c r="NB2049" s="38"/>
      <c r="NC2049" s="38"/>
      <c r="ND2049" s="38"/>
      <c r="NE2049" s="38"/>
      <c r="NF2049" s="38"/>
      <c r="NG2049" s="38"/>
      <c r="NH2049" s="38"/>
      <c r="NI2049" s="38"/>
      <c r="NJ2049" s="38"/>
      <c r="NK2049" s="38"/>
      <c r="NL2049" s="38"/>
      <c r="NM2049" s="38"/>
      <c r="NN2049" s="38"/>
      <c r="NO2049" s="38"/>
      <c r="NP2049" s="38"/>
      <c r="NQ2049" s="38"/>
      <c r="NR2049" s="38"/>
      <c r="NS2049" s="38"/>
      <c r="NT2049" s="38"/>
      <c r="NU2049" s="38"/>
      <c r="NV2049" s="38"/>
      <c r="NW2049" s="38"/>
      <c r="NX2049" s="38"/>
      <c r="NY2049" s="38"/>
      <c r="NZ2049" s="38"/>
      <c r="OA2049" s="38"/>
      <c r="OB2049" s="38"/>
      <c r="OC2049" s="38"/>
      <c r="OD2049" s="38"/>
      <c r="OE2049" s="38"/>
      <c r="OF2049" s="38"/>
      <c r="OG2049" s="38"/>
      <c r="OH2049" s="38"/>
      <c r="OI2049" s="38"/>
      <c r="OJ2049" s="38"/>
      <c r="OK2049" s="38"/>
      <c r="OL2049" s="38"/>
      <c r="OM2049" s="38"/>
      <c r="ON2049" s="38"/>
      <c r="OO2049" s="38"/>
      <c r="OP2049" s="38"/>
      <c r="OQ2049" s="38"/>
      <c r="OR2049" s="38"/>
      <c r="OS2049" s="38"/>
      <c r="OT2049" s="38"/>
      <c r="OU2049" s="38"/>
      <c r="OV2049" s="38"/>
      <c r="OW2049" s="38"/>
      <c r="OX2049" s="38"/>
      <c r="OY2049" s="38"/>
      <c r="OZ2049" s="38"/>
      <c r="PA2049" s="38"/>
      <c r="PB2049" s="38"/>
      <c r="PC2049" s="38"/>
      <c r="PD2049" s="38"/>
      <c r="PE2049" s="38"/>
      <c r="PF2049" s="38"/>
      <c r="PG2049" s="38"/>
      <c r="PH2049" s="38"/>
      <c r="PI2049" s="38"/>
      <c r="PJ2049" s="38"/>
      <c r="PK2049" s="38"/>
      <c r="PL2049" s="38"/>
      <c r="PM2049" s="38"/>
      <c r="PN2049" s="38"/>
      <c r="PO2049" s="38"/>
      <c r="PP2049" s="38"/>
      <c r="PQ2049" s="38"/>
      <c r="PR2049" s="38"/>
      <c r="PS2049" s="38"/>
      <c r="PT2049" s="38"/>
      <c r="PU2049" s="38"/>
      <c r="PV2049" s="38"/>
      <c r="PW2049" s="38"/>
      <c r="PX2049" s="38"/>
      <c r="PY2049" s="38"/>
      <c r="PZ2049" s="38"/>
      <c r="QA2049" s="38"/>
      <c r="QB2049" s="38"/>
      <c r="QC2049" s="38"/>
      <c r="QD2049" s="38"/>
      <c r="QE2049" s="38"/>
      <c r="QF2049" s="38"/>
      <c r="QG2049" s="38"/>
      <c r="QH2049" s="38"/>
      <c r="QI2049" s="38"/>
      <c r="QJ2049" s="38"/>
      <c r="QK2049" s="38"/>
      <c r="QL2049" s="38"/>
      <c r="QM2049" s="38"/>
      <c r="QN2049" s="38"/>
      <c r="QO2049" s="38"/>
      <c r="QP2049" s="38"/>
      <c r="QQ2049" s="38"/>
      <c r="QR2049" s="38"/>
      <c r="QS2049" s="38"/>
      <c r="QT2049" s="38"/>
      <c r="QU2049" s="38"/>
      <c r="QV2049" s="38"/>
      <c r="QW2049" s="38"/>
      <c r="QX2049" s="38"/>
      <c r="QY2049" s="38"/>
      <c r="QZ2049" s="38"/>
      <c r="RA2049" s="38"/>
      <c r="RB2049" s="38"/>
      <c r="RC2049" s="38"/>
      <c r="RD2049" s="38"/>
      <c r="RE2049" s="38"/>
      <c r="RF2049" s="38"/>
      <c r="RG2049" s="38"/>
      <c r="RH2049" s="38"/>
      <c r="RI2049" s="38"/>
      <c r="RJ2049" s="38"/>
      <c r="RK2049" s="38"/>
      <c r="RL2049" s="38"/>
      <c r="RM2049" s="38"/>
      <c r="RN2049" s="38"/>
      <c r="RO2049" s="38"/>
      <c r="RP2049" s="38"/>
      <c r="RQ2049" s="38"/>
      <c r="RR2049" s="38"/>
      <c r="RS2049" s="38"/>
      <c r="RT2049" s="38"/>
      <c r="RU2049" s="38"/>
      <c r="RV2049" s="38"/>
      <c r="RW2049" s="38"/>
      <c r="RX2049" s="38"/>
      <c r="RY2049" s="38"/>
      <c r="RZ2049" s="38"/>
      <c r="SA2049" s="38"/>
      <c r="SB2049" s="38"/>
      <c r="SC2049" s="38"/>
      <c r="SD2049" s="38"/>
      <c r="SE2049" s="38"/>
      <c r="SF2049" s="38"/>
      <c r="SG2049" s="38"/>
      <c r="SH2049" s="38"/>
      <c r="SI2049" s="38"/>
      <c r="SJ2049" s="38"/>
      <c r="SK2049" s="38"/>
      <c r="SL2049" s="38"/>
      <c r="SM2049" s="38"/>
      <c r="SN2049" s="38"/>
      <c r="SO2049" s="38"/>
      <c r="SP2049" s="38"/>
      <c r="SQ2049" s="38"/>
      <c r="SR2049" s="38"/>
      <c r="SS2049" s="38"/>
      <c r="ST2049" s="38"/>
      <c r="SU2049" s="38"/>
      <c r="SV2049" s="38"/>
      <c r="SW2049" s="38"/>
      <c r="SX2049" s="38"/>
      <c r="SY2049" s="38"/>
      <c r="SZ2049" s="38"/>
      <c r="TA2049" s="38"/>
      <c r="TB2049" s="38"/>
      <c r="TC2049" s="38"/>
      <c r="TD2049" s="38"/>
      <c r="TE2049" s="38"/>
      <c r="TF2049" s="38"/>
      <c r="TG2049" s="38"/>
      <c r="TH2049" s="38"/>
      <c r="TI2049" s="38"/>
      <c r="TJ2049" s="38"/>
      <c r="TK2049" s="38"/>
      <c r="TL2049" s="38"/>
      <c r="TM2049" s="38"/>
      <c r="TN2049" s="38"/>
      <c r="TO2049" s="38"/>
      <c r="TP2049" s="38"/>
      <c r="TQ2049" s="38"/>
      <c r="TR2049" s="38"/>
      <c r="TS2049" s="38"/>
      <c r="TT2049" s="38"/>
      <c r="TU2049" s="38"/>
      <c r="TV2049" s="38"/>
      <c r="TW2049" s="38"/>
      <c r="TX2049" s="38"/>
      <c r="TY2049" s="38"/>
      <c r="TZ2049" s="38"/>
      <c r="UA2049" s="38"/>
      <c r="UB2049" s="38"/>
      <c r="UC2049" s="38"/>
      <c r="UD2049" s="38"/>
      <c r="UE2049" s="38"/>
      <c r="UF2049" s="38"/>
      <c r="UG2049" s="38"/>
      <c r="UH2049" s="38"/>
      <c r="UI2049" s="38"/>
      <c r="UJ2049" s="38"/>
      <c r="UK2049" s="38"/>
      <c r="UL2049" s="38"/>
      <c r="UM2049" s="38"/>
      <c r="UN2049" s="38"/>
      <c r="UO2049" s="38"/>
      <c r="UP2049" s="38"/>
      <c r="UQ2049" s="38"/>
      <c r="UR2049" s="38"/>
      <c r="US2049" s="38"/>
      <c r="UT2049" s="38"/>
      <c r="UU2049" s="38"/>
      <c r="UV2049" s="38"/>
      <c r="UW2049" s="38"/>
      <c r="UX2049" s="38"/>
      <c r="UY2049" s="38"/>
      <c r="UZ2049" s="38"/>
      <c r="VA2049" s="38"/>
      <c r="VB2049" s="38"/>
      <c r="VC2049" s="38"/>
      <c r="VD2049" s="38"/>
      <c r="VE2049" s="38"/>
      <c r="VF2049" s="38"/>
      <c r="VG2049" s="38"/>
      <c r="VH2049" s="38"/>
      <c r="VI2049" s="38"/>
      <c r="VJ2049" s="38"/>
      <c r="VK2049" s="38"/>
      <c r="VL2049" s="38"/>
      <c r="VM2049" s="38"/>
      <c r="VN2049" s="38"/>
      <c r="VO2049" s="38"/>
      <c r="VP2049" s="38"/>
      <c r="VQ2049" s="38"/>
      <c r="VR2049" s="38"/>
      <c r="VS2049" s="38"/>
      <c r="VT2049" s="38"/>
      <c r="VU2049" s="38"/>
      <c r="VV2049" s="38"/>
      <c r="VW2049" s="38"/>
      <c r="VX2049" s="38"/>
      <c r="VY2049" s="38"/>
      <c r="VZ2049" s="38"/>
      <c r="WA2049" s="38"/>
      <c r="WB2049" s="38"/>
      <c r="WC2049" s="38"/>
      <c r="WD2049" s="38"/>
      <c r="WE2049" s="38"/>
      <c r="WF2049" s="38"/>
      <c r="WG2049" s="38"/>
      <c r="WH2049" s="38"/>
      <c r="WI2049" s="38"/>
      <c r="WJ2049" s="38"/>
      <c r="WK2049" s="38"/>
      <c r="WL2049" s="38"/>
      <c r="WM2049" s="38"/>
      <c r="WN2049" s="38"/>
      <c r="WO2049" s="38"/>
      <c r="WP2049" s="38"/>
      <c r="WQ2049" s="38"/>
      <c r="WR2049" s="38"/>
      <c r="WS2049" s="38"/>
      <c r="WT2049" s="38"/>
      <c r="WU2049" s="38"/>
      <c r="WV2049" s="38"/>
      <c r="WW2049" s="38"/>
      <c r="WX2049" s="38"/>
      <c r="WY2049" s="38"/>
      <c r="WZ2049" s="38"/>
      <c r="XA2049" s="38"/>
      <c r="XB2049" s="38"/>
      <c r="XC2049" s="38"/>
      <c r="XD2049" s="38"/>
      <c r="XE2049" s="38"/>
      <c r="XF2049" s="38"/>
      <c r="XG2049" s="38"/>
      <c r="XH2049" s="38"/>
      <c r="XI2049" s="38"/>
      <c r="XJ2049" s="38"/>
      <c r="XK2049" s="38"/>
      <c r="XL2049" s="38"/>
      <c r="XM2049" s="38"/>
      <c r="XN2049" s="38"/>
      <c r="XO2049" s="38"/>
      <c r="XP2049" s="38"/>
      <c r="XQ2049" s="38"/>
      <c r="XR2049" s="38"/>
      <c r="XS2049" s="38"/>
      <c r="XT2049" s="38"/>
      <c r="XU2049" s="38"/>
      <c r="XV2049" s="38"/>
      <c r="XW2049" s="38"/>
      <c r="XX2049" s="38"/>
      <c r="XY2049" s="38"/>
      <c r="XZ2049" s="38"/>
      <c r="YA2049" s="38"/>
      <c r="YB2049" s="38"/>
      <c r="YC2049" s="38"/>
      <c r="YD2049" s="38"/>
      <c r="YE2049" s="38"/>
      <c r="YF2049" s="38"/>
      <c r="YG2049" s="38"/>
      <c r="YH2049" s="38"/>
      <c r="YI2049" s="38"/>
      <c r="YJ2049" s="38"/>
      <c r="YK2049" s="38"/>
      <c r="YL2049" s="38"/>
      <c r="YM2049" s="38"/>
      <c r="YN2049" s="38"/>
      <c r="YO2049" s="38"/>
      <c r="YP2049" s="38"/>
      <c r="YQ2049" s="38"/>
      <c r="YR2049" s="38"/>
      <c r="YS2049" s="38"/>
      <c r="YT2049" s="38"/>
      <c r="YU2049" s="38"/>
      <c r="YV2049" s="38"/>
      <c r="YW2049" s="38"/>
      <c r="YX2049" s="38"/>
      <c r="YY2049" s="38"/>
      <c r="YZ2049" s="38"/>
      <c r="ZA2049" s="38"/>
      <c r="ZB2049" s="38"/>
      <c r="ZC2049" s="38"/>
      <c r="ZD2049" s="38"/>
      <c r="ZE2049" s="38"/>
      <c r="ZF2049" s="38"/>
      <c r="ZG2049" s="38"/>
      <c r="ZH2049" s="38"/>
      <c r="ZI2049" s="38"/>
      <c r="ZJ2049" s="38"/>
      <c r="ZK2049" s="38"/>
      <c r="ZL2049" s="38"/>
      <c r="ZM2049" s="38"/>
      <c r="ZN2049" s="38"/>
      <c r="ZO2049" s="38"/>
      <c r="ZP2049" s="38"/>
      <c r="ZQ2049" s="38"/>
      <c r="ZR2049" s="38"/>
      <c r="ZS2049" s="38"/>
      <c r="ZT2049" s="38"/>
      <c r="ZU2049" s="38"/>
      <c r="ZV2049" s="38"/>
      <c r="ZW2049" s="38"/>
      <c r="ZX2049" s="38"/>
      <c r="ZY2049" s="38"/>
      <c r="ZZ2049" s="38"/>
      <c r="AAA2049" s="38"/>
      <c r="AAB2049" s="38"/>
      <c r="AAC2049" s="38"/>
      <c r="AAD2049" s="38"/>
      <c r="AAE2049" s="38"/>
      <c r="AAF2049" s="38"/>
      <c r="AAG2049" s="38"/>
      <c r="AAH2049" s="38"/>
      <c r="AAI2049" s="38"/>
      <c r="AAJ2049" s="38"/>
      <c r="AAK2049" s="38"/>
      <c r="AAL2049" s="38"/>
      <c r="AAM2049" s="38"/>
      <c r="AAN2049" s="38"/>
      <c r="AAO2049" s="38"/>
      <c r="AAP2049" s="38"/>
      <c r="AAQ2049" s="38"/>
      <c r="AAR2049" s="38"/>
      <c r="AAS2049" s="38"/>
      <c r="AAT2049" s="38"/>
      <c r="AAU2049" s="38"/>
      <c r="AAV2049" s="38"/>
      <c r="AAW2049" s="38"/>
      <c r="AAX2049" s="38"/>
      <c r="AAY2049" s="38"/>
      <c r="AAZ2049" s="38"/>
      <c r="ABA2049" s="38"/>
      <c r="ABB2049" s="38"/>
      <c r="ABC2049" s="38"/>
      <c r="ABD2049" s="38"/>
      <c r="ABE2049" s="38"/>
      <c r="ABF2049" s="38"/>
      <c r="ABG2049" s="38"/>
      <c r="ABH2049" s="38"/>
      <c r="ABI2049" s="38"/>
      <c r="ABJ2049" s="38"/>
      <c r="ABK2049" s="38"/>
      <c r="ABL2049" s="38"/>
      <c r="ABM2049" s="38"/>
      <c r="ABN2049" s="38"/>
      <c r="ABO2049" s="38"/>
      <c r="ABP2049" s="38"/>
      <c r="ABQ2049" s="38"/>
      <c r="ABR2049" s="38"/>
      <c r="ABS2049" s="38"/>
      <c r="ABT2049" s="38"/>
      <c r="ABU2049" s="38"/>
      <c r="ABV2049" s="38"/>
      <c r="ABW2049" s="38"/>
      <c r="ABX2049" s="38"/>
      <c r="ABY2049" s="38"/>
      <c r="ABZ2049" s="38"/>
      <c r="ACA2049" s="38"/>
      <c r="ACB2049" s="38"/>
      <c r="ACC2049" s="38"/>
      <c r="ACD2049" s="38"/>
      <c r="ACE2049" s="38"/>
      <c r="ACF2049" s="38"/>
      <c r="ACG2049" s="38"/>
      <c r="ACH2049" s="38"/>
      <c r="ACI2049" s="38"/>
      <c r="ACJ2049" s="38"/>
      <c r="ACK2049" s="38"/>
      <c r="ACL2049" s="38"/>
      <c r="ACM2049" s="38"/>
      <c r="ACN2049" s="38"/>
      <c r="ACO2049" s="38"/>
      <c r="ACP2049" s="38"/>
      <c r="ACQ2049" s="38"/>
      <c r="ACR2049" s="38"/>
      <c r="ACS2049" s="38"/>
      <c r="ACT2049" s="38"/>
      <c r="ACU2049" s="38"/>
      <c r="ACV2049" s="38"/>
      <c r="ACW2049" s="38"/>
      <c r="ACX2049" s="38"/>
      <c r="ACY2049" s="38"/>
      <c r="ACZ2049" s="38"/>
      <c r="ADA2049" s="38"/>
      <c r="ADB2049" s="38"/>
      <c r="ADC2049" s="38"/>
      <c r="ADD2049" s="38"/>
      <c r="ADE2049" s="38"/>
      <c r="ADF2049" s="38"/>
      <c r="ADG2049" s="38"/>
      <c r="ADH2049" s="38"/>
      <c r="ADI2049" s="38"/>
      <c r="ADJ2049" s="38"/>
      <c r="ADK2049" s="38"/>
      <c r="ADL2049" s="38"/>
      <c r="ADM2049" s="38"/>
      <c r="ADN2049" s="38"/>
      <c r="ADO2049" s="38"/>
      <c r="ADP2049" s="38"/>
      <c r="ADQ2049" s="38"/>
      <c r="ADR2049" s="38"/>
      <c r="ADS2049" s="38"/>
      <c r="ADT2049" s="38"/>
      <c r="ADU2049" s="38"/>
      <c r="ADV2049" s="38"/>
      <c r="ADW2049" s="38"/>
      <c r="ADX2049" s="38"/>
      <c r="ADY2049" s="38"/>
      <c r="ADZ2049" s="38"/>
      <c r="AEA2049" s="38"/>
      <c r="AEB2049" s="38"/>
      <c r="AEC2049" s="38"/>
      <c r="AED2049" s="38"/>
      <c r="AEE2049" s="38"/>
      <c r="AEF2049" s="38"/>
      <c r="AEG2049" s="38"/>
      <c r="AEH2049" s="38"/>
      <c r="AEI2049" s="38"/>
      <c r="AEJ2049" s="38"/>
      <c r="AEK2049" s="38"/>
      <c r="AEL2049" s="38"/>
      <c r="AEM2049" s="38"/>
      <c r="AEN2049" s="38"/>
      <c r="AEO2049" s="38"/>
      <c r="AEP2049" s="38"/>
      <c r="AEQ2049" s="38"/>
      <c r="AER2049" s="38"/>
      <c r="AES2049" s="38"/>
      <c r="AET2049" s="38"/>
      <c r="AEU2049" s="38"/>
      <c r="AEV2049" s="38"/>
      <c r="AEW2049" s="38"/>
      <c r="AEX2049" s="38"/>
      <c r="AEY2049" s="38"/>
      <c r="AEZ2049" s="38"/>
      <c r="AFA2049" s="38"/>
      <c r="AFB2049" s="38"/>
      <c r="AFC2049" s="38"/>
      <c r="AFD2049" s="38"/>
      <c r="AFE2049" s="38"/>
      <c r="AFF2049" s="38"/>
      <c r="AFG2049" s="38"/>
      <c r="AFH2049" s="38"/>
      <c r="AFI2049" s="38"/>
      <c r="AFJ2049" s="38"/>
      <c r="AFK2049" s="38"/>
      <c r="AFL2049" s="38"/>
      <c r="AFM2049" s="38"/>
      <c r="AFN2049" s="38"/>
      <c r="AFO2049" s="38"/>
      <c r="AFP2049" s="38"/>
      <c r="AFQ2049" s="38"/>
      <c r="AFR2049" s="38"/>
      <c r="AFS2049" s="38"/>
      <c r="AFT2049" s="38"/>
      <c r="AFU2049" s="38"/>
      <c r="AFV2049" s="38"/>
      <c r="AFW2049" s="38"/>
      <c r="AFX2049" s="38"/>
      <c r="AFY2049" s="38"/>
      <c r="AFZ2049" s="38"/>
      <c r="AGA2049" s="38"/>
      <c r="AGB2049" s="38"/>
      <c r="AGC2049" s="38"/>
      <c r="AGD2049" s="38"/>
      <c r="AGE2049" s="38"/>
      <c r="AGF2049" s="38"/>
      <c r="AGG2049" s="38"/>
      <c r="AGH2049" s="38"/>
      <c r="AGI2049" s="38"/>
      <c r="AGJ2049" s="38"/>
      <c r="AGK2049" s="38"/>
      <c r="AGL2049" s="38"/>
      <c r="AGM2049" s="38"/>
      <c r="AGN2049" s="38"/>
      <c r="AGO2049" s="38"/>
      <c r="AGP2049" s="38"/>
      <c r="AGQ2049" s="38"/>
      <c r="AGR2049" s="38"/>
      <c r="AGS2049" s="38"/>
      <c r="AGT2049" s="38"/>
      <c r="AGU2049" s="38"/>
      <c r="AGV2049" s="38"/>
      <c r="AGW2049" s="38"/>
      <c r="AGX2049" s="38"/>
      <c r="AGY2049" s="38"/>
      <c r="AGZ2049" s="38"/>
      <c r="AHA2049" s="38"/>
      <c r="AHB2049" s="38"/>
      <c r="AHC2049" s="38"/>
      <c r="AHD2049" s="38"/>
      <c r="AHE2049" s="38"/>
      <c r="AHF2049" s="38"/>
      <c r="AHG2049" s="38"/>
      <c r="AHH2049" s="38"/>
      <c r="AHI2049" s="38"/>
      <c r="AHJ2049" s="38"/>
      <c r="AHK2049" s="38"/>
      <c r="AHL2049" s="38"/>
      <c r="AHM2049" s="38"/>
      <c r="AHN2049" s="38"/>
      <c r="AHO2049" s="38"/>
      <c r="AHP2049" s="38"/>
      <c r="AHQ2049" s="38"/>
      <c r="AHR2049" s="38"/>
      <c r="AHS2049" s="38"/>
      <c r="AHT2049" s="38"/>
      <c r="AHU2049" s="38"/>
      <c r="AHV2049" s="38"/>
      <c r="AHW2049" s="38"/>
      <c r="AHX2049" s="38"/>
      <c r="AHY2049" s="38"/>
      <c r="AHZ2049" s="38"/>
      <c r="AIA2049" s="38"/>
      <c r="AIB2049" s="38"/>
      <c r="AIC2049" s="38"/>
      <c r="AID2049" s="38"/>
      <c r="AIE2049" s="38"/>
      <c r="AIF2049" s="38"/>
      <c r="AIG2049" s="38"/>
      <c r="AIH2049" s="38"/>
      <c r="AII2049" s="38"/>
      <c r="AIJ2049" s="38"/>
      <c r="AIK2049" s="38"/>
      <c r="AIL2049" s="38"/>
      <c r="AIM2049" s="38"/>
      <c r="AIN2049" s="38"/>
      <c r="AIO2049" s="38"/>
      <c r="AIP2049" s="38"/>
      <c r="AIQ2049" s="38"/>
      <c r="AIR2049" s="38"/>
      <c r="AIS2049" s="38"/>
      <c r="AIT2049" s="38"/>
      <c r="AIU2049" s="38"/>
      <c r="AIV2049" s="38"/>
      <c r="AIW2049" s="38"/>
      <c r="AIX2049" s="38"/>
      <c r="AIY2049" s="38"/>
      <c r="AIZ2049" s="38"/>
      <c r="AJA2049" s="38"/>
      <c r="AJB2049" s="38"/>
      <c r="AJC2049" s="38"/>
      <c r="AJD2049" s="38"/>
      <c r="AJE2049" s="38"/>
      <c r="AJF2049" s="38"/>
      <c r="AJG2049" s="38"/>
      <c r="AJH2049" s="38"/>
      <c r="AJI2049" s="38"/>
      <c r="AJJ2049" s="38"/>
      <c r="AJK2049" s="38"/>
      <c r="AJL2049" s="38"/>
      <c r="AJM2049" s="38"/>
      <c r="AJN2049" s="38"/>
      <c r="AJO2049" s="38"/>
      <c r="AJP2049" s="38"/>
      <c r="AJQ2049" s="38"/>
      <c r="AJR2049" s="38"/>
      <c r="AJS2049" s="38"/>
      <c r="AJT2049" s="38"/>
      <c r="AJU2049" s="38"/>
      <c r="AJV2049" s="38"/>
      <c r="AJW2049" s="38"/>
      <c r="AJX2049" s="38"/>
      <c r="AJY2049" s="38"/>
      <c r="AJZ2049" s="38"/>
      <c r="AKA2049" s="38"/>
      <c r="AKB2049" s="38"/>
      <c r="AKC2049" s="38"/>
      <c r="AKD2049" s="38"/>
      <c r="AKE2049" s="38"/>
      <c r="AKF2049" s="38"/>
      <c r="AKG2049" s="38"/>
      <c r="AKH2049" s="38"/>
      <c r="AKI2049" s="38"/>
      <c r="AKJ2049" s="38"/>
      <c r="AKK2049" s="38"/>
      <c r="AKL2049" s="38"/>
      <c r="AKM2049" s="38"/>
      <c r="AKN2049" s="38"/>
      <c r="AKO2049" s="38"/>
      <c r="AKP2049" s="38"/>
      <c r="AKQ2049" s="38"/>
      <c r="AKR2049" s="38"/>
      <c r="AKS2049" s="38"/>
      <c r="AKT2049" s="38"/>
      <c r="AKU2049" s="38"/>
      <c r="AKV2049" s="38"/>
      <c r="AKW2049" s="38"/>
      <c r="AKX2049" s="38"/>
      <c r="AKY2049" s="38"/>
      <c r="AKZ2049" s="38"/>
      <c r="ALA2049" s="38"/>
      <c r="ALB2049" s="38"/>
      <c r="ALC2049" s="38"/>
      <c r="ALD2049" s="38"/>
      <c r="ALE2049" s="38"/>
      <c r="ALF2049" s="38"/>
      <c r="ALG2049" s="38"/>
      <c r="ALH2049" s="38"/>
      <c r="ALI2049" s="38"/>
      <c r="ALJ2049" s="38"/>
      <c r="ALK2049" s="38"/>
      <c r="ALL2049" s="38"/>
      <c r="ALM2049" s="38"/>
      <c r="ALN2049" s="38"/>
      <c r="ALO2049" s="38"/>
      <c r="ALP2049" s="38"/>
      <c r="ALQ2049" s="38"/>
      <c r="ALR2049" s="38"/>
      <c r="ALS2049" s="38"/>
      <c r="ALT2049" s="38"/>
      <c r="ALU2049" s="38"/>
      <c r="ALV2049" s="38"/>
      <c r="ALW2049" s="38"/>
      <c r="ALX2049" s="38"/>
      <c r="ALY2049" s="38"/>
      <c r="ALZ2049" s="38"/>
      <c r="AMA2049" s="38"/>
      <c r="AMB2049" s="38"/>
      <c r="AMC2049" s="38"/>
      <c r="AMD2049" s="38"/>
      <c r="AME2049" s="38"/>
      <c r="AMF2049" s="38"/>
      <c r="AMG2049" s="38"/>
      <c r="AMH2049" s="38"/>
      <c r="AMI2049" s="38"/>
      <c r="AMJ2049" s="38"/>
      <c r="AMK2049" s="38"/>
      <c r="AML2049" s="38"/>
      <c r="AMM2049" s="38"/>
      <c r="AMN2049" s="38"/>
      <c r="AMO2049" s="38"/>
      <c r="AMP2049" s="38"/>
      <c r="AMQ2049" s="38"/>
      <c r="AMR2049" s="38"/>
      <c r="AMS2049" s="38"/>
      <c r="AMT2049" s="38"/>
      <c r="AMU2049" s="38"/>
      <c r="AMV2049" s="38"/>
      <c r="AMW2049" s="38"/>
      <c r="AMX2049" s="38"/>
      <c r="AMY2049" s="38"/>
      <c r="AMZ2049" s="38"/>
      <c r="ANA2049" s="38"/>
      <c r="ANB2049" s="38"/>
      <c r="ANC2049" s="38"/>
      <c r="AND2049" s="38"/>
      <c r="ANE2049" s="38"/>
      <c r="ANF2049" s="38"/>
      <c r="ANG2049" s="38"/>
      <c r="ANH2049" s="38"/>
      <c r="ANI2049" s="38"/>
      <c r="ANJ2049" s="38"/>
      <c r="ANK2049" s="38"/>
      <c r="ANL2049" s="38"/>
      <c r="ANM2049" s="38"/>
      <c r="ANN2049" s="38"/>
      <c r="ANO2049" s="38"/>
      <c r="ANP2049" s="38"/>
      <c r="ANQ2049" s="38"/>
      <c r="ANR2049" s="38"/>
      <c r="ANS2049" s="38"/>
      <c r="ANT2049" s="38"/>
      <c r="ANU2049" s="38"/>
      <c r="ANV2049" s="38"/>
      <c r="ANW2049" s="38"/>
      <c r="ANX2049" s="38"/>
      <c r="ANY2049" s="38"/>
      <c r="ANZ2049" s="38"/>
      <c r="AOA2049" s="38"/>
      <c r="AOB2049" s="38"/>
      <c r="AOC2049" s="38"/>
      <c r="AOD2049" s="38"/>
      <c r="AOE2049" s="38"/>
      <c r="AOF2049" s="38"/>
      <c r="AOG2049" s="38"/>
      <c r="AOH2049" s="38"/>
      <c r="AOI2049" s="38"/>
      <c r="AOJ2049" s="38"/>
      <c r="AOK2049" s="38"/>
      <c r="AOL2049" s="38"/>
      <c r="AOM2049" s="38"/>
      <c r="AON2049" s="38"/>
      <c r="AOO2049" s="38"/>
      <c r="AOP2049" s="38"/>
      <c r="AOQ2049" s="38"/>
      <c r="AOR2049" s="38"/>
      <c r="AOS2049" s="38"/>
      <c r="AOT2049" s="38"/>
      <c r="AOU2049" s="38"/>
      <c r="AOV2049" s="38"/>
      <c r="AOW2049" s="38"/>
      <c r="AOX2049" s="38"/>
      <c r="AOY2049" s="38"/>
      <c r="AOZ2049" s="38"/>
      <c r="APA2049" s="38"/>
      <c r="APB2049" s="38"/>
      <c r="APC2049" s="38"/>
    </row>
    <row r="2050" spans="1:1095" s="36" customFormat="1" ht="14.25" customHeight="1">
      <c r="A2050" s="3" t="s">
        <v>1722</v>
      </c>
      <c r="B2050" s="36" t="s">
        <v>2417</v>
      </c>
      <c r="C2050" s="10">
        <v>4099854081514</v>
      </c>
      <c r="D2050" s="224">
        <v>4052899972360</v>
      </c>
      <c r="E2050" s="245" t="s">
        <v>2418</v>
      </c>
      <c r="F2050" s="246"/>
      <c r="G2050" s="66" t="str">
        <f>HYPERLINK("https://ledvance.com/pt/product-datasheet/275563/246493","Ficha de Produto")</f>
        <v>Ficha de Produto</v>
      </c>
      <c r="H2050" s="217">
        <v>4</v>
      </c>
      <c r="I2050" s="34" t="s">
        <v>6374</v>
      </c>
      <c r="J2050" s="34" t="s">
        <v>6367</v>
      </c>
      <c r="K2050" s="34" t="s">
        <v>788</v>
      </c>
      <c r="L2050" s="34" t="s">
        <v>793</v>
      </c>
      <c r="M2050" s="247">
        <v>17.100000000000001</v>
      </c>
      <c r="N2050" s="288" t="s">
        <v>722</v>
      </c>
    </row>
    <row r="2051" spans="1:1095" s="36" customFormat="1" ht="14.25" customHeight="1">
      <c r="A2051" s="3" t="s">
        <v>1722</v>
      </c>
      <c r="B2051" s="36" t="s">
        <v>2419</v>
      </c>
      <c r="C2051" s="10">
        <v>4058075808997</v>
      </c>
      <c r="D2051" s="224">
        <v>4058075808997</v>
      </c>
      <c r="E2051" s="245" t="s">
        <v>2420</v>
      </c>
      <c r="F2051" s="246"/>
      <c r="G2051" s="66" t="str">
        <f>HYPERLINK("https://ledvance.com/pt/product-datasheet/275562/35005","Ficha de Produto")</f>
        <v>Ficha de Produto</v>
      </c>
      <c r="H2051" s="217">
        <v>4</v>
      </c>
      <c r="I2051" s="34" t="s">
        <v>6374</v>
      </c>
      <c r="J2051" s="34" t="s">
        <v>6367</v>
      </c>
      <c r="K2051" s="34" t="s">
        <v>788</v>
      </c>
      <c r="L2051" s="34" t="s">
        <v>793</v>
      </c>
      <c r="M2051" s="247">
        <v>17.600000000000001</v>
      </c>
      <c r="N2051" s="288" t="s">
        <v>722</v>
      </c>
    </row>
    <row r="2052" spans="1:1095" s="39" customFormat="1" ht="14.25" customHeight="1">
      <c r="A2052" s="8" t="s">
        <v>1722</v>
      </c>
      <c r="B2052" s="39" t="s">
        <v>2421</v>
      </c>
      <c r="C2052" s="8"/>
      <c r="D2052" s="7"/>
      <c r="E2052" s="230"/>
      <c r="F2052" s="7"/>
      <c r="G2052" s="68"/>
      <c r="H2052" s="230"/>
      <c r="I2052" s="230"/>
      <c r="J2052" s="230"/>
      <c r="K2052" s="230"/>
      <c r="L2052" s="230"/>
      <c r="M2052" s="248"/>
      <c r="N2052" s="292"/>
      <c r="O2052" s="38"/>
      <c r="P2052" s="38"/>
      <c r="Q2052" s="38"/>
      <c r="R2052" s="38"/>
      <c r="S2052" s="38"/>
      <c r="T2052" s="38"/>
      <c r="U2052" s="38"/>
      <c r="V2052" s="38"/>
      <c r="W2052" s="38"/>
      <c r="X2052" s="38"/>
      <c r="Y2052" s="38"/>
      <c r="Z2052" s="38"/>
      <c r="AA2052" s="38"/>
      <c r="AB2052" s="38"/>
      <c r="AC2052" s="38"/>
      <c r="AD2052" s="38"/>
      <c r="AE2052" s="38"/>
      <c r="AF2052" s="38"/>
      <c r="AG2052" s="38"/>
      <c r="AH2052" s="38"/>
      <c r="AI2052" s="38"/>
      <c r="AJ2052" s="38"/>
      <c r="AK2052" s="38"/>
      <c r="AL2052" s="38"/>
      <c r="AM2052" s="38"/>
      <c r="AN2052" s="38"/>
      <c r="AO2052" s="38"/>
      <c r="AP2052" s="38"/>
      <c r="AQ2052" s="38"/>
      <c r="AR2052" s="38"/>
      <c r="AS2052" s="38"/>
      <c r="AT2052" s="38"/>
      <c r="AU2052" s="38"/>
      <c r="AV2052" s="38"/>
      <c r="AW2052" s="38"/>
      <c r="AX2052" s="38"/>
      <c r="AY2052" s="38"/>
      <c r="AZ2052" s="38"/>
      <c r="BA2052" s="38"/>
      <c r="BB2052" s="38"/>
      <c r="BC2052" s="38"/>
      <c r="BD2052" s="38"/>
      <c r="BE2052" s="38"/>
      <c r="BF2052" s="38"/>
      <c r="BG2052" s="38"/>
      <c r="BH2052" s="38"/>
      <c r="BI2052" s="38"/>
      <c r="BJ2052" s="38"/>
      <c r="BK2052" s="38"/>
      <c r="BL2052" s="38"/>
      <c r="BM2052" s="38"/>
      <c r="BN2052" s="38"/>
      <c r="BO2052" s="38"/>
      <c r="BP2052" s="38"/>
      <c r="BQ2052" s="38"/>
      <c r="BR2052" s="38"/>
      <c r="BS2052" s="38"/>
      <c r="BT2052" s="38"/>
      <c r="BU2052" s="38"/>
      <c r="BV2052" s="38"/>
      <c r="BW2052" s="38"/>
      <c r="BX2052" s="38"/>
      <c r="BY2052" s="38"/>
      <c r="BZ2052" s="38"/>
      <c r="CA2052" s="38"/>
      <c r="CB2052" s="38"/>
      <c r="CC2052" s="38"/>
      <c r="CD2052" s="38"/>
      <c r="CE2052" s="38"/>
      <c r="CF2052" s="38"/>
      <c r="CG2052" s="38"/>
      <c r="CH2052" s="38"/>
      <c r="CI2052" s="38"/>
      <c r="CJ2052" s="38"/>
      <c r="CK2052" s="38"/>
      <c r="CL2052" s="38"/>
      <c r="CM2052" s="38"/>
      <c r="CN2052" s="38"/>
      <c r="CO2052" s="38"/>
      <c r="CP2052" s="38"/>
      <c r="CQ2052" s="38"/>
      <c r="CR2052" s="38"/>
      <c r="CS2052" s="38"/>
      <c r="CT2052" s="38"/>
      <c r="CU2052" s="38"/>
      <c r="CV2052" s="38"/>
      <c r="CW2052" s="38"/>
      <c r="CX2052" s="38"/>
      <c r="CY2052" s="38"/>
      <c r="CZ2052" s="38"/>
      <c r="DA2052" s="38"/>
      <c r="DB2052" s="38"/>
      <c r="DC2052" s="38"/>
      <c r="DD2052" s="38"/>
      <c r="DE2052" s="38"/>
      <c r="DF2052" s="38"/>
      <c r="DG2052" s="38"/>
      <c r="DH2052" s="38"/>
      <c r="DI2052" s="38"/>
      <c r="DJ2052" s="38"/>
      <c r="DK2052" s="38"/>
      <c r="DL2052" s="38"/>
      <c r="DM2052" s="38"/>
      <c r="DN2052" s="38"/>
      <c r="DO2052" s="38"/>
      <c r="DP2052" s="38"/>
      <c r="DQ2052" s="38"/>
      <c r="DR2052" s="38"/>
      <c r="DS2052" s="38"/>
      <c r="DT2052" s="38"/>
      <c r="DU2052" s="38"/>
      <c r="DV2052" s="38"/>
      <c r="DW2052" s="38"/>
      <c r="DX2052" s="38"/>
      <c r="DY2052" s="38"/>
      <c r="DZ2052" s="38"/>
      <c r="EA2052" s="38"/>
      <c r="EB2052" s="38"/>
      <c r="EC2052" s="38"/>
      <c r="ED2052" s="38"/>
      <c r="EE2052" s="38"/>
      <c r="EF2052" s="38"/>
      <c r="EG2052" s="38"/>
      <c r="EH2052" s="38"/>
      <c r="EI2052" s="38"/>
      <c r="EJ2052" s="38"/>
      <c r="EK2052" s="38"/>
      <c r="EL2052" s="38"/>
      <c r="EM2052" s="38"/>
      <c r="EN2052" s="38"/>
      <c r="EO2052" s="38"/>
      <c r="EP2052" s="38"/>
      <c r="EQ2052" s="38"/>
      <c r="ER2052" s="38"/>
      <c r="ES2052" s="38"/>
      <c r="ET2052" s="38"/>
      <c r="EU2052" s="38"/>
      <c r="EV2052" s="38"/>
      <c r="EW2052" s="38"/>
      <c r="EX2052" s="38"/>
      <c r="EY2052" s="38"/>
      <c r="EZ2052" s="38"/>
      <c r="FA2052" s="38"/>
      <c r="FB2052" s="38"/>
      <c r="FC2052" s="38"/>
      <c r="FD2052" s="38"/>
      <c r="FE2052" s="38"/>
      <c r="FF2052" s="38"/>
      <c r="FG2052" s="38"/>
      <c r="FH2052" s="38"/>
      <c r="FI2052" s="38"/>
      <c r="FJ2052" s="38"/>
      <c r="FK2052" s="38"/>
      <c r="FL2052" s="38"/>
      <c r="FM2052" s="38"/>
      <c r="FN2052" s="38"/>
      <c r="FO2052" s="38"/>
      <c r="FP2052" s="38"/>
      <c r="FQ2052" s="38"/>
      <c r="FR2052" s="38"/>
      <c r="FS2052" s="38"/>
      <c r="FT2052" s="38"/>
      <c r="FU2052" s="38"/>
      <c r="FV2052" s="38"/>
      <c r="FW2052" s="38"/>
      <c r="FX2052" s="38"/>
      <c r="FY2052" s="38"/>
      <c r="FZ2052" s="38"/>
      <c r="GA2052" s="38"/>
      <c r="GB2052" s="38"/>
      <c r="GC2052" s="38"/>
      <c r="GD2052" s="38"/>
      <c r="GE2052" s="38"/>
      <c r="GF2052" s="38"/>
      <c r="GG2052" s="38"/>
      <c r="GH2052" s="38"/>
      <c r="GI2052" s="38"/>
      <c r="GJ2052" s="38"/>
      <c r="GK2052" s="38"/>
      <c r="GL2052" s="38"/>
      <c r="GM2052" s="38"/>
      <c r="GN2052" s="38"/>
      <c r="GO2052" s="38"/>
      <c r="GP2052" s="38"/>
      <c r="GQ2052" s="38"/>
      <c r="GR2052" s="38"/>
      <c r="GS2052" s="38"/>
      <c r="GT2052" s="38"/>
      <c r="GU2052" s="38"/>
      <c r="GV2052" s="38"/>
      <c r="GW2052" s="38"/>
      <c r="GX2052" s="38"/>
      <c r="GY2052" s="38"/>
      <c r="GZ2052" s="38"/>
      <c r="HA2052" s="38"/>
      <c r="HB2052" s="38"/>
      <c r="HC2052" s="38"/>
      <c r="HD2052" s="38"/>
      <c r="HE2052" s="38"/>
      <c r="HF2052" s="38"/>
      <c r="HG2052" s="38"/>
      <c r="HH2052" s="38"/>
      <c r="HI2052" s="38"/>
      <c r="HJ2052" s="38"/>
      <c r="HK2052" s="38"/>
      <c r="HL2052" s="38"/>
      <c r="HM2052" s="38"/>
      <c r="HN2052" s="38"/>
      <c r="HO2052" s="38"/>
      <c r="HP2052" s="38"/>
      <c r="HQ2052" s="38"/>
      <c r="HR2052" s="38"/>
      <c r="HS2052" s="38"/>
      <c r="HT2052" s="38"/>
      <c r="HU2052" s="38"/>
      <c r="HV2052" s="38"/>
      <c r="HW2052" s="38"/>
      <c r="HX2052" s="38"/>
      <c r="HY2052" s="38"/>
      <c r="HZ2052" s="38"/>
      <c r="IA2052" s="38"/>
      <c r="IB2052" s="38"/>
      <c r="IC2052" s="38"/>
      <c r="ID2052" s="38"/>
      <c r="IE2052" s="38"/>
      <c r="IF2052" s="38"/>
      <c r="IG2052" s="38"/>
      <c r="IH2052" s="38"/>
      <c r="II2052" s="38"/>
      <c r="IJ2052" s="38"/>
      <c r="IK2052" s="38"/>
      <c r="IL2052" s="38"/>
      <c r="IM2052" s="38"/>
      <c r="IN2052" s="38"/>
      <c r="IO2052" s="38"/>
      <c r="IP2052" s="38"/>
      <c r="IQ2052" s="38"/>
      <c r="IR2052" s="38"/>
      <c r="IS2052" s="38"/>
      <c r="IT2052" s="38"/>
      <c r="IU2052" s="38"/>
      <c r="IV2052" s="38"/>
      <c r="IW2052" s="38"/>
      <c r="IX2052" s="38"/>
      <c r="IY2052" s="38"/>
      <c r="IZ2052" s="38"/>
      <c r="JA2052" s="38"/>
      <c r="JB2052" s="38"/>
      <c r="JC2052" s="38"/>
      <c r="JD2052" s="38"/>
      <c r="JE2052" s="38"/>
      <c r="JF2052" s="38"/>
      <c r="JG2052" s="38"/>
      <c r="JH2052" s="38"/>
      <c r="JI2052" s="38"/>
      <c r="JJ2052" s="38"/>
      <c r="JK2052" s="38"/>
      <c r="JL2052" s="38"/>
      <c r="JM2052" s="38"/>
      <c r="JN2052" s="38"/>
      <c r="JO2052" s="38"/>
      <c r="JP2052" s="38"/>
      <c r="JQ2052" s="38"/>
      <c r="JR2052" s="38"/>
      <c r="JS2052" s="38"/>
      <c r="JT2052" s="38"/>
      <c r="JU2052" s="38"/>
      <c r="JV2052" s="38"/>
      <c r="JW2052" s="38"/>
      <c r="JX2052" s="38"/>
      <c r="JY2052" s="38"/>
      <c r="JZ2052" s="38"/>
      <c r="KA2052" s="38"/>
      <c r="KB2052" s="38"/>
      <c r="KC2052" s="38"/>
      <c r="KD2052" s="38"/>
      <c r="KE2052" s="38"/>
      <c r="KF2052" s="38"/>
      <c r="KG2052" s="38"/>
      <c r="KH2052" s="38"/>
      <c r="KI2052" s="38"/>
      <c r="KJ2052" s="38"/>
      <c r="KK2052" s="38"/>
      <c r="KL2052" s="38"/>
      <c r="KM2052" s="38"/>
      <c r="KN2052" s="38"/>
      <c r="KO2052" s="38"/>
      <c r="KP2052" s="38"/>
      <c r="KQ2052" s="38"/>
      <c r="KR2052" s="38"/>
      <c r="KS2052" s="38"/>
      <c r="KT2052" s="38"/>
      <c r="KU2052" s="38"/>
      <c r="KV2052" s="38"/>
      <c r="KW2052" s="38"/>
      <c r="KX2052" s="38"/>
      <c r="KY2052" s="38"/>
      <c r="KZ2052" s="38"/>
      <c r="LA2052" s="38"/>
      <c r="LB2052" s="38"/>
      <c r="LC2052" s="38"/>
      <c r="LD2052" s="38"/>
      <c r="LE2052" s="38"/>
      <c r="LF2052" s="38"/>
      <c r="LG2052" s="38"/>
      <c r="LH2052" s="38"/>
      <c r="LI2052" s="38"/>
      <c r="LJ2052" s="38"/>
      <c r="LK2052" s="38"/>
      <c r="LL2052" s="38"/>
      <c r="LM2052" s="38"/>
      <c r="LN2052" s="38"/>
      <c r="LO2052" s="38"/>
      <c r="LP2052" s="38"/>
      <c r="LQ2052" s="38"/>
      <c r="LR2052" s="38"/>
      <c r="LS2052" s="38"/>
      <c r="LT2052" s="38"/>
      <c r="LU2052" s="38"/>
      <c r="LV2052" s="38"/>
      <c r="LW2052" s="38"/>
      <c r="LX2052" s="38"/>
      <c r="LY2052" s="38"/>
      <c r="LZ2052" s="38"/>
      <c r="MA2052" s="38"/>
      <c r="MB2052" s="38"/>
      <c r="MC2052" s="38"/>
      <c r="MD2052" s="38"/>
      <c r="ME2052" s="38"/>
      <c r="MF2052" s="38"/>
      <c r="MG2052" s="38"/>
      <c r="MH2052" s="38"/>
      <c r="MI2052" s="38"/>
      <c r="MJ2052" s="38"/>
      <c r="MK2052" s="38"/>
      <c r="ML2052" s="38"/>
      <c r="MM2052" s="38"/>
      <c r="MN2052" s="38"/>
      <c r="MO2052" s="38"/>
      <c r="MP2052" s="38"/>
      <c r="MQ2052" s="38"/>
      <c r="MR2052" s="38"/>
      <c r="MS2052" s="38"/>
      <c r="MT2052" s="38"/>
      <c r="MU2052" s="38"/>
      <c r="MV2052" s="38"/>
      <c r="MW2052" s="38"/>
      <c r="MX2052" s="38"/>
      <c r="MY2052" s="38"/>
      <c r="MZ2052" s="38"/>
      <c r="NA2052" s="38"/>
      <c r="NB2052" s="38"/>
      <c r="NC2052" s="38"/>
      <c r="ND2052" s="38"/>
      <c r="NE2052" s="38"/>
      <c r="NF2052" s="38"/>
      <c r="NG2052" s="38"/>
      <c r="NH2052" s="38"/>
      <c r="NI2052" s="38"/>
      <c r="NJ2052" s="38"/>
      <c r="NK2052" s="38"/>
      <c r="NL2052" s="38"/>
      <c r="NM2052" s="38"/>
      <c r="NN2052" s="38"/>
      <c r="NO2052" s="38"/>
      <c r="NP2052" s="38"/>
      <c r="NQ2052" s="38"/>
      <c r="NR2052" s="38"/>
      <c r="NS2052" s="38"/>
      <c r="NT2052" s="38"/>
      <c r="NU2052" s="38"/>
      <c r="NV2052" s="38"/>
      <c r="NW2052" s="38"/>
      <c r="NX2052" s="38"/>
      <c r="NY2052" s="38"/>
      <c r="NZ2052" s="38"/>
      <c r="OA2052" s="38"/>
      <c r="OB2052" s="38"/>
      <c r="OC2052" s="38"/>
      <c r="OD2052" s="38"/>
      <c r="OE2052" s="38"/>
      <c r="OF2052" s="38"/>
      <c r="OG2052" s="38"/>
      <c r="OH2052" s="38"/>
      <c r="OI2052" s="38"/>
      <c r="OJ2052" s="38"/>
      <c r="OK2052" s="38"/>
      <c r="OL2052" s="38"/>
      <c r="OM2052" s="38"/>
      <c r="ON2052" s="38"/>
      <c r="OO2052" s="38"/>
      <c r="OP2052" s="38"/>
      <c r="OQ2052" s="38"/>
      <c r="OR2052" s="38"/>
      <c r="OS2052" s="38"/>
      <c r="OT2052" s="38"/>
      <c r="OU2052" s="38"/>
      <c r="OV2052" s="38"/>
      <c r="OW2052" s="38"/>
      <c r="OX2052" s="38"/>
      <c r="OY2052" s="38"/>
      <c r="OZ2052" s="38"/>
      <c r="PA2052" s="38"/>
      <c r="PB2052" s="38"/>
      <c r="PC2052" s="38"/>
      <c r="PD2052" s="38"/>
      <c r="PE2052" s="38"/>
      <c r="PF2052" s="38"/>
      <c r="PG2052" s="38"/>
      <c r="PH2052" s="38"/>
      <c r="PI2052" s="38"/>
      <c r="PJ2052" s="38"/>
      <c r="PK2052" s="38"/>
      <c r="PL2052" s="38"/>
      <c r="PM2052" s="38"/>
      <c r="PN2052" s="38"/>
      <c r="PO2052" s="38"/>
      <c r="PP2052" s="38"/>
      <c r="PQ2052" s="38"/>
      <c r="PR2052" s="38"/>
      <c r="PS2052" s="38"/>
      <c r="PT2052" s="38"/>
      <c r="PU2052" s="38"/>
      <c r="PV2052" s="38"/>
      <c r="PW2052" s="38"/>
      <c r="PX2052" s="38"/>
      <c r="PY2052" s="38"/>
      <c r="PZ2052" s="38"/>
      <c r="QA2052" s="38"/>
      <c r="QB2052" s="38"/>
      <c r="QC2052" s="38"/>
      <c r="QD2052" s="38"/>
      <c r="QE2052" s="38"/>
      <c r="QF2052" s="38"/>
      <c r="QG2052" s="38"/>
      <c r="QH2052" s="38"/>
      <c r="QI2052" s="38"/>
      <c r="QJ2052" s="38"/>
      <c r="QK2052" s="38"/>
      <c r="QL2052" s="38"/>
      <c r="QM2052" s="38"/>
      <c r="QN2052" s="38"/>
      <c r="QO2052" s="38"/>
      <c r="QP2052" s="38"/>
      <c r="QQ2052" s="38"/>
      <c r="QR2052" s="38"/>
      <c r="QS2052" s="38"/>
      <c r="QT2052" s="38"/>
      <c r="QU2052" s="38"/>
      <c r="QV2052" s="38"/>
      <c r="QW2052" s="38"/>
      <c r="QX2052" s="38"/>
      <c r="QY2052" s="38"/>
      <c r="QZ2052" s="38"/>
      <c r="RA2052" s="38"/>
      <c r="RB2052" s="38"/>
      <c r="RC2052" s="38"/>
      <c r="RD2052" s="38"/>
      <c r="RE2052" s="38"/>
      <c r="RF2052" s="38"/>
      <c r="RG2052" s="38"/>
      <c r="RH2052" s="38"/>
      <c r="RI2052" s="38"/>
      <c r="RJ2052" s="38"/>
      <c r="RK2052" s="38"/>
      <c r="RL2052" s="38"/>
      <c r="RM2052" s="38"/>
      <c r="RN2052" s="38"/>
      <c r="RO2052" s="38"/>
      <c r="RP2052" s="38"/>
      <c r="RQ2052" s="38"/>
      <c r="RR2052" s="38"/>
      <c r="RS2052" s="38"/>
      <c r="RT2052" s="38"/>
      <c r="RU2052" s="38"/>
      <c r="RV2052" s="38"/>
      <c r="RW2052" s="38"/>
      <c r="RX2052" s="38"/>
      <c r="RY2052" s="38"/>
      <c r="RZ2052" s="38"/>
      <c r="SA2052" s="38"/>
      <c r="SB2052" s="38"/>
      <c r="SC2052" s="38"/>
      <c r="SD2052" s="38"/>
      <c r="SE2052" s="38"/>
      <c r="SF2052" s="38"/>
      <c r="SG2052" s="38"/>
      <c r="SH2052" s="38"/>
      <c r="SI2052" s="38"/>
      <c r="SJ2052" s="38"/>
      <c r="SK2052" s="38"/>
      <c r="SL2052" s="38"/>
      <c r="SM2052" s="38"/>
      <c r="SN2052" s="38"/>
      <c r="SO2052" s="38"/>
      <c r="SP2052" s="38"/>
      <c r="SQ2052" s="38"/>
      <c r="SR2052" s="38"/>
      <c r="SS2052" s="38"/>
      <c r="ST2052" s="38"/>
      <c r="SU2052" s="38"/>
      <c r="SV2052" s="38"/>
      <c r="SW2052" s="38"/>
      <c r="SX2052" s="38"/>
      <c r="SY2052" s="38"/>
      <c r="SZ2052" s="38"/>
      <c r="TA2052" s="38"/>
      <c r="TB2052" s="38"/>
      <c r="TC2052" s="38"/>
      <c r="TD2052" s="38"/>
      <c r="TE2052" s="38"/>
      <c r="TF2052" s="38"/>
      <c r="TG2052" s="38"/>
      <c r="TH2052" s="38"/>
      <c r="TI2052" s="38"/>
      <c r="TJ2052" s="38"/>
      <c r="TK2052" s="38"/>
      <c r="TL2052" s="38"/>
      <c r="TM2052" s="38"/>
      <c r="TN2052" s="38"/>
      <c r="TO2052" s="38"/>
      <c r="TP2052" s="38"/>
      <c r="TQ2052" s="38"/>
      <c r="TR2052" s="38"/>
      <c r="TS2052" s="38"/>
      <c r="TT2052" s="38"/>
      <c r="TU2052" s="38"/>
      <c r="TV2052" s="38"/>
      <c r="TW2052" s="38"/>
      <c r="TX2052" s="38"/>
      <c r="TY2052" s="38"/>
      <c r="TZ2052" s="38"/>
      <c r="UA2052" s="38"/>
      <c r="UB2052" s="38"/>
      <c r="UC2052" s="38"/>
      <c r="UD2052" s="38"/>
      <c r="UE2052" s="38"/>
      <c r="UF2052" s="38"/>
      <c r="UG2052" s="38"/>
      <c r="UH2052" s="38"/>
      <c r="UI2052" s="38"/>
      <c r="UJ2052" s="38"/>
      <c r="UK2052" s="38"/>
      <c r="UL2052" s="38"/>
      <c r="UM2052" s="38"/>
      <c r="UN2052" s="38"/>
      <c r="UO2052" s="38"/>
      <c r="UP2052" s="38"/>
      <c r="UQ2052" s="38"/>
      <c r="UR2052" s="38"/>
      <c r="US2052" s="38"/>
      <c r="UT2052" s="38"/>
      <c r="UU2052" s="38"/>
      <c r="UV2052" s="38"/>
      <c r="UW2052" s="38"/>
      <c r="UX2052" s="38"/>
      <c r="UY2052" s="38"/>
      <c r="UZ2052" s="38"/>
      <c r="VA2052" s="38"/>
      <c r="VB2052" s="38"/>
      <c r="VC2052" s="38"/>
      <c r="VD2052" s="38"/>
      <c r="VE2052" s="38"/>
      <c r="VF2052" s="38"/>
      <c r="VG2052" s="38"/>
      <c r="VH2052" s="38"/>
      <c r="VI2052" s="38"/>
      <c r="VJ2052" s="38"/>
      <c r="VK2052" s="38"/>
      <c r="VL2052" s="38"/>
      <c r="VM2052" s="38"/>
      <c r="VN2052" s="38"/>
      <c r="VO2052" s="38"/>
      <c r="VP2052" s="38"/>
      <c r="VQ2052" s="38"/>
      <c r="VR2052" s="38"/>
      <c r="VS2052" s="38"/>
      <c r="VT2052" s="38"/>
      <c r="VU2052" s="38"/>
      <c r="VV2052" s="38"/>
      <c r="VW2052" s="38"/>
      <c r="VX2052" s="38"/>
      <c r="VY2052" s="38"/>
      <c r="VZ2052" s="38"/>
      <c r="WA2052" s="38"/>
      <c r="WB2052" s="38"/>
      <c r="WC2052" s="38"/>
      <c r="WD2052" s="38"/>
      <c r="WE2052" s="38"/>
      <c r="WF2052" s="38"/>
      <c r="WG2052" s="38"/>
      <c r="WH2052" s="38"/>
      <c r="WI2052" s="38"/>
      <c r="WJ2052" s="38"/>
      <c r="WK2052" s="38"/>
      <c r="WL2052" s="38"/>
      <c r="WM2052" s="38"/>
      <c r="WN2052" s="38"/>
      <c r="WO2052" s="38"/>
      <c r="WP2052" s="38"/>
      <c r="WQ2052" s="38"/>
      <c r="WR2052" s="38"/>
      <c r="WS2052" s="38"/>
      <c r="WT2052" s="38"/>
      <c r="WU2052" s="38"/>
      <c r="WV2052" s="38"/>
      <c r="WW2052" s="38"/>
      <c r="WX2052" s="38"/>
      <c r="WY2052" s="38"/>
      <c r="WZ2052" s="38"/>
      <c r="XA2052" s="38"/>
      <c r="XB2052" s="38"/>
      <c r="XC2052" s="38"/>
      <c r="XD2052" s="38"/>
      <c r="XE2052" s="38"/>
      <c r="XF2052" s="38"/>
      <c r="XG2052" s="38"/>
      <c r="XH2052" s="38"/>
      <c r="XI2052" s="38"/>
      <c r="XJ2052" s="38"/>
      <c r="XK2052" s="38"/>
      <c r="XL2052" s="38"/>
      <c r="XM2052" s="38"/>
      <c r="XN2052" s="38"/>
      <c r="XO2052" s="38"/>
      <c r="XP2052" s="38"/>
      <c r="XQ2052" s="38"/>
      <c r="XR2052" s="38"/>
      <c r="XS2052" s="38"/>
      <c r="XT2052" s="38"/>
      <c r="XU2052" s="38"/>
      <c r="XV2052" s="38"/>
      <c r="XW2052" s="38"/>
      <c r="XX2052" s="38"/>
      <c r="XY2052" s="38"/>
      <c r="XZ2052" s="38"/>
      <c r="YA2052" s="38"/>
      <c r="YB2052" s="38"/>
      <c r="YC2052" s="38"/>
      <c r="YD2052" s="38"/>
      <c r="YE2052" s="38"/>
      <c r="YF2052" s="38"/>
      <c r="YG2052" s="38"/>
      <c r="YH2052" s="38"/>
      <c r="YI2052" s="38"/>
      <c r="YJ2052" s="38"/>
      <c r="YK2052" s="38"/>
      <c r="YL2052" s="38"/>
      <c r="YM2052" s="38"/>
      <c r="YN2052" s="38"/>
      <c r="YO2052" s="38"/>
      <c r="YP2052" s="38"/>
      <c r="YQ2052" s="38"/>
      <c r="YR2052" s="38"/>
      <c r="YS2052" s="38"/>
      <c r="YT2052" s="38"/>
      <c r="YU2052" s="38"/>
      <c r="YV2052" s="38"/>
      <c r="YW2052" s="38"/>
      <c r="YX2052" s="38"/>
      <c r="YY2052" s="38"/>
      <c r="YZ2052" s="38"/>
      <c r="ZA2052" s="38"/>
      <c r="ZB2052" s="38"/>
      <c r="ZC2052" s="38"/>
      <c r="ZD2052" s="38"/>
      <c r="ZE2052" s="38"/>
      <c r="ZF2052" s="38"/>
      <c r="ZG2052" s="38"/>
      <c r="ZH2052" s="38"/>
      <c r="ZI2052" s="38"/>
      <c r="ZJ2052" s="38"/>
      <c r="ZK2052" s="38"/>
      <c r="ZL2052" s="38"/>
      <c r="ZM2052" s="38"/>
      <c r="ZN2052" s="38"/>
      <c r="ZO2052" s="38"/>
      <c r="ZP2052" s="38"/>
      <c r="ZQ2052" s="38"/>
      <c r="ZR2052" s="38"/>
      <c r="ZS2052" s="38"/>
      <c r="ZT2052" s="38"/>
      <c r="ZU2052" s="38"/>
      <c r="ZV2052" s="38"/>
      <c r="ZW2052" s="38"/>
      <c r="ZX2052" s="38"/>
      <c r="ZY2052" s="38"/>
      <c r="ZZ2052" s="38"/>
      <c r="AAA2052" s="38"/>
      <c r="AAB2052" s="38"/>
      <c r="AAC2052" s="38"/>
      <c r="AAD2052" s="38"/>
      <c r="AAE2052" s="38"/>
      <c r="AAF2052" s="38"/>
      <c r="AAG2052" s="38"/>
      <c r="AAH2052" s="38"/>
      <c r="AAI2052" s="38"/>
      <c r="AAJ2052" s="38"/>
      <c r="AAK2052" s="38"/>
      <c r="AAL2052" s="38"/>
      <c r="AAM2052" s="38"/>
      <c r="AAN2052" s="38"/>
      <c r="AAO2052" s="38"/>
      <c r="AAP2052" s="38"/>
      <c r="AAQ2052" s="38"/>
      <c r="AAR2052" s="38"/>
      <c r="AAS2052" s="38"/>
      <c r="AAT2052" s="38"/>
      <c r="AAU2052" s="38"/>
      <c r="AAV2052" s="38"/>
      <c r="AAW2052" s="38"/>
      <c r="AAX2052" s="38"/>
      <c r="AAY2052" s="38"/>
      <c r="AAZ2052" s="38"/>
      <c r="ABA2052" s="38"/>
      <c r="ABB2052" s="38"/>
      <c r="ABC2052" s="38"/>
      <c r="ABD2052" s="38"/>
      <c r="ABE2052" s="38"/>
      <c r="ABF2052" s="38"/>
      <c r="ABG2052" s="38"/>
      <c r="ABH2052" s="38"/>
      <c r="ABI2052" s="38"/>
      <c r="ABJ2052" s="38"/>
      <c r="ABK2052" s="38"/>
      <c r="ABL2052" s="38"/>
      <c r="ABM2052" s="38"/>
      <c r="ABN2052" s="38"/>
      <c r="ABO2052" s="38"/>
      <c r="ABP2052" s="38"/>
      <c r="ABQ2052" s="38"/>
      <c r="ABR2052" s="38"/>
      <c r="ABS2052" s="38"/>
      <c r="ABT2052" s="38"/>
      <c r="ABU2052" s="38"/>
      <c r="ABV2052" s="38"/>
      <c r="ABW2052" s="38"/>
      <c r="ABX2052" s="38"/>
      <c r="ABY2052" s="38"/>
      <c r="ABZ2052" s="38"/>
      <c r="ACA2052" s="38"/>
      <c r="ACB2052" s="38"/>
      <c r="ACC2052" s="38"/>
      <c r="ACD2052" s="38"/>
      <c r="ACE2052" s="38"/>
      <c r="ACF2052" s="38"/>
      <c r="ACG2052" s="38"/>
      <c r="ACH2052" s="38"/>
      <c r="ACI2052" s="38"/>
      <c r="ACJ2052" s="38"/>
      <c r="ACK2052" s="38"/>
      <c r="ACL2052" s="38"/>
      <c r="ACM2052" s="38"/>
      <c r="ACN2052" s="38"/>
      <c r="ACO2052" s="38"/>
      <c r="ACP2052" s="38"/>
      <c r="ACQ2052" s="38"/>
      <c r="ACR2052" s="38"/>
      <c r="ACS2052" s="38"/>
      <c r="ACT2052" s="38"/>
      <c r="ACU2052" s="38"/>
      <c r="ACV2052" s="38"/>
      <c r="ACW2052" s="38"/>
      <c r="ACX2052" s="38"/>
      <c r="ACY2052" s="38"/>
      <c r="ACZ2052" s="38"/>
      <c r="ADA2052" s="38"/>
      <c r="ADB2052" s="38"/>
      <c r="ADC2052" s="38"/>
      <c r="ADD2052" s="38"/>
      <c r="ADE2052" s="38"/>
      <c r="ADF2052" s="38"/>
      <c r="ADG2052" s="38"/>
      <c r="ADH2052" s="38"/>
      <c r="ADI2052" s="38"/>
      <c r="ADJ2052" s="38"/>
      <c r="ADK2052" s="38"/>
      <c r="ADL2052" s="38"/>
      <c r="ADM2052" s="38"/>
      <c r="ADN2052" s="38"/>
      <c r="ADO2052" s="38"/>
      <c r="ADP2052" s="38"/>
      <c r="ADQ2052" s="38"/>
      <c r="ADR2052" s="38"/>
      <c r="ADS2052" s="38"/>
      <c r="ADT2052" s="38"/>
      <c r="ADU2052" s="38"/>
      <c r="ADV2052" s="38"/>
      <c r="ADW2052" s="38"/>
      <c r="ADX2052" s="38"/>
      <c r="ADY2052" s="38"/>
      <c r="ADZ2052" s="38"/>
      <c r="AEA2052" s="38"/>
      <c r="AEB2052" s="38"/>
      <c r="AEC2052" s="38"/>
      <c r="AED2052" s="38"/>
      <c r="AEE2052" s="38"/>
      <c r="AEF2052" s="38"/>
      <c r="AEG2052" s="38"/>
      <c r="AEH2052" s="38"/>
      <c r="AEI2052" s="38"/>
      <c r="AEJ2052" s="38"/>
      <c r="AEK2052" s="38"/>
      <c r="AEL2052" s="38"/>
      <c r="AEM2052" s="38"/>
      <c r="AEN2052" s="38"/>
      <c r="AEO2052" s="38"/>
      <c r="AEP2052" s="38"/>
      <c r="AEQ2052" s="38"/>
      <c r="AER2052" s="38"/>
      <c r="AES2052" s="38"/>
      <c r="AET2052" s="38"/>
      <c r="AEU2052" s="38"/>
      <c r="AEV2052" s="38"/>
      <c r="AEW2052" s="38"/>
      <c r="AEX2052" s="38"/>
      <c r="AEY2052" s="38"/>
      <c r="AEZ2052" s="38"/>
      <c r="AFA2052" s="38"/>
      <c r="AFB2052" s="38"/>
      <c r="AFC2052" s="38"/>
      <c r="AFD2052" s="38"/>
      <c r="AFE2052" s="38"/>
      <c r="AFF2052" s="38"/>
      <c r="AFG2052" s="38"/>
      <c r="AFH2052" s="38"/>
      <c r="AFI2052" s="38"/>
      <c r="AFJ2052" s="38"/>
      <c r="AFK2052" s="38"/>
      <c r="AFL2052" s="38"/>
      <c r="AFM2052" s="38"/>
      <c r="AFN2052" s="38"/>
      <c r="AFO2052" s="38"/>
      <c r="AFP2052" s="38"/>
      <c r="AFQ2052" s="38"/>
      <c r="AFR2052" s="38"/>
      <c r="AFS2052" s="38"/>
      <c r="AFT2052" s="38"/>
      <c r="AFU2052" s="38"/>
      <c r="AFV2052" s="38"/>
      <c r="AFW2052" s="38"/>
      <c r="AFX2052" s="38"/>
      <c r="AFY2052" s="38"/>
      <c r="AFZ2052" s="38"/>
      <c r="AGA2052" s="38"/>
      <c r="AGB2052" s="38"/>
      <c r="AGC2052" s="38"/>
      <c r="AGD2052" s="38"/>
      <c r="AGE2052" s="38"/>
      <c r="AGF2052" s="38"/>
      <c r="AGG2052" s="38"/>
      <c r="AGH2052" s="38"/>
      <c r="AGI2052" s="38"/>
      <c r="AGJ2052" s="38"/>
      <c r="AGK2052" s="38"/>
      <c r="AGL2052" s="38"/>
      <c r="AGM2052" s="38"/>
      <c r="AGN2052" s="38"/>
      <c r="AGO2052" s="38"/>
      <c r="AGP2052" s="38"/>
      <c r="AGQ2052" s="38"/>
      <c r="AGR2052" s="38"/>
      <c r="AGS2052" s="38"/>
      <c r="AGT2052" s="38"/>
      <c r="AGU2052" s="38"/>
      <c r="AGV2052" s="38"/>
      <c r="AGW2052" s="38"/>
      <c r="AGX2052" s="38"/>
      <c r="AGY2052" s="38"/>
      <c r="AGZ2052" s="38"/>
      <c r="AHA2052" s="38"/>
      <c r="AHB2052" s="38"/>
      <c r="AHC2052" s="38"/>
      <c r="AHD2052" s="38"/>
      <c r="AHE2052" s="38"/>
      <c r="AHF2052" s="38"/>
      <c r="AHG2052" s="38"/>
      <c r="AHH2052" s="38"/>
      <c r="AHI2052" s="38"/>
      <c r="AHJ2052" s="38"/>
      <c r="AHK2052" s="38"/>
      <c r="AHL2052" s="38"/>
      <c r="AHM2052" s="38"/>
      <c r="AHN2052" s="38"/>
      <c r="AHO2052" s="38"/>
      <c r="AHP2052" s="38"/>
      <c r="AHQ2052" s="38"/>
      <c r="AHR2052" s="38"/>
      <c r="AHS2052" s="38"/>
      <c r="AHT2052" s="38"/>
      <c r="AHU2052" s="38"/>
      <c r="AHV2052" s="38"/>
      <c r="AHW2052" s="38"/>
      <c r="AHX2052" s="38"/>
      <c r="AHY2052" s="38"/>
      <c r="AHZ2052" s="38"/>
      <c r="AIA2052" s="38"/>
      <c r="AIB2052" s="38"/>
      <c r="AIC2052" s="38"/>
      <c r="AID2052" s="38"/>
      <c r="AIE2052" s="38"/>
      <c r="AIF2052" s="38"/>
      <c r="AIG2052" s="38"/>
      <c r="AIH2052" s="38"/>
      <c r="AII2052" s="38"/>
      <c r="AIJ2052" s="38"/>
      <c r="AIK2052" s="38"/>
      <c r="AIL2052" s="38"/>
      <c r="AIM2052" s="38"/>
      <c r="AIN2052" s="38"/>
      <c r="AIO2052" s="38"/>
      <c r="AIP2052" s="38"/>
      <c r="AIQ2052" s="38"/>
      <c r="AIR2052" s="38"/>
      <c r="AIS2052" s="38"/>
      <c r="AIT2052" s="38"/>
      <c r="AIU2052" s="38"/>
      <c r="AIV2052" s="38"/>
      <c r="AIW2052" s="38"/>
      <c r="AIX2052" s="38"/>
      <c r="AIY2052" s="38"/>
      <c r="AIZ2052" s="38"/>
      <c r="AJA2052" s="38"/>
      <c r="AJB2052" s="38"/>
      <c r="AJC2052" s="38"/>
      <c r="AJD2052" s="38"/>
      <c r="AJE2052" s="38"/>
      <c r="AJF2052" s="38"/>
      <c r="AJG2052" s="38"/>
      <c r="AJH2052" s="38"/>
      <c r="AJI2052" s="38"/>
      <c r="AJJ2052" s="38"/>
      <c r="AJK2052" s="38"/>
      <c r="AJL2052" s="38"/>
      <c r="AJM2052" s="38"/>
      <c r="AJN2052" s="38"/>
      <c r="AJO2052" s="38"/>
      <c r="AJP2052" s="38"/>
      <c r="AJQ2052" s="38"/>
      <c r="AJR2052" s="38"/>
      <c r="AJS2052" s="38"/>
      <c r="AJT2052" s="38"/>
      <c r="AJU2052" s="38"/>
      <c r="AJV2052" s="38"/>
      <c r="AJW2052" s="38"/>
      <c r="AJX2052" s="38"/>
      <c r="AJY2052" s="38"/>
      <c r="AJZ2052" s="38"/>
      <c r="AKA2052" s="38"/>
      <c r="AKB2052" s="38"/>
      <c r="AKC2052" s="38"/>
      <c r="AKD2052" s="38"/>
      <c r="AKE2052" s="38"/>
      <c r="AKF2052" s="38"/>
      <c r="AKG2052" s="38"/>
      <c r="AKH2052" s="38"/>
      <c r="AKI2052" s="38"/>
      <c r="AKJ2052" s="38"/>
      <c r="AKK2052" s="38"/>
      <c r="AKL2052" s="38"/>
      <c r="AKM2052" s="38"/>
      <c r="AKN2052" s="38"/>
      <c r="AKO2052" s="38"/>
      <c r="AKP2052" s="38"/>
      <c r="AKQ2052" s="38"/>
      <c r="AKR2052" s="38"/>
      <c r="AKS2052" s="38"/>
      <c r="AKT2052" s="38"/>
      <c r="AKU2052" s="38"/>
      <c r="AKV2052" s="38"/>
      <c r="AKW2052" s="38"/>
      <c r="AKX2052" s="38"/>
      <c r="AKY2052" s="38"/>
      <c r="AKZ2052" s="38"/>
      <c r="ALA2052" s="38"/>
      <c r="ALB2052" s="38"/>
      <c r="ALC2052" s="38"/>
      <c r="ALD2052" s="38"/>
      <c r="ALE2052" s="38"/>
      <c r="ALF2052" s="38"/>
      <c r="ALG2052" s="38"/>
      <c r="ALH2052" s="38"/>
      <c r="ALI2052" s="38"/>
      <c r="ALJ2052" s="38"/>
      <c r="ALK2052" s="38"/>
      <c r="ALL2052" s="38"/>
      <c r="ALM2052" s="38"/>
      <c r="ALN2052" s="38"/>
      <c r="ALO2052" s="38"/>
      <c r="ALP2052" s="38"/>
      <c r="ALQ2052" s="38"/>
      <c r="ALR2052" s="38"/>
      <c r="ALS2052" s="38"/>
      <c r="ALT2052" s="38"/>
      <c r="ALU2052" s="38"/>
      <c r="ALV2052" s="38"/>
      <c r="ALW2052" s="38"/>
      <c r="ALX2052" s="38"/>
      <c r="ALY2052" s="38"/>
      <c r="ALZ2052" s="38"/>
      <c r="AMA2052" s="38"/>
      <c r="AMB2052" s="38"/>
      <c r="AMC2052" s="38"/>
      <c r="AMD2052" s="38"/>
      <c r="AME2052" s="38"/>
      <c r="AMF2052" s="38"/>
      <c r="AMG2052" s="38"/>
      <c r="AMH2052" s="38"/>
      <c r="AMI2052" s="38"/>
      <c r="AMJ2052" s="38"/>
      <c r="AMK2052" s="38"/>
      <c r="AML2052" s="38"/>
      <c r="AMM2052" s="38"/>
      <c r="AMN2052" s="38"/>
      <c r="AMO2052" s="38"/>
      <c r="AMP2052" s="38"/>
      <c r="AMQ2052" s="38"/>
      <c r="AMR2052" s="38"/>
      <c r="AMS2052" s="38"/>
      <c r="AMT2052" s="38"/>
      <c r="AMU2052" s="38"/>
      <c r="AMV2052" s="38"/>
      <c r="AMW2052" s="38"/>
      <c r="AMX2052" s="38"/>
      <c r="AMY2052" s="38"/>
      <c r="AMZ2052" s="38"/>
      <c r="ANA2052" s="38"/>
      <c r="ANB2052" s="38"/>
      <c r="ANC2052" s="38"/>
      <c r="AND2052" s="38"/>
      <c r="ANE2052" s="38"/>
      <c r="ANF2052" s="38"/>
      <c r="ANG2052" s="38"/>
      <c r="ANH2052" s="38"/>
      <c r="ANI2052" s="38"/>
      <c r="ANJ2052" s="38"/>
      <c r="ANK2052" s="38"/>
      <c r="ANL2052" s="38"/>
      <c r="ANM2052" s="38"/>
      <c r="ANN2052" s="38"/>
      <c r="ANO2052" s="38"/>
      <c r="ANP2052" s="38"/>
      <c r="ANQ2052" s="38"/>
      <c r="ANR2052" s="38"/>
      <c r="ANS2052" s="38"/>
      <c r="ANT2052" s="38"/>
      <c r="ANU2052" s="38"/>
      <c r="ANV2052" s="38"/>
      <c r="ANW2052" s="38"/>
      <c r="ANX2052" s="38"/>
      <c r="ANY2052" s="38"/>
      <c r="ANZ2052" s="38"/>
      <c r="AOA2052" s="38"/>
      <c r="AOB2052" s="38"/>
      <c r="AOC2052" s="38"/>
      <c r="AOD2052" s="38"/>
      <c r="AOE2052" s="38"/>
      <c r="AOF2052" s="38"/>
      <c r="AOG2052" s="38"/>
      <c r="AOH2052" s="38"/>
      <c r="AOI2052" s="38"/>
      <c r="AOJ2052" s="38"/>
      <c r="AOK2052" s="38"/>
      <c r="AOL2052" s="38"/>
      <c r="AOM2052" s="38"/>
      <c r="AON2052" s="38"/>
      <c r="AOO2052" s="38"/>
      <c r="AOP2052" s="38"/>
      <c r="AOQ2052" s="38"/>
      <c r="AOR2052" s="38"/>
      <c r="AOS2052" s="38"/>
      <c r="AOT2052" s="38"/>
      <c r="AOU2052" s="38"/>
      <c r="AOV2052" s="38"/>
      <c r="AOW2052" s="38"/>
      <c r="AOX2052" s="38"/>
      <c r="AOY2052" s="38"/>
      <c r="AOZ2052" s="38"/>
      <c r="APA2052" s="38"/>
      <c r="APB2052" s="38"/>
      <c r="APC2052" s="38"/>
    </row>
    <row r="2053" spans="1:1095" s="36" customFormat="1" ht="14.25" customHeight="1">
      <c r="A2053" s="3" t="s">
        <v>1722</v>
      </c>
      <c r="B2053" s="36" t="s">
        <v>2422</v>
      </c>
      <c r="C2053" s="10">
        <v>4099854050015</v>
      </c>
      <c r="D2053" s="246"/>
      <c r="E2053" s="249"/>
      <c r="F2053" s="222" t="s">
        <v>3136</v>
      </c>
      <c r="G2053" s="66" t="str">
        <f>HYPERLINK("https://ledvance.com/pt/product-datasheet/275740/235264","Ficha de Produto")</f>
        <v>Ficha de Produto</v>
      </c>
      <c r="H2053" s="217">
        <v>6</v>
      </c>
      <c r="I2053" s="34" t="s">
        <v>6375</v>
      </c>
      <c r="J2053" s="34" t="s">
        <v>6376</v>
      </c>
      <c r="K2053" s="34" t="s">
        <v>788</v>
      </c>
      <c r="L2053" s="34" t="s">
        <v>793</v>
      </c>
      <c r="M2053" s="247">
        <v>21.5</v>
      </c>
      <c r="N2053" s="288" t="s">
        <v>722</v>
      </c>
    </row>
    <row r="2054" spans="1:1095" s="36" customFormat="1" ht="14.25" customHeight="1">
      <c r="A2054" s="3" t="s">
        <v>1722</v>
      </c>
      <c r="B2054" s="36" t="s">
        <v>2423</v>
      </c>
      <c r="C2054" s="10">
        <v>4099854049897</v>
      </c>
      <c r="D2054" s="246"/>
      <c r="E2054" s="249"/>
      <c r="F2054" s="222" t="s">
        <v>3136</v>
      </c>
      <c r="G2054" s="66" t="str">
        <f>HYPERLINK("https://ledvance.com/pt/product-datasheet/275740/235267","Ficha de Produto")</f>
        <v>Ficha de Produto</v>
      </c>
      <c r="H2054" s="217">
        <v>4</v>
      </c>
      <c r="I2054" s="34" t="s">
        <v>1096</v>
      </c>
      <c r="J2054" s="34" t="s">
        <v>6357</v>
      </c>
      <c r="K2054" s="34" t="s">
        <v>788</v>
      </c>
      <c r="L2054" s="34" t="s">
        <v>793</v>
      </c>
      <c r="M2054" s="247">
        <v>25</v>
      </c>
      <c r="N2054" s="288" t="s">
        <v>722</v>
      </c>
    </row>
    <row r="2055" spans="1:1095" s="36" customFormat="1" ht="14.25" customHeight="1">
      <c r="A2055" s="3" t="s">
        <v>1722</v>
      </c>
      <c r="B2055" s="36" t="s">
        <v>2424</v>
      </c>
      <c r="C2055" s="10">
        <v>4099854049958</v>
      </c>
      <c r="D2055" s="246"/>
      <c r="E2055" s="249"/>
      <c r="F2055" s="222" t="s">
        <v>3136</v>
      </c>
      <c r="G2055" s="66" t="str">
        <f>HYPERLINK("https://ledvance.com/pt/product-datasheet/275740/235270","Ficha de Produto")</f>
        <v>Ficha de Produto</v>
      </c>
      <c r="H2055" s="217">
        <v>4</v>
      </c>
      <c r="I2055" s="34" t="s">
        <v>1096</v>
      </c>
      <c r="J2055" s="34" t="s">
        <v>6357</v>
      </c>
      <c r="K2055" s="34" t="s">
        <v>788</v>
      </c>
      <c r="L2055" s="34" t="s">
        <v>793</v>
      </c>
      <c r="M2055" s="247">
        <v>27.5</v>
      </c>
      <c r="N2055" s="288" t="s">
        <v>722</v>
      </c>
    </row>
    <row r="2056" spans="1:1095" s="36" customFormat="1" ht="14.25" customHeight="1">
      <c r="A2056" s="3" t="s">
        <v>1722</v>
      </c>
      <c r="B2056" s="36" t="s">
        <v>2425</v>
      </c>
      <c r="C2056" s="10">
        <v>4099854049996</v>
      </c>
      <c r="D2056" s="246"/>
      <c r="E2056" s="249"/>
      <c r="F2056" s="222" t="s">
        <v>3136</v>
      </c>
      <c r="G2056" s="66" t="str">
        <f>HYPERLINK("https://ledvance.com/pt/product-datasheet/275740/235255","Ficha de Produto")</f>
        <v>Ficha de Produto</v>
      </c>
      <c r="H2056" s="217">
        <v>6</v>
      </c>
      <c r="I2056" s="34" t="s">
        <v>6377</v>
      </c>
      <c r="J2056" s="34" t="s">
        <v>6376</v>
      </c>
      <c r="K2056" s="34" t="s">
        <v>788</v>
      </c>
      <c r="L2056" s="34" t="s">
        <v>793</v>
      </c>
      <c r="M2056" s="247">
        <v>21</v>
      </c>
      <c r="N2056" s="288" t="s">
        <v>722</v>
      </c>
    </row>
    <row r="2057" spans="1:1095" s="36" customFormat="1" ht="14.25" customHeight="1">
      <c r="A2057" s="3" t="s">
        <v>1722</v>
      </c>
      <c r="B2057" s="36" t="s">
        <v>2426</v>
      </c>
      <c r="C2057" s="10">
        <v>4099854049972</v>
      </c>
      <c r="D2057" s="246"/>
      <c r="E2057" s="249"/>
      <c r="F2057" s="222" t="s">
        <v>3136</v>
      </c>
      <c r="G2057" s="66" t="str">
        <f>HYPERLINK("https://ledvance.com/pt/product-datasheet/275740/235246","Ficha de Produto")</f>
        <v>Ficha de Produto</v>
      </c>
      <c r="H2057" s="217">
        <v>6</v>
      </c>
      <c r="I2057" s="34" t="s">
        <v>6378</v>
      </c>
      <c r="J2057" s="34" t="s">
        <v>6376</v>
      </c>
      <c r="K2057" s="34" t="s">
        <v>788</v>
      </c>
      <c r="L2057" s="34" t="s">
        <v>793</v>
      </c>
      <c r="M2057" s="247">
        <v>17.5</v>
      </c>
      <c r="N2057" s="288" t="s">
        <v>722</v>
      </c>
    </row>
    <row r="2058" spans="1:1095" s="36" customFormat="1" ht="14.25" customHeight="1">
      <c r="A2058" s="3" t="s">
        <v>1722</v>
      </c>
      <c r="B2058" s="36" t="s">
        <v>2427</v>
      </c>
      <c r="C2058" s="10">
        <v>4099854049873</v>
      </c>
      <c r="D2058" s="246"/>
      <c r="E2058" s="249"/>
      <c r="F2058" s="222" t="s">
        <v>3136</v>
      </c>
      <c r="G2058" s="66" t="str">
        <f>HYPERLINK("https://ledvance.com/pt/product-datasheet/275740/235258","Ficha de Produto")</f>
        <v>Ficha de Produto</v>
      </c>
      <c r="H2058" s="217">
        <v>4</v>
      </c>
      <c r="I2058" s="34" t="s">
        <v>6379</v>
      </c>
      <c r="J2058" s="34" t="s">
        <v>6357</v>
      </c>
      <c r="K2058" s="34" t="s">
        <v>788</v>
      </c>
      <c r="L2058" s="34" t="s">
        <v>793</v>
      </c>
      <c r="M2058" s="247">
        <v>24.9</v>
      </c>
      <c r="N2058" s="288" t="s">
        <v>722</v>
      </c>
    </row>
    <row r="2059" spans="1:1095" s="36" customFormat="1" ht="14.25" customHeight="1">
      <c r="A2059" s="3" t="s">
        <v>1722</v>
      </c>
      <c r="B2059" s="36" t="s">
        <v>2428</v>
      </c>
      <c r="C2059" s="10">
        <v>4099854049934</v>
      </c>
      <c r="D2059" s="246"/>
      <c r="E2059" s="249"/>
      <c r="F2059" s="222" t="s">
        <v>3136</v>
      </c>
      <c r="G2059" s="66" t="str">
        <f>HYPERLINK("https://ledvance.com/pt/product-datasheet/275740/235261","Ficha de Produto")</f>
        <v>Ficha de Produto</v>
      </c>
      <c r="H2059" s="217">
        <v>4</v>
      </c>
      <c r="I2059" s="34" t="s">
        <v>6379</v>
      </c>
      <c r="J2059" s="34" t="s">
        <v>6357</v>
      </c>
      <c r="K2059" s="34" t="s">
        <v>788</v>
      </c>
      <c r="L2059" s="34" t="s">
        <v>793</v>
      </c>
      <c r="M2059" s="247">
        <v>27.3</v>
      </c>
      <c r="N2059" s="288" t="s">
        <v>722</v>
      </c>
    </row>
    <row r="2060" spans="1:1095" s="36" customFormat="1" ht="14.25" customHeight="1">
      <c r="A2060" s="3" t="s">
        <v>1722</v>
      </c>
      <c r="B2060" s="36" t="s">
        <v>2429</v>
      </c>
      <c r="C2060" s="10">
        <v>4099854049859</v>
      </c>
      <c r="D2060" s="246"/>
      <c r="E2060" s="249"/>
      <c r="F2060" s="222" t="s">
        <v>3136</v>
      </c>
      <c r="G2060" s="66" t="str">
        <f>HYPERLINK("https://ledvance.com/pt/product-datasheet/275740/235249","Ficha de Produto")</f>
        <v>Ficha de Produto</v>
      </c>
      <c r="H2060" s="217">
        <v>4</v>
      </c>
      <c r="I2060" s="34" t="s">
        <v>6380</v>
      </c>
      <c r="J2060" s="34" t="s">
        <v>6357</v>
      </c>
      <c r="K2060" s="34" t="s">
        <v>788</v>
      </c>
      <c r="L2060" s="34" t="s">
        <v>793</v>
      </c>
      <c r="M2060" s="247">
        <v>25.5</v>
      </c>
      <c r="N2060" s="288" t="s">
        <v>722</v>
      </c>
    </row>
    <row r="2061" spans="1:1095" s="36" customFormat="1" ht="14.25" customHeight="1">
      <c r="A2061" s="3" t="s">
        <v>1722</v>
      </c>
      <c r="B2061" s="36" t="s">
        <v>2430</v>
      </c>
      <c r="C2061" s="10">
        <v>4099854049910</v>
      </c>
      <c r="D2061" s="246"/>
      <c r="E2061" s="249"/>
      <c r="F2061" s="222" t="s">
        <v>3136</v>
      </c>
      <c r="G2061" s="66" t="str">
        <f>HYPERLINK("https://ledvance.com/pt/product-datasheet/275740/235252","Ficha de Produto")</f>
        <v>Ficha de Produto</v>
      </c>
      <c r="H2061" s="217">
        <v>4</v>
      </c>
      <c r="I2061" s="34" t="s">
        <v>6380</v>
      </c>
      <c r="J2061" s="34" t="s">
        <v>6357</v>
      </c>
      <c r="K2061" s="34" t="s">
        <v>788</v>
      </c>
      <c r="L2061" s="34" t="s">
        <v>793</v>
      </c>
      <c r="M2061" s="247">
        <v>23.5</v>
      </c>
      <c r="N2061" s="288" t="s">
        <v>722</v>
      </c>
    </row>
    <row r="2062" spans="1:1095" s="39" customFormat="1" ht="14.25" customHeight="1">
      <c r="A2062" s="8" t="s">
        <v>1722</v>
      </c>
      <c r="B2062" s="39" t="s">
        <v>2431</v>
      </c>
      <c r="C2062" s="8"/>
      <c r="D2062" s="7"/>
      <c r="E2062" s="230"/>
      <c r="F2062" s="7"/>
      <c r="G2062" s="68" t="s">
        <v>6505</v>
      </c>
      <c r="H2062" s="230"/>
      <c r="I2062" s="230"/>
      <c r="J2062" s="230"/>
      <c r="K2062" s="230"/>
      <c r="L2062" s="230"/>
      <c r="M2062" s="248"/>
      <c r="N2062" s="295"/>
      <c r="O2062" s="38"/>
      <c r="P2062" s="38"/>
      <c r="Q2062" s="38"/>
      <c r="R2062" s="38"/>
      <c r="S2062" s="38"/>
      <c r="T2062" s="38"/>
      <c r="U2062" s="38"/>
      <c r="V2062" s="38"/>
      <c r="W2062" s="38"/>
      <c r="X2062" s="38"/>
      <c r="Y2062" s="38"/>
      <c r="Z2062" s="38"/>
      <c r="AA2062" s="38"/>
      <c r="AB2062" s="38"/>
      <c r="AC2062" s="38"/>
      <c r="AD2062" s="38"/>
      <c r="AE2062" s="38"/>
      <c r="AF2062" s="38"/>
      <c r="AG2062" s="38"/>
      <c r="AH2062" s="38"/>
      <c r="AI2062" s="38"/>
      <c r="AJ2062" s="38"/>
      <c r="AK2062" s="38"/>
      <c r="AL2062" s="38"/>
      <c r="AM2062" s="38"/>
      <c r="AN2062" s="38"/>
      <c r="AO2062" s="38"/>
      <c r="AP2062" s="38"/>
      <c r="AQ2062" s="38"/>
      <c r="AR2062" s="38"/>
      <c r="AS2062" s="38"/>
      <c r="AT2062" s="38"/>
      <c r="AU2062" s="38"/>
      <c r="AV2062" s="38"/>
      <c r="AW2062" s="38"/>
      <c r="AX2062" s="38"/>
      <c r="AY2062" s="38"/>
      <c r="AZ2062" s="38"/>
      <c r="BA2062" s="38"/>
      <c r="BB2062" s="38"/>
      <c r="BC2062" s="38"/>
      <c r="BD2062" s="38"/>
      <c r="BE2062" s="38"/>
      <c r="BF2062" s="38"/>
      <c r="BG2062" s="38"/>
      <c r="BH2062" s="38"/>
      <c r="BI2062" s="38"/>
      <c r="BJ2062" s="38"/>
      <c r="BK2062" s="38"/>
      <c r="BL2062" s="38"/>
      <c r="BM2062" s="38"/>
      <c r="BN2062" s="38"/>
      <c r="BO2062" s="38"/>
      <c r="BP2062" s="38"/>
      <c r="BQ2062" s="38"/>
      <c r="BR2062" s="38"/>
      <c r="BS2062" s="38"/>
      <c r="BT2062" s="38"/>
      <c r="BU2062" s="38"/>
      <c r="BV2062" s="38"/>
      <c r="BW2062" s="38"/>
      <c r="BX2062" s="38"/>
      <c r="BY2062" s="38"/>
      <c r="BZ2062" s="38"/>
      <c r="CA2062" s="38"/>
      <c r="CB2062" s="38"/>
      <c r="CC2062" s="38"/>
      <c r="CD2062" s="38"/>
      <c r="CE2062" s="38"/>
      <c r="CF2062" s="38"/>
      <c r="CG2062" s="38"/>
      <c r="CH2062" s="38"/>
      <c r="CI2062" s="38"/>
      <c r="CJ2062" s="38"/>
      <c r="CK2062" s="38"/>
      <c r="CL2062" s="38"/>
      <c r="CM2062" s="38"/>
      <c r="CN2062" s="38"/>
      <c r="CO2062" s="38"/>
      <c r="CP2062" s="38"/>
      <c r="CQ2062" s="38"/>
      <c r="CR2062" s="38"/>
      <c r="CS2062" s="38"/>
      <c r="CT2062" s="38"/>
      <c r="CU2062" s="38"/>
      <c r="CV2062" s="38"/>
      <c r="CW2062" s="38"/>
      <c r="CX2062" s="38"/>
      <c r="CY2062" s="38"/>
      <c r="CZ2062" s="38"/>
      <c r="DA2062" s="38"/>
      <c r="DB2062" s="38"/>
      <c r="DC2062" s="38"/>
      <c r="DD2062" s="38"/>
      <c r="DE2062" s="38"/>
      <c r="DF2062" s="38"/>
      <c r="DG2062" s="38"/>
      <c r="DH2062" s="38"/>
      <c r="DI2062" s="38"/>
      <c r="DJ2062" s="38"/>
      <c r="DK2062" s="38"/>
      <c r="DL2062" s="38"/>
      <c r="DM2062" s="38"/>
      <c r="DN2062" s="38"/>
      <c r="DO2062" s="38"/>
      <c r="DP2062" s="38"/>
      <c r="DQ2062" s="38"/>
      <c r="DR2062" s="38"/>
      <c r="DS2062" s="38"/>
      <c r="DT2062" s="38"/>
      <c r="DU2062" s="38"/>
      <c r="DV2062" s="38"/>
      <c r="DW2062" s="38"/>
      <c r="DX2062" s="38"/>
      <c r="DY2062" s="38"/>
      <c r="DZ2062" s="38"/>
      <c r="EA2062" s="38"/>
      <c r="EB2062" s="38"/>
      <c r="EC2062" s="38"/>
      <c r="ED2062" s="38"/>
      <c r="EE2062" s="38"/>
      <c r="EF2062" s="38"/>
      <c r="EG2062" s="38"/>
      <c r="EH2062" s="38"/>
      <c r="EI2062" s="38"/>
      <c r="EJ2062" s="38"/>
      <c r="EK2062" s="38"/>
      <c r="EL2062" s="38"/>
      <c r="EM2062" s="38"/>
      <c r="EN2062" s="38"/>
      <c r="EO2062" s="38"/>
      <c r="EP2062" s="38"/>
      <c r="EQ2062" s="38"/>
      <c r="ER2062" s="38"/>
      <c r="ES2062" s="38"/>
      <c r="ET2062" s="38"/>
      <c r="EU2062" s="38"/>
      <c r="EV2062" s="38"/>
      <c r="EW2062" s="38"/>
      <c r="EX2062" s="38"/>
      <c r="EY2062" s="38"/>
      <c r="EZ2062" s="38"/>
      <c r="FA2062" s="38"/>
      <c r="FB2062" s="38"/>
      <c r="FC2062" s="38"/>
      <c r="FD2062" s="38"/>
      <c r="FE2062" s="38"/>
      <c r="FF2062" s="38"/>
      <c r="FG2062" s="38"/>
      <c r="FH2062" s="38"/>
      <c r="FI2062" s="38"/>
      <c r="FJ2062" s="38"/>
      <c r="FK2062" s="38"/>
      <c r="FL2062" s="38"/>
      <c r="FM2062" s="38"/>
      <c r="FN2062" s="38"/>
      <c r="FO2062" s="38"/>
      <c r="FP2062" s="38"/>
      <c r="FQ2062" s="38"/>
      <c r="FR2062" s="38"/>
      <c r="FS2062" s="38"/>
      <c r="FT2062" s="38"/>
      <c r="FU2062" s="38"/>
      <c r="FV2062" s="38"/>
      <c r="FW2062" s="38"/>
      <c r="FX2062" s="38"/>
      <c r="FY2062" s="38"/>
      <c r="FZ2062" s="38"/>
      <c r="GA2062" s="38"/>
      <c r="GB2062" s="38"/>
      <c r="GC2062" s="38"/>
      <c r="GD2062" s="38"/>
      <c r="GE2062" s="38"/>
      <c r="GF2062" s="38"/>
      <c r="GG2062" s="38"/>
      <c r="GH2062" s="38"/>
      <c r="GI2062" s="38"/>
      <c r="GJ2062" s="38"/>
      <c r="GK2062" s="38"/>
      <c r="GL2062" s="38"/>
      <c r="GM2062" s="38"/>
      <c r="GN2062" s="38"/>
      <c r="GO2062" s="38"/>
      <c r="GP2062" s="38"/>
      <c r="GQ2062" s="38"/>
      <c r="GR2062" s="38"/>
      <c r="GS2062" s="38"/>
      <c r="GT2062" s="38"/>
      <c r="GU2062" s="38"/>
      <c r="GV2062" s="38"/>
      <c r="GW2062" s="38"/>
      <c r="GX2062" s="38"/>
      <c r="GY2062" s="38"/>
      <c r="GZ2062" s="38"/>
      <c r="HA2062" s="38"/>
      <c r="HB2062" s="38"/>
      <c r="HC2062" s="38"/>
      <c r="HD2062" s="38"/>
      <c r="HE2062" s="38"/>
      <c r="HF2062" s="38"/>
      <c r="HG2062" s="38"/>
      <c r="HH2062" s="38"/>
      <c r="HI2062" s="38"/>
      <c r="HJ2062" s="38"/>
      <c r="HK2062" s="38"/>
      <c r="HL2062" s="38"/>
      <c r="HM2062" s="38"/>
      <c r="HN2062" s="38"/>
      <c r="HO2062" s="38"/>
      <c r="HP2062" s="38"/>
      <c r="HQ2062" s="38"/>
      <c r="HR2062" s="38"/>
      <c r="HS2062" s="38"/>
      <c r="HT2062" s="38"/>
      <c r="HU2062" s="38"/>
      <c r="HV2062" s="38"/>
      <c r="HW2062" s="38"/>
      <c r="HX2062" s="38"/>
      <c r="HY2062" s="38"/>
      <c r="HZ2062" s="38"/>
      <c r="IA2062" s="38"/>
      <c r="IB2062" s="38"/>
      <c r="IC2062" s="38"/>
      <c r="ID2062" s="38"/>
      <c r="IE2062" s="38"/>
      <c r="IF2062" s="38"/>
      <c r="IG2062" s="38"/>
      <c r="IH2062" s="38"/>
      <c r="II2062" s="38"/>
      <c r="IJ2062" s="38"/>
      <c r="IK2062" s="38"/>
      <c r="IL2062" s="38"/>
      <c r="IM2062" s="38"/>
      <c r="IN2062" s="38"/>
      <c r="IO2062" s="38"/>
      <c r="IP2062" s="38"/>
      <c r="IQ2062" s="38"/>
      <c r="IR2062" s="38"/>
      <c r="IS2062" s="38"/>
      <c r="IT2062" s="38"/>
      <c r="IU2062" s="38"/>
      <c r="IV2062" s="38"/>
      <c r="IW2062" s="38"/>
      <c r="IX2062" s="38"/>
      <c r="IY2062" s="38"/>
      <c r="IZ2062" s="38"/>
      <c r="JA2062" s="38"/>
      <c r="JB2062" s="38"/>
      <c r="JC2062" s="38"/>
      <c r="JD2062" s="38"/>
      <c r="JE2062" s="38"/>
      <c r="JF2062" s="38"/>
      <c r="JG2062" s="38"/>
      <c r="JH2062" s="38"/>
      <c r="JI2062" s="38"/>
      <c r="JJ2062" s="38"/>
      <c r="JK2062" s="38"/>
      <c r="JL2062" s="38"/>
      <c r="JM2062" s="38"/>
      <c r="JN2062" s="38"/>
      <c r="JO2062" s="38"/>
      <c r="JP2062" s="38"/>
      <c r="JQ2062" s="38"/>
      <c r="JR2062" s="38"/>
      <c r="JS2062" s="38"/>
      <c r="JT2062" s="38"/>
      <c r="JU2062" s="38"/>
      <c r="JV2062" s="38"/>
      <c r="JW2062" s="38"/>
      <c r="JX2062" s="38"/>
      <c r="JY2062" s="38"/>
      <c r="JZ2062" s="38"/>
      <c r="KA2062" s="38"/>
      <c r="KB2062" s="38"/>
      <c r="KC2062" s="38"/>
      <c r="KD2062" s="38"/>
      <c r="KE2062" s="38"/>
      <c r="KF2062" s="38"/>
      <c r="KG2062" s="38"/>
      <c r="KH2062" s="38"/>
      <c r="KI2062" s="38"/>
      <c r="KJ2062" s="38"/>
      <c r="KK2062" s="38"/>
      <c r="KL2062" s="38"/>
      <c r="KM2062" s="38"/>
      <c r="KN2062" s="38"/>
      <c r="KO2062" s="38"/>
      <c r="KP2062" s="38"/>
      <c r="KQ2062" s="38"/>
      <c r="KR2062" s="38"/>
      <c r="KS2062" s="38"/>
      <c r="KT2062" s="38"/>
      <c r="KU2062" s="38"/>
      <c r="KV2062" s="38"/>
      <c r="KW2062" s="38"/>
      <c r="KX2062" s="38"/>
      <c r="KY2062" s="38"/>
      <c r="KZ2062" s="38"/>
      <c r="LA2062" s="38"/>
      <c r="LB2062" s="38"/>
      <c r="LC2062" s="38"/>
      <c r="LD2062" s="38"/>
      <c r="LE2062" s="38"/>
      <c r="LF2062" s="38"/>
      <c r="LG2062" s="38"/>
      <c r="LH2062" s="38"/>
      <c r="LI2062" s="38"/>
      <c r="LJ2062" s="38"/>
      <c r="LK2062" s="38"/>
      <c r="LL2062" s="38"/>
      <c r="LM2062" s="38"/>
      <c r="LN2062" s="38"/>
      <c r="LO2062" s="38"/>
      <c r="LP2062" s="38"/>
      <c r="LQ2062" s="38"/>
      <c r="LR2062" s="38"/>
      <c r="LS2062" s="38"/>
      <c r="LT2062" s="38"/>
      <c r="LU2062" s="38"/>
      <c r="LV2062" s="38"/>
      <c r="LW2062" s="38"/>
      <c r="LX2062" s="38"/>
      <c r="LY2062" s="38"/>
      <c r="LZ2062" s="38"/>
      <c r="MA2062" s="38"/>
      <c r="MB2062" s="38"/>
      <c r="MC2062" s="38"/>
      <c r="MD2062" s="38"/>
      <c r="ME2062" s="38"/>
      <c r="MF2062" s="38"/>
      <c r="MG2062" s="38"/>
      <c r="MH2062" s="38"/>
      <c r="MI2062" s="38"/>
      <c r="MJ2062" s="38"/>
      <c r="MK2062" s="38"/>
      <c r="ML2062" s="38"/>
      <c r="MM2062" s="38"/>
      <c r="MN2062" s="38"/>
      <c r="MO2062" s="38"/>
      <c r="MP2062" s="38"/>
      <c r="MQ2062" s="38"/>
      <c r="MR2062" s="38"/>
      <c r="MS2062" s="38"/>
      <c r="MT2062" s="38"/>
      <c r="MU2062" s="38"/>
      <c r="MV2062" s="38"/>
      <c r="MW2062" s="38"/>
      <c r="MX2062" s="38"/>
      <c r="MY2062" s="38"/>
      <c r="MZ2062" s="38"/>
      <c r="NA2062" s="38"/>
      <c r="NB2062" s="38"/>
      <c r="NC2062" s="38"/>
      <c r="ND2062" s="38"/>
      <c r="NE2062" s="38"/>
      <c r="NF2062" s="38"/>
      <c r="NG2062" s="38"/>
      <c r="NH2062" s="38"/>
      <c r="NI2062" s="38"/>
      <c r="NJ2062" s="38"/>
      <c r="NK2062" s="38"/>
      <c r="NL2062" s="38"/>
      <c r="NM2062" s="38"/>
      <c r="NN2062" s="38"/>
      <c r="NO2062" s="38"/>
      <c r="NP2062" s="38"/>
      <c r="NQ2062" s="38"/>
      <c r="NR2062" s="38"/>
      <c r="NS2062" s="38"/>
      <c r="NT2062" s="38"/>
      <c r="NU2062" s="38"/>
      <c r="NV2062" s="38"/>
      <c r="NW2062" s="38"/>
      <c r="NX2062" s="38"/>
      <c r="NY2062" s="38"/>
      <c r="NZ2062" s="38"/>
      <c r="OA2062" s="38"/>
      <c r="OB2062" s="38"/>
      <c r="OC2062" s="38"/>
      <c r="OD2062" s="38"/>
      <c r="OE2062" s="38"/>
      <c r="OF2062" s="38"/>
      <c r="OG2062" s="38"/>
      <c r="OH2062" s="38"/>
      <c r="OI2062" s="38"/>
      <c r="OJ2062" s="38"/>
      <c r="OK2062" s="38"/>
      <c r="OL2062" s="38"/>
      <c r="OM2062" s="38"/>
      <c r="ON2062" s="38"/>
      <c r="OO2062" s="38"/>
      <c r="OP2062" s="38"/>
      <c r="OQ2062" s="38"/>
      <c r="OR2062" s="38"/>
      <c r="OS2062" s="38"/>
      <c r="OT2062" s="38"/>
      <c r="OU2062" s="38"/>
      <c r="OV2062" s="38"/>
      <c r="OW2062" s="38"/>
      <c r="OX2062" s="38"/>
      <c r="OY2062" s="38"/>
      <c r="OZ2062" s="38"/>
      <c r="PA2062" s="38"/>
      <c r="PB2062" s="38"/>
      <c r="PC2062" s="38"/>
      <c r="PD2062" s="38"/>
      <c r="PE2062" s="38"/>
      <c r="PF2062" s="38"/>
      <c r="PG2062" s="38"/>
      <c r="PH2062" s="38"/>
      <c r="PI2062" s="38"/>
      <c r="PJ2062" s="38"/>
      <c r="PK2062" s="38"/>
      <c r="PL2062" s="38"/>
      <c r="PM2062" s="38"/>
      <c r="PN2062" s="38"/>
      <c r="PO2062" s="38"/>
      <c r="PP2062" s="38"/>
      <c r="PQ2062" s="38"/>
      <c r="PR2062" s="38"/>
      <c r="PS2062" s="38"/>
      <c r="PT2062" s="38"/>
      <c r="PU2062" s="38"/>
      <c r="PV2062" s="38"/>
      <c r="PW2062" s="38"/>
      <c r="PX2062" s="38"/>
      <c r="PY2062" s="38"/>
      <c r="PZ2062" s="38"/>
      <c r="QA2062" s="38"/>
      <c r="QB2062" s="38"/>
      <c r="QC2062" s="38"/>
      <c r="QD2062" s="38"/>
      <c r="QE2062" s="38"/>
      <c r="QF2062" s="38"/>
      <c r="QG2062" s="38"/>
      <c r="QH2062" s="38"/>
      <c r="QI2062" s="38"/>
      <c r="QJ2062" s="38"/>
      <c r="QK2062" s="38"/>
      <c r="QL2062" s="38"/>
      <c r="QM2062" s="38"/>
      <c r="QN2062" s="38"/>
      <c r="QO2062" s="38"/>
      <c r="QP2062" s="38"/>
      <c r="QQ2062" s="38"/>
      <c r="QR2062" s="38"/>
      <c r="QS2062" s="38"/>
      <c r="QT2062" s="38"/>
      <c r="QU2062" s="38"/>
      <c r="QV2062" s="38"/>
      <c r="QW2062" s="38"/>
      <c r="QX2062" s="38"/>
      <c r="QY2062" s="38"/>
      <c r="QZ2062" s="38"/>
      <c r="RA2062" s="38"/>
      <c r="RB2062" s="38"/>
      <c r="RC2062" s="38"/>
      <c r="RD2062" s="38"/>
      <c r="RE2062" s="38"/>
      <c r="RF2062" s="38"/>
      <c r="RG2062" s="38"/>
      <c r="RH2062" s="38"/>
      <c r="RI2062" s="38"/>
      <c r="RJ2062" s="38"/>
      <c r="RK2062" s="38"/>
      <c r="RL2062" s="38"/>
      <c r="RM2062" s="38"/>
      <c r="RN2062" s="38"/>
      <c r="RO2062" s="38"/>
      <c r="RP2062" s="38"/>
      <c r="RQ2062" s="38"/>
      <c r="RR2062" s="38"/>
      <c r="RS2062" s="38"/>
      <c r="RT2062" s="38"/>
      <c r="RU2062" s="38"/>
      <c r="RV2062" s="38"/>
      <c r="RW2062" s="38"/>
      <c r="RX2062" s="38"/>
      <c r="RY2062" s="38"/>
      <c r="RZ2062" s="38"/>
      <c r="SA2062" s="38"/>
      <c r="SB2062" s="38"/>
      <c r="SC2062" s="38"/>
      <c r="SD2062" s="38"/>
      <c r="SE2062" s="38"/>
      <c r="SF2062" s="38"/>
      <c r="SG2062" s="38"/>
      <c r="SH2062" s="38"/>
      <c r="SI2062" s="38"/>
      <c r="SJ2062" s="38"/>
      <c r="SK2062" s="38"/>
      <c r="SL2062" s="38"/>
      <c r="SM2062" s="38"/>
      <c r="SN2062" s="38"/>
      <c r="SO2062" s="38"/>
      <c r="SP2062" s="38"/>
      <c r="SQ2062" s="38"/>
      <c r="SR2062" s="38"/>
      <c r="SS2062" s="38"/>
      <c r="ST2062" s="38"/>
      <c r="SU2062" s="38"/>
      <c r="SV2062" s="38"/>
      <c r="SW2062" s="38"/>
      <c r="SX2062" s="38"/>
      <c r="SY2062" s="38"/>
      <c r="SZ2062" s="38"/>
      <c r="TA2062" s="38"/>
      <c r="TB2062" s="38"/>
      <c r="TC2062" s="38"/>
      <c r="TD2062" s="38"/>
      <c r="TE2062" s="38"/>
      <c r="TF2062" s="38"/>
      <c r="TG2062" s="38"/>
      <c r="TH2062" s="38"/>
      <c r="TI2062" s="38"/>
      <c r="TJ2062" s="38"/>
      <c r="TK2062" s="38"/>
      <c r="TL2062" s="38"/>
      <c r="TM2062" s="38"/>
      <c r="TN2062" s="38"/>
      <c r="TO2062" s="38"/>
      <c r="TP2062" s="38"/>
      <c r="TQ2062" s="38"/>
      <c r="TR2062" s="38"/>
      <c r="TS2062" s="38"/>
      <c r="TT2062" s="38"/>
      <c r="TU2062" s="38"/>
      <c r="TV2062" s="38"/>
      <c r="TW2062" s="38"/>
      <c r="TX2062" s="38"/>
      <c r="TY2062" s="38"/>
      <c r="TZ2062" s="38"/>
      <c r="UA2062" s="38"/>
      <c r="UB2062" s="38"/>
      <c r="UC2062" s="38"/>
      <c r="UD2062" s="38"/>
      <c r="UE2062" s="38"/>
      <c r="UF2062" s="38"/>
      <c r="UG2062" s="38"/>
      <c r="UH2062" s="38"/>
      <c r="UI2062" s="38"/>
      <c r="UJ2062" s="38"/>
      <c r="UK2062" s="38"/>
      <c r="UL2062" s="38"/>
      <c r="UM2062" s="38"/>
      <c r="UN2062" s="38"/>
      <c r="UO2062" s="38"/>
      <c r="UP2062" s="38"/>
      <c r="UQ2062" s="38"/>
      <c r="UR2062" s="38"/>
      <c r="US2062" s="38"/>
      <c r="UT2062" s="38"/>
      <c r="UU2062" s="38"/>
      <c r="UV2062" s="38"/>
      <c r="UW2062" s="38"/>
      <c r="UX2062" s="38"/>
      <c r="UY2062" s="38"/>
      <c r="UZ2062" s="38"/>
      <c r="VA2062" s="38"/>
      <c r="VB2062" s="38"/>
      <c r="VC2062" s="38"/>
      <c r="VD2062" s="38"/>
      <c r="VE2062" s="38"/>
      <c r="VF2062" s="38"/>
      <c r="VG2062" s="38"/>
      <c r="VH2062" s="38"/>
      <c r="VI2062" s="38"/>
      <c r="VJ2062" s="38"/>
      <c r="VK2062" s="38"/>
      <c r="VL2062" s="38"/>
      <c r="VM2062" s="38"/>
      <c r="VN2062" s="38"/>
      <c r="VO2062" s="38"/>
      <c r="VP2062" s="38"/>
      <c r="VQ2062" s="38"/>
      <c r="VR2062" s="38"/>
      <c r="VS2062" s="38"/>
      <c r="VT2062" s="38"/>
      <c r="VU2062" s="38"/>
      <c r="VV2062" s="38"/>
      <c r="VW2062" s="38"/>
      <c r="VX2062" s="38"/>
      <c r="VY2062" s="38"/>
      <c r="VZ2062" s="38"/>
      <c r="WA2062" s="38"/>
      <c r="WB2062" s="38"/>
      <c r="WC2062" s="38"/>
      <c r="WD2062" s="38"/>
      <c r="WE2062" s="38"/>
      <c r="WF2062" s="38"/>
      <c r="WG2062" s="38"/>
      <c r="WH2062" s="38"/>
      <c r="WI2062" s="38"/>
      <c r="WJ2062" s="38"/>
      <c r="WK2062" s="38"/>
      <c r="WL2062" s="38"/>
      <c r="WM2062" s="38"/>
      <c r="WN2062" s="38"/>
      <c r="WO2062" s="38"/>
      <c r="WP2062" s="38"/>
      <c r="WQ2062" s="38"/>
      <c r="WR2062" s="38"/>
      <c r="WS2062" s="38"/>
      <c r="WT2062" s="38"/>
      <c r="WU2062" s="38"/>
      <c r="WV2062" s="38"/>
      <c r="WW2062" s="38"/>
      <c r="WX2062" s="38"/>
      <c r="WY2062" s="38"/>
      <c r="WZ2062" s="38"/>
      <c r="XA2062" s="38"/>
      <c r="XB2062" s="38"/>
      <c r="XC2062" s="38"/>
      <c r="XD2062" s="38"/>
      <c r="XE2062" s="38"/>
      <c r="XF2062" s="38"/>
      <c r="XG2062" s="38"/>
      <c r="XH2062" s="38"/>
      <c r="XI2062" s="38"/>
      <c r="XJ2062" s="38"/>
      <c r="XK2062" s="38"/>
      <c r="XL2062" s="38"/>
      <c r="XM2062" s="38"/>
      <c r="XN2062" s="38"/>
      <c r="XO2062" s="38"/>
      <c r="XP2062" s="38"/>
      <c r="XQ2062" s="38"/>
      <c r="XR2062" s="38"/>
      <c r="XS2062" s="38"/>
      <c r="XT2062" s="38"/>
      <c r="XU2062" s="38"/>
      <c r="XV2062" s="38"/>
      <c r="XW2062" s="38"/>
      <c r="XX2062" s="38"/>
      <c r="XY2062" s="38"/>
      <c r="XZ2062" s="38"/>
      <c r="YA2062" s="38"/>
      <c r="YB2062" s="38"/>
      <c r="YC2062" s="38"/>
      <c r="YD2062" s="38"/>
      <c r="YE2062" s="38"/>
      <c r="YF2062" s="38"/>
      <c r="YG2062" s="38"/>
      <c r="YH2062" s="38"/>
      <c r="YI2062" s="38"/>
      <c r="YJ2062" s="38"/>
      <c r="YK2062" s="38"/>
      <c r="YL2062" s="38"/>
      <c r="YM2062" s="38"/>
      <c r="YN2062" s="38"/>
      <c r="YO2062" s="38"/>
      <c r="YP2062" s="38"/>
      <c r="YQ2062" s="38"/>
      <c r="YR2062" s="38"/>
      <c r="YS2062" s="38"/>
      <c r="YT2062" s="38"/>
      <c r="YU2062" s="38"/>
      <c r="YV2062" s="38"/>
      <c r="YW2062" s="38"/>
      <c r="YX2062" s="38"/>
      <c r="YY2062" s="38"/>
      <c r="YZ2062" s="38"/>
      <c r="ZA2062" s="38"/>
      <c r="ZB2062" s="38"/>
      <c r="ZC2062" s="38"/>
      <c r="ZD2062" s="38"/>
      <c r="ZE2062" s="38"/>
      <c r="ZF2062" s="38"/>
      <c r="ZG2062" s="38"/>
      <c r="ZH2062" s="38"/>
      <c r="ZI2062" s="38"/>
      <c r="ZJ2062" s="38"/>
      <c r="ZK2062" s="38"/>
      <c r="ZL2062" s="38"/>
      <c r="ZM2062" s="38"/>
      <c r="ZN2062" s="38"/>
      <c r="ZO2062" s="38"/>
      <c r="ZP2062" s="38"/>
      <c r="ZQ2062" s="38"/>
      <c r="ZR2062" s="38"/>
      <c r="ZS2062" s="38"/>
      <c r="ZT2062" s="38"/>
      <c r="ZU2062" s="38"/>
      <c r="ZV2062" s="38"/>
      <c r="ZW2062" s="38"/>
      <c r="ZX2062" s="38"/>
      <c r="ZY2062" s="38"/>
      <c r="ZZ2062" s="38"/>
      <c r="AAA2062" s="38"/>
      <c r="AAB2062" s="38"/>
      <c r="AAC2062" s="38"/>
      <c r="AAD2062" s="38"/>
      <c r="AAE2062" s="38"/>
      <c r="AAF2062" s="38"/>
      <c r="AAG2062" s="38"/>
      <c r="AAH2062" s="38"/>
      <c r="AAI2062" s="38"/>
      <c r="AAJ2062" s="38"/>
      <c r="AAK2062" s="38"/>
      <c r="AAL2062" s="38"/>
      <c r="AAM2062" s="38"/>
      <c r="AAN2062" s="38"/>
      <c r="AAO2062" s="38"/>
      <c r="AAP2062" s="38"/>
      <c r="AAQ2062" s="38"/>
      <c r="AAR2062" s="38"/>
      <c r="AAS2062" s="38"/>
      <c r="AAT2062" s="38"/>
      <c r="AAU2062" s="38"/>
      <c r="AAV2062" s="38"/>
      <c r="AAW2062" s="38"/>
      <c r="AAX2062" s="38"/>
      <c r="AAY2062" s="38"/>
      <c r="AAZ2062" s="38"/>
      <c r="ABA2062" s="38"/>
      <c r="ABB2062" s="38"/>
      <c r="ABC2062" s="38"/>
      <c r="ABD2062" s="38"/>
      <c r="ABE2062" s="38"/>
      <c r="ABF2062" s="38"/>
      <c r="ABG2062" s="38"/>
      <c r="ABH2062" s="38"/>
      <c r="ABI2062" s="38"/>
      <c r="ABJ2062" s="38"/>
      <c r="ABK2062" s="38"/>
      <c r="ABL2062" s="38"/>
      <c r="ABM2062" s="38"/>
      <c r="ABN2062" s="38"/>
      <c r="ABO2062" s="38"/>
      <c r="ABP2062" s="38"/>
      <c r="ABQ2062" s="38"/>
      <c r="ABR2062" s="38"/>
      <c r="ABS2062" s="38"/>
      <c r="ABT2062" s="38"/>
      <c r="ABU2062" s="38"/>
      <c r="ABV2062" s="38"/>
      <c r="ABW2062" s="38"/>
      <c r="ABX2062" s="38"/>
      <c r="ABY2062" s="38"/>
      <c r="ABZ2062" s="38"/>
      <c r="ACA2062" s="38"/>
      <c r="ACB2062" s="38"/>
      <c r="ACC2062" s="38"/>
      <c r="ACD2062" s="38"/>
      <c r="ACE2062" s="38"/>
      <c r="ACF2062" s="38"/>
      <c r="ACG2062" s="38"/>
      <c r="ACH2062" s="38"/>
      <c r="ACI2062" s="38"/>
      <c r="ACJ2062" s="38"/>
      <c r="ACK2062" s="38"/>
      <c r="ACL2062" s="38"/>
      <c r="ACM2062" s="38"/>
      <c r="ACN2062" s="38"/>
      <c r="ACO2062" s="38"/>
      <c r="ACP2062" s="38"/>
      <c r="ACQ2062" s="38"/>
      <c r="ACR2062" s="38"/>
      <c r="ACS2062" s="38"/>
      <c r="ACT2062" s="38"/>
      <c r="ACU2062" s="38"/>
      <c r="ACV2062" s="38"/>
      <c r="ACW2062" s="38"/>
      <c r="ACX2062" s="38"/>
      <c r="ACY2062" s="38"/>
      <c r="ACZ2062" s="38"/>
      <c r="ADA2062" s="38"/>
      <c r="ADB2062" s="38"/>
      <c r="ADC2062" s="38"/>
      <c r="ADD2062" s="38"/>
      <c r="ADE2062" s="38"/>
      <c r="ADF2062" s="38"/>
      <c r="ADG2062" s="38"/>
      <c r="ADH2062" s="38"/>
      <c r="ADI2062" s="38"/>
      <c r="ADJ2062" s="38"/>
      <c r="ADK2062" s="38"/>
      <c r="ADL2062" s="38"/>
      <c r="ADM2062" s="38"/>
      <c r="ADN2062" s="38"/>
      <c r="ADO2062" s="38"/>
      <c r="ADP2062" s="38"/>
      <c r="ADQ2062" s="38"/>
      <c r="ADR2062" s="38"/>
      <c r="ADS2062" s="38"/>
      <c r="ADT2062" s="38"/>
      <c r="ADU2062" s="38"/>
      <c r="ADV2062" s="38"/>
      <c r="ADW2062" s="38"/>
      <c r="ADX2062" s="38"/>
      <c r="ADY2062" s="38"/>
      <c r="ADZ2062" s="38"/>
      <c r="AEA2062" s="38"/>
      <c r="AEB2062" s="38"/>
      <c r="AEC2062" s="38"/>
      <c r="AED2062" s="38"/>
      <c r="AEE2062" s="38"/>
      <c r="AEF2062" s="38"/>
      <c r="AEG2062" s="38"/>
      <c r="AEH2062" s="38"/>
      <c r="AEI2062" s="38"/>
      <c r="AEJ2062" s="38"/>
      <c r="AEK2062" s="38"/>
      <c r="AEL2062" s="38"/>
      <c r="AEM2062" s="38"/>
      <c r="AEN2062" s="38"/>
      <c r="AEO2062" s="38"/>
      <c r="AEP2062" s="38"/>
      <c r="AEQ2062" s="38"/>
      <c r="AER2062" s="38"/>
      <c r="AES2062" s="38"/>
      <c r="AET2062" s="38"/>
      <c r="AEU2062" s="38"/>
      <c r="AEV2062" s="38"/>
      <c r="AEW2062" s="38"/>
      <c r="AEX2062" s="38"/>
      <c r="AEY2062" s="38"/>
      <c r="AEZ2062" s="38"/>
      <c r="AFA2062" s="38"/>
      <c r="AFB2062" s="38"/>
      <c r="AFC2062" s="38"/>
      <c r="AFD2062" s="38"/>
      <c r="AFE2062" s="38"/>
      <c r="AFF2062" s="38"/>
      <c r="AFG2062" s="38"/>
      <c r="AFH2062" s="38"/>
      <c r="AFI2062" s="38"/>
      <c r="AFJ2062" s="38"/>
      <c r="AFK2062" s="38"/>
      <c r="AFL2062" s="38"/>
      <c r="AFM2062" s="38"/>
      <c r="AFN2062" s="38"/>
      <c r="AFO2062" s="38"/>
      <c r="AFP2062" s="38"/>
      <c r="AFQ2062" s="38"/>
      <c r="AFR2062" s="38"/>
      <c r="AFS2062" s="38"/>
      <c r="AFT2062" s="38"/>
      <c r="AFU2062" s="38"/>
      <c r="AFV2062" s="38"/>
      <c r="AFW2062" s="38"/>
      <c r="AFX2062" s="38"/>
      <c r="AFY2062" s="38"/>
      <c r="AFZ2062" s="38"/>
      <c r="AGA2062" s="38"/>
      <c r="AGB2062" s="38"/>
      <c r="AGC2062" s="38"/>
      <c r="AGD2062" s="38"/>
      <c r="AGE2062" s="38"/>
      <c r="AGF2062" s="38"/>
      <c r="AGG2062" s="38"/>
      <c r="AGH2062" s="38"/>
      <c r="AGI2062" s="38"/>
      <c r="AGJ2062" s="38"/>
      <c r="AGK2062" s="38"/>
      <c r="AGL2062" s="38"/>
      <c r="AGM2062" s="38"/>
      <c r="AGN2062" s="38"/>
      <c r="AGO2062" s="38"/>
      <c r="AGP2062" s="38"/>
      <c r="AGQ2062" s="38"/>
      <c r="AGR2062" s="38"/>
      <c r="AGS2062" s="38"/>
      <c r="AGT2062" s="38"/>
      <c r="AGU2062" s="38"/>
      <c r="AGV2062" s="38"/>
      <c r="AGW2062" s="38"/>
      <c r="AGX2062" s="38"/>
      <c r="AGY2062" s="38"/>
      <c r="AGZ2062" s="38"/>
      <c r="AHA2062" s="38"/>
      <c r="AHB2062" s="38"/>
      <c r="AHC2062" s="38"/>
      <c r="AHD2062" s="38"/>
      <c r="AHE2062" s="38"/>
      <c r="AHF2062" s="38"/>
      <c r="AHG2062" s="38"/>
      <c r="AHH2062" s="38"/>
      <c r="AHI2062" s="38"/>
      <c r="AHJ2062" s="38"/>
      <c r="AHK2062" s="38"/>
      <c r="AHL2062" s="38"/>
      <c r="AHM2062" s="38"/>
      <c r="AHN2062" s="38"/>
      <c r="AHO2062" s="38"/>
      <c r="AHP2062" s="38"/>
      <c r="AHQ2062" s="38"/>
      <c r="AHR2062" s="38"/>
      <c r="AHS2062" s="38"/>
      <c r="AHT2062" s="38"/>
      <c r="AHU2062" s="38"/>
      <c r="AHV2062" s="38"/>
      <c r="AHW2062" s="38"/>
      <c r="AHX2062" s="38"/>
      <c r="AHY2062" s="38"/>
      <c r="AHZ2062" s="38"/>
      <c r="AIA2062" s="38"/>
      <c r="AIB2062" s="38"/>
      <c r="AIC2062" s="38"/>
      <c r="AID2062" s="38"/>
      <c r="AIE2062" s="38"/>
      <c r="AIF2062" s="38"/>
      <c r="AIG2062" s="38"/>
      <c r="AIH2062" s="38"/>
      <c r="AII2062" s="38"/>
      <c r="AIJ2062" s="38"/>
      <c r="AIK2062" s="38"/>
      <c r="AIL2062" s="38"/>
      <c r="AIM2062" s="38"/>
      <c r="AIN2062" s="38"/>
      <c r="AIO2062" s="38"/>
      <c r="AIP2062" s="38"/>
      <c r="AIQ2062" s="38"/>
      <c r="AIR2062" s="38"/>
      <c r="AIS2062" s="38"/>
      <c r="AIT2062" s="38"/>
      <c r="AIU2062" s="38"/>
      <c r="AIV2062" s="38"/>
      <c r="AIW2062" s="38"/>
      <c r="AIX2062" s="38"/>
      <c r="AIY2062" s="38"/>
      <c r="AIZ2062" s="38"/>
      <c r="AJA2062" s="38"/>
      <c r="AJB2062" s="38"/>
      <c r="AJC2062" s="38"/>
      <c r="AJD2062" s="38"/>
      <c r="AJE2062" s="38"/>
      <c r="AJF2062" s="38"/>
      <c r="AJG2062" s="38"/>
      <c r="AJH2062" s="38"/>
      <c r="AJI2062" s="38"/>
      <c r="AJJ2062" s="38"/>
      <c r="AJK2062" s="38"/>
      <c r="AJL2062" s="38"/>
      <c r="AJM2062" s="38"/>
      <c r="AJN2062" s="38"/>
      <c r="AJO2062" s="38"/>
      <c r="AJP2062" s="38"/>
      <c r="AJQ2062" s="38"/>
      <c r="AJR2062" s="38"/>
      <c r="AJS2062" s="38"/>
      <c r="AJT2062" s="38"/>
      <c r="AJU2062" s="38"/>
      <c r="AJV2062" s="38"/>
      <c r="AJW2062" s="38"/>
      <c r="AJX2062" s="38"/>
      <c r="AJY2062" s="38"/>
      <c r="AJZ2062" s="38"/>
      <c r="AKA2062" s="38"/>
      <c r="AKB2062" s="38"/>
      <c r="AKC2062" s="38"/>
      <c r="AKD2062" s="38"/>
      <c r="AKE2062" s="38"/>
      <c r="AKF2062" s="38"/>
      <c r="AKG2062" s="38"/>
      <c r="AKH2062" s="38"/>
      <c r="AKI2062" s="38"/>
      <c r="AKJ2062" s="38"/>
      <c r="AKK2062" s="38"/>
      <c r="AKL2062" s="38"/>
      <c r="AKM2062" s="38"/>
      <c r="AKN2062" s="38"/>
      <c r="AKO2062" s="38"/>
      <c r="AKP2062" s="38"/>
      <c r="AKQ2062" s="38"/>
      <c r="AKR2062" s="38"/>
      <c r="AKS2062" s="38"/>
      <c r="AKT2062" s="38"/>
      <c r="AKU2062" s="38"/>
      <c r="AKV2062" s="38"/>
      <c r="AKW2062" s="38"/>
      <c r="AKX2062" s="38"/>
      <c r="AKY2062" s="38"/>
      <c r="AKZ2062" s="38"/>
      <c r="ALA2062" s="38"/>
      <c r="ALB2062" s="38"/>
      <c r="ALC2062" s="38"/>
      <c r="ALD2062" s="38"/>
      <c r="ALE2062" s="38"/>
      <c r="ALF2062" s="38"/>
      <c r="ALG2062" s="38"/>
      <c r="ALH2062" s="38"/>
      <c r="ALI2062" s="38"/>
      <c r="ALJ2062" s="38"/>
      <c r="ALK2062" s="38"/>
      <c r="ALL2062" s="38"/>
      <c r="ALM2062" s="38"/>
      <c r="ALN2062" s="38"/>
      <c r="ALO2062" s="38"/>
      <c r="ALP2062" s="38"/>
      <c r="ALQ2062" s="38"/>
      <c r="ALR2062" s="38"/>
      <c r="ALS2062" s="38"/>
      <c r="ALT2062" s="38"/>
      <c r="ALU2062" s="38"/>
      <c r="ALV2062" s="38"/>
      <c r="ALW2062" s="38"/>
      <c r="ALX2062" s="38"/>
      <c r="ALY2062" s="38"/>
      <c r="ALZ2062" s="38"/>
      <c r="AMA2062" s="38"/>
      <c r="AMB2062" s="38"/>
      <c r="AMC2062" s="38"/>
      <c r="AMD2062" s="38"/>
      <c r="AME2062" s="38"/>
      <c r="AMF2062" s="38"/>
      <c r="AMG2062" s="38"/>
      <c r="AMH2062" s="38"/>
      <c r="AMI2062" s="38"/>
      <c r="AMJ2062" s="38"/>
      <c r="AMK2062" s="38"/>
      <c r="AML2062" s="38"/>
      <c r="AMM2062" s="38"/>
      <c r="AMN2062" s="38"/>
      <c r="AMO2062" s="38"/>
      <c r="AMP2062" s="38"/>
      <c r="AMQ2062" s="38"/>
      <c r="AMR2062" s="38"/>
      <c r="AMS2062" s="38"/>
      <c r="AMT2062" s="38"/>
      <c r="AMU2062" s="38"/>
      <c r="AMV2062" s="38"/>
      <c r="AMW2062" s="38"/>
      <c r="AMX2062" s="38"/>
      <c r="AMY2062" s="38"/>
      <c r="AMZ2062" s="38"/>
      <c r="ANA2062" s="38"/>
      <c r="ANB2062" s="38"/>
      <c r="ANC2062" s="38"/>
      <c r="AND2062" s="38"/>
      <c r="ANE2062" s="38"/>
      <c r="ANF2062" s="38"/>
      <c r="ANG2062" s="38"/>
      <c r="ANH2062" s="38"/>
      <c r="ANI2062" s="38"/>
      <c r="ANJ2062" s="38"/>
      <c r="ANK2062" s="38"/>
      <c r="ANL2062" s="38"/>
      <c r="ANM2062" s="38"/>
      <c r="ANN2062" s="38"/>
      <c r="ANO2062" s="38"/>
      <c r="ANP2062" s="38"/>
      <c r="ANQ2062" s="38"/>
      <c r="ANR2062" s="38"/>
      <c r="ANS2062" s="38"/>
      <c r="ANT2062" s="38"/>
      <c r="ANU2062" s="38"/>
      <c r="ANV2062" s="38"/>
      <c r="ANW2062" s="38"/>
      <c r="ANX2062" s="38"/>
      <c r="ANY2062" s="38"/>
      <c r="ANZ2062" s="38"/>
      <c r="AOA2062" s="38"/>
      <c r="AOB2062" s="38"/>
      <c r="AOC2062" s="38"/>
      <c r="AOD2062" s="38"/>
      <c r="AOE2062" s="38"/>
      <c r="AOF2062" s="38"/>
      <c r="AOG2062" s="38"/>
      <c r="AOH2062" s="38"/>
      <c r="AOI2062" s="38"/>
      <c r="AOJ2062" s="38"/>
      <c r="AOK2062" s="38"/>
      <c r="AOL2062" s="38"/>
      <c r="AOM2062" s="38"/>
      <c r="AON2062" s="38"/>
      <c r="AOO2062" s="38"/>
      <c r="AOP2062" s="38"/>
      <c r="AOQ2062" s="38"/>
      <c r="AOR2062" s="38"/>
      <c r="AOS2062" s="38"/>
      <c r="AOT2062" s="38"/>
      <c r="AOU2062" s="38"/>
      <c r="AOV2062" s="38"/>
      <c r="AOW2062" s="38"/>
      <c r="AOX2062" s="38"/>
      <c r="AOY2062" s="38"/>
      <c r="AOZ2062" s="38"/>
      <c r="APA2062" s="38"/>
      <c r="APB2062" s="38"/>
      <c r="APC2062" s="38"/>
    </row>
    <row r="2063" spans="1:1095" s="36" customFormat="1" ht="14.25" customHeight="1">
      <c r="A2063" s="3" t="s">
        <v>1722</v>
      </c>
      <c r="B2063" s="36" t="s">
        <v>2432</v>
      </c>
      <c r="C2063" s="10">
        <v>4099854075667</v>
      </c>
      <c r="D2063" s="246"/>
      <c r="E2063" s="249"/>
      <c r="F2063" s="222" t="s">
        <v>3136</v>
      </c>
      <c r="G2063" s="66" t="str">
        <f>HYPERLINK("https://ledvance.com/pt/product-datasheet/275560/240632","Ficha de Produto")</f>
        <v>Ficha de Produto</v>
      </c>
      <c r="H2063" s="217">
        <v>4</v>
      </c>
      <c r="I2063" s="34" t="s">
        <v>6354</v>
      </c>
      <c r="J2063" s="34" t="s">
        <v>6365</v>
      </c>
      <c r="K2063" s="34" t="s">
        <v>788</v>
      </c>
      <c r="L2063" s="34" t="s">
        <v>793</v>
      </c>
      <c r="M2063" s="247">
        <v>29</v>
      </c>
      <c r="N2063" s="288" t="s">
        <v>722</v>
      </c>
    </row>
    <row r="2064" spans="1:1095" s="36" customFormat="1" ht="14.25" customHeight="1">
      <c r="A2064" s="3" t="s">
        <v>1722</v>
      </c>
      <c r="B2064" s="36" t="s">
        <v>2433</v>
      </c>
      <c r="C2064" s="10">
        <v>4099854075681</v>
      </c>
      <c r="D2064" s="246"/>
      <c r="E2064" s="249"/>
      <c r="F2064" s="222" t="s">
        <v>3136</v>
      </c>
      <c r="G2064" s="66" t="str">
        <f>HYPERLINK("https://ledvance.com/pt/product-datasheet/275559/240635","Ficha de Produto")</f>
        <v>Ficha de Produto</v>
      </c>
      <c r="H2064" s="217">
        <v>4</v>
      </c>
      <c r="I2064" s="34" t="s">
        <v>6354</v>
      </c>
      <c r="J2064" s="34" t="s">
        <v>6365</v>
      </c>
      <c r="K2064" s="34" t="s">
        <v>788</v>
      </c>
      <c r="L2064" s="34" t="s">
        <v>793</v>
      </c>
      <c r="M2064" s="247">
        <v>45.9</v>
      </c>
      <c r="N2064" s="288" t="s">
        <v>722</v>
      </c>
    </row>
    <row r="2065" spans="1:1095" s="36" customFormat="1" ht="14.25" customHeight="1">
      <c r="A2065" s="3" t="s">
        <v>1722</v>
      </c>
      <c r="B2065" s="36" t="s">
        <v>2434</v>
      </c>
      <c r="C2065" s="10">
        <v>4099854075704</v>
      </c>
      <c r="D2065" s="246"/>
      <c r="E2065" s="249"/>
      <c r="F2065" s="222" t="s">
        <v>3136</v>
      </c>
      <c r="G2065" s="66" t="str">
        <f>HYPERLINK("https://ledvance.com/pt/product-datasheet/275559/240638","Ficha de Produto")</f>
        <v>Ficha de Produto</v>
      </c>
      <c r="H2065" s="217">
        <v>4</v>
      </c>
      <c r="I2065" s="34" t="s">
        <v>6354</v>
      </c>
      <c r="J2065" s="34" t="s">
        <v>6365</v>
      </c>
      <c r="K2065" s="34" t="s">
        <v>788</v>
      </c>
      <c r="L2065" s="34" t="s">
        <v>793</v>
      </c>
      <c r="M2065" s="247">
        <v>43.5</v>
      </c>
      <c r="N2065" s="288" t="s">
        <v>722</v>
      </c>
    </row>
    <row r="2066" spans="1:1095" s="36" customFormat="1" ht="14.25" customHeight="1">
      <c r="A2066" s="3" t="s">
        <v>1722</v>
      </c>
      <c r="B2066" s="36" t="s">
        <v>2435</v>
      </c>
      <c r="C2066" s="10">
        <v>4099854075643</v>
      </c>
      <c r="D2066" s="246"/>
      <c r="E2066" s="249"/>
      <c r="F2066" s="222" t="s">
        <v>3136</v>
      </c>
      <c r="G2066" s="66" t="str">
        <f>HYPERLINK("https://ledvance.com/pt/product-datasheet/275556/240629","Ficha de Produto")</f>
        <v>Ficha de Produto</v>
      </c>
      <c r="H2066" s="217">
        <v>6</v>
      </c>
      <c r="I2066" s="34" t="s">
        <v>6354</v>
      </c>
      <c r="J2066" s="34" t="s">
        <v>6365</v>
      </c>
      <c r="K2066" s="34" t="s">
        <v>788</v>
      </c>
      <c r="L2066" s="34" t="s">
        <v>793</v>
      </c>
      <c r="M2066" s="247">
        <v>28</v>
      </c>
      <c r="N2066" s="288" t="s">
        <v>722</v>
      </c>
    </row>
    <row r="2067" spans="1:1095" s="36" customFormat="1" ht="14.25" customHeight="1">
      <c r="A2067" s="3" t="s">
        <v>1722</v>
      </c>
      <c r="B2067" s="36" t="s">
        <v>2436</v>
      </c>
      <c r="C2067" s="10">
        <v>4099854075728</v>
      </c>
      <c r="D2067" s="246"/>
      <c r="E2067" s="249"/>
      <c r="F2067" s="222" t="s">
        <v>3136</v>
      </c>
      <c r="G2067" s="66" t="str">
        <f>HYPERLINK("https://ledvance.com/pt/product-datasheet/275556/240641","Ficha de Produto")</f>
        <v>Ficha de Produto</v>
      </c>
      <c r="H2067" s="217">
        <v>6</v>
      </c>
      <c r="I2067" s="34" t="s">
        <v>6354</v>
      </c>
      <c r="J2067" s="34" t="s">
        <v>6365</v>
      </c>
      <c r="K2067" s="34" t="s">
        <v>788</v>
      </c>
      <c r="L2067" s="34" t="s">
        <v>793</v>
      </c>
      <c r="M2067" s="247">
        <v>26</v>
      </c>
      <c r="N2067" s="288" t="s">
        <v>722</v>
      </c>
    </row>
    <row r="2068" spans="1:1095" s="36" customFormat="1" ht="14.25" customHeight="1">
      <c r="A2068" s="3" t="s">
        <v>1722</v>
      </c>
      <c r="B2068" s="36" t="s">
        <v>2437</v>
      </c>
      <c r="C2068" s="10">
        <v>4099854075742</v>
      </c>
      <c r="D2068" s="246"/>
      <c r="E2068" s="249"/>
      <c r="F2068" s="222" t="s">
        <v>3136</v>
      </c>
      <c r="G2068" s="66" t="str">
        <f>HYPERLINK("https://ledvance.com/pt/product-datasheet/275556/240644","Ficha de Produto")</f>
        <v>Ficha de Produto</v>
      </c>
      <c r="H2068" s="217">
        <v>6</v>
      </c>
      <c r="I2068" s="34" t="s">
        <v>6354</v>
      </c>
      <c r="J2068" s="34" t="s">
        <v>6365</v>
      </c>
      <c r="K2068" s="34" t="s">
        <v>788</v>
      </c>
      <c r="L2068" s="34" t="s">
        <v>793</v>
      </c>
      <c r="M2068" s="247">
        <v>26</v>
      </c>
      <c r="N2068" s="288" t="s">
        <v>722</v>
      </c>
    </row>
    <row r="2069" spans="1:1095" s="39" customFormat="1" ht="14.25" customHeight="1">
      <c r="A2069" s="8" t="s">
        <v>1722</v>
      </c>
      <c r="B2069" s="39" t="s">
        <v>2438</v>
      </c>
      <c r="C2069" s="8"/>
      <c r="D2069" s="7"/>
      <c r="E2069" s="230"/>
      <c r="F2069" s="7"/>
      <c r="G2069" s="68"/>
      <c r="H2069" s="230"/>
      <c r="I2069" s="230"/>
      <c r="J2069" s="230"/>
      <c r="K2069" s="230"/>
      <c r="L2069" s="230"/>
      <c r="M2069" s="248"/>
      <c r="N2069" s="284"/>
      <c r="O2069" s="38"/>
      <c r="P2069" s="38"/>
      <c r="Q2069" s="38"/>
      <c r="R2069" s="38"/>
      <c r="S2069" s="38"/>
      <c r="T2069" s="38"/>
      <c r="U2069" s="38"/>
      <c r="V2069" s="38"/>
      <c r="W2069" s="38"/>
      <c r="X2069" s="38"/>
      <c r="Y2069" s="38"/>
      <c r="Z2069" s="38"/>
      <c r="AA2069" s="38"/>
      <c r="AB2069" s="38"/>
      <c r="AC2069" s="38"/>
      <c r="AD2069" s="38"/>
      <c r="AE2069" s="38"/>
      <c r="AF2069" s="38"/>
      <c r="AG2069" s="38"/>
      <c r="AH2069" s="38"/>
      <c r="AI2069" s="38"/>
      <c r="AJ2069" s="38"/>
      <c r="AK2069" s="38"/>
      <c r="AL2069" s="38"/>
      <c r="AM2069" s="38"/>
      <c r="AN2069" s="38"/>
      <c r="AO2069" s="38"/>
      <c r="AP2069" s="38"/>
      <c r="AQ2069" s="38"/>
      <c r="AR2069" s="38"/>
      <c r="AS2069" s="38"/>
      <c r="AT2069" s="38"/>
      <c r="AU2069" s="38"/>
      <c r="AV2069" s="38"/>
      <c r="AW2069" s="38"/>
      <c r="AX2069" s="38"/>
      <c r="AY2069" s="38"/>
      <c r="AZ2069" s="38"/>
      <c r="BA2069" s="38"/>
      <c r="BB2069" s="38"/>
      <c r="BC2069" s="38"/>
      <c r="BD2069" s="38"/>
      <c r="BE2069" s="38"/>
      <c r="BF2069" s="38"/>
      <c r="BG2069" s="38"/>
      <c r="BH2069" s="38"/>
      <c r="BI2069" s="38"/>
      <c r="BJ2069" s="38"/>
      <c r="BK2069" s="38"/>
      <c r="BL2069" s="38"/>
      <c r="BM2069" s="38"/>
      <c r="BN2069" s="38"/>
      <c r="BO2069" s="38"/>
      <c r="BP2069" s="38"/>
      <c r="BQ2069" s="38"/>
      <c r="BR2069" s="38"/>
      <c r="BS2069" s="38"/>
      <c r="BT2069" s="38"/>
      <c r="BU2069" s="38"/>
      <c r="BV2069" s="38"/>
      <c r="BW2069" s="38"/>
      <c r="BX2069" s="38"/>
      <c r="BY2069" s="38"/>
      <c r="BZ2069" s="38"/>
      <c r="CA2069" s="38"/>
      <c r="CB2069" s="38"/>
      <c r="CC2069" s="38"/>
      <c r="CD2069" s="38"/>
      <c r="CE2069" s="38"/>
      <c r="CF2069" s="38"/>
      <c r="CG2069" s="38"/>
      <c r="CH2069" s="38"/>
      <c r="CI2069" s="38"/>
      <c r="CJ2069" s="38"/>
      <c r="CK2069" s="38"/>
      <c r="CL2069" s="38"/>
      <c r="CM2069" s="38"/>
      <c r="CN2069" s="38"/>
      <c r="CO2069" s="38"/>
      <c r="CP2069" s="38"/>
      <c r="CQ2069" s="38"/>
      <c r="CR2069" s="38"/>
      <c r="CS2069" s="38"/>
      <c r="CT2069" s="38"/>
      <c r="CU2069" s="38"/>
      <c r="CV2069" s="38"/>
      <c r="CW2069" s="38"/>
      <c r="CX2069" s="38"/>
      <c r="CY2069" s="38"/>
      <c r="CZ2069" s="38"/>
      <c r="DA2069" s="38"/>
      <c r="DB2069" s="38"/>
      <c r="DC2069" s="38"/>
      <c r="DD2069" s="38"/>
      <c r="DE2069" s="38"/>
      <c r="DF2069" s="38"/>
      <c r="DG2069" s="38"/>
      <c r="DH2069" s="38"/>
      <c r="DI2069" s="38"/>
      <c r="DJ2069" s="38"/>
      <c r="DK2069" s="38"/>
      <c r="DL2069" s="38"/>
      <c r="DM2069" s="38"/>
      <c r="DN2069" s="38"/>
      <c r="DO2069" s="38"/>
      <c r="DP2069" s="38"/>
      <c r="DQ2069" s="38"/>
      <c r="DR2069" s="38"/>
      <c r="DS2069" s="38"/>
      <c r="DT2069" s="38"/>
      <c r="DU2069" s="38"/>
      <c r="DV2069" s="38"/>
      <c r="DW2069" s="38"/>
      <c r="DX2069" s="38"/>
      <c r="DY2069" s="38"/>
      <c r="DZ2069" s="38"/>
      <c r="EA2069" s="38"/>
      <c r="EB2069" s="38"/>
      <c r="EC2069" s="38"/>
      <c r="ED2069" s="38"/>
      <c r="EE2069" s="38"/>
      <c r="EF2069" s="38"/>
      <c r="EG2069" s="38"/>
      <c r="EH2069" s="38"/>
      <c r="EI2069" s="38"/>
      <c r="EJ2069" s="38"/>
      <c r="EK2069" s="38"/>
      <c r="EL2069" s="38"/>
      <c r="EM2069" s="38"/>
      <c r="EN2069" s="38"/>
      <c r="EO2069" s="38"/>
      <c r="EP2069" s="38"/>
      <c r="EQ2069" s="38"/>
      <c r="ER2069" s="38"/>
      <c r="ES2069" s="38"/>
      <c r="ET2069" s="38"/>
      <c r="EU2069" s="38"/>
      <c r="EV2069" s="38"/>
      <c r="EW2069" s="38"/>
      <c r="EX2069" s="38"/>
      <c r="EY2069" s="38"/>
      <c r="EZ2069" s="38"/>
      <c r="FA2069" s="38"/>
      <c r="FB2069" s="38"/>
      <c r="FC2069" s="38"/>
      <c r="FD2069" s="38"/>
      <c r="FE2069" s="38"/>
      <c r="FF2069" s="38"/>
      <c r="FG2069" s="38"/>
      <c r="FH2069" s="38"/>
      <c r="FI2069" s="38"/>
      <c r="FJ2069" s="38"/>
      <c r="FK2069" s="38"/>
      <c r="FL2069" s="38"/>
      <c r="FM2069" s="38"/>
      <c r="FN2069" s="38"/>
      <c r="FO2069" s="38"/>
      <c r="FP2069" s="38"/>
      <c r="FQ2069" s="38"/>
      <c r="FR2069" s="38"/>
      <c r="FS2069" s="38"/>
      <c r="FT2069" s="38"/>
      <c r="FU2069" s="38"/>
      <c r="FV2069" s="38"/>
      <c r="FW2069" s="38"/>
      <c r="FX2069" s="38"/>
      <c r="FY2069" s="38"/>
      <c r="FZ2069" s="38"/>
      <c r="GA2069" s="38"/>
      <c r="GB2069" s="38"/>
      <c r="GC2069" s="38"/>
      <c r="GD2069" s="38"/>
      <c r="GE2069" s="38"/>
      <c r="GF2069" s="38"/>
      <c r="GG2069" s="38"/>
      <c r="GH2069" s="38"/>
      <c r="GI2069" s="38"/>
      <c r="GJ2069" s="38"/>
      <c r="GK2069" s="38"/>
      <c r="GL2069" s="38"/>
      <c r="GM2069" s="38"/>
      <c r="GN2069" s="38"/>
      <c r="GO2069" s="38"/>
      <c r="GP2069" s="38"/>
      <c r="GQ2069" s="38"/>
      <c r="GR2069" s="38"/>
      <c r="GS2069" s="38"/>
      <c r="GT2069" s="38"/>
      <c r="GU2069" s="38"/>
      <c r="GV2069" s="38"/>
      <c r="GW2069" s="38"/>
      <c r="GX2069" s="38"/>
      <c r="GY2069" s="38"/>
      <c r="GZ2069" s="38"/>
      <c r="HA2069" s="38"/>
      <c r="HB2069" s="38"/>
      <c r="HC2069" s="38"/>
      <c r="HD2069" s="38"/>
      <c r="HE2069" s="38"/>
      <c r="HF2069" s="38"/>
      <c r="HG2069" s="38"/>
      <c r="HH2069" s="38"/>
      <c r="HI2069" s="38"/>
      <c r="HJ2069" s="38"/>
      <c r="HK2069" s="38"/>
      <c r="HL2069" s="38"/>
      <c r="HM2069" s="38"/>
      <c r="HN2069" s="38"/>
      <c r="HO2069" s="38"/>
      <c r="HP2069" s="38"/>
      <c r="HQ2069" s="38"/>
      <c r="HR2069" s="38"/>
      <c r="HS2069" s="38"/>
      <c r="HT2069" s="38"/>
      <c r="HU2069" s="38"/>
      <c r="HV2069" s="38"/>
      <c r="HW2069" s="38"/>
      <c r="HX2069" s="38"/>
      <c r="HY2069" s="38"/>
      <c r="HZ2069" s="38"/>
      <c r="IA2069" s="38"/>
      <c r="IB2069" s="38"/>
      <c r="IC2069" s="38"/>
      <c r="ID2069" s="38"/>
      <c r="IE2069" s="38"/>
      <c r="IF2069" s="38"/>
      <c r="IG2069" s="38"/>
      <c r="IH2069" s="38"/>
      <c r="II2069" s="38"/>
      <c r="IJ2069" s="38"/>
      <c r="IK2069" s="38"/>
      <c r="IL2069" s="38"/>
      <c r="IM2069" s="38"/>
      <c r="IN2069" s="38"/>
      <c r="IO2069" s="38"/>
      <c r="IP2069" s="38"/>
      <c r="IQ2069" s="38"/>
      <c r="IR2069" s="38"/>
      <c r="IS2069" s="38"/>
      <c r="IT2069" s="38"/>
      <c r="IU2069" s="38"/>
      <c r="IV2069" s="38"/>
      <c r="IW2069" s="38"/>
      <c r="IX2069" s="38"/>
      <c r="IY2069" s="38"/>
      <c r="IZ2069" s="38"/>
      <c r="JA2069" s="38"/>
      <c r="JB2069" s="38"/>
      <c r="JC2069" s="38"/>
      <c r="JD2069" s="38"/>
      <c r="JE2069" s="38"/>
      <c r="JF2069" s="38"/>
      <c r="JG2069" s="38"/>
      <c r="JH2069" s="38"/>
      <c r="JI2069" s="38"/>
      <c r="JJ2069" s="38"/>
      <c r="JK2069" s="38"/>
      <c r="JL2069" s="38"/>
      <c r="JM2069" s="38"/>
      <c r="JN2069" s="38"/>
      <c r="JO2069" s="38"/>
      <c r="JP2069" s="38"/>
      <c r="JQ2069" s="38"/>
      <c r="JR2069" s="38"/>
      <c r="JS2069" s="38"/>
      <c r="JT2069" s="38"/>
      <c r="JU2069" s="38"/>
      <c r="JV2069" s="38"/>
      <c r="JW2069" s="38"/>
      <c r="JX2069" s="38"/>
      <c r="JY2069" s="38"/>
      <c r="JZ2069" s="38"/>
      <c r="KA2069" s="38"/>
      <c r="KB2069" s="38"/>
      <c r="KC2069" s="38"/>
      <c r="KD2069" s="38"/>
      <c r="KE2069" s="38"/>
      <c r="KF2069" s="38"/>
      <c r="KG2069" s="38"/>
      <c r="KH2069" s="38"/>
      <c r="KI2069" s="38"/>
      <c r="KJ2069" s="38"/>
      <c r="KK2069" s="38"/>
      <c r="KL2069" s="38"/>
      <c r="KM2069" s="38"/>
      <c r="KN2069" s="38"/>
      <c r="KO2069" s="38"/>
      <c r="KP2069" s="38"/>
      <c r="KQ2069" s="38"/>
      <c r="KR2069" s="38"/>
      <c r="KS2069" s="38"/>
      <c r="KT2069" s="38"/>
      <c r="KU2069" s="38"/>
      <c r="KV2069" s="38"/>
      <c r="KW2069" s="38"/>
      <c r="KX2069" s="38"/>
      <c r="KY2069" s="38"/>
      <c r="KZ2069" s="38"/>
      <c r="LA2069" s="38"/>
      <c r="LB2069" s="38"/>
      <c r="LC2069" s="38"/>
      <c r="LD2069" s="38"/>
      <c r="LE2069" s="38"/>
      <c r="LF2069" s="38"/>
      <c r="LG2069" s="38"/>
      <c r="LH2069" s="38"/>
      <c r="LI2069" s="38"/>
      <c r="LJ2069" s="38"/>
      <c r="LK2069" s="38"/>
      <c r="LL2069" s="38"/>
      <c r="LM2069" s="38"/>
      <c r="LN2069" s="38"/>
      <c r="LO2069" s="38"/>
      <c r="LP2069" s="38"/>
      <c r="LQ2069" s="38"/>
      <c r="LR2069" s="38"/>
      <c r="LS2069" s="38"/>
      <c r="LT2069" s="38"/>
      <c r="LU2069" s="38"/>
      <c r="LV2069" s="38"/>
      <c r="LW2069" s="38"/>
      <c r="LX2069" s="38"/>
      <c r="LY2069" s="38"/>
      <c r="LZ2069" s="38"/>
      <c r="MA2069" s="38"/>
      <c r="MB2069" s="38"/>
      <c r="MC2069" s="38"/>
      <c r="MD2069" s="38"/>
      <c r="ME2069" s="38"/>
      <c r="MF2069" s="38"/>
      <c r="MG2069" s="38"/>
      <c r="MH2069" s="38"/>
      <c r="MI2069" s="38"/>
      <c r="MJ2069" s="38"/>
      <c r="MK2069" s="38"/>
      <c r="ML2069" s="38"/>
      <c r="MM2069" s="38"/>
      <c r="MN2069" s="38"/>
      <c r="MO2069" s="38"/>
      <c r="MP2069" s="38"/>
      <c r="MQ2069" s="38"/>
      <c r="MR2069" s="38"/>
      <c r="MS2069" s="38"/>
      <c r="MT2069" s="38"/>
      <c r="MU2069" s="38"/>
      <c r="MV2069" s="38"/>
      <c r="MW2069" s="38"/>
      <c r="MX2069" s="38"/>
      <c r="MY2069" s="38"/>
      <c r="MZ2069" s="38"/>
      <c r="NA2069" s="38"/>
      <c r="NB2069" s="38"/>
      <c r="NC2069" s="38"/>
      <c r="ND2069" s="38"/>
      <c r="NE2069" s="38"/>
      <c r="NF2069" s="38"/>
      <c r="NG2069" s="38"/>
      <c r="NH2069" s="38"/>
      <c r="NI2069" s="38"/>
      <c r="NJ2069" s="38"/>
      <c r="NK2069" s="38"/>
      <c r="NL2069" s="38"/>
      <c r="NM2069" s="38"/>
      <c r="NN2069" s="38"/>
      <c r="NO2069" s="38"/>
      <c r="NP2069" s="38"/>
      <c r="NQ2069" s="38"/>
      <c r="NR2069" s="38"/>
      <c r="NS2069" s="38"/>
      <c r="NT2069" s="38"/>
      <c r="NU2069" s="38"/>
      <c r="NV2069" s="38"/>
      <c r="NW2069" s="38"/>
      <c r="NX2069" s="38"/>
      <c r="NY2069" s="38"/>
      <c r="NZ2069" s="38"/>
      <c r="OA2069" s="38"/>
      <c r="OB2069" s="38"/>
      <c r="OC2069" s="38"/>
      <c r="OD2069" s="38"/>
      <c r="OE2069" s="38"/>
      <c r="OF2069" s="38"/>
      <c r="OG2069" s="38"/>
      <c r="OH2069" s="38"/>
      <c r="OI2069" s="38"/>
      <c r="OJ2069" s="38"/>
      <c r="OK2069" s="38"/>
      <c r="OL2069" s="38"/>
      <c r="OM2069" s="38"/>
      <c r="ON2069" s="38"/>
      <c r="OO2069" s="38"/>
      <c r="OP2069" s="38"/>
      <c r="OQ2069" s="38"/>
      <c r="OR2069" s="38"/>
      <c r="OS2069" s="38"/>
      <c r="OT2069" s="38"/>
      <c r="OU2069" s="38"/>
      <c r="OV2069" s="38"/>
      <c r="OW2069" s="38"/>
      <c r="OX2069" s="38"/>
      <c r="OY2069" s="38"/>
      <c r="OZ2069" s="38"/>
      <c r="PA2069" s="38"/>
      <c r="PB2069" s="38"/>
      <c r="PC2069" s="38"/>
      <c r="PD2069" s="38"/>
      <c r="PE2069" s="38"/>
      <c r="PF2069" s="38"/>
      <c r="PG2069" s="38"/>
      <c r="PH2069" s="38"/>
      <c r="PI2069" s="38"/>
      <c r="PJ2069" s="38"/>
      <c r="PK2069" s="38"/>
      <c r="PL2069" s="38"/>
      <c r="PM2069" s="38"/>
      <c r="PN2069" s="38"/>
      <c r="PO2069" s="38"/>
      <c r="PP2069" s="38"/>
      <c r="PQ2069" s="38"/>
      <c r="PR2069" s="38"/>
      <c r="PS2069" s="38"/>
      <c r="PT2069" s="38"/>
      <c r="PU2069" s="38"/>
      <c r="PV2069" s="38"/>
      <c r="PW2069" s="38"/>
      <c r="PX2069" s="38"/>
      <c r="PY2069" s="38"/>
      <c r="PZ2069" s="38"/>
      <c r="QA2069" s="38"/>
      <c r="QB2069" s="38"/>
      <c r="QC2069" s="38"/>
      <c r="QD2069" s="38"/>
      <c r="QE2069" s="38"/>
      <c r="QF2069" s="38"/>
      <c r="QG2069" s="38"/>
      <c r="QH2069" s="38"/>
      <c r="QI2069" s="38"/>
      <c r="QJ2069" s="38"/>
      <c r="QK2069" s="38"/>
      <c r="QL2069" s="38"/>
      <c r="QM2069" s="38"/>
      <c r="QN2069" s="38"/>
      <c r="QO2069" s="38"/>
      <c r="QP2069" s="38"/>
      <c r="QQ2069" s="38"/>
      <c r="QR2069" s="38"/>
      <c r="QS2069" s="38"/>
      <c r="QT2069" s="38"/>
      <c r="QU2069" s="38"/>
      <c r="QV2069" s="38"/>
      <c r="QW2069" s="38"/>
      <c r="QX2069" s="38"/>
      <c r="QY2069" s="38"/>
      <c r="QZ2069" s="38"/>
      <c r="RA2069" s="38"/>
      <c r="RB2069" s="38"/>
      <c r="RC2069" s="38"/>
      <c r="RD2069" s="38"/>
      <c r="RE2069" s="38"/>
      <c r="RF2069" s="38"/>
      <c r="RG2069" s="38"/>
      <c r="RH2069" s="38"/>
      <c r="RI2069" s="38"/>
      <c r="RJ2069" s="38"/>
      <c r="RK2069" s="38"/>
      <c r="RL2069" s="38"/>
      <c r="RM2069" s="38"/>
      <c r="RN2069" s="38"/>
      <c r="RO2069" s="38"/>
      <c r="RP2069" s="38"/>
      <c r="RQ2069" s="38"/>
      <c r="RR2069" s="38"/>
      <c r="RS2069" s="38"/>
      <c r="RT2069" s="38"/>
      <c r="RU2069" s="38"/>
      <c r="RV2069" s="38"/>
      <c r="RW2069" s="38"/>
      <c r="RX2069" s="38"/>
      <c r="RY2069" s="38"/>
      <c r="RZ2069" s="38"/>
      <c r="SA2069" s="38"/>
      <c r="SB2069" s="38"/>
      <c r="SC2069" s="38"/>
      <c r="SD2069" s="38"/>
      <c r="SE2069" s="38"/>
      <c r="SF2069" s="38"/>
      <c r="SG2069" s="38"/>
      <c r="SH2069" s="38"/>
      <c r="SI2069" s="38"/>
      <c r="SJ2069" s="38"/>
      <c r="SK2069" s="38"/>
      <c r="SL2069" s="38"/>
      <c r="SM2069" s="38"/>
      <c r="SN2069" s="38"/>
      <c r="SO2069" s="38"/>
      <c r="SP2069" s="38"/>
      <c r="SQ2069" s="38"/>
      <c r="SR2069" s="38"/>
      <c r="SS2069" s="38"/>
      <c r="ST2069" s="38"/>
      <c r="SU2069" s="38"/>
      <c r="SV2069" s="38"/>
      <c r="SW2069" s="38"/>
      <c r="SX2069" s="38"/>
      <c r="SY2069" s="38"/>
      <c r="SZ2069" s="38"/>
      <c r="TA2069" s="38"/>
      <c r="TB2069" s="38"/>
      <c r="TC2069" s="38"/>
      <c r="TD2069" s="38"/>
      <c r="TE2069" s="38"/>
      <c r="TF2069" s="38"/>
      <c r="TG2069" s="38"/>
      <c r="TH2069" s="38"/>
      <c r="TI2069" s="38"/>
      <c r="TJ2069" s="38"/>
      <c r="TK2069" s="38"/>
      <c r="TL2069" s="38"/>
      <c r="TM2069" s="38"/>
      <c r="TN2069" s="38"/>
      <c r="TO2069" s="38"/>
      <c r="TP2069" s="38"/>
      <c r="TQ2069" s="38"/>
      <c r="TR2069" s="38"/>
      <c r="TS2069" s="38"/>
      <c r="TT2069" s="38"/>
      <c r="TU2069" s="38"/>
      <c r="TV2069" s="38"/>
      <c r="TW2069" s="38"/>
      <c r="TX2069" s="38"/>
      <c r="TY2069" s="38"/>
      <c r="TZ2069" s="38"/>
      <c r="UA2069" s="38"/>
      <c r="UB2069" s="38"/>
      <c r="UC2069" s="38"/>
      <c r="UD2069" s="38"/>
      <c r="UE2069" s="38"/>
      <c r="UF2069" s="38"/>
      <c r="UG2069" s="38"/>
      <c r="UH2069" s="38"/>
      <c r="UI2069" s="38"/>
      <c r="UJ2069" s="38"/>
      <c r="UK2069" s="38"/>
      <c r="UL2069" s="38"/>
      <c r="UM2069" s="38"/>
      <c r="UN2069" s="38"/>
      <c r="UO2069" s="38"/>
      <c r="UP2069" s="38"/>
      <c r="UQ2069" s="38"/>
      <c r="UR2069" s="38"/>
      <c r="US2069" s="38"/>
      <c r="UT2069" s="38"/>
      <c r="UU2069" s="38"/>
      <c r="UV2069" s="38"/>
      <c r="UW2069" s="38"/>
      <c r="UX2069" s="38"/>
      <c r="UY2069" s="38"/>
      <c r="UZ2069" s="38"/>
      <c r="VA2069" s="38"/>
      <c r="VB2069" s="38"/>
      <c r="VC2069" s="38"/>
      <c r="VD2069" s="38"/>
      <c r="VE2069" s="38"/>
      <c r="VF2069" s="38"/>
      <c r="VG2069" s="38"/>
      <c r="VH2069" s="38"/>
      <c r="VI2069" s="38"/>
      <c r="VJ2069" s="38"/>
      <c r="VK2069" s="38"/>
      <c r="VL2069" s="38"/>
      <c r="VM2069" s="38"/>
      <c r="VN2069" s="38"/>
      <c r="VO2069" s="38"/>
      <c r="VP2069" s="38"/>
      <c r="VQ2069" s="38"/>
      <c r="VR2069" s="38"/>
      <c r="VS2069" s="38"/>
      <c r="VT2069" s="38"/>
      <c r="VU2069" s="38"/>
      <c r="VV2069" s="38"/>
      <c r="VW2069" s="38"/>
      <c r="VX2069" s="38"/>
      <c r="VY2069" s="38"/>
      <c r="VZ2069" s="38"/>
      <c r="WA2069" s="38"/>
      <c r="WB2069" s="38"/>
      <c r="WC2069" s="38"/>
      <c r="WD2069" s="38"/>
      <c r="WE2069" s="38"/>
      <c r="WF2069" s="38"/>
      <c r="WG2069" s="38"/>
      <c r="WH2069" s="38"/>
      <c r="WI2069" s="38"/>
      <c r="WJ2069" s="38"/>
      <c r="WK2069" s="38"/>
      <c r="WL2069" s="38"/>
      <c r="WM2069" s="38"/>
      <c r="WN2069" s="38"/>
      <c r="WO2069" s="38"/>
      <c r="WP2069" s="38"/>
      <c r="WQ2069" s="38"/>
      <c r="WR2069" s="38"/>
      <c r="WS2069" s="38"/>
      <c r="WT2069" s="38"/>
      <c r="WU2069" s="38"/>
      <c r="WV2069" s="38"/>
      <c r="WW2069" s="38"/>
      <c r="WX2069" s="38"/>
      <c r="WY2069" s="38"/>
      <c r="WZ2069" s="38"/>
      <c r="XA2069" s="38"/>
      <c r="XB2069" s="38"/>
      <c r="XC2069" s="38"/>
      <c r="XD2069" s="38"/>
      <c r="XE2069" s="38"/>
      <c r="XF2069" s="38"/>
      <c r="XG2069" s="38"/>
      <c r="XH2069" s="38"/>
      <c r="XI2069" s="38"/>
      <c r="XJ2069" s="38"/>
      <c r="XK2069" s="38"/>
      <c r="XL2069" s="38"/>
      <c r="XM2069" s="38"/>
      <c r="XN2069" s="38"/>
      <c r="XO2069" s="38"/>
      <c r="XP2069" s="38"/>
      <c r="XQ2069" s="38"/>
      <c r="XR2069" s="38"/>
      <c r="XS2069" s="38"/>
      <c r="XT2069" s="38"/>
      <c r="XU2069" s="38"/>
      <c r="XV2069" s="38"/>
      <c r="XW2069" s="38"/>
      <c r="XX2069" s="38"/>
      <c r="XY2069" s="38"/>
      <c r="XZ2069" s="38"/>
      <c r="YA2069" s="38"/>
      <c r="YB2069" s="38"/>
      <c r="YC2069" s="38"/>
      <c r="YD2069" s="38"/>
      <c r="YE2069" s="38"/>
      <c r="YF2069" s="38"/>
      <c r="YG2069" s="38"/>
      <c r="YH2069" s="38"/>
      <c r="YI2069" s="38"/>
      <c r="YJ2069" s="38"/>
      <c r="YK2069" s="38"/>
      <c r="YL2069" s="38"/>
      <c r="YM2069" s="38"/>
      <c r="YN2069" s="38"/>
      <c r="YO2069" s="38"/>
      <c r="YP2069" s="38"/>
      <c r="YQ2069" s="38"/>
      <c r="YR2069" s="38"/>
      <c r="YS2069" s="38"/>
      <c r="YT2069" s="38"/>
      <c r="YU2069" s="38"/>
      <c r="YV2069" s="38"/>
      <c r="YW2069" s="38"/>
      <c r="YX2069" s="38"/>
      <c r="YY2069" s="38"/>
      <c r="YZ2069" s="38"/>
      <c r="ZA2069" s="38"/>
      <c r="ZB2069" s="38"/>
      <c r="ZC2069" s="38"/>
      <c r="ZD2069" s="38"/>
      <c r="ZE2069" s="38"/>
      <c r="ZF2069" s="38"/>
      <c r="ZG2069" s="38"/>
      <c r="ZH2069" s="38"/>
      <c r="ZI2069" s="38"/>
      <c r="ZJ2069" s="38"/>
      <c r="ZK2069" s="38"/>
      <c r="ZL2069" s="38"/>
      <c r="ZM2069" s="38"/>
      <c r="ZN2069" s="38"/>
      <c r="ZO2069" s="38"/>
      <c r="ZP2069" s="38"/>
      <c r="ZQ2069" s="38"/>
      <c r="ZR2069" s="38"/>
      <c r="ZS2069" s="38"/>
      <c r="ZT2069" s="38"/>
      <c r="ZU2069" s="38"/>
      <c r="ZV2069" s="38"/>
      <c r="ZW2069" s="38"/>
      <c r="ZX2069" s="38"/>
      <c r="ZY2069" s="38"/>
      <c r="ZZ2069" s="38"/>
      <c r="AAA2069" s="38"/>
      <c r="AAB2069" s="38"/>
      <c r="AAC2069" s="38"/>
      <c r="AAD2069" s="38"/>
      <c r="AAE2069" s="38"/>
      <c r="AAF2069" s="38"/>
      <c r="AAG2069" s="38"/>
      <c r="AAH2069" s="38"/>
      <c r="AAI2069" s="38"/>
      <c r="AAJ2069" s="38"/>
      <c r="AAK2069" s="38"/>
      <c r="AAL2069" s="38"/>
      <c r="AAM2069" s="38"/>
      <c r="AAN2069" s="38"/>
      <c r="AAO2069" s="38"/>
      <c r="AAP2069" s="38"/>
      <c r="AAQ2069" s="38"/>
      <c r="AAR2069" s="38"/>
      <c r="AAS2069" s="38"/>
      <c r="AAT2069" s="38"/>
      <c r="AAU2069" s="38"/>
      <c r="AAV2069" s="38"/>
      <c r="AAW2069" s="38"/>
      <c r="AAX2069" s="38"/>
      <c r="AAY2069" s="38"/>
      <c r="AAZ2069" s="38"/>
      <c r="ABA2069" s="38"/>
      <c r="ABB2069" s="38"/>
      <c r="ABC2069" s="38"/>
      <c r="ABD2069" s="38"/>
      <c r="ABE2069" s="38"/>
      <c r="ABF2069" s="38"/>
      <c r="ABG2069" s="38"/>
      <c r="ABH2069" s="38"/>
      <c r="ABI2069" s="38"/>
      <c r="ABJ2069" s="38"/>
      <c r="ABK2069" s="38"/>
      <c r="ABL2069" s="38"/>
      <c r="ABM2069" s="38"/>
      <c r="ABN2069" s="38"/>
      <c r="ABO2069" s="38"/>
      <c r="ABP2069" s="38"/>
      <c r="ABQ2069" s="38"/>
      <c r="ABR2069" s="38"/>
      <c r="ABS2069" s="38"/>
      <c r="ABT2069" s="38"/>
      <c r="ABU2069" s="38"/>
      <c r="ABV2069" s="38"/>
      <c r="ABW2069" s="38"/>
      <c r="ABX2069" s="38"/>
      <c r="ABY2069" s="38"/>
      <c r="ABZ2069" s="38"/>
      <c r="ACA2069" s="38"/>
      <c r="ACB2069" s="38"/>
      <c r="ACC2069" s="38"/>
      <c r="ACD2069" s="38"/>
      <c r="ACE2069" s="38"/>
      <c r="ACF2069" s="38"/>
      <c r="ACG2069" s="38"/>
      <c r="ACH2069" s="38"/>
      <c r="ACI2069" s="38"/>
      <c r="ACJ2069" s="38"/>
      <c r="ACK2069" s="38"/>
      <c r="ACL2069" s="38"/>
      <c r="ACM2069" s="38"/>
      <c r="ACN2069" s="38"/>
      <c r="ACO2069" s="38"/>
      <c r="ACP2069" s="38"/>
      <c r="ACQ2069" s="38"/>
      <c r="ACR2069" s="38"/>
      <c r="ACS2069" s="38"/>
      <c r="ACT2069" s="38"/>
      <c r="ACU2069" s="38"/>
      <c r="ACV2069" s="38"/>
      <c r="ACW2069" s="38"/>
      <c r="ACX2069" s="38"/>
      <c r="ACY2069" s="38"/>
      <c r="ACZ2069" s="38"/>
      <c r="ADA2069" s="38"/>
      <c r="ADB2069" s="38"/>
      <c r="ADC2069" s="38"/>
      <c r="ADD2069" s="38"/>
      <c r="ADE2069" s="38"/>
      <c r="ADF2069" s="38"/>
      <c r="ADG2069" s="38"/>
      <c r="ADH2069" s="38"/>
      <c r="ADI2069" s="38"/>
      <c r="ADJ2069" s="38"/>
      <c r="ADK2069" s="38"/>
      <c r="ADL2069" s="38"/>
      <c r="ADM2069" s="38"/>
      <c r="ADN2069" s="38"/>
      <c r="ADO2069" s="38"/>
      <c r="ADP2069" s="38"/>
      <c r="ADQ2069" s="38"/>
      <c r="ADR2069" s="38"/>
      <c r="ADS2069" s="38"/>
      <c r="ADT2069" s="38"/>
      <c r="ADU2069" s="38"/>
      <c r="ADV2069" s="38"/>
      <c r="ADW2069" s="38"/>
      <c r="ADX2069" s="38"/>
      <c r="ADY2069" s="38"/>
      <c r="ADZ2069" s="38"/>
      <c r="AEA2069" s="38"/>
      <c r="AEB2069" s="38"/>
      <c r="AEC2069" s="38"/>
      <c r="AED2069" s="38"/>
      <c r="AEE2069" s="38"/>
      <c r="AEF2069" s="38"/>
      <c r="AEG2069" s="38"/>
      <c r="AEH2069" s="38"/>
      <c r="AEI2069" s="38"/>
      <c r="AEJ2069" s="38"/>
      <c r="AEK2069" s="38"/>
      <c r="AEL2069" s="38"/>
      <c r="AEM2069" s="38"/>
      <c r="AEN2069" s="38"/>
      <c r="AEO2069" s="38"/>
      <c r="AEP2069" s="38"/>
      <c r="AEQ2069" s="38"/>
      <c r="AER2069" s="38"/>
      <c r="AES2069" s="38"/>
      <c r="AET2069" s="38"/>
      <c r="AEU2069" s="38"/>
      <c r="AEV2069" s="38"/>
      <c r="AEW2069" s="38"/>
      <c r="AEX2069" s="38"/>
      <c r="AEY2069" s="38"/>
      <c r="AEZ2069" s="38"/>
      <c r="AFA2069" s="38"/>
      <c r="AFB2069" s="38"/>
      <c r="AFC2069" s="38"/>
      <c r="AFD2069" s="38"/>
      <c r="AFE2069" s="38"/>
      <c r="AFF2069" s="38"/>
      <c r="AFG2069" s="38"/>
      <c r="AFH2069" s="38"/>
      <c r="AFI2069" s="38"/>
      <c r="AFJ2069" s="38"/>
      <c r="AFK2069" s="38"/>
      <c r="AFL2069" s="38"/>
      <c r="AFM2069" s="38"/>
      <c r="AFN2069" s="38"/>
      <c r="AFO2069" s="38"/>
      <c r="AFP2069" s="38"/>
      <c r="AFQ2069" s="38"/>
      <c r="AFR2069" s="38"/>
      <c r="AFS2069" s="38"/>
      <c r="AFT2069" s="38"/>
      <c r="AFU2069" s="38"/>
      <c r="AFV2069" s="38"/>
      <c r="AFW2069" s="38"/>
      <c r="AFX2069" s="38"/>
      <c r="AFY2069" s="38"/>
      <c r="AFZ2069" s="38"/>
      <c r="AGA2069" s="38"/>
      <c r="AGB2069" s="38"/>
      <c r="AGC2069" s="38"/>
      <c r="AGD2069" s="38"/>
      <c r="AGE2069" s="38"/>
      <c r="AGF2069" s="38"/>
      <c r="AGG2069" s="38"/>
      <c r="AGH2069" s="38"/>
      <c r="AGI2069" s="38"/>
      <c r="AGJ2069" s="38"/>
      <c r="AGK2069" s="38"/>
      <c r="AGL2069" s="38"/>
      <c r="AGM2069" s="38"/>
      <c r="AGN2069" s="38"/>
      <c r="AGO2069" s="38"/>
      <c r="AGP2069" s="38"/>
      <c r="AGQ2069" s="38"/>
      <c r="AGR2069" s="38"/>
      <c r="AGS2069" s="38"/>
      <c r="AGT2069" s="38"/>
      <c r="AGU2069" s="38"/>
      <c r="AGV2069" s="38"/>
      <c r="AGW2069" s="38"/>
      <c r="AGX2069" s="38"/>
      <c r="AGY2069" s="38"/>
      <c r="AGZ2069" s="38"/>
      <c r="AHA2069" s="38"/>
      <c r="AHB2069" s="38"/>
      <c r="AHC2069" s="38"/>
      <c r="AHD2069" s="38"/>
      <c r="AHE2069" s="38"/>
      <c r="AHF2069" s="38"/>
      <c r="AHG2069" s="38"/>
      <c r="AHH2069" s="38"/>
      <c r="AHI2069" s="38"/>
      <c r="AHJ2069" s="38"/>
      <c r="AHK2069" s="38"/>
      <c r="AHL2069" s="38"/>
      <c r="AHM2069" s="38"/>
      <c r="AHN2069" s="38"/>
      <c r="AHO2069" s="38"/>
      <c r="AHP2069" s="38"/>
      <c r="AHQ2069" s="38"/>
      <c r="AHR2069" s="38"/>
      <c r="AHS2069" s="38"/>
      <c r="AHT2069" s="38"/>
      <c r="AHU2069" s="38"/>
      <c r="AHV2069" s="38"/>
      <c r="AHW2069" s="38"/>
      <c r="AHX2069" s="38"/>
      <c r="AHY2069" s="38"/>
      <c r="AHZ2069" s="38"/>
      <c r="AIA2069" s="38"/>
      <c r="AIB2069" s="38"/>
      <c r="AIC2069" s="38"/>
      <c r="AID2069" s="38"/>
      <c r="AIE2069" s="38"/>
      <c r="AIF2069" s="38"/>
      <c r="AIG2069" s="38"/>
      <c r="AIH2069" s="38"/>
      <c r="AII2069" s="38"/>
      <c r="AIJ2069" s="38"/>
      <c r="AIK2069" s="38"/>
      <c r="AIL2069" s="38"/>
      <c r="AIM2069" s="38"/>
      <c r="AIN2069" s="38"/>
      <c r="AIO2069" s="38"/>
      <c r="AIP2069" s="38"/>
      <c r="AIQ2069" s="38"/>
      <c r="AIR2069" s="38"/>
      <c r="AIS2069" s="38"/>
      <c r="AIT2069" s="38"/>
      <c r="AIU2069" s="38"/>
      <c r="AIV2069" s="38"/>
      <c r="AIW2069" s="38"/>
      <c r="AIX2069" s="38"/>
      <c r="AIY2069" s="38"/>
      <c r="AIZ2069" s="38"/>
      <c r="AJA2069" s="38"/>
      <c r="AJB2069" s="38"/>
      <c r="AJC2069" s="38"/>
      <c r="AJD2069" s="38"/>
      <c r="AJE2069" s="38"/>
      <c r="AJF2069" s="38"/>
      <c r="AJG2069" s="38"/>
      <c r="AJH2069" s="38"/>
      <c r="AJI2069" s="38"/>
      <c r="AJJ2069" s="38"/>
      <c r="AJK2069" s="38"/>
      <c r="AJL2069" s="38"/>
      <c r="AJM2069" s="38"/>
      <c r="AJN2069" s="38"/>
      <c r="AJO2069" s="38"/>
      <c r="AJP2069" s="38"/>
      <c r="AJQ2069" s="38"/>
      <c r="AJR2069" s="38"/>
      <c r="AJS2069" s="38"/>
      <c r="AJT2069" s="38"/>
      <c r="AJU2069" s="38"/>
      <c r="AJV2069" s="38"/>
      <c r="AJW2069" s="38"/>
      <c r="AJX2069" s="38"/>
      <c r="AJY2069" s="38"/>
      <c r="AJZ2069" s="38"/>
      <c r="AKA2069" s="38"/>
      <c r="AKB2069" s="38"/>
      <c r="AKC2069" s="38"/>
      <c r="AKD2069" s="38"/>
      <c r="AKE2069" s="38"/>
      <c r="AKF2069" s="38"/>
      <c r="AKG2069" s="38"/>
      <c r="AKH2069" s="38"/>
      <c r="AKI2069" s="38"/>
      <c r="AKJ2069" s="38"/>
      <c r="AKK2069" s="38"/>
      <c r="AKL2069" s="38"/>
      <c r="AKM2069" s="38"/>
      <c r="AKN2069" s="38"/>
      <c r="AKO2069" s="38"/>
      <c r="AKP2069" s="38"/>
      <c r="AKQ2069" s="38"/>
      <c r="AKR2069" s="38"/>
      <c r="AKS2069" s="38"/>
      <c r="AKT2069" s="38"/>
      <c r="AKU2069" s="38"/>
      <c r="AKV2069" s="38"/>
      <c r="AKW2069" s="38"/>
      <c r="AKX2069" s="38"/>
      <c r="AKY2069" s="38"/>
      <c r="AKZ2069" s="38"/>
      <c r="ALA2069" s="38"/>
      <c r="ALB2069" s="38"/>
      <c r="ALC2069" s="38"/>
      <c r="ALD2069" s="38"/>
      <c r="ALE2069" s="38"/>
      <c r="ALF2069" s="38"/>
      <c r="ALG2069" s="38"/>
      <c r="ALH2069" s="38"/>
      <c r="ALI2069" s="38"/>
      <c r="ALJ2069" s="38"/>
      <c r="ALK2069" s="38"/>
      <c r="ALL2069" s="38"/>
      <c r="ALM2069" s="38"/>
      <c r="ALN2069" s="38"/>
      <c r="ALO2069" s="38"/>
      <c r="ALP2069" s="38"/>
      <c r="ALQ2069" s="38"/>
      <c r="ALR2069" s="38"/>
      <c r="ALS2069" s="38"/>
      <c r="ALT2069" s="38"/>
      <c r="ALU2069" s="38"/>
      <c r="ALV2069" s="38"/>
      <c r="ALW2069" s="38"/>
      <c r="ALX2069" s="38"/>
      <c r="ALY2069" s="38"/>
      <c r="ALZ2069" s="38"/>
      <c r="AMA2069" s="38"/>
      <c r="AMB2069" s="38"/>
      <c r="AMC2069" s="38"/>
      <c r="AMD2069" s="38"/>
      <c r="AME2069" s="38"/>
      <c r="AMF2069" s="38"/>
      <c r="AMG2069" s="38"/>
      <c r="AMH2069" s="38"/>
      <c r="AMI2069" s="38"/>
      <c r="AMJ2069" s="38"/>
      <c r="AMK2069" s="38"/>
      <c r="AML2069" s="38"/>
      <c r="AMM2069" s="38"/>
      <c r="AMN2069" s="38"/>
      <c r="AMO2069" s="38"/>
      <c r="AMP2069" s="38"/>
      <c r="AMQ2069" s="38"/>
      <c r="AMR2069" s="38"/>
      <c r="AMS2069" s="38"/>
      <c r="AMT2069" s="38"/>
      <c r="AMU2069" s="38"/>
      <c r="AMV2069" s="38"/>
      <c r="AMW2069" s="38"/>
      <c r="AMX2069" s="38"/>
      <c r="AMY2069" s="38"/>
      <c r="AMZ2069" s="38"/>
      <c r="ANA2069" s="38"/>
      <c r="ANB2069" s="38"/>
      <c r="ANC2069" s="38"/>
      <c r="AND2069" s="38"/>
      <c r="ANE2069" s="38"/>
      <c r="ANF2069" s="38"/>
      <c r="ANG2069" s="38"/>
      <c r="ANH2069" s="38"/>
      <c r="ANI2069" s="38"/>
      <c r="ANJ2069" s="38"/>
      <c r="ANK2069" s="38"/>
      <c r="ANL2069" s="38"/>
      <c r="ANM2069" s="38"/>
      <c r="ANN2069" s="38"/>
      <c r="ANO2069" s="38"/>
      <c r="ANP2069" s="38"/>
      <c r="ANQ2069" s="38"/>
      <c r="ANR2069" s="38"/>
      <c r="ANS2069" s="38"/>
      <c r="ANT2069" s="38"/>
      <c r="ANU2069" s="38"/>
      <c r="ANV2069" s="38"/>
      <c r="ANW2069" s="38"/>
      <c r="ANX2069" s="38"/>
      <c r="ANY2069" s="38"/>
      <c r="ANZ2069" s="38"/>
      <c r="AOA2069" s="38"/>
      <c r="AOB2069" s="38"/>
      <c r="AOC2069" s="38"/>
      <c r="AOD2069" s="38"/>
      <c r="AOE2069" s="38"/>
      <c r="AOF2069" s="38"/>
      <c r="AOG2069" s="38"/>
      <c r="AOH2069" s="38"/>
      <c r="AOI2069" s="38"/>
      <c r="AOJ2069" s="38"/>
      <c r="AOK2069" s="38"/>
      <c r="AOL2069" s="38"/>
      <c r="AOM2069" s="38"/>
      <c r="AON2069" s="38"/>
      <c r="AOO2069" s="38"/>
      <c r="AOP2069" s="38"/>
      <c r="AOQ2069" s="38"/>
      <c r="AOR2069" s="38"/>
      <c r="AOS2069" s="38"/>
      <c r="AOT2069" s="38"/>
      <c r="AOU2069" s="38"/>
      <c r="AOV2069" s="38"/>
      <c r="AOW2069" s="38"/>
      <c r="AOX2069" s="38"/>
      <c r="AOY2069" s="38"/>
      <c r="AOZ2069" s="38"/>
      <c r="APA2069" s="38"/>
      <c r="APB2069" s="38"/>
      <c r="APC2069" s="38"/>
    </row>
    <row r="2070" spans="1:1095" s="36" customFormat="1" ht="14.25" customHeight="1">
      <c r="A2070" s="3" t="s">
        <v>1722</v>
      </c>
      <c r="B2070" s="36" t="s">
        <v>2439</v>
      </c>
      <c r="C2070" s="10">
        <v>4058075270008</v>
      </c>
      <c r="D2070" s="224">
        <v>4058075270008</v>
      </c>
      <c r="E2070" s="245" t="s">
        <v>2440</v>
      </c>
      <c r="F2070" s="246"/>
      <c r="G2070" s="66" t="str">
        <f>HYPERLINK("https://ledvance.com/pt/product-datasheet/275562/48897","Ficha de Produto")</f>
        <v>Ficha de Produto</v>
      </c>
      <c r="H2070" s="217">
        <v>4</v>
      </c>
      <c r="I2070" s="34" t="s">
        <v>1033</v>
      </c>
      <c r="J2070" s="34" t="s">
        <v>855</v>
      </c>
      <c r="K2070" s="34" t="s">
        <v>788</v>
      </c>
      <c r="L2070" s="34" t="s">
        <v>793</v>
      </c>
      <c r="M2070" s="247">
        <v>23.400000000000002</v>
      </c>
      <c r="N2070" s="288" t="s">
        <v>722</v>
      </c>
    </row>
    <row r="2071" spans="1:1095" s="36" customFormat="1" ht="14.25" customHeight="1">
      <c r="A2071" s="3" t="s">
        <v>1722</v>
      </c>
      <c r="B2071" s="36" t="s">
        <v>2441</v>
      </c>
      <c r="C2071" s="10">
        <v>4099854090103</v>
      </c>
      <c r="D2071" s="224">
        <v>4058075269965</v>
      </c>
      <c r="E2071" s="245" t="s">
        <v>2442</v>
      </c>
      <c r="F2071" s="246"/>
      <c r="G2071" s="66" t="str">
        <f>HYPERLINK("https://ledvance.com/pt/product-datasheet/275563/246498","Ficha de Produto")</f>
        <v>Ficha de Produto</v>
      </c>
      <c r="H2071" s="217">
        <v>4</v>
      </c>
      <c r="I2071" s="34" t="s">
        <v>1033</v>
      </c>
      <c r="J2071" s="34" t="s">
        <v>855</v>
      </c>
      <c r="K2071" s="34" t="s">
        <v>788</v>
      </c>
      <c r="L2071" s="34" t="s">
        <v>793</v>
      </c>
      <c r="M2071" s="247">
        <v>23.400000000000002</v>
      </c>
      <c r="N2071" s="288" t="s">
        <v>722</v>
      </c>
    </row>
    <row r="2072" spans="1:1095" s="36" customFormat="1" ht="14.25" customHeight="1">
      <c r="A2072" s="3" t="s">
        <v>1722</v>
      </c>
      <c r="B2072" s="36" t="s">
        <v>2443</v>
      </c>
      <c r="C2072" s="10">
        <v>4058075779945</v>
      </c>
      <c r="D2072" s="246"/>
      <c r="E2072" s="249"/>
      <c r="F2072" s="222" t="s">
        <v>3136</v>
      </c>
      <c r="G2072" s="66" t="str">
        <f>HYPERLINK("https://ledvance.com/pt/product-datasheet/275563/212545","Ficha de Produto")</f>
        <v>Ficha de Produto</v>
      </c>
      <c r="H2072" s="217">
        <v>6</v>
      </c>
      <c r="I2072" s="34" t="s">
        <v>6338</v>
      </c>
      <c r="J2072" s="34" t="s">
        <v>6365</v>
      </c>
      <c r="K2072" s="34" t="s">
        <v>788</v>
      </c>
      <c r="L2072" s="34" t="s">
        <v>793</v>
      </c>
      <c r="M2072" s="247">
        <v>9.5</v>
      </c>
      <c r="N2072" s="288" t="s">
        <v>722</v>
      </c>
    </row>
    <row r="2073" spans="1:1095" s="36" customFormat="1" ht="14.25" customHeight="1">
      <c r="A2073" s="3" t="s">
        <v>1722</v>
      </c>
      <c r="B2073" s="36" t="s">
        <v>2444</v>
      </c>
      <c r="C2073" s="10">
        <v>4058075269729</v>
      </c>
      <c r="D2073" s="224">
        <v>4058075269729</v>
      </c>
      <c r="E2073" s="245" t="s">
        <v>2445</v>
      </c>
      <c r="F2073" s="246"/>
      <c r="G2073" s="66" t="str">
        <f>HYPERLINK("https://ledvance.com/pt/product-datasheet/275562/48903","Ficha de Produto")</f>
        <v>Ficha de Produto</v>
      </c>
      <c r="H2073" s="217">
        <v>4</v>
      </c>
      <c r="I2073" s="34" t="s">
        <v>1033</v>
      </c>
      <c r="J2073" s="34" t="s">
        <v>855</v>
      </c>
      <c r="K2073" s="34" t="s">
        <v>788</v>
      </c>
      <c r="L2073" s="34" t="s">
        <v>793</v>
      </c>
      <c r="M2073" s="247">
        <v>65.100000000000009</v>
      </c>
      <c r="N2073" s="288" t="s">
        <v>722</v>
      </c>
    </row>
    <row r="2074" spans="1:1095" s="36" customFormat="1" ht="14.25" customHeight="1">
      <c r="A2074" s="3" t="s">
        <v>1722</v>
      </c>
      <c r="B2074" s="36" t="s">
        <v>2446</v>
      </c>
      <c r="C2074" s="10">
        <v>4058075269705</v>
      </c>
      <c r="D2074" s="224">
        <v>4058075269705</v>
      </c>
      <c r="E2074" s="245" t="s">
        <v>2447</v>
      </c>
      <c r="F2074" s="246"/>
      <c r="G2074" s="66" t="str">
        <f>HYPERLINK("https://ledvance.com/pt/product-datasheet/275561/48906","Ficha de Produto")</f>
        <v>Ficha de Produto</v>
      </c>
      <c r="H2074" s="217">
        <v>4</v>
      </c>
      <c r="I2074" s="34" t="s">
        <v>1033</v>
      </c>
      <c r="J2074" s="34" t="s">
        <v>855</v>
      </c>
      <c r="K2074" s="34" t="s">
        <v>788</v>
      </c>
      <c r="L2074" s="34" t="s">
        <v>793</v>
      </c>
      <c r="M2074" s="247">
        <v>65.100000000000009</v>
      </c>
      <c r="N2074" s="288" t="s">
        <v>722</v>
      </c>
    </row>
    <row r="2075" spans="1:1095" s="36" customFormat="1" ht="14.25" customHeight="1">
      <c r="A2075" s="3" t="s">
        <v>1722</v>
      </c>
      <c r="B2075" s="36" t="s">
        <v>2448</v>
      </c>
      <c r="C2075" s="10">
        <v>4058075270046</v>
      </c>
      <c r="D2075" s="224">
        <v>4058075270046</v>
      </c>
      <c r="E2075" s="245" t="s">
        <v>2449</v>
      </c>
      <c r="F2075" s="246"/>
      <c r="G2075" s="66" t="str">
        <f>HYPERLINK("https://ledvance.com/pt/product-datasheet/275562/32921","Ficha de Produto")</f>
        <v>Ficha de Produto</v>
      </c>
      <c r="H2075" s="217">
        <v>4</v>
      </c>
      <c r="I2075" s="34" t="s">
        <v>1035</v>
      </c>
      <c r="J2075" s="34" t="s">
        <v>855</v>
      </c>
      <c r="K2075" s="34" t="s">
        <v>788</v>
      </c>
      <c r="L2075" s="34" t="s">
        <v>793</v>
      </c>
      <c r="M2075" s="247">
        <v>65.100000000000009</v>
      </c>
      <c r="N2075" s="288" t="s">
        <v>722</v>
      </c>
    </row>
    <row r="2076" spans="1:1095" s="36" customFormat="1" ht="14.25" customHeight="1">
      <c r="A2076" s="3" t="s">
        <v>1722</v>
      </c>
      <c r="B2076" s="36" t="s">
        <v>2450</v>
      </c>
      <c r="C2076" s="10">
        <v>4058075270022</v>
      </c>
      <c r="D2076" s="224">
        <v>4058075270022</v>
      </c>
      <c r="E2076" s="245" t="s">
        <v>2451</v>
      </c>
      <c r="F2076" s="246"/>
      <c r="G2076" s="66" t="str">
        <f>HYPERLINK("https://ledvance.com/pt/product-datasheet/275561/31713","Ficha de Produto")</f>
        <v>Ficha de Produto</v>
      </c>
      <c r="H2076" s="217">
        <v>4</v>
      </c>
      <c r="I2076" s="34" t="s">
        <v>1035</v>
      </c>
      <c r="J2076" s="34" t="s">
        <v>855</v>
      </c>
      <c r="K2076" s="34" t="s">
        <v>788</v>
      </c>
      <c r="L2076" s="34" t="s">
        <v>793</v>
      </c>
      <c r="M2076" s="247">
        <v>65.100000000000009</v>
      </c>
      <c r="N2076" s="288" t="s">
        <v>722</v>
      </c>
    </row>
    <row r="2077" spans="1:1095" s="39" customFormat="1" ht="14.25" customHeight="1">
      <c r="A2077" s="8" t="s">
        <v>1722</v>
      </c>
      <c r="B2077" s="39" t="s">
        <v>2452</v>
      </c>
      <c r="C2077" s="8"/>
      <c r="D2077" s="7"/>
      <c r="E2077" s="230"/>
      <c r="F2077" s="7"/>
      <c r="G2077" s="68" t="s">
        <v>6505</v>
      </c>
      <c r="H2077" s="230"/>
      <c r="I2077" s="230"/>
      <c r="J2077" s="230"/>
      <c r="K2077" s="230"/>
      <c r="L2077" s="230"/>
      <c r="M2077" s="248"/>
      <c r="N2077" s="284"/>
      <c r="O2077" s="38"/>
      <c r="P2077" s="38"/>
      <c r="Q2077" s="38"/>
      <c r="R2077" s="38"/>
      <c r="S2077" s="38"/>
      <c r="T2077" s="38"/>
      <c r="U2077" s="38"/>
      <c r="V2077" s="38"/>
      <c r="W2077" s="38"/>
      <c r="X2077" s="38"/>
      <c r="Y2077" s="38"/>
      <c r="Z2077" s="38"/>
      <c r="AA2077" s="38"/>
      <c r="AB2077" s="38"/>
      <c r="AC2077" s="38"/>
      <c r="AD2077" s="38"/>
      <c r="AE2077" s="38"/>
      <c r="AF2077" s="38"/>
      <c r="AG2077" s="38"/>
      <c r="AH2077" s="38"/>
      <c r="AI2077" s="38"/>
      <c r="AJ2077" s="38"/>
      <c r="AK2077" s="38"/>
      <c r="AL2077" s="38"/>
      <c r="AM2077" s="38"/>
      <c r="AN2077" s="38"/>
      <c r="AO2077" s="38"/>
      <c r="AP2077" s="38"/>
      <c r="AQ2077" s="38"/>
      <c r="AR2077" s="38"/>
      <c r="AS2077" s="38"/>
      <c r="AT2077" s="38"/>
      <c r="AU2077" s="38"/>
      <c r="AV2077" s="38"/>
      <c r="AW2077" s="38"/>
      <c r="AX2077" s="38"/>
      <c r="AY2077" s="38"/>
      <c r="AZ2077" s="38"/>
      <c r="BA2077" s="38"/>
      <c r="BB2077" s="38"/>
      <c r="BC2077" s="38"/>
      <c r="BD2077" s="38"/>
      <c r="BE2077" s="38"/>
      <c r="BF2077" s="38"/>
      <c r="BG2077" s="38"/>
      <c r="BH2077" s="38"/>
      <c r="BI2077" s="38"/>
      <c r="BJ2077" s="38"/>
      <c r="BK2077" s="38"/>
      <c r="BL2077" s="38"/>
      <c r="BM2077" s="38"/>
      <c r="BN2077" s="38"/>
      <c r="BO2077" s="38"/>
      <c r="BP2077" s="38"/>
      <c r="BQ2077" s="38"/>
      <c r="BR2077" s="38"/>
      <c r="BS2077" s="38"/>
      <c r="BT2077" s="38"/>
      <c r="BU2077" s="38"/>
      <c r="BV2077" s="38"/>
      <c r="BW2077" s="38"/>
      <c r="BX2077" s="38"/>
      <c r="BY2077" s="38"/>
      <c r="BZ2077" s="38"/>
      <c r="CA2077" s="38"/>
      <c r="CB2077" s="38"/>
      <c r="CC2077" s="38"/>
      <c r="CD2077" s="38"/>
      <c r="CE2077" s="38"/>
      <c r="CF2077" s="38"/>
      <c r="CG2077" s="38"/>
      <c r="CH2077" s="38"/>
      <c r="CI2077" s="38"/>
      <c r="CJ2077" s="38"/>
      <c r="CK2077" s="38"/>
      <c r="CL2077" s="38"/>
      <c r="CM2077" s="38"/>
      <c r="CN2077" s="38"/>
      <c r="CO2077" s="38"/>
      <c r="CP2077" s="38"/>
      <c r="CQ2077" s="38"/>
      <c r="CR2077" s="38"/>
      <c r="CS2077" s="38"/>
      <c r="CT2077" s="38"/>
      <c r="CU2077" s="38"/>
      <c r="CV2077" s="38"/>
      <c r="CW2077" s="38"/>
      <c r="CX2077" s="38"/>
      <c r="CY2077" s="38"/>
      <c r="CZ2077" s="38"/>
      <c r="DA2077" s="38"/>
      <c r="DB2077" s="38"/>
      <c r="DC2077" s="38"/>
      <c r="DD2077" s="38"/>
      <c r="DE2077" s="38"/>
      <c r="DF2077" s="38"/>
      <c r="DG2077" s="38"/>
      <c r="DH2077" s="38"/>
      <c r="DI2077" s="38"/>
      <c r="DJ2077" s="38"/>
      <c r="DK2077" s="38"/>
      <c r="DL2077" s="38"/>
      <c r="DM2077" s="38"/>
      <c r="DN2077" s="38"/>
      <c r="DO2077" s="38"/>
      <c r="DP2077" s="38"/>
      <c r="DQ2077" s="38"/>
      <c r="DR2077" s="38"/>
      <c r="DS2077" s="38"/>
      <c r="DT2077" s="38"/>
      <c r="DU2077" s="38"/>
      <c r="DV2077" s="38"/>
      <c r="DW2077" s="38"/>
      <c r="DX2077" s="38"/>
      <c r="DY2077" s="38"/>
      <c r="DZ2077" s="38"/>
      <c r="EA2077" s="38"/>
      <c r="EB2077" s="38"/>
      <c r="EC2077" s="38"/>
      <c r="ED2077" s="38"/>
      <c r="EE2077" s="38"/>
      <c r="EF2077" s="38"/>
      <c r="EG2077" s="38"/>
      <c r="EH2077" s="38"/>
      <c r="EI2077" s="38"/>
      <c r="EJ2077" s="38"/>
      <c r="EK2077" s="38"/>
      <c r="EL2077" s="38"/>
      <c r="EM2077" s="38"/>
      <c r="EN2077" s="38"/>
      <c r="EO2077" s="38"/>
      <c r="EP2077" s="38"/>
      <c r="EQ2077" s="38"/>
      <c r="ER2077" s="38"/>
      <c r="ES2077" s="38"/>
      <c r="ET2077" s="38"/>
      <c r="EU2077" s="38"/>
      <c r="EV2077" s="38"/>
      <c r="EW2077" s="38"/>
      <c r="EX2077" s="38"/>
      <c r="EY2077" s="38"/>
      <c r="EZ2077" s="38"/>
      <c r="FA2077" s="38"/>
      <c r="FB2077" s="38"/>
      <c r="FC2077" s="38"/>
      <c r="FD2077" s="38"/>
      <c r="FE2077" s="38"/>
      <c r="FF2077" s="38"/>
      <c r="FG2077" s="38"/>
      <c r="FH2077" s="38"/>
      <c r="FI2077" s="38"/>
      <c r="FJ2077" s="38"/>
      <c r="FK2077" s="38"/>
      <c r="FL2077" s="38"/>
      <c r="FM2077" s="38"/>
      <c r="FN2077" s="38"/>
      <c r="FO2077" s="38"/>
      <c r="FP2077" s="38"/>
      <c r="FQ2077" s="38"/>
      <c r="FR2077" s="38"/>
      <c r="FS2077" s="38"/>
      <c r="FT2077" s="38"/>
      <c r="FU2077" s="38"/>
      <c r="FV2077" s="38"/>
      <c r="FW2077" s="38"/>
      <c r="FX2077" s="38"/>
      <c r="FY2077" s="38"/>
      <c r="FZ2077" s="38"/>
      <c r="GA2077" s="38"/>
      <c r="GB2077" s="38"/>
      <c r="GC2077" s="38"/>
      <c r="GD2077" s="38"/>
      <c r="GE2077" s="38"/>
      <c r="GF2077" s="38"/>
      <c r="GG2077" s="38"/>
      <c r="GH2077" s="38"/>
      <c r="GI2077" s="38"/>
      <c r="GJ2077" s="38"/>
      <c r="GK2077" s="38"/>
      <c r="GL2077" s="38"/>
      <c r="GM2077" s="38"/>
      <c r="GN2077" s="38"/>
      <c r="GO2077" s="38"/>
      <c r="GP2077" s="38"/>
      <c r="GQ2077" s="38"/>
      <c r="GR2077" s="38"/>
      <c r="GS2077" s="38"/>
      <c r="GT2077" s="38"/>
      <c r="GU2077" s="38"/>
      <c r="GV2077" s="38"/>
      <c r="GW2077" s="38"/>
      <c r="GX2077" s="38"/>
      <c r="GY2077" s="38"/>
      <c r="GZ2077" s="38"/>
      <c r="HA2077" s="38"/>
      <c r="HB2077" s="38"/>
      <c r="HC2077" s="38"/>
      <c r="HD2077" s="38"/>
      <c r="HE2077" s="38"/>
      <c r="HF2077" s="38"/>
      <c r="HG2077" s="38"/>
      <c r="HH2077" s="38"/>
      <c r="HI2077" s="38"/>
      <c r="HJ2077" s="38"/>
      <c r="HK2077" s="38"/>
      <c r="HL2077" s="38"/>
      <c r="HM2077" s="38"/>
      <c r="HN2077" s="38"/>
      <c r="HO2077" s="38"/>
      <c r="HP2077" s="38"/>
      <c r="HQ2077" s="38"/>
      <c r="HR2077" s="38"/>
      <c r="HS2077" s="38"/>
      <c r="HT2077" s="38"/>
      <c r="HU2077" s="38"/>
      <c r="HV2077" s="38"/>
      <c r="HW2077" s="38"/>
      <c r="HX2077" s="38"/>
      <c r="HY2077" s="38"/>
      <c r="HZ2077" s="38"/>
      <c r="IA2077" s="38"/>
      <c r="IB2077" s="38"/>
      <c r="IC2077" s="38"/>
      <c r="ID2077" s="38"/>
      <c r="IE2077" s="38"/>
      <c r="IF2077" s="38"/>
      <c r="IG2077" s="38"/>
      <c r="IH2077" s="38"/>
      <c r="II2077" s="38"/>
      <c r="IJ2077" s="38"/>
      <c r="IK2077" s="38"/>
      <c r="IL2077" s="38"/>
      <c r="IM2077" s="38"/>
      <c r="IN2077" s="38"/>
      <c r="IO2077" s="38"/>
      <c r="IP2077" s="38"/>
      <c r="IQ2077" s="38"/>
      <c r="IR2077" s="38"/>
      <c r="IS2077" s="38"/>
      <c r="IT2077" s="38"/>
      <c r="IU2077" s="38"/>
      <c r="IV2077" s="38"/>
      <c r="IW2077" s="38"/>
      <c r="IX2077" s="38"/>
      <c r="IY2077" s="38"/>
      <c r="IZ2077" s="38"/>
      <c r="JA2077" s="38"/>
      <c r="JB2077" s="38"/>
      <c r="JC2077" s="38"/>
      <c r="JD2077" s="38"/>
      <c r="JE2077" s="38"/>
      <c r="JF2077" s="38"/>
      <c r="JG2077" s="38"/>
      <c r="JH2077" s="38"/>
      <c r="JI2077" s="38"/>
      <c r="JJ2077" s="38"/>
      <c r="JK2077" s="38"/>
      <c r="JL2077" s="38"/>
      <c r="JM2077" s="38"/>
      <c r="JN2077" s="38"/>
      <c r="JO2077" s="38"/>
      <c r="JP2077" s="38"/>
      <c r="JQ2077" s="38"/>
      <c r="JR2077" s="38"/>
      <c r="JS2077" s="38"/>
      <c r="JT2077" s="38"/>
      <c r="JU2077" s="38"/>
      <c r="JV2077" s="38"/>
      <c r="JW2077" s="38"/>
      <c r="JX2077" s="38"/>
      <c r="JY2077" s="38"/>
      <c r="JZ2077" s="38"/>
      <c r="KA2077" s="38"/>
      <c r="KB2077" s="38"/>
      <c r="KC2077" s="38"/>
      <c r="KD2077" s="38"/>
      <c r="KE2077" s="38"/>
      <c r="KF2077" s="38"/>
      <c r="KG2077" s="38"/>
      <c r="KH2077" s="38"/>
      <c r="KI2077" s="38"/>
      <c r="KJ2077" s="38"/>
      <c r="KK2077" s="38"/>
      <c r="KL2077" s="38"/>
      <c r="KM2077" s="38"/>
      <c r="KN2077" s="38"/>
      <c r="KO2077" s="38"/>
      <c r="KP2077" s="38"/>
      <c r="KQ2077" s="38"/>
      <c r="KR2077" s="38"/>
      <c r="KS2077" s="38"/>
      <c r="KT2077" s="38"/>
      <c r="KU2077" s="38"/>
      <c r="KV2077" s="38"/>
      <c r="KW2077" s="38"/>
      <c r="KX2077" s="38"/>
      <c r="KY2077" s="38"/>
      <c r="KZ2077" s="38"/>
      <c r="LA2077" s="38"/>
      <c r="LB2077" s="38"/>
      <c r="LC2077" s="38"/>
      <c r="LD2077" s="38"/>
      <c r="LE2077" s="38"/>
      <c r="LF2077" s="38"/>
      <c r="LG2077" s="38"/>
      <c r="LH2077" s="38"/>
      <c r="LI2077" s="38"/>
      <c r="LJ2077" s="38"/>
      <c r="LK2077" s="38"/>
      <c r="LL2077" s="38"/>
      <c r="LM2077" s="38"/>
      <c r="LN2077" s="38"/>
      <c r="LO2077" s="38"/>
      <c r="LP2077" s="38"/>
      <c r="LQ2077" s="38"/>
      <c r="LR2077" s="38"/>
      <c r="LS2077" s="38"/>
      <c r="LT2077" s="38"/>
      <c r="LU2077" s="38"/>
      <c r="LV2077" s="38"/>
      <c r="LW2077" s="38"/>
      <c r="LX2077" s="38"/>
      <c r="LY2077" s="38"/>
      <c r="LZ2077" s="38"/>
      <c r="MA2077" s="38"/>
      <c r="MB2077" s="38"/>
      <c r="MC2077" s="38"/>
      <c r="MD2077" s="38"/>
      <c r="ME2077" s="38"/>
      <c r="MF2077" s="38"/>
      <c r="MG2077" s="38"/>
      <c r="MH2077" s="38"/>
      <c r="MI2077" s="38"/>
      <c r="MJ2077" s="38"/>
      <c r="MK2077" s="38"/>
      <c r="ML2077" s="38"/>
      <c r="MM2077" s="38"/>
      <c r="MN2077" s="38"/>
      <c r="MO2077" s="38"/>
      <c r="MP2077" s="38"/>
      <c r="MQ2077" s="38"/>
      <c r="MR2077" s="38"/>
      <c r="MS2077" s="38"/>
      <c r="MT2077" s="38"/>
      <c r="MU2077" s="38"/>
      <c r="MV2077" s="38"/>
      <c r="MW2077" s="38"/>
      <c r="MX2077" s="38"/>
      <c r="MY2077" s="38"/>
      <c r="MZ2077" s="38"/>
      <c r="NA2077" s="38"/>
      <c r="NB2077" s="38"/>
      <c r="NC2077" s="38"/>
      <c r="ND2077" s="38"/>
      <c r="NE2077" s="38"/>
      <c r="NF2077" s="38"/>
      <c r="NG2077" s="38"/>
      <c r="NH2077" s="38"/>
      <c r="NI2077" s="38"/>
      <c r="NJ2077" s="38"/>
      <c r="NK2077" s="38"/>
      <c r="NL2077" s="38"/>
      <c r="NM2077" s="38"/>
      <c r="NN2077" s="38"/>
      <c r="NO2077" s="38"/>
      <c r="NP2077" s="38"/>
      <c r="NQ2077" s="38"/>
      <c r="NR2077" s="38"/>
      <c r="NS2077" s="38"/>
      <c r="NT2077" s="38"/>
      <c r="NU2077" s="38"/>
      <c r="NV2077" s="38"/>
      <c r="NW2077" s="38"/>
      <c r="NX2077" s="38"/>
      <c r="NY2077" s="38"/>
      <c r="NZ2077" s="38"/>
      <c r="OA2077" s="38"/>
      <c r="OB2077" s="38"/>
      <c r="OC2077" s="38"/>
      <c r="OD2077" s="38"/>
      <c r="OE2077" s="38"/>
      <c r="OF2077" s="38"/>
      <c r="OG2077" s="38"/>
      <c r="OH2077" s="38"/>
      <c r="OI2077" s="38"/>
      <c r="OJ2077" s="38"/>
      <c r="OK2077" s="38"/>
      <c r="OL2077" s="38"/>
      <c r="OM2077" s="38"/>
      <c r="ON2077" s="38"/>
      <c r="OO2077" s="38"/>
      <c r="OP2077" s="38"/>
      <c r="OQ2077" s="38"/>
      <c r="OR2077" s="38"/>
      <c r="OS2077" s="38"/>
      <c r="OT2077" s="38"/>
      <c r="OU2077" s="38"/>
      <c r="OV2077" s="38"/>
      <c r="OW2077" s="38"/>
      <c r="OX2077" s="38"/>
      <c r="OY2077" s="38"/>
      <c r="OZ2077" s="38"/>
      <c r="PA2077" s="38"/>
      <c r="PB2077" s="38"/>
      <c r="PC2077" s="38"/>
      <c r="PD2077" s="38"/>
      <c r="PE2077" s="38"/>
      <c r="PF2077" s="38"/>
      <c r="PG2077" s="38"/>
      <c r="PH2077" s="38"/>
      <c r="PI2077" s="38"/>
      <c r="PJ2077" s="38"/>
      <c r="PK2077" s="38"/>
      <c r="PL2077" s="38"/>
      <c r="PM2077" s="38"/>
      <c r="PN2077" s="38"/>
      <c r="PO2077" s="38"/>
      <c r="PP2077" s="38"/>
      <c r="PQ2077" s="38"/>
      <c r="PR2077" s="38"/>
      <c r="PS2077" s="38"/>
      <c r="PT2077" s="38"/>
      <c r="PU2077" s="38"/>
      <c r="PV2077" s="38"/>
      <c r="PW2077" s="38"/>
      <c r="PX2077" s="38"/>
      <c r="PY2077" s="38"/>
      <c r="PZ2077" s="38"/>
      <c r="QA2077" s="38"/>
      <c r="QB2077" s="38"/>
      <c r="QC2077" s="38"/>
      <c r="QD2077" s="38"/>
      <c r="QE2077" s="38"/>
      <c r="QF2077" s="38"/>
      <c r="QG2077" s="38"/>
      <c r="QH2077" s="38"/>
      <c r="QI2077" s="38"/>
      <c r="QJ2077" s="38"/>
      <c r="QK2077" s="38"/>
      <c r="QL2077" s="38"/>
      <c r="QM2077" s="38"/>
      <c r="QN2077" s="38"/>
      <c r="QO2077" s="38"/>
      <c r="QP2077" s="38"/>
      <c r="QQ2077" s="38"/>
      <c r="QR2077" s="38"/>
      <c r="QS2077" s="38"/>
      <c r="QT2077" s="38"/>
      <c r="QU2077" s="38"/>
      <c r="QV2077" s="38"/>
      <c r="QW2077" s="38"/>
      <c r="QX2077" s="38"/>
      <c r="QY2077" s="38"/>
      <c r="QZ2077" s="38"/>
      <c r="RA2077" s="38"/>
      <c r="RB2077" s="38"/>
      <c r="RC2077" s="38"/>
      <c r="RD2077" s="38"/>
      <c r="RE2077" s="38"/>
      <c r="RF2077" s="38"/>
      <c r="RG2077" s="38"/>
      <c r="RH2077" s="38"/>
      <c r="RI2077" s="38"/>
      <c r="RJ2077" s="38"/>
      <c r="RK2077" s="38"/>
      <c r="RL2077" s="38"/>
      <c r="RM2077" s="38"/>
      <c r="RN2077" s="38"/>
      <c r="RO2077" s="38"/>
      <c r="RP2077" s="38"/>
      <c r="RQ2077" s="38"/>
      <c r="RR2077" s="38"/>
      <c r="RS2077" s="38"/>
      <c r="RT2077" s="38"/>
      <c r="RU2077" s="38"/>
      <c r="RV2077" s="38"/>
      <c r="RW2077" s="38"/>
      <c r="RX2077" s="38"/>
      <c r="RY2077" s="38"/>
      <c r="RZ2077" s="38"/>
      <c r="SA2077" s="38"/>
      <c r="SB2077" s="38"/>
      <c r="SC2077" s="38"/>
      <c r="SD2077" s="38"/>
      <c r="SE2077" s="38"/>
      <c r="SF2077" s="38"/>
      <c r="SG2077" s="38"/>
      <c r="SH2077" s="38"/>
      <c r="SI2077" s="38"/>
      <c r="SJ2077" s="38"/>
      <c r="SK2077" s="38"/>
      <c r="SL2077" s="38"/>
      <c r="SM2077" s="38"/>
      <c r="SN2077" s="38"/>
      <c r="SO2077" s="38"/>
      <c r="SP2077" s="38"/>
      <c r="SQ2077" s="38"/>
      <c r="SR2077" s="38"/>
      <c r="SS2077" s="38"/>
      <c r="ST2077" s="38"/>
      <c r="SU2077" s="38"/>
      <c r="SV2077" s="38"/>
      <c r="SW2077" s="38"/>
      <c r="SX2077" s="38"/>
      <c r="SY2077" s="38"/>
      <c r="SZ2077" s="38"/>
      <c r="TA2077" s="38"/>
      <c r="TB2077" s="38"/>
      <c r="TC2077" s="38"/>
      <c r="TD2077" s="38"/>
      <c r="TE2077" s="38"/>
      <c r="TF2077" s="38"/>
      <c r="TG2077" s="38"/>
      <c r="TH2077" s="38"/>
      <c r="TI2077" s="38"/>
      <c r="TJ2077" s="38"/>
      <c r="TK2077" s="38"/>
      <c r="TL2077" s="38"/>
      <c r="TM2077" s="38"/>
      <c r="TN2077" s="38"/>
      <c r="TO2077" s="38"/>
      <c r="TP2077" s="38"/>
      <c r="TQ2077" s="38"/>
      <c r="TR2077" s="38"/>
      <c r="TS2077" s="38"/>
      <c r="TT2077" s="38"/>
      <c r="TU2077" s="38"/>
      <c r="TV2077" s="38"/>
      <c r="TW2077" s="38"/>
      <c r="TX2077" s="38"/>
      <c r="TY2077" s="38"/>
      <c r="TZ2077" s="38"/>
      <c r="UA2077" s="38"/>
      <c r="UB2077" s="38"/>
      <c r="UC2077" s="38"/>
      <c r="UD2077" s="38"/>
      <c r="UE2077" s="38"/>
      <c r="UF2077" s="38"/>
      <c r="UG2077" s="38"/>
      <c r="UH2077" s="38"/>
      <c r="UI2077" s="38"/>
      <c r="UJ2077" s="38"/>
      <c r="UK2077" s="38"/>
      <c r="UL2077" s="38"/>
      <c r="UM2077" s="38"/>
      <c r="UN2077" s="38"/>
      <c r="UO2077" s="38"/>
      <c r="UP2077" s="38"/>
      <c r="UQ2077" s="38"/>
      <c r="UR2077" s="38"/>
      <c r="US2077" s="38"/>
      <c r="UT2077" s="38"/>
      <c r="UU2077" s="38"/>
      <c r="UV2077" s="38"/>
      <c r="UW2077" s="38"/>
      <c r="UX2077" s="38"/>
      <c r="UY2077" s="38"/>
      <c r="UZ2077" s="38"/>
      <c r="VA2077" s="38"/>
      <c r="VB2077" s="38"/>
      <c r="VC2077" s="38"/>
      <c r="VD2077" s="38"/>
      <c r="VE2077" s="38"/>
      <c r="VF2077" s="38"/>
      <c r="VG2077" s="38"/>
      <c r="VH2077" s="38"/>
      <c r="VI2077" s="38"/>
      <c r="VJ2077" s="38"/>
      <c r="VK2077" s="38"/>
      <c r="VL2077" s="38"/>
      <c r="VM2077" s="38"/>
      <c r="VN2077" s="38"/>
      <c r="VO2077" s="38"/>
      <c r="VP2077" s="38"/>
      <c r="VQ2077" s="38"/>
      <c r="VR2077" s="38"/>
      <c r="VS2077" s="38"/>
      <c r="VT2077" s="38"/>
      <c r="VU2077" s="38"/>
      <c r="VV2077" s="38"/>
      <c r="VW2077" s="38"/>
      <c r="VX2077" s="38"/>
      <c r="VY2077" s="38"/>
      <c r="VZ2077" s="38"/>
      <c r="WA2077" s="38"/>
      <c r="WB2077" s="38"/>
      <c r="WC2077" s="38"/>
      <c r="WD2077" s="38"/>
      <c r="WE2077" s="38"/>
      <c r="WF2077" s="38"/>
      <c r="WG2077" s="38"/>
      <c r="WH2077" s="38"/>
      <c r="WI2077" s="38"/>
      <c r="WJ2077" s="38"/>
      <c r="WK2077" s="38"/>
      <c r="WL2077" s="38"/>
      <c r="WM2077" s="38"/>
      <c r="WN2077" s="38"/>
      <c r="WO2077" s="38"/>
      <c r="WP2077" s="38"/>
      <c r="WQ2077" s="38"/>
      <c r="WR2077" s="38"/>
      <c r="WS2077" s="38"/>
      <c r="WT2077" s="38"/>
      <c r="WU2077" s="38"/>
      <c r="WV2077" s="38"/>
      <c r="WW2077" s="38"/>
      <c r="WX2077" s="38"/>
      <c r="WY2077" s="38"/>
      <c r="WZ2077" s="38"/>
      <c r="XA2077" s="38"/>
      <c r="XB2077" s="38"/>
      <c r="XC2077" s="38"/>
      <c r="XD2077" s="38"/>
      <c r="XE2077" s="38"/>
      <c r="XF2077" s="38"/>
      <c r="XG2077" s="38"/>
      <c r="XH2077" s="38"/>
      <c r="XI2077" s="38"/>
      <c r="XJ2077" s="38"/>
      <c r="XK2077" s="38"/>
      <c r="XL2077" s="38"/>
      <c r="XM2077" s="38"/>
      <c r="XN2077" s="38"/>
      <c r="XO2077" s="38"/>
      <c r="XP2077" s="38"/>
      <c r="XQ2077" s="38"/>
      <c r="XR2077" s="38"/>
      <c r="XS2077" s="38"/>
      <c r="XT2077" s="38"/>
      <c r="XU2077" s="38"/>
      <c r="XV2077" s="38"/>
      <c r="XW2077" s="38"/>
      <c r="XX2077" s="38"/>
      <c r="XY2077" s="38"/>
      <c r="XZ2077" s="38"/>
      <c r="YA2077" s="38"/>
      <c r="YB2077" s="38"/>
      <c r="YC2077" s="38"/>
      <c r="YD2077" s="38"/>
      <c r="YE2077" s="38"/>
      <c r="YF2077" s="38"/>
      <c r="YG2077" s="38"/>
      <c r="YH2077" s="38"/>
      <c r="YI2077" s="38"/>
      <c r="YJ2077" s="38"/>
      <c r="YK2077" s="38"/>
      <c r="YL2077" s="38"/>
      <c r="YM2077" s="38"/>
      <c r="YN2077" s="38"/>
      <c r="YO2077" s="38"/>
      <c r="YP2077" s="38"/>
      <c r="YQ2077" s="38"/>
      <c r="YR2077" s="38"/>
      <c r="YS2077" s="38"/>
      <c r="YT2077" s="38"/>
      <c r="YU2077" s="38"/>
      <c r="YV2077" s="38"/>
      <c r="YW2077" s="38"/>
      <c r="YX2077" s="38"/>
      <c r="YY2077" s="38"/>
      <c r="YZ2077" s="38"/>
      <c r="ZA2077" s="38"/>
      <c r="ZB2077" s="38"/>
      <c r="ZC2077" s="38"/>
      <c r="ZD2077" s="38"/>
      <c r="ZE2077" s="38"/>
      <c r="ZF2077" s="38"/>
      <c r="ZG2077" s="38"/>
      <c r="ZH2077" s="38"/>
      <c r="ZI2077" s="38"/>
      <c r="ZJ2077" s="38"/>
      <c r="ZK2077" s="38"/>
      <c r="ZL2077" s="38"/>
      <c r="ZM2077" s="38"/>
      <c r="ZN2077" s="38"/>
      <c r="ZO2077" s="38"/>
      <c r="ZP2077" s="38"/>
      <c r="ZQ2077" s="38"/>
      <c r="ZR2077" s="38"/>
      <c r="ZS2077" s="38"/>
      <c r="ZT2077" s="38"/>
      <c r="ZU2077" s="38"/>
      <c r="ZV2077" s="38"/>
      <c r="ZW2077" s="38"/>
      <c r="ZX2077" s="38"/>
      <c r="ZY2077" s="38"/>
      <c r="ZZ2077" s="38"/>
      <c r="AAA2077" s="38"/>
      <c r="AAB2077" s="38"/>
      <c r="AAC2077" s="38"/>
      <c r="AAD2077" s="38"/>
      <c r="AAE2077" s="38"/>
      <c r="AAF2077" s="38"/>
      <c r="AAG2077" s="38"/>
      <c r="AAH2077" s="38"/>
      <c r="AAI2077" s="38"/>
      <c r="AAJ2077" s="38"/>
      <c r="AAK2077" s="38"/>
      <c r="AAL2077" s="38"/>
      <c r="AAM2077" s="38"/>
      <c r="AAN2077" s="38"/>
      <c r="AAO2077" s="38"/>
      <c r="AAP2077" s="38"/>
      <c r="AAQ2077" s="38"/>
      <c r="AAR2077" s="38"/>
      <c r="AAS2077" s="38"/>
      <c r="AAT2077" s="38"/>
      <c r="AAU2077" s="38"/>
      <c r="AAV2077" s="38"/>
      <c r="AAW2077" s="38"/>
      <c r="AAX2077" s="38"/>
      <c r="AAY2077" s="38"/>
      <c r="AAZ2077" s="38"/>
      <c r="ABA2077" s="38"/>
      <c r="ABB2077" s="38"/>
      <c r="ABC2077" s="38"/>
      <c r="ABD2077" s="38"/>
      <c r="ABE2077" s="38"/>
      <c r="ABF2077" s="38"/>
      <c r="ABG2077" s="38"/>
      <c r="ABH2077" s="38"/>
      <c r="ABI2077" s="38"/>
      <c r="ABJ2077" s="38"/>
      <c r="ABK2077" s="38"/>
      <c r="ABL2077" s="38"/>
      <c r="ABM2077" s="38"/>
      <c r="ABN2077" s="38"/>
      <c r="ABO2077" s="38"/>
      <c r="ABP2077" s="38"/>
      <c r="ABQ2077" s="38"/>
      <c r="ABR2077" s="38"/>
      <c r="ABS2077" s="38"/>
      <c r="ABT2077" s="38"/>
      <c r="ABU2077" s="38"/>
      <c r="ABV2077" s="38"/>
      <c r="ABW2077" s="38"/>
      <c r="ABX2077" s="38"/>
      <c r="ABY2077" s="38"/>
      <c r="ABZ2077" s="38"/>
      <c r="ACA2077" s="38"/>
      <c r="ACB2077" s="38"/>
      <c r="ACC2077" s="38"/>
      <c r="ACD2077" s="38"/>
      <c r="ACE2077" s="38"/>
      <c r="ACF2077" s="38"/>
      <c r="ACG2077" s="38"/>
      <c r="ACH2077" s="38"/>
      <c r="ACI2077" s="38"/>
      <c r="ACJ2077" s="38"/>
      <c r="ACK2077" s="38"/>
      <c r="ACL2077" s="38"/>
      <c r="ACM2077" s="38"/>
      <c r="ACN2077" s="38"/>
      <c r="ACO2077" s="38"/>
      <c r="ACP2077" s="38"/>
      <c r="ACQ2077" s="38"/>
      <c r="ACR2077" s="38"/>
      <c r="ACS2077" s="38"/>
      <c r="ACT2077" s="38"/>
      <c r="ACU2077" s="38"/>
      <c r="ACV2077" s="38"/>
      <c r="ACW2077" s="38"/>
      <c r="ACX2077" s="38"/>
      <c r="ACY2077" s="38"/>
      <c r="ACZ2077" s="38"/>
      <c r="ADA2077" s="38"/>
      <c r="ADB2077" s="38"/>
      <c r="ADC2077" s="38"/>
      <c r="ADD2077" s="38"/>
      <c r="ADE2077" s="38"/>
      <c r="ADF2077" s="38"/>
      <c r="ADG2077" s="38"/>
      <c r="ADH2077" s="38"/>
      <c r="ADI2077" s="38"/>
      <c r="ADJ2077" s="38"/>
      <c r="ADK2077" s="38"/>
      <c r="ADL2077" s="38"/>
      <c r="ADM2077" s="38"/>
      <c r="ADN2077" s="38"/>
      <c r="ADO2077" s="38"/>
      <c r="ADP2077" s="38"/>
      <c r="ADQ2077" s="38"/>
      <c r="ADR2077" s="38"/>
      <c r="ADS2077" s="38"/>
      <c r="ADT2077" s="38"/>
      <c r="ADU2077" s="38"/>
      <c r="ADV2077" s="38"/>
      <c r="ADW2077" s="38"/>
      <c r="ADX2077" s="38"/>
      <c r="ADY2077" s="38"/>
      <c r="ADZ2077" s="38"/>
      <c r="AEA2077" s="38"/>
      <c r="AEB2077" s="38"/>
      <c r="AEC2077" s="38"/>
      <c r="AED2077" s="38"/>
      <c r="AEE2077" s="38"/>
      <c r="AEF2077" s="38"/>
      <c r="AEG2077" s="38"/>
      <c r="AEH2077" s="38"/>
      <c r="AEI2077" s="38"/>
      <c r="AEJ2077" s="38"/>
      <c r="AEK2077" s="38"/>
      <c r="AEL2077" s="38"/>
      <c r="AEM2077" s="38"/>
      <c r="AEN2077" s="38"/>
      <c r="AEO2077" s="38"/>
      <c r="AEP2077" s="38"/>
      <c r="AEQ2077" s="38"/>
      <c r="AER2077" s="38"/>
      <c r="AES2077" s="38"/>
      <c r="AET2077" s="38"/>
      <c r="AEU2077" s="38"/>
      <c r="AEV2077" s="38"/>
      <c r="AEW2077" s="38"/>
      <c r="AEX2077" s="38"/>
      <c r="AEY2077" s="38"/>
      <c r="AEZ2077" s="38"/>
      <c r="AFA2077" s="38"/>
      <c r="AFB2077" s="38"/>
      <c r="AFC2077" s="38"/>
      <c r="AFD2077" s="38"/>
      <c r="AFE2077" s="38"/>
      <c r="AFF2077" s="38"/>
      <c r="AFG2077" s="38"/>
      <c r="AFH2077" s="38"/>
      <c r="AFI2077" s="38"/>
      <c r="AFJ2077" s="38"/>
      <c r="AFK2077" s="38"/>
      <c r="AFL2077" s="38"/>
      <c r="AFM2077" s="38"/>
      <c r="AFN2077" s="38"/>
      <c r="AFO2077" s="38"/>
      <c r="AFP2077" s="38"/>
      <c r="AFQ2077" s="38"/>
      <c r="AFR2077" s="38"/>
      <c r="AFS2077" s="38"/>
      <c r="AFT2077" s="38"/>
      <c r="AFU2077" s="38"/>
      <c r="AFV2077" s="38"/>
      <c r="AFW2077" s="38"/>
      <c r="AFX2077" s="38"/>
      <c r="AFY2077" s="38"/>
      <c r="AFZ2077" s="38"/>
      <c r="AGA2077" s="38"/>
      <c r="AGB2077" s="38"/>
      <c r="AGC2077" s="38"/>
      <c r="AGD2077" s="38"/>
      <c r="AGE2077" s="38"/>
      <c r="AGF2077" s="38"/>
      <c r="AGG2077" s="38"/>
      <c r="AGH2077" s="38"/>
      <c r="AGI2077" s="38"/>
      <c r="AGJ2077" s="38"/>
      <c r="AGK2077" s="38"/>
      <c r="AGL2077" s="38"/>
      <c r="AGM2077" s="38"/>
      <c r="AGN2077" s="38"/>
      <c r="AGO2077" s="38"/>
      <c r="AGP2077" s="38"/>
      <c r="AGQ2077" s="38"/>
      <c r="AGR2077" s="38"/>
      <c r="AGS2077" s="38"/>
      <c r="AGT2077" s="38"/>
      <c r="AGU2077" s="38"/>
      <c r="AGV2077" s="38"/>
      <c r="AGW2077" s="38"/>
      <c r="AGX2077" s="38"/>
      <c r="AGY2077" s="38"/>
      <c r="AGZ2077" s="38"/>
      <c r="AHA2077" s="38"/>
      <c r="AHB2077" s="38"/>
      <c r="AHC2077" s="38"/>
      <c r="AHD2077" s="38"/>
      <c r="AHE2077" s="38"/>
      <c r="AHF2077" s="38"/>
      <c r="AHG2077" s="38"/>
      <c r="AHH2077" s="38"/>
      <c r="AHI2077" s="38"/>
      <c r="AHJ2077" s="38"/>
      <c r="AHK2077" s="38"/>
      <c r="AHL2077" s="38"/>
      <c r="AHM2077" s="38"/>
      <c r="AHN2077" s="38"/>
      <c r="AHO2077" s="38"/>
      <c r="AHP2077" s="38"/>
      <c r="AHQ2077" s="38"/>
      <c r="AHR2077" s="38"/>
      <c r="AHS2077" s="38"/>
      <c r="AHT2077" s="38"/>
      <c r="AHU2077" s="38"/>
      <c r="AHV2077" s="38"/>
      <c r="AHW2077" s="38"/>
      <c r="AHX2077" s="38"/>
      <c r="AHY2077" s="38"/>
      <c r="AHZ2077" s="38"/>
      <c r="AIA2077" s="38"/>
      <c r="AIB2077" s="38"/>
      <c r="AIC2077" s="38"/>
      <c r="AID2077" s="38"/>
      <c r="AIE2077" s="38"/>
      <c r="AIF2077" s="38"/>
      <c r="AIG2077" s="38"/>
      <c r="AIH2077" s="38"/>
      <c r="AII2077" s="38"/>
      <c r="AIJ2077" s="38"/>
      <c r="AIK2077" s="38"/>
      <c r="AIL2077" s="38"/>
      <c r="AIM2077" s="38"/>
      <c r="AIN2077" s="38"/>
      <c r="AIO2077" s="38"/>
      <c r="AIP2077" s="38"/>
      <c r="AIQ2077" s="38"/>
      <c r="AIR2077" s="38"/>
      <c r="AIS2077" s="38"/>
      <c r="AIT2077" s="38"/>
      <c r="AIU2077" s="38"/>
      <c r="AIV2077" s="38"/>
      <c r="AIW2077" s="38"/>
      <c r="AIX2077" s="38"/>
      <c r="AIY2077" s="38"/>
      <c r="AIZ2077" s="38"/>
      <c r="AJA2077" s="38"/>
      <c r="AJB2077" s="38"/>
      <c r="AJC2077" s="38"/>
      <c r="AJD2077" s="38"/>
      <c r="AJE2077" s="38"/>
      <c r="AJF2077" s="38"/>
      <c r="AJG2077" s="38"/>
      <c r="AJH2077" s="38"/>
      <c r="AJI2077" s="38"/>
      <c r="AJJ2077" s="38"/>
      <c r="AJK2077" s="38"/>
      <c r="AJL2077" s="38"/>
      <c r="AJM2077" s="38"/>
      <c r="AJN2077" s="38"/>
      <c r="AJO2077" s="38"/>
      <c r="AJP2077" s="38"/>
      <c r="AJQ2077" s="38"/>
      <c r="AJR2077" s="38"/>
      <c r="AJS2077" s="38"/>
      <c r="AJT2077" s="38"/>
      <c r="AJU2077" s="38"/>
      <c r="AJV2077" s="38"/>
      <c r="AJW2077" s="38"/>
      <c r="AJX2077" s="38"/>
      <c r="AJY2077" s="38"/>
      <c r="AJZ2077" s="38"/>
      <c r="AKA2077" s="38"/>
      <c r="AKB2077" s="38"/>
      <c r="AKC2077" s="38"/>
      <c r="AKD2077" s="38"/>
      <c r="AKE2077" s="38"/>
      <c r="AKF2077" s="38"/>
      <c r="AKG2077" s="38"/>
      <c r="AKH2077" s="38"/>
      <c r="AKI2077" s="38"/>
      <c r="AKJ2077" s="38"/>
      <c r="AKK2077" s="38"/>
      <c r="AKL2077" s="38"/>
      <c r="AKM2077" s="38"/>
      <c r="AKN2077" s="38"/>
      <c r="AKO2077" s="38"/>
      <c r="AKP2077" s="38"/>
      <c r="AKQ2077" s="38"/>
      <c r="AKR2077" s="38"/>
      <c r="AKS2077" s="38"/>
      <c r="AKT2077" s="38"/>
      <c r="AKU2077" s="38"/>
      <c r="AKV2077" s="38"/>
      <c r="AKW2077" s="38"/>
      <c r="AKX2077" s="38"/>
      <c r="AKY2077" s="38"/>
      <c r="AKZ2077" s="38"/>
      <c r="ALA2077" s="38"/>
      <c r="ALB2077" s="38"/>
      <c r="ALC2077" s="38"/>
      <c r="ALD2077" s="38"/>
      <c r="ALE2077" s="38"/>
      <c r="ALF2077" s="38"/>
      <c r="ALG2077" s="38"/>
      <c r="ALH2077" s="38"/>
      <c r="ALI2077" s="38"/>
      <c r="ALJ2077" s="38"/>
      <c r="ALK2077" s="38"/>
      <c r="ALL2077" s="38"/>
      <c r="ALM2077" s="38"/>
      <c r="ALN2077" s="38"/>
      <c r="ALO2077" s="38"/>
      <c r="ALP2077" s="38"/>
      <c r="ALQ2077" s="38"/>
      <c r="ALR2077" s="38"/>
      <c r="ALS2077" s="38"/>
      <c r="ALT2077" s="38"/>
      <c r="ALU2077" s="38"/>
      <c r="ALV2077" s="38"/>
      <c r="ALW2077" s="38"/>
      <c r="ALX2077" s="38"/>
      <c r="ALY2077" s="38"/>
      <c r="ALZ2077" s="38"/>
      <c r="AMA2077" s="38"/>
      <c r="AMB2077" s="38"/>
      <c r="AMC2077" s="38"/>
      <c r="AMD2077" s="38"/>
      <c r="AME2077" s="38"/>
      <c r="AMF2077" s="38"/>
      <c r="AMG2077" s="38"/>
      <c r="AMH2077" s="38"/>
      <c r="AMI2077" s="38"/>
      <c r="AMJ2077" s="38"/>
      <c r="AMK2077" s="38"/>
      <c r="AML2077" s="38"/>
      <c r="AMM2077" s="38"/>
      <c r="AMN2077" s="38"/>
      <c r="AMO2077" s="38"/>
      <c r="AMP2077" s="38"/>
      <c r="AMQ2077" s="38"/>
      <c r="AMR2077" s="38"/>
      <c r="AMS2077" s="38"/>
      <c r="AMT2077" s="38"/>
      <c r="AMU2077" s="38"/>
      <c r="AMV2077" s="38"/>
      <c r="AMW2077" s="38"/>
      <c r="AMX2077" s="38"/>
      <c r="AMY2077" s="38"/>
      <c r="AMZ2077" s="38"/>
      <c r="ANA2077" s="38"/>
      <c r="ANB2077" s="38"/>
      <c r="ANC2077" s="38"/>
      <c r="AND2077" s="38"/>
      <c r="ANE2077" s="38"/>
      <c r="ANF2077" s="38"/>
      <c r="ANG2077" s="38"/>
      <c r="ANH2077" s="38"/>
      <c r="ANI2077" s="38"/>
      <c r="ANJ2077" s="38"/>
      <c r="ANK2077" s="38"/>
      <c r="ANL2077" s="38"/>
      <c r="ANM2077" s="38"/>
      <c r="ANN2077" s="38"/>
      <c r="ANO2077" s="38"/>
      <c r="ANP2077" s="38"/>
      <c r="ANQ2077" s="38"/>
      <c r="ANR2077" s="38"/>
      <c r="ANS2077" s="38"/>
      <c r="ANT2077" s="38"/>
      <c r="ANU2077" s="38"/>
      <c r="ANV2077" s="38"/>
      <c r="ANW2077" s="38"/>
      <c r="ANX2077" s="38"/>
      <c r="ANY2077" s="38"/>
      <c r="ANZ2077" s="38"/>
      <c r="AOA2077" s="38"/>
      <c r="AOB2077" s="38"/>
      <c r="AOC2077" s="38"/>
      <c r="AOD2077" s="38"/>
      <c r="AOE2077" s="38"/>
      <c r="AOF2077" s="38"/>
      <c r="AOG2077" s="38"/>
      <c r="AOH2077" s="38"/>
      <c r="AOI2077" s="38"/>
      <c r="AOJ2077" s="38"/>
      <c r="AOK2077" s="38"/>
      <c r="AOL2077" s="38"/>
      <c r="AOM2077" s="38"/>
      <c r="AON2077" s="38"/>
      <c r="AOO2077" s="38"/>
      <c r="AOP2077" s="38"/>
      <c r="AOQ2077" s="38"/>
      <c r="AOR2077" s="38"/>
      <c r="AOS2077" s="38"/>
      <c r="AOT2077" s="38"/>
      <c r="AOU2077" s="38"/>
      <c r="AOV2077" s="38"/>
      <c r="AOW2077" s="38"/>
      <c r="AOX2077" s="38"/>
      <c r="AOY2077" s="38"/>
      <c r="AOZ2077" s="38"/>
      <c r="APA2077" s="38"/>
      <c r="APB2077" s="38"/>
      <c r="APC2077" s="38"/>
    </row>
    <row r="2078" spans="1:1095" s="36" customFormat="1" ht="14.25" customHeight="1">
      <c r="A2078" s="3" t="s">
        <v>1722</v>
      </c>
      <c r="B2078" s="36" t="s">
        <v>2453</v>
      </c>
      <c r="C2078" s="10">
        <v>4099854090981</v>
      </c>
      <c r="D2078" s="224">
        <v>4058075761094</v>
      </c>
      <c r="E2078" s="245" t="s">
        <v>2454</v>
      </c>
      <c r="F2078" s="246"/>
      <c r="G2078" s="66" t="str">
        <f>HYPERLINK("https://ledvance.com/pt/product-datasheet/275560/247032","Ficha de Produto")</f>
        <v>Ficha de Produto</v>
      </c>
      <c r="H2078" s="217">
        <v>4</v>
      </c>
      <c r="I2078" s="34" t="s">
        <v>6338</v>
      </c>
      <c r="J2078" s="34" t="s">
        <v>6381</v>
      </c>
      <c r="K2078" s="34" t="s">
        <v>788</v>
      </c>
      <c r="L2078" s="34" t="s">
        <v>793</v>
      </c>
      <c r="M2078" s="247">
        <v>36.4</v>
      </c>
      <c r="N2078" s="288" t="s">
        <v>722</v>
      </c>
    </row>
    <row r="2079" spans="1:1095" s="36" customFormat="1" ht="14.25" customHeight="1">
      <c r="A2079" s="3" t="s">
        <v>1722</v>
      </c>
      <c r="B2079" s="36" t="s">
        <v>2455</v>
      </c>
      <c r="C2079" s="10">
        <v>4099854090745</v>
      </c>
      <c r="D2079" s="224">
        <v>4058075761179</v>
      </c>
      <c r="E2079" s="245" t="s">
        <v>2456</v>
      </c>
      <c r="F2079" s="246"/>
      <c r="G2079" s="66" t="str">
        <f>HYPERLINK("https://ledvance.com/pt/product-datasheet/275559/247038","Ficha de Produto")</f>
        <v>Ficha de Produto</v>
      </c>
      <c r="H2079" s="217">
        <v>4</v>
      </c>
      <c r="I2079" s="34" t="s">
        <v>6338</v>
      </c>
      <c r="J2079" s="34" t="s">
        <v>6381</v>
      </c>
      <c r="K2079" s="34" t="s">
        <v>788</v>
      </c>
      <c r="L2079" s="34" t="s">
        <v>793</v>
      </c>
      <c r="M2079" s="247">
        <v>32</v>
      </c>
      <c r="N2079" s="288" t="s">
        <v>722</v>
      </c>
    </row>
    <row r="2080" spans="1:1095" s="36" customFormat="1" ht="14.25" customHeight="1">
      <c r="A2080" s="3" t="s">
        <v>1722</v>
      </c>
      <c r="B2080" s="36" t="s">
        <v>2457</v>
      </c>
      <c r="C2080" s="10">
        <v>4058075761216</v>
      </c>
      <c r="D2080" s="224">
        <v>4058075761216</v>
      </c>
      <c r="E2080" s="245" t="s">
        <v>2458</v>
      </c>
      <c r="F2080" s="246"/>
      <c r="G2080" s="66" t="str">
        <f>HYPERLINK("https://ledvance.com/pt/product-datasheet/275559/212569","Ficha de Produto")</f>
        <v>Ficha de Produto</v>
      </c>
      <c r="H2080" s="217">
        <v>4</v>
      </c>
      <c r="I2080" s="34" t="s">
        <v>6338</v>
      </c>
      <c r="J2080" s="34" t="s">
        <v>6381</v>
      </c>
      <c r="K2080" s="34" t="s">
        <v>788</v>
      </c>
      <c r="L2080" s="34" t="s">
        <v>793</v>
      </c>
      <c r="M2080" s="247">
        <v>34.1</v>
      </c>
      <c r="N2080" s="288" t="s">
        <v>722</v>
      </c>
    </row>
    <row r="2081" spans="1:1095" s="36" customFormat="1" ht="14.25" customHeight="1">
      <c r="A2081" s="3" t="s">
        <v>1722</v>
      </c>
      <c r="B2081" s="36" t="s">
        <v>2459</v>
      </c>
      <c r="C2081" s="10">
        <v>4058075761254</v>
      </c>
      <c r="D2081" s="224">
        <v>4058075761254</v>
      </c>
      <c r="E2081" s="245" t="s">
        <v>2460</v>
      </c>
      <c r="F2081" s="246"/>
      <c r="G2081" s="66" t="str">
        <f>HYPERLINK("https://ledvance.com/pt/product-datasheet/275559/212421","Ficha de Produto")</f>
        <v>Ficha de Produto</v>
      </c>
      <c r="H2081" s="217">
        <v>4</v>
      </c>
      <c r="I2081" s="34" t="s">
        <v>6338</v>
      </c>
      <c r="J2081" s="34" t="s">
        <v>6381</v>
      </c>
      <c r="K2081" s="34" t="s">
        <v>788</v>
      </c>
      <c r="L2081" s="34" t="s">
        <v>793</v>
      </c>
      <c r="M2081" s="247">
        <v>41.400000000000006</v>
      </c>
      <c r="N2081" s="288" t="s">
        <v>722</v>
      </c>
    </row>
    <row r="2082" spans="1:1095" s="36" customFormat="1" ht="14.25" customHeight="1">
      <c r="A2082" s="3" t="s">
        <v>1722</v>
      </c>
      <c r="B2082" s="36" t="s">
        <v>2461</v>
      </c>
      <c r="C2082" s="10">
        <v>4058075761278</v>
      </c>
      <c r="D2082" s="224">
        <v>4058075761278</v>
      </c>
      <c r="E2082" s="245" t="s">
        <v>2462</v>
      </c>
      <c r="F2082" s="246"/>
      <c r="G2082" s="66" t="str">
        <f>HYPERLINK("https://ledvance.com/pt/product-datasheet/275559/212428","Ficha de Produto")</f>
        <v>Ficha de Produto</v>
      </c>
      <c r="H2082" s="217">
        <v>4</v>
      </c>
      <c r="I2082" s="34" t="s">
        <v>6380</v>
      </c>
      <c r="J2082" s="34" t="s">
        <v>6365</v>
      </c>
      <c r="K2082" s="34" t="s">
        <v>788</v>
      </c>
      <c r="L2082" s="34" t="s">
        <v>793</v>
      </c>
      <c r="M2082" s="247">
        <v>90.5</v>
      </c>
      <c r="N2082" s="288" t="s">
        <v>722</v>
      </c>
    </row>
    <row r="2083" spans="1:1095" s="39" customFormat="1" ht="14.25" customHeight="1">
      <c r="A2083" s="8" t="s">
        <v>1722</v>
      </c>
      <c r="B2083" s="39" t="s">
        <v>2463</v>
      </c>
      <c r="C2083" s="8"/>
      <c r="D2083" s="7"/>
      <c r="E2083" s="230"/>
      <c r="F2083" s="7"/>
      <c r="G2083" s="68"/>
      <c r="H2083" s="230"/>
      <c r="I2083" s="230"/>
      <c r="J2083" s="230"/>
      <c r="K2083" s="230"/>
      <c r="L2083" s="230"/>
      <c r="M2083" s="248"/>
      <c r="N2083" s="284"/>
      <c r="O2083" s="38"/>
      <c r="P2083" s="38"/>
      <c r="Q2083" s="38"/>
      <c r="R2083" s="38"/>
      <c r="S2083" s="38"/>
      <c r="T2083" s="38"/>
      <c r="U2083" s="38"/>
      <c r="V2083" s="38"/>
      <c r="W2083" s="38"/>
      <c r="X2083" s="38"/>
      <c r="Y2083" s="38"/>
      <c r="Z2083" s="38"/>
      <c r="AA2083" s="38"/>
      <c r="AB2083" s="38"/>
      <c r="AC2083" s="38"/>
      <c r="AD2083" s="38"/>
      <c r="AE2083" s="38"/>
      <c r="AF2083" s="38"/>
      <c r="AG2083" s="38"/>
      <c r="AH2083" s="38"/>
      <c r="AI2083" s="38"/>
      <c r="AJ2083" s="38"/>
      <c r="AK2083" s="38"/>
      <c r="AL2083" s="38"/>
      <c r="AM2083" s="38"/>
      <c r="AN2083" s="38"/>
      <c r="AO2083" s="38"/>
      <c r="AP2083" s="38"/>
      <c r="AQ2083" s="38"/>
      <c r="AR2083" s="38"/>
      <c r="AS2083" s="38"/>
      <c r="AT2083" s="38"/>
      <c r="AU2083" s="38"/>
      <c r="AV2083" s="38"/>
      <c r="AW2083" s="38"/>
      <c r="AX2083" s="38"/>
      <c r="AY2083" s="38"/>
      <c r="AZ2083" s="38"/>
      <c r="BA2083" s="38"/>
      <c r="BB2083" s="38"/>
      <c r="BC2083" s="38"/>
      <c r="BD2083" s="38"/>
      <c r="BE2083" s="38"/>
      <c r="BF2083" s="38"/>
      <c r="BG2083" s="38"/>
      <c r="BH2083" s="38"/>
      <c r="BI2083" s="38"/>
      <c r="BJ2083" s="38"/>
      <c r="BK2083" s="38"/>
      <c r="BL2083" s="38"/>
      <c r="BM2083" s="38"/>
      <c r="BN2083" s="38"/>
      <c r="BO2083" s="38"/>
      <c r="BP2083" s="38"/>
      <c r="BQ2083" s="38"/>
      <c r="BR2083" s="38"/>
      <c r="BS2083" s="38"/>
      <c r="BT2083" s="38"/>
      <c r="BU2083" s="38"/>
      <c r="BV2083" s="38"/>
      <c r="BW2083" s="38"/>
      <c r="BX2083" s="38"/>
      <c r="BY2083" s="38"/>
      <c r="BZ2083" s="38"/>
      <c r="CA2083" s="38"/>
      <c r="CB2083" s="38"/>
      <c r="CC2083" s="38"/>
      <c r="CD2083" s="38"/>
      <c r="CE2083" s="38"/>
      <c r="CF2083" s="38"/>
      <c r="CG2083" s="38"/>
      <c r="CH2083" s="38"/>
      <c r="CI2083" s="38"/>
      <c r="CJ2083" s="38"/>
      <c r="CK2083" s="38"/>
      <c r="CL2083" s="38"/>
      <c r="CM2083" s="38"/>
      <c r="CN2083" s="38"/>
      <c r="CO2083" s="38"/>
      <c r="CP2083" s="38"/>
      <c r="CQ2083" s="38"/>
      <c r="CR2083" s="38"/>
      <c r="CS2083" s="38"/>
      <c r="CT2083" s="38"/>
      <c r="CU2083" s="38"/>
      <c r="CV2083" s="38"/>
      <c r="CW2083" s="38"/>
      <c r="CX2083" s="38"/>
      <c r="CY2083" s="38"/>
      <c r="CZ2083" s="38"/>
      <c r="DA2083" s="38"/>
      <c r="DB2083" s="38"/>
      <c r="DC2083" s="38"/>
      <c r="DD2083" s="38"/>
      <c r="DE2083" s="38"/>
      <c r="DF2083" s="38"/>
      <c r="DG2083" s="38"/>
      <c r="DH2083" s="38"/>
      <c r="DI2083" s="38"/>
      <c r="DJ2083" s="38"/>
      <c r="DK2083" s="38"/>
      <c r="DL2083" s="38"/>
      <c r="DM2083" s="38"/>
      <c r="DN2083" s="38"/>
      <c r="DO2083" s="38"/>
      <c r="DP2083" s="38"/>
      <c r="DQ2083" s="38"/>
      <c r="DR2083" s="38"/>
      <c r="DS2083" s="38"/>
      <c r="DT2083" s="38"/>
      <c r="DU2083" s="38"/>
      <c r="DV2083" s="38"/>
      <c r="DW2083" s="38"/>
      <c r="DX2083" s="38"/>
      <c r="DY2083" s="38"/>
      <c r="DZ2083" s="38"/>
      <c r="EA2083" s="38"/>
      <c r="EB2083" s="38"/>
      <c r="EC2083" s="38"/>
      <c r="ED2083" s="38"/>
      <c r="EE2083" s="38"/>
      <c r="EF2083" s="38"/>
      <c r="EG2083" s="38"/>
      <c r="EH2083" s="38"/>
      <c r="EI2083" s="38"/>
      <c r="EJ2083" s="38"/>
      <c r="EK2083" s="38"/>
      <c r="EL2083" s="38"/>
      <c r="EM2083" s="38"/>
      <c r="EN2083" s="38"/>
      <c r="EO2083" s="38"/>
      <c r="EP2083" s="38"/>
      <c r="EQ2083" s="38"/>
      <c r="ER2083" s="38"/>
      <c r="ES2083" s="38"/>
      <c r="ET2083" s="38"/>
      <c r="EU2083" s="38"/>
      <c r="EV2083" s="38"/>
      <c r="EW2083" s="38"/>
      <c r="EX2083" s="38"/>
      <c r="EY2083" s="38"/>
      <c r="EZ2083" s="38"/>
      <c r="FA2083" s="38"/>
      <c r="FB2083" s="38"/>
      <c r="FC2083" s="38"/>
      <c r="FD2083" s="38"/>
      <c r="FE2083" s="38"/>
      <c r="FF2083" s="38"/>
      <c r="FG2083" s="38"/>
      <c r="FH2083" s="38"/>
      <c r="FI2083" s="38"/>
      <c r="FJ2083" s="38"/>
      <c r="FK2083" s="38"/>
      <c r="FL2083" s="38"/>
      <c r="FM2083" s="38"/>
      <c r="FN2083" s="38"/>
      <c r="FO2083" s="38"/>
      <c r="FP2083" s="38"/>
      <c r="FQ2083" s="38"/>
      <c r="FR2083" s="38"/>
      <c r="FS2083" s="38"/>
      <c r="FT2083" s="38"/>
      <c r="FU2083" s="38"/>
      <c r="FV2083" s="38"/>
      <c r="FW2083" s="38"/>
      <c r="FX2083" s="38"/>
      <c r="FY2083" s="38"/>
      <c r="FZ2083" s="38"/>
      <c r="GA2083" s="38"/>
      <c r="GB2083" s="38"/>
      <c r="GC2083" s="38"/>
      <c r="GD2083" s="38"/>
      <c r="GE2083" s="38"/>
      <c r="GF2083" s="38"/>
      <c r="GG2083" s="38"/>
      <c r="GH2083" s="38"/>
      <c r="GI2083" s="38"/>
      <c r="GJ2083" s="38"/>
      <c r="GK2083" s="38"/>
      <c r="GL2083" s="38"/>
      <c r="GM2083" s="38"/>
      <c r="GN2083" s="38"/>
      <c r="GO2083" s="38"/>
      <c r="GP2083" s="38"/>
      <c r="GQ2083" s="38"/>
      <c r="GR2083" s="38"/>
      <c r="GS2083" s="38"/>
      <c r="GT2083" s="38"/>
      <c r="GU2083" s="38"/>
      <c r="GV2083" s="38"/>
      <c r="GW2083" s="38"/>
      <c r="GX2083" s="38"/>
      <c r="GY2083" s="38"/>
      <c r="GZ2083" s="38"/>
      <c r="HA2083" s="38"/>
      <c r="HB2083" s="38"/>
      <c r="HC2083" s="38"/>
      <c r="HD2083" s="38"/>
      <c r="HE2083" s="38"/>
      <c r="HF2083" s="38"/>
      <c r="HG2083" s="38"/>
      <c r="HH2083" s="38"/>
      <c r="HI2083" s="38"/>
      <c r="HJ2083" s="38"/>
      <c r="HK2083" s="38"/>
      <c r="HL2083" s="38"/>
      <c r="HM2083" s="38"/>
      <c r="HN2083" s="38"/>
      <c r="HO2083" s="38"/>
      <c r="HP2083" s="38"/>
      <c r="HQ2083" s="38"/>
      <c r="HR2083" s="38"/>
      <c r="HS2083" s="38"/>
      <c r="HT2083" s="38"/>
      <c r="HU2083" s="38"/>
      <c r="HV2083" s="38"/>
      <c r="HW2083" s="38"/>
      <c r="HX2083" s="38"/>
      <c r="HY2083" s="38"/>
      <c r="HZ2083" s="38"/>
      <c r="IA2083" s="38"/>
      <c r="IB2083" s="38"/>
      <c r="IC2083" s="38"/>
      <c r="ID2083" s="38"/>
      <c r="IE2083" s="38"/>
      <c r="IF2083" s="38"/>
      <c r="IG2083" s="38"/>
      <c r="IH2083" s="38"/>
      <c r="II2083" s="38"/>
      <c r="IJ2083" s="38"/>
      <c r="IK2083" s="38"/>
      <c r="IL2083" s="38"/>
      <c r="IM2083" s="38"/>
      <c r="IN2083" s="38"/>
      <c r="IO2083" s="38"/>
      <c r="IP2083" s="38"/>
      <c r="IQ2083" s="38"/>
      <c r="IR2083" s="38"/>
      <c r="IS2083" s="38"/>
      <c r="IT2083" s="38"/>
      <c r="IU2083" s="38"/>
      <c r="IV2083" s="38"/>
      <c r="IW2083" s="38"/>
      <c r="IX2083" s="38"/>
      <c r="IY2083" s="38"/>
      <c r="IZ2083" s="38"/>
      <c r="JA2083" s="38"/>
      <c r="JB2083" s="38"/>
      <c r="JC2083" s="38"/>
      <c r="JD2083" s="38"/>
      <c r="JE2083" s="38"/>
      <c r="JF2083" s="38"/>
      <c r="JG2083" s="38"/>
      <c r="JH2083" s="38"/>
      <c r="JI2083" s="38"/>
      <c r="JJ2083" s="38"/>
      <c r="JK2083" s="38"/>
      <c r="JL2083" s="38"/>
      <c r="JM2083" s="38"/>
      <c r="JN2083" s="38"/>
      <c r="JO2083" s="38"/>
      <c r="JP2083" s="38"/>
      <c r="JQ2083" s="38"/>
      <c r="JR2083" s="38"/>
      <c r="JS2083" s="38"/>
      <c r="JT2083" s="38"/>
      <c r="JU2083" s="38"/>
      <c r="JV2083" s="38"/>
      <c r="JW2083" s="38"/>
      <c r="JX2083" s="38"/>
      <c r="JY2083" s="38"/>
      <c r="JZ2083" s="38"/>
      <c r="KA2083" s="38"/>
      <c r="KB2083" s="38"/>
      <c r="KC2083" s="38"/>
      <c r="KD2083" s="38"/>
      <c r="KE2083" s="38"/>
      <c r="KF2083" s="38"/>
      <c r="KG2083" s="38"/>
      <c r="KH2083" s="38"/>
      <c r="KI2083" s="38"/>
      <c r="KJ2083" s="38"/>
      <c r="KK2083" s="38"/>
      <c r="KL2083" s="38"/>
      <c r="KM2083" s="38"/>
      <c r="KN2083" s="38"/>
      <c r="KO2083" s="38"/>
      <c r="KP2083" s="38"/>
      <c r="KQ2083" s="38"/>
      <c r="KR2083" s="38"/>
      <c r="KS2083" s="38"/>
      <c r="KT2083" s="38"/>
      <c r="KU2083" s="38"/>
      <c r="KV2083" s="38"/>
      <c r="KW2083" s="38"/>
      <c r="KX2083" s="38"/>
      <c r="KY2083" s="38"/>
      <c r="KZ2083" s="38"/>
      <c r="LA2083" s="38"/>
      <c r="LB2083" s="38"/>
      <c r="LC2083" s="38"/>
      <c r="LD2083" s="38"/>
      <c r="LE2083" s="38"/>
      <c r="LF2083" s="38"/>
      <c r="LG2083" s="38"/>
      <c r="LH2083" s="38"/>
      <c r="LI2083" s="38"/>
      <c r="LJ2083" s="38"/>
      <c r="LK2083" s="38"/>
      <c r="LL2083" s="38"/>
      <c r="LM2083" s="38"/>
      <c r="LN2083" s="38"/>
      <c r="LO2083" s="38"/>
      <c r="LP2083" s="38"/>
      <c r="LQ2083" s="38"/>
      <c r="LR2083" s="38"/>
      <c r="LS2083" s="38"/>
      <c r="LT2083" s="38"/>
      <c r="LU2083" s="38"/>
      <c r="LV2083" s="38"/>
      <c r="LW2083" s="38"/>
      <c r="LX2083" s="38"/>
      <c r="LY2083" s="38"/>
      <c r="LZ2083" s="38"/>
      <c r="MA2083" s="38"/>
      <c r="MB2083" s="38"/>
      <c r="MC2083" s="38"/>
      <c r="MD2083" s="38"/>
      <c r="ME2083" s="38"/>
      <c r="MF2083" s="38"/>
      <c r="MG2083" s="38"/>
      <c r="MH2083" s="38"/>
      <c r="MI2083" s="38"/>
      <c r="MJ2083" s="38"/>
      <c r="MK2083" s="38"/>
      <c r="ML2083" s="38"/>
      <c r="MM2083" s="38"/>
      <c r="MN2083" s="38"/>
      <c r="MO2083" s="38"/>
      <c r="MP2083" s="38"/>
      <c r="MQ2083" s="38"/>
      <c r="MR2083" s="38"/>
      <c r="MS2083" s="38"/>
      <c r="MT2083" s="38"/>
      <c r="MU2083" s="38"/>
      <c r="MV2083" s="38"/>
      <c r="MW2083" s="38"/>
      <c r="MX2083" s="38"/>
      <c r="MY2083" s="38"/>
      <c r="MZ2083" s="38"/>
      <c r="NA2083" s="38"/>
      <c r="NB2083" s="38"/>
      <c r="NC2083" s="38"/>
      <c r="ND2083" s="38"/>
      <c r="NE2083" s="38"/>
      <c r="NF2083" s="38"/>
      <c r="NG2083" s="38"/>
      <c r="NH2083" s="38"/>
      <c r="NI2083" s="38"/>
      <c r="NJ2083" s="38"/>
      <c r="NK2083" s="38"/>
      <c r="NL2083" s="38"/>
      <c r="NM2083" s="38"/>
      <c r="NN2083" s="38"/>
      <c r="NO2083" s="38"/>
      <c r="NP2083" s="38"/>
      <c r="NQ2083" s="38"/>
      <c r="NR2083" s="38"/>
      <c r="NS2083" s="38"/>
      <c r="NT2083" s="38"/>
      <c r="NU2083" s="38"/>
      <c r="NV2083" s="38"/>
      <c r="NW2083" s="38"/>
      <c r="NX2083" s="38"/>
      <c r="NY2083" s="38"/>
      <c r="NZ2083" s="38"/>
      <c r="OA2083" s="38"/>
      <c r="OB2083" s="38"/>
      <c r="OC2083" s="38"/>
      <c r="OD2083" s="38"/>
      <c r="OE2083" s="38"/>
      <c r="OF2083" s="38"/>
      <c r="OG2083" s="38"/>
      <c r="OH2083" s="38"/>
      <c r="OI2083" s="38"/>
      <c r="OJ2083" s="38"/>
      <c r="OK2083" s="38"/>
      <c r="OL2083" s="38"/>
      <c r="OM2083" s="38"/>
      <c r="ON2083" s="38"/>
      <c r="OO2083" s="38"/>
      <c r="OP2083" s="38"/>
      <c r="OQ2083" s="38"/>
      <c r="OR2083" s="38"/>
      <c r="OS2083" s="38"/>
      <c r="OT2083" s="38"/>
      <c r="OU2083" s="38"/>
      <c r="OV2083" s="38"/>
      <c r="OW2083" s="38"/>
      <c r="OX2083" s="38"/>
      <c r="OY2083" s="38"/>
      <c r="OZ2083" s="38"/>
      <c r="PA2083" s="38"/>
      <c r="PB2083" s="38"/>
      <c r="PC2083" s="38"/>
      <c r="PD2083" s="38"/>
      <c r="PE2083" s="38"/>
      <c r="PF2083" s="38"/>
      <c r="PG2083" s="38"/>
      <c r="PH2083" s="38"/>
      <c r="PI2083" s="38"/>
      <c r="PJ2083" s="38"/>
      <c r="PK2083" s="38"/>
      <c r="PL2083" s="38"/>
      <c r="PM2083" s="38"/>
      <c r="PN2083" s="38"/>
      <c r="PO2083" s="38"/>
      <c r="PP2083" s="38"/>
      <c r="PQ2083" s="38"/>
      <c r="PR2083" s="38"/>
      <c r="PS2083" s="38"/>
      <c r="PT2083" s="38"/>
      <c r="PU2083" s="38"/>
      <c r="PV2083" s="38"/>
      <c r="PW2083" s="38"/>
      <c r="PX2083" s="38"/>
      <c r="PY2083" s="38"/>
      <c r="PZ2083" s="38"/>
      <c r="QA2083" s="38"/>
      <c r="QB2083" s="38"/>
      <c r="QC2083" s="38"/>
      <c r="QD2083" s="38"/>
      <c r="QE2083" s="38"/>
      <c r="QF2083" s="38"/>
      <c r="QG2083" s="38"/>
      <c r="QH2083" s="38"/>
      <c r="QI2083" s="38"/>
      <c r="QJ2083" s="38"/>
      <c r="QK2083" s="38"/>
      <c r="QL2083" s="38"/>
      <c r="QM2083" s="38"/>
      <c r="QN2083" s="38"/>
      <c r="QO2083" s="38"/>
      <c r="QP2083" s="38"/>
      <c r="QQ2083" s="38"/>
      <c r="QR2083" s="38"/>
      <c r="QS2083" s="38"/>
      <c r="QT2083" s="38"/>
      <c r="QU2083" s="38"/>
      <c r="QV2083" s="38"/>
      <c r="QW2083" s="38"/>
      <c r="QX2083" s="38"/>
      <c r="QY2083" s="38"/>
      <c r="QZ2083" s="38"/>
      <c r="RA2083" s="38"/>
      <c r="RB2083" s="38"/>
      <c r="RC2083" s="38"/>
      <c r="RD2083" s="38"/>
      <c r="RE2083" s="38"/>
      <c r="RF2083" s="38"/>
      <c r="RG2083" s="38"/>
      <c r="RH2083" s="38"/>
      <c r="RI2083" s="38"/>
      <c r="RJ2083" s="38"/>
      <c r="RK2083" s="38"/>
      <c r="RL2083" s="38"/>
      <c r="RM2083" s="38"/>
      <c r="RN2083" s="38"/>
      <c r="RO2083" s="38"/>
      <c r="RP2083" s="38"/>
      <c r="RQ2083" s="38"/>
      <c r="RR2083" s="38"/>
      <c r="RS2083" s="38"/>
      <c r="RT2083" s="38"/>
      <c r="RU2083" s="38"/>
      <c r="RV2083" s="38"/>
      <c r="RW2083" s="38"/>
      <c r="RX2083" s="38"/>
      <c r="RY2083" s="38"/>
      <c r="RZ2083" s="38"/>
      <c r="SA2083" s="38"/>
      <c r="SB2083" s="38"/>
      <c r="SC2083" s="38"/>
      <c r="SD2083" s="38"/>
      <c r="SE2083" s="38"/>
      <c r="SF2083" s="38"/>
      <c r="SG2083" s="38"/>
      <c r="SH2083" s="38"/>
      <c r="SI2083" s="38"/>
      <c r="SJ2083" s="38"/>
      <c r="SK2083" s="38"/>
      <c r="SL2083" s="38"/>
      <c r="SM2083" s="38"/>
      <c r="SN2083" s="38"/>
      <c r="SO2083" s="38"/>
      <c r="SP2083" s="38"/>
      <c r="SQ2083" s="38"/>
      <c r="SR2083" s="38"/>
      <c r="SS2083" s="38"/>
      <c r="ST2083" s="38"/>
      <c r="SU2083" s="38"/>
      <c r="SV2083" s="38"/>
      <c r="SW2083" s="38"/>
      <c r="SX2083" s="38"/>
      <c r="SY2083" s="38"/>
      <c r="SZ2083" s="38"/>
      <c r="TA2083" s="38"/>
      <c r="TB2083" s="38"/>
      <c r="TC2083" s="38"/>
      <c r="TD2083" s="38"/>
      <c r="TE2083" s="38"/>
      <c r="TF2083" s="38"/>
      <c r="TG2083" s="38"/>
      <c r="TH2083" s="38"/>
      <c r="TI2083" s="38"/>
      <c r="TJ2083" s="38"/>
      <c r="TK2083" s="38"/>
      <c r="TL2083" s="38"/>
      <c r="TM2083" s="38"/>
      <c r="TN2083" s="38"/>
      <c r="TO2083" s="38"/>
      <c r="TP2083" s="38"/>
      <c r="TQ2083" s="38"/>
      <c r="TR2083" s="38"/>
      <c r="TS2083" s="38"/>
      <c r="TT2083" s="38"/>
      <c r="TU2083" s="38"/>
      <c r="TV2083" s="38"/>
      <c r="TW2083" s="38"/>
      <c r="TX2083" s="38"/>
      <c r="TY2083" s="38"/>
      <c r="TZ2083" s="38"/>
      <c r="UA2083" s="38"/>
      <c r="UB2083" s="38"/>
      <c r="UC2083" s="38"/>
      <c r="UD2083" s="38"/>
      <c r="UE2083" s="38"/>
      <c r="UF2083" s="38"/>
      <c r="UG2083" s="38"/>
      <c r="UH2083" s="38"/>
      <c r="UI2083" s="38"/>
      <c r="UJ2083" s="38"/>
      <c r="UK2083" s="38"/>
      <c r="UL2083" s="38"/>
      <c r="UM2083" s="38"/>
      <c r="UN2083" s="38"/>
      <c r="UO2083" s="38"/>
      <c r="UP2083" s="38"/>
      <c r="UQ2083" s="38"/>
      <c r="UR2083" s="38"/>
      <c r="US2083" s="38"/>
      <c r="UT2083" s="38"/>
      <c r="UU2083" s="38"/>
      <c r="UV2083" s="38"/>
      <c r="UW2083" s="38"/>
      <c r="UX2083" s="38"/>
      <c r="UY2083" s="38"/>
      <c r="UZ2083" s="38"/>
      <c r="VA2083" s="38"/>
      <c r="VB2083" s="38"/>
      <c r="VC2083" s="38"/>
      <c r="VD2083" s="38"/>
      <c r="VE2083" s="38"/>
      <c r="VF2083" s="38"/>
      <c r="VG2083" s="38"/>
      <c r="VH2083" s="38"/>
      <c r="VI2083" s="38"/>
      <c r="VJ2083" s="38"/>
      <c r="VK2083" s="38"/>
      <c r="VL2083" s="38"/>
      <c r="VM2083" s="38"/>
      <c r="VN2083" s="38"/>
      <c r="VO2083" s="38"/>
      <c r="VP2083" s="38"/>
      <c r="VQ2083" s="38"/>
      <c r="VR2083" s="38"/>
      <c r="VS2083" s="38"/>
      <c r="VT2083" s="38"/>
      <c r="VU2083" s="38"/>
      <c r="VV2083" s="38"/>
      <c r="VW2083" s="38"/>
      <c r="VX2083" s="38"/>
      <c r="VY2083" s="38"/>
      <c r="VZ2083" s="38"/>
      <c r="WA2083" s="38"/>
      <c r="WB2083" s="38"/>
      <c r="WC2083" s="38"/>
      <c r="WD2083" s="38"/>
      <c r="WE2083" s="38"/>
      <c r="WF2083" s="38"/>
      <c r="WG2083" s="38"/>
      <c r="WH2083" s="38"/>
      <c r="WI2083" s="38"/>
      <c r="WJ2083" s="38"/>
      <c r="WK2083" s="38"/>
      <c r="WL2083" s="38"/>
      <c r="WM2083" s="38"/>
      <c r="WN2083" s="38"/>
      <c r="WO2083" s="38"/>
      <c r="WP2083" s="38"/>
      <c r="WQ2083" s="38"/>
      <c r="WR2083" s="38"/>
      <c r="WS2083" s="38"/>
      <c r="WT2083" s="38"/>
      <c r="WU2083" s="38"/>
      <c r="WV2083" s="38"/>
      <c r="WW2083" s="38"/>
      <c r="WX2083" s="38"/>
      <c r="WY2083" s="38"/>
      <c r="WZ2083" s="38"/>
      <c r="XA2083" s="38"/>
      <c r="XB2083" s="38"/>
      <c r="XC2083" s="38"/>
      <c r="XD2083" s="38"/>
      <c r="XE2083" s="38"/>
      <c r="XF2083" s="38"/>
      <c r="XG2083" s="38"/>
      <c r="XH2083" s="38"/>
      <c r="XI2083" s="38"/>
      <c r="XJ2083" s="38"/>
      <c r="XK2083" s="38"/>
      <c r="XL2083" s="38"/>
      <c r="XM2083" s="38"/>
      <c r="XN2083" s="38"/>
      <c r="XO2083" s="38"/>
      <c r="XP2083" s="38"/>
      <c r="XQ2083" s="38"/>
      <c r="XR2083" s="38"/>
      <c r="XS2083" s="38"/>
      <c r="XT2083" s="38"/>
      <c r="XU2083" s="38"/>
      <c r="XV2083" s="38"/>
      <c r="XW2083" s="38"/>
      <c r="XX2083" s="38"/>
      <c r="XY2083" s="38"/>
      <c r="XZ2083" s="38"/>
      <c r="YA2083" s="38"/>
      <c r="YB2083" s="38"/>
      <c r="YC2083" s="38"/>
      <c r="YD2083" s="38"/>
      <c r="YE2083" s="38"/>
      <c r="YF2083" s="38"/>
      <c r="YG2083" s="38"/>
      <c r="YH2083" s="38"/>
      <c r="YI2083" s="38"/>
      <c r="YJ2083" s="38"/>
      <c r="YK2083" s="38"/>
      <c r="YL2083" s="38"/>
      <c r="YM2083" s="38"/>
      <c r="YN2083" s="38"/>
      <c r="YO2083" s="38"/>
      <c r="YP2083" s="38"/>
      <c r="YQ2083" s="38"/>
      <c r="YR2083" s="38"/>
      <c r="YS2083" s="38"/>
      <c r="YT2083" s="38"/>
      <c r="YU2083" s="38"/>
      <c r="YV2083" s="38"/>
      <c r="YW2083" s="38"/>
      <c r="YX2083" s="38"/>
      <c r="YY2083" s="38"/>
      <c r="YZ2083" s="38"/>
      <c r="ZA2083" s="38"/>
      <c r="ZB2083" s="38"/>
      <c r="ZC2083" s="38"/>
      <c r="ZD2083" s="38"/>
      <c r="ZE2083" s="38"/>
      <c r="ZF2083" s="38"/>
      <c r="ZG2083" s="38"/>
      <c r="ZH2083" s="38"/>
      <c r="ZI2083" s="38"/>
      <c r="ZJ2083" s="38"/>
      <c r="ZK2083" s="38"/>
      <c r="ZL2083" s="38"/>
      <c r="ZM2083" s="38"/>
      <c r="ZN2083" s="38"/>
      <c r="ZO2083" s="38"/>
      <c r="ZP2083" s="38"/>
      <c r="ZQ2083" s="38"/>
      <c r="ZR2083" s="38"/>
      <c r="ZS2083" s="38"/>
      <c r="ZT2083" s="38"/>
      <c r="ZU2083" s="38"/>
      <c r="ZV2083" s="38"/>
      <c r="ZW2083" s="38"/>
      <c r="ZX2083" s="38"/>
      <c r="ZY2083" s="38"/>
      <c r="ZZ2083" s="38"/>
      <c r="AAA2083" s="38"/>
      <c r="AAB2083" s="38"/>
      <c r="AAC2083" s="38"/>
      <c r="AAD2083" s="38"/>
      <c r="AAE2083" s="38"/>
      <c r="AAF2083" s="38"/>
      <c r="AAG2083" s="38"/>
      <c r="AAH2083" s="38"/>
      <c r="AAI2083" s="38"/>
      <c r="AAJ2083" s="38"/>
      <c r="AAK2083" s="38"/>
      <c r="AAL2083" s="38"/>
      <c r="AAM2083" s="38"/>
      <c r="AAN2083" s="38"/>
      <c r="AAO2083" s="38"/>
      <c r="AAP2083" s="38"/>
      <c r="AAQ2083" s="38"/>
      <c r="AAR2083" s="38"/>
      <c r="AAS2083" s="38"/>
      <c r="AAT2083" s="38"/>
      <c r="AAU2083" s="38"/>
      <c r="AAV2083" s="38"/>
      <c r="AAW2083" s="38"/>
      <c r="AAX2083" s="38"/>
      <c r="AAY2083" s="38"/>
      <c r="AAZ2083" s="38"/>
      <c r="ABA2083" s="38"/>
      <c r="ABB2083" s="38"/>
      <c r="ABC2083" s="38"/>
      <c r="ABD2083" s="38"/>
      <c r="ABE2083" s="38"/>
      <c r="ABF2083" s="38"/>
      <c r="ABG2083" s="38"/>
      <c r="ABH2083" s="38"/>
      <c r="ABI2083" s="38"/>
      <c r="ABJ2083" s="38"/>
      <c r="ABK2083" s="38"/>
      <c r="ABL2083" s="38"/>
      <c r="ABM2083" s="38"/>
      <c r="ABN2083" s="38"/>
      <c r="ABO2083" s="38"/>
      <c r="ABP2083" s="38"/>
      <c r="ABQ2083" s="38"/>
      <c r="ABR2083" s="38"/>
      <c r="ABS2083" s="38"/>
      <c r="ABT2083" s="38"/>
      <c r="ABU2083" s="38"/>
      <c r="ABV2083" s="38"/>
      <c r="ABW2083" s="38"/>
      <c r="ABX2083" s="38"/>
      <c r="ABY2083" s="38"/>
      <c r="ABZ2083" s="38"/>
      <c r="ACA2083" s="38"/>
      <c r="ACB2083" s="38"/>
      <c r="ACC2083" s="38"/>
      <c r="ACD2083" s="38"/>
      <c r="ACE2083" s="38"/>
      <c r="ACF2083" s="38"/>
      <c r="ACG2083" s="38"/>
      <c r="ACH2083" s="38"/>
      <c r="ACI2083" s="38"/>
      <c r="ACJ2083" s="38"/>
      <c r="ACK2083" s="38"/>
      <c r="ACL2083" s="38"/>
      <c r="ACM2083" s="38"/>
      <c r="ACN2083" s="38"/>
      <c r="ACO2083" s="38"/>
      <c r="ACP2083" s="38"/>
      <c r="ACQ2083" s="38"/>
      <c r="ACR2083" s="38"/>
      <c r="ACS2083" s="38"/>
      <c r="ACT2083" s="38"/>
      <c r="ACU2083" s="38"/>
      <c r="ACV2083" s="38"/>
      <c r="ACW2083" s="38"/>
      <c r="ACX2083" s="38"/>
      <c r="ACY2083" s="38"/>
      <c r="ACZ2083" s="38"/>
      <c r="ADA2083" s="38"/>
      <c r="ADB2083" s="38"/>
      <c r="ADC2083" s="38"/>
      <c r="ADD2083" s="38"/>
      <c r="ADE2083" s="38"/>
      <c r="ADF2083" s="38"/>
      <c r="ADG2083" s="38"/>
      <c r="ADH2083" s="38"/>
      <c r="ADI2083" s="38"/>
      <c r="ADJ2083" s="38"/>
      <c r="ADK2083" s="38"/>
      <c r="ADL2083" s="38"/>
      <c r="ADM2083" s="38"/>
      <c r="ADN2083" s="38"/>
      <c r="ADO2083" s="38"/>
      <c r="ADP2083" s="38"/>
      <c r="ADQ2083" s="38"/>
      <c r="ADR2083" s="38"/>
      <c r="ADS2083" s="38"/>
      <c r="ADT2083" s="38"/>
      <c r="ADU2083" s="38"/>
      <c r="ADV2083" s="38"/>
      <c r="ADW2083" s="38"/>
      <c r="ADX2083" s="38"/>
      <c r="ADY2083" s="38"/>
      <c r="ADZ2083" s="38"/>
      <c r="AEA2083" s="38"/>
      <c r="AEB2083" s="38"/>
      <c r="AEC2083" s="38"/>
      <c r="AED2083" s="38"/>
      <c r="AEE2083" s="38"/>
      <c r="AEF2083" s="38"/>
      <c r="AEG2083" s="38"/>
      <c r="AEH2083" s="38"/>
      <c r="AEI2083" s="38"/>
      <c r="AEJ2083" s="38"/>
      <c r="AEK2083" s="38"/>
      <c r="AEL2083" s="38"/>
      <c r="AEM2083" s="38"/>
      <c r="AEN2083" s="38"/>
      <c r="AEO2083" s="38"/>
      <c r="AEP2083" s="38"/>
      <c r="AEQ2083" s="38"/>
      <c r="AER2083" s="38"/>
      <c r="AES2083" s="38"/>
      <c r="AET2083" s="38"/>
      <c r="AEU2083" s="38"/>
      <c r="AEV2083" s="38"/>
      <c r="AEW2083" s="38"/>
      <c r="AEX2083" s="38"/>
      <c r="AEY2083" s="38"/>
      <c r="AEZ2083" s="38"/>
      <c r="AFA2083" s="38"/>
      <c r="AFB2083" s="38"/>
      <c r="AFC2083" s="38"/>
      <c r="AFD2083" s="38"/>
      <c r="AFE2083" s="38"/>
      <c r="AFF2083" s="38"/>
      <c r="AFG2083" s="38"/>
      <c r="AFH2083" s="38"/>
      <c r="AFI2083" s="38"/>
      <c r="AFJ2083" s="38"/>
      <c r="AFK2083" s="38"/>
      <c r="AFL2083" s="38"/>
      <c r="AFM2083" s="38"/>
      <c r="AFN2083" s="38"/>
      <c r="AFO2083" s="38"/>
      <c r="AFP2083" s="38"/>
      <c r="AFQ2083" s="38"/>
      <c r="AFR2083" s="38"/>
      <c r="AFS2083" s="38"/>
      <c r="AFT2083" s="38"/>
      <c r="AFU2083" s="38"/>
      <c r="AFV2083" s="38"/>
      <c r="AFW2083" s="38"/>
      <c r="AFX2083" s="38"/>
      <c r="AFY2083" s="38"/>
      <c r="AFZ2083" s="38"/>
      <c r="AGA2083" s="38"/>
      <c r="AGB2083" s="38"/>
      <c r="AGC2083" s="38"/>
      <c r="AGD2083" s="38"/>
      <c r="AGE2083" s="38"/>
      <c r="AGF2083" s="38"/>
      <c r="AGG2083" s="38"/>
      <c r="AGH2083" s="38"/>
      <c r="AGI2083" s="38"/>
      <c r="AGJ2083" s="38"/>
      <c r="AGK2083" s="38"/>
      <c r="AGL2083" s="38"/>
      <c r="AGM2083" s="38"/>
      <c r="AGN2083" s="38"/>
      <c r="AGO2083" s="38"/>
      <c r="AGP2083" s="38"/>
      <c r="AGQ2083" s="38"/>
      <c r="AGR2083" s="38"/>
      <c r="AGS2083" s="38"/>
      <c r="AGT2083" s="38"/>
      <c r="AGU2083" s="38"/>
      <c r="AGV2083" s="38"/>
      <c r="AGW2083" s="38"/>
      <c r="AGX2083" s="38"/>
      <c r="AGY2083" s="38"/>
      <c r="AGZ2083" s="38"/>
      <c r="AHA2083" s="38"/>
      <c r="AHB2083" s="38"/>
      <c r="AHC2083" s="38"/>
      <c r="AHD2083" s="38"/>
      <c r="AHE2083" s="38"/>
      <c r="AHF2083" s="38"/>
      <c r="AHG2083" s="38"/>
      <c r="AHH2083" s="38"/>
      <c r="AHI2083" s="38"/>
      <c r="AHJ2083" s="38"/>
      <c r="AHK2083" s="38"/>
      <c r="AHL2083" s="38"/>
      <c r="AHM2083" s="38"/>
      <c r="AHN2083" s="38"/>
      <c r="AHO2083" s="38"/>
      <c r="AHP2083" s="38"/>
      <c r="AHQ2083" s="38"/>
      <c r="AHR2083" s="38"/>
      <c r="AHS2083" s="38"/>
      <c r="AHT2083" s="38"/>
      <c r="AHU2083" s="38"/>
      <c r="AHV2083" s="38"/>
      <c r="AHW2083" s="38"/>
      <c r="AHX2083" s="38"/>
      <c r="AHY2083" s="38"/>
      <c r="AHZ2083" s="38"/>
      <c r="AIA2083" s="38"/>
      <c r="AIB2083" s="38"/>
      <c r="AIC2083" s="38"/>
      <c r="AID2083" s="38"/>
      <c r="AIE2083" s="38"/>
      <c r="AIF2083" s="38"/>
      <c r="AIG2083" s="38"/>
      <c r="AIH2083" s="38"/>
      <c r="AII2083" s="38"/>
      <c r="AIJ2083" s="38"/>
      <c r="AIK2083" s="38"/>
      <c r="AIL2083" s="38"/>
      <c r="AIM2083" s="38"/>
      <c r="AIN2083" s="38"/>
      <c r="AIO2083" s="38"/>
      <c r="AIP2083" s="38"/>
      <c r="AIQ2083" s="38"/>
      <c r="AIR2083" s="38"/>
      <c r="AIS2083" s="38"/>
      <c r="AIT2083" s="38"/>
      <c r="AIU2083" s="38"/>
      <c r="AIV2083" s="38"/>
      <c r="AIW2083" s="38"/>
      <c r="AIX2083" s="38"/>
      <c r="AIY2083" s="38"/>
      <c r="AIZ2083" s="38"/>
      <c r="AJA2083" s="38"/>
      <c r="AJB2083" s="38"/>
      <c r="AJC2083" s="38"/>
      <c r="AJD2083" s="38"/>
      <c r="AJE2083" s="38"/>
      <c r="AJF2083" s="38"/>
      <c r="AJG2083" s="38"/>
      <c r="AJH2083" s="38"/>
      <c r="AJI2083" s="38"/>
      <c r="AJJ2083" s="38"/>
      <c r="AJK2083" s="38"/>
      <c r="AJL2083" s="38"/>
      <c r="AJM2083" s="38"/>
      <c r="AJN2083" s="38"/>
      <c r="AJO2083" s="38"/>
      <c r="AJP2083" s="38"/>
      <c r="AJQ2083" s="38"/>
      <c r="AJR2083" s="38"/>
      <c r="AJS2083" s="38"/>
      <c r="AJT2083" s="38"/>
      <c r="AJU2083" s="38"/>
      <c r="AJV2083" s="38"/>
      <c r="AJW2083" s="38"/>
      <c r="AJX2083" s="38"/>
      <c r="AJY2083" s="38"/>
      <c r="AJZ2083" s="38"/>
      <c r="AKA2083" s="38"/>
      <c r="AKB2083" s="38"/>
      <c r="AKC2083" s="38"/>
      <c r="AKD2083" s="38"/>
      <c r="AKE2083" s="38"/>
      <c r="AKF2083" s="38"/>
      <c r="AKG2083" s="38"/>
      <c r="AKH2083" s="38"/>
      <c r="AKI2083" s="38"/>
      <c r="AKJ2083" s="38"/>
      <c r="AKK2083" s="38"/>
      <c r="AKL2083" s="38"/>
      <c r="AKM2083" s="38"/>
      <c r="AKN2083" s="38"/>
      <c r="AKO2083" s="38"/>
      <c r="AKP2083" s="38"/>
      <c r="AKQ2083" s="38"/>
      <c r="AKR2083" s="38"/>
      <c r="AKS2083" s="38"/>
      <c r="AKT2083" s="38"/>
      <c r="AKU2083" s="38"/>
      <c r="AKV2083" s="38"/>
      <c r="AKW2083" s="38"/>
      <c r="AKX2083" s="38"/>
      <c r="AKY2083" s="38"/>
      <c r="AKZ2083" s="38"/>
      <c r="ALA2083" s="38"/>
      <c r="ALB2083" s="38"/>
      <c r="ALC2083" s="38"/>
      <c r="ALD2083" s="38"/>
      <c r="ALE2083" s="38"/>
      <c r="ALF2083" s="38"/>
      <c r="ALG2083" s="38"/>
      <c r="ALH2083" s="38"/>
      <c r="ALI2083" s="38"/>
      <c r="ALJ2083" s="38"/>
      <c r="ALK2083" s="38"/>
      <c r="ALL2083" s="38"/>
      <c r="ALM2083" s="38"/>
      <c r="ALN2083" s="38"/>
      <c r="ALO2083" s="38"/>
      <c r="ALP2083" s="38"/>
      <c r="ALQ2083" s="38"/>
      <c r="ALR2083" s="38"/>
      <c r="ALS2083" s="38"/>
      <c r="ALT2083" s="38"/>
      <c r="ALU2083" s="38"/>
      <c r="ALV2083" s="38"/>
      <c r="ALW2083" s="38"/>
      <c r="ALX2083" s="38"/>
      <c r="ALY2083" s="38"/>
      <c r="ALZ2083" s="38"/>
      <c r="AMA2083" s="38"/>
      <c r="AMB2083" s="38"/>
      <c r="AMC2083" s="38"/>
      <c r="AMD2083" s="38"/>
      <c r="AME2083" s="38"/>
      <c r="AMF2083" s="38"/>
      <c r="AMG2083" s="38"/>
      <c r="AMH2083" s="38"/>
      <c r="AMI2083" s="38"/>
      <c r="AMJ2083" s="38"/>
      <c r="AMK2083" s="38"/>
      <c r="AML2083" s="38"/>
      <c r="AMM2083" s="38"/>
      <c r="AMN2083" s="38"/>
      <c r="AMO2083" s="38"/>
      <c r="AMP2083" s="38"/>
      <c r="AMQ2083" s="38"/>
      <c r="AMR2083" s="38"/>
      <c r="AMS2083" s="38"/>
      <c r="AMT2083" s="38"/>
      <c r="AMU2083" s="38"/>
      <c r="AMV2083" s="38"/>
      <c r="AMW2083" s="38"/>
      <c r="AMX2083" s="38"/>
      <c r="AMY2083" s="38"/>
      <c r="AMZ2083" s="38"/>
      <c r="ANA2083" s="38"/>
      <c r="ANB2083" s="38"/>
      <c r="ANC2083" s="38"/>
      <c r="AND2083" s="38"/>
      <c r="ANE2083" s="38"/>
      <c r="ANF2083" s="38"/>
      <c r="ANG2083" s="38"/>
      <c r="ANH2083" s="38"/>
      <c r="ANI2083" s="38"/>
      <c r="ANJ2083" s="38"/>
      <c r="ANK2083" s="38"/>
      <c r="ANL2083" s="38"/>
      <c r="ANM2083" s="38"/>
      <c r="ANN2083" s="38"/>
      <c r="ANO2083" s="38"/>
      <c r="ANP2083" s="38"/>
      <c r="ANQ2083" s="38"/>
      <c r="ANR2083" s="38"/>
      <c r="ANS2083" s="38"/>
      <c r="ANT2083" s="38"/>
      <c r="ANU2083" s="38"/>
      <c r="ANV2083" s="38"/>
      <c r="ANW2083" s="38"/>
      <c r="ANX2083" s="38"/>
      <c r="ANY2083" s="38"/>
      <c r="ANZ2083" s="38"/>
      <c r="AOA2083" s="38"/>
      <c r="AOB2083" s="38"/>
      <c r="AOC2083" s="38"/>
      <c r="AOD2083" s="38"/>
      <c r="AOE2083" s="38"/>
      <c r="AOF2083" s="38"/>
      <c r="AOG2083" s="38"/>
      <c r="AOH2083" s="38"/>
      <c r="AOI2083" s="38"/>
      <c r="AOJ2083" s="38"/>
      <c r="AOK2083" s="38"/>
      <c r="AOL2083" s="38"/>
      <c r="AOM2083" s="38"/>
      <c r="AON2083" s="38"/>
      <c r="AOO2083" s="38"/>
      <c r="AOP2083" s="38"/>
      <c r="AOQ2083" s="38"/>
      <c r="AOR2083" s="38"/>
      <c r="AOS2083" s="38"/>
      <c r="AOT2083" s="38"/>
      <c r="AOU2083" s="38"/>
      <c r="AOV2083" s="38"/>
      <c r="AOW2083" s="38"/>
      <c r="AOX2083" s="38"/>
      <c r="AOY2083" s="38"/>
      <c r="AOZ2083" s="38"/>
      <c r="APA2083" s="38"/>
      <c r="APB2083" s="38"/>
      <c r="APC2083" s="38"/>
    </row>
    <row r="2084" spans="1:1095" s="36" customFormat="1" ht="14.25" customHeight="1">
      <c r="A2084" s="3" t="s">
        <v>1722</v>
      </c>
      <c r="B2084" s="36" t="s">
        <v>2464</v>
      </c>
      <c r="C2084" s="10">
        <v>4099854091001</v>
      </c>
      <c r="D2084" s="224">
        <v>4058075761131</v>
      </c>
      <c r="E2084" s="245" t="s">
        <v>2465</v>
      </c>
      <c r="F2084" s="246"/>
      <c r="G2084" s="66" t="str">
        <f>HYPERLINK("https://ledvance.com/pt/product-datasheet/275560/247035","Ficha de Produto")</f>
        <v>Ficha de Produto</v>
      </c>
      <c r="H2084" s="217">
        <v>4</v>
      </c>
      <c r="I2084" s="34" t="s">
        <v>810</v>
      </c>
      <c r="J2084" s="34" t="s">
        <v>1053</v>
      </c>
      <c r="K2084" s="34" t="s">
        <v>788</v>
      </c>
      <c r="L2084" s="34" t="s">
        <v>793</v>
      </c>
      <c r="M2084" s="247">
        <v>39.700000000000003</v>
      </c>
      <c r="N2084" s="288" t="s">
        <v>722</v>
      </c>
    </row>
    <row r="2085" spans="1:1095" s="36" customFormat="1" ht="14.25" customHeight="1">
      <c r="A2085" s="3" t="s">
        <v>1722</v>
      </c>
      <c r="B2085" s="36" t="s">
        <v>2466</v>
      </c>
      <c r="C2085" s="10">
        <v>4099854090783</v>
      </c>
      <c r="D2085" s="224">
        <v>4058075761315</v>
      </c>
      <c r="E2085" s="245" t="s">
        <v>2467</v>
      </c>
      <c r="F2085" s="246"/>
      <c r="G2085" s="66" t="str">
        <f>HYPERLINK("https://ledvance.com/pt/product-datasheet/275559/247043","Ficha de Produto")</f>
        <v>Ficha de Produto</v>
      </c>
      <c r="H2085" s="217">
        <v>4</v>
      </c>
      <c r="I2085" s="34" t="s">
        <v>810</v>
      </c>
      <c r="J2085" s="34" t="s">
        <v>1053</v>
      </c>
      <c r="K2085" s="34" t="s">
        <v>788</v>
      </c>
      <c r="L2085" s="34" t="s">
        <v>793</v>
      </c>
      <c r="M2085" s="247">
        <v>43.2</v>
      </c>
      <c r="N2085" s="288" t="s">
        <v>722</v>
      </c>
    </row>
    <row r="2086" spans="1:1095" s="36" customFormat="1" ht="14.25" customHeight="1">
      <c r="A2086" s="3" t="s">
        <v>1722</v>
      </c>
      <c r="B2086" s="36" t="s">
        <v>2468</v>
      </c>
      <c r="C2086" s="10">
        <v>4058075761353</v>
      </c>
      <c r="D2086" s="224">
        <v>4058075761353</v>
      </c>
      <c r="E2086" s="245" t="s">
        <v>2469</v>
      </c>
      <c r="F2086" s="246"/>
      <c r="G2086" s="66" t="str">
        <f>HYPERLINK("https://ledvance.com/pt/product-datasheet/275559/212434","Ficha de Produto")</f>
        <v>Ficha de Produto</v>
      </c>
      <c r="H2086" s="217">
        <v>4</v>
      </c>
      <c r="I2086" s="34" t="s">
        <v>810</v>
      </c>
      <c r="J2086" s="34" t="s">
        <v>1053</v>
      </c>
      <c r="K2086" s="34" t="s">
        <v>788</v>
      </c>
      <c r="L2086" s="34" t="s">
        <v>793</v>
      </c>
      <c r="M2086" s="247">
        <v>45.800000000000004</v>
      </c>
      <c r="N2086" s="288" t="s">
        <v>722</v>
      </c>
    </row>
    <row r="2087" spans="1:1095" s="36" customFormat="1" ht="14.25" customHeight="1">
      <c r="A2087" s="3" t="s">
        <v>1722</v>
      </c>
      <c r="B2087" s="36" t="s">
        <v>2470</v>
      </c>
      <c r="C2087" s="10">
        <v>4058075761391</v>
      </c>
      <c r="D2087" s="224">
        <v>4058075761391</v>
      </c>
      <c r="E2087" s="245" t="s">
        <v>2471</v>
      </c>
      <c r="F2087" s="246"/>
      <c r="G2087" s="66" t="str">
        <f>HYPERLINK("https://ledvance.com/pt/product-datasheet/275559/212437","Ficha de Produto")</f>
        <v>Ficha de Produto</v>
      </c>
      <c r="H2087" s="217">
        <v>4</v>
      </c>
      <c r="I2087" s="34" t="s">
        <v>810</v>
      </c>
      <c r="J2087" s="34" t="s">
        <v>1053</v>
      </c>
      <c r="K2087" s="34" t="s">
        <v>788</v>
      </c>
      <c r="L2087" s="34" t="s">
        <v>793</v>
      </c>
      <c r="M2087" s="247">
        <v>52</v>
      </c>
      <c r="N2087" s="288" t="s">
        <v>722</v>
      </c>
    </row>
    <row r="2088" spans="1:1095" s="39" customFormat="1" ht="14.25" customHeight="1">
      <c r="A2088" s="8" t="s">
        <v>1722</v>
      </c>
      <c r="B2088" s="39" t="s">
        <v>2472</v>
      </c>
      <c r="C2088" s="8"/>
      <c r="D2088" s="7"/>
      <c r="E2088" s="230"/>
      <c r="F2088" s="7"/>
      <c r="G2088" s="68" t="s">
        <v>6505</v>
      </c>
      <c r="H2088" s="230"/>
      <c r="I2088" s="230"/>
      <c r="J2088" s="230"/>
      <c r="K2088" s="230"/>
      <c r="L2088" s="230"/>
      <c r="M2088" s="248"/>
      <c r="N2088" s="284"/>
      <c r="O2088" s="38"/>
      <c r="P2088" s="38"/>
      <c r="Q2088" s="38"/>
      <c r="R2088" s="38"/>
      <c r="S2088" s="38"/>
      <c r="T2088" s="38"/>
      <c r="U2088" s="38"/>
      <c r="V2088" s="38"/>
      <c r="W2088" s="38"/>
      <c r="X2088" s="38"/>
      <c r="Y2088" s="38"/>
      <c r="Z2088" s="38"/>
      <c r="AA2088" s="38"/>
      <c r="AB2088" s="38"/>
      <c r="AC2088" s="38"/>
      <c r="AD2088" s="38"/>
      <c r="AE2088" s="38"/>
      <c r="AF2088" s="38"/>
      <c r="AG2088" s="38"/>
      <c r="AH2088" s="38"/>
      <c r="AI2088" s="38"/>
      <c r="AJ2088" s="38"/>
      <c r="AK2088" s="38"/>
      <c r="AL2088" s="38"/>
      <c r="AM2088" s="38"/>
      <c r="AN2088" s="38"/>
      <c r="AO2088" s="38"/>
      <c r="AP2088" s="38"/>
      <c r="AQ2088" s="38"/>
      <c r="AR2088" s="38"/>
      <c r="AS2088" s="38"/>
      <c r="AT2088" s="38"/>
      <c r="AU2088" s="38"/>
      <c r="AV2088" s="38"/>
      <c r="AW2088" s="38"/>
      <c r="AX2088" s="38"/>
      <c r="AY2088" s="38"/>
      <c r="AZ2088" s="38"/>
      <c r="BA2088" s="38"/>
      <c r="BB2088" s="38"/>
      <c r="BC2088" s="38"/>
      <c r="BD2088" s="38"/>
      <c r="BE2088" s="38"/>
      <c r="BF2088" s="38"/>
      <c r="BG2088" s="38"/>
      <c r="BH2088" s="38"/>
      <c r="BI2088" s="38"/>
      <c r="BJ2088" s="38"/>
      <c r="BK2088" s="38"/>
      <c r="BL2088" s="38"/>
      <c r="BM2088" s="38"/>
      <c r="BN2088" s="38"/>
      <c r="BO2088" s="38"/>
      <c r="BP2088" s="38"/>
      <c r="BQ2088" s="38"/>
      <c r="BR2088" s="38"/>
      <c r="BS2088" s="38"/>
      <c r="BT2088" s="38"/>
      <c r="BU2088" s="38"/>
      <c r="BV2088" s="38"/>
      <c r="BW2088" s="38"/>
      <c r="BX2088" s="38"/>
      <c r="BY2088" s="38"/>
      <c r="BZ2088" s="38"/>
      <c r="CA2088" s="38"/>
      <c r="CB2088" s="38"/>
      <c r="CC2088" s="38"/>
      <c r="CD2088" s="38"/>
      <c r="CE2088" s="38"/>
      <c r="CF2088" s="38"/>
      <c r="CG2088" s="38"/>
      <c r="CH2088" s="38"/>
      <c r="CI2088" s="38"/>
      <c r="CJ2088" s="38"/>
      <c r="CK2088" s="38"/>
      <c r="CL2088" s="38"/>
      <c r="CM2088" s="38"/>
      <c r="CN2088" s="38"/>
      <c r="CO2088" s="38"/>
      <c r="CP2088" s="38"/>
      <c r="CQ2088" s="38"/>
      <c r="CR2088" s="38"/>
      <c r="CS2088" s="38"/>
      <c r="CT2088" s="38"/>
      <c r="CU2088" s="38"/>
      <c r="CV2088" s="38"/>
      <c r="CW2088" s="38"/>
      <c r="CX2088" s="38"/>
      <c r="CY2088" s="38"/>
      <c r="CZ2088" s="38"/>
      <c r="DA2088" s="38"/>
      <c r="DB2088" s="38"/>
      <c r="DC2088" s="38"/>
      <c r="DD2088" s="38"/>
      <c r="DE2088" s="38"/>
      <c r="DF2088" s="38"/>
      <c r="DG2088" s="38"/>
      <c r="DH2088" s="38"/>
      <c r="DI2088" s="38"/>
      <c r="DJ2088" s="38"/>
      <c r="DK2088" s="38"/>
      <c r="DL2088" s="38"/>
      <c r="DM2088" s="38"/>
      <c r="DN2088" s="38"/>
      <c r="DO2088" s="38"/>
      <c r="DP2088" s="38"/>
      <c r="DQ2088" s="38"/>
      <c r="DR2088" s="38"/>
      <c r="DS2088" s="38"/>
      <c r="DT2088" s="38"/>
      <c r="DU2088" s="38"/>
      <c r="DV2088" s="38"/>
      <c r="DW2088" s="38"/>
      <c r="DX2088" s="38"/>
      <c r="DY2088" s="38"/>
      <c r="DZ2088" s="38"/>
      <c r="EA2088" s="38"/>
      <c r="EB2088" s="38"/>
      <c r="EC2088" s="38"/>
      <c r="ED2088" s="38"/>
      <c r="EE2088" s="38"/>
      <c r="EF2088" s="38"/>
      <c r="EG2088" s="38"/>
      <c r="EH2088" s="38"/>
      <c r="EI2088" s="38"/>
      <c r="EJ2088" s="38"/>
      <c r="EK2088" s="38"/>
      <c r="EL2088" s="38"/>
      <c r="EM2088" s="38"/>
      <c r="EN2088" s="38"/>
      <c r="EO2088" s="38"/>
      <c r="EP2088" s="38"/>
      <c r="EQ2088" s="38"/>
      <c r="ER2088" s="38"/>
      <c r="ES2088" s="38"/>
      <c r="ET2088" s="38"/>
      <c r="EU2088" s="38"/>
      <c r="EV2088" s="38"/>
      <c r="EW2088" s="38"/>
      <c r="EX2088" s="38"/>
      <c r="EY2088" s="38"/>
      <c r="EZ2088" s="38"/>
      <c r="FA2088" s="38"/>
      <c r="FB2088" s="38"/>
      <c r="FC2088" s="38"/>
      <c r="FD2088" s="38"/>
      <c r="FE2088" s="38"/>
      <c r="FF2088" s="38"/>
      <c r="FG2088" s="38"/>
      <c r="FH2088" s="38"/>
      <c r="FI2088" s="38"/>
      <c r="FJ2088" s="38"/>
      <c r="FK2088" s="38"/>
      <c r="FL2088" s="38"/>
      <c r="FM2088" s="38"/>
      <c r="FN2088" s="38"/>
      <c r="FO2088" s="38"/>
      <c r="FP2088" s="38"/>
      <c r="FQ2088" s="38"/>
      <c r="FR2088" s="38"/>
      <c r="FS2088" s="38"/>
      <c r="FT2088" s="38"/>
      <c r="FU2088" s="38"/>
      <c r="FV2088" s="38"/>
      <c r="FW2088" s="38"/>
      <c r="FX2088" s="38"/>
      <c r="FY2088" s="38"/>
      <c r="FZ2088" s="38"/>
      <c r="GA2088" s="38"/>
      <c r="GB2088" s="38"/>
      <c r="GC2088" s="38"/>
      <c r="GD2088" s="38"/>
      <c r="GE2088" s="38"/>
      <c r="GF2088" s="38"/>
      <c r="GG2088" s="38"/>
      <c r="GH2088" s="38"/>
      <c r="GI2088" s="38"/>
      <c r="GJ2088" s="38"/>
      <c r="GK2088" s="38"/>
      <c r="GL2088" s="38"/>
      <c r="GM2088" s="38"/>
      <c r="GN2088" s="38"/>
      <c r="GO2088" s="38"/>
      <c r="GP2088" s="38"/>
      <c r="GQ2088" s="38"/>
      <c r="GR2088" s="38"/>
      <c r="GS2088" s="38"/>
      <c r="GT2088" s="38"/>
      <c r="GU2088" s="38"/>
      <c r="GV2088" s="38"/>
      <c r="GW2088" s="38"/>
      <c r="GX2088" s="38"/>
      <c r="GY2088" s="38"/>
      <c r="GZ2088" s="38"/>
      <c r="HA2088" s="38"/>
      <c r="HB2088" s="38"/>
      <c r="HC2088" s="38"/>
      <c r="HD2088" s="38"/>
      <c r="HE2088" s="38"/>
      <c r="HF2088" s="38"/>
      <c r="HG2088" s="38"/>
      <c r="HH2088" s="38"/>
      <c r="HI2088" s="38"/>
      <c r="HJ2088" s="38"/>
      <c r="HK2088" s="38"/>
      <c r="HL2088" s="38"/>
      <c r="HM2088" s="38"/>
      <c r="HN2088" s="38"/>
      <c r="HO2088" s="38"/>
      <c r="HP2088" s="38"/>
      <c r="HQ2088" s="38"/>
      <c r="HR2088" s="38"/>
      <c r="HS2088" s="38"/>
      <c r="HT2088" s="38"/>
      <c r="HU2088" s="38"/>
      <c r="HV2088" s="38"/>
      <c r="HW2088" s="38"/>
      <c r="HX2088" s="38"/>
      <c r="HY2088" s="38"/>
      <c r="HZ2088" s="38"/>
      <c r="IA2088" s="38"/>
      <c r="IB2088" s="38"/>
      <c r="IC2088" s="38"/>
      <c r="ID2088" s="38"/>
      <c r="IE2088" s="38"/>
      <c r="IF2088" s="38"/>
      <c r="IG2088" s="38"/>
      <c r="IH2088" s="38"/>
      <c r="II2088" s="38"/>
      <c r="IJ2088" s="38"/>
      <c r="IK2088" s="38"/>
      <c r="IL2088" s="38"/>
      <c r="IM2088" s="38"/>
      <c r="IN2088" s="38"/>
      <c r="IO2088" s="38"/>
      <c r="IP2088" s="38"/>
      <c r="IQ2088" s="38"/>
      <c r="IR2088" s="38"/>
      <c r="IS2088" s="38"/>
      <c r="IT2088" s="38"/>
      <c r="IU2088" s="38"/>
      <c r="IV2088" s="38"/>
      <c r="IW2088" s="38"/>
      <c r="IX2088" s="38"/>
      <c r="IY2088" s="38"/>
      <c r="IZ2088" s="38"/>
      <c r="JA2088" s="38"/>
      <c r="JB2088" s="38"/>
      <c r="JC2088" s="38"/>
      <c r="JD2088" s="38"/>
      <c r="JE2088" s="38"/>
      <c r="JF2088" s="38"/>
      <c r="JG2088" s="38"/>
      <c r="JH2088" s="38"/>
      <c r="JI2088" s="38"/>
      <c r="JJ2088" s="38"/>
      <c r="JK2088" s="38"/>
      <c r="JL2088" s="38"/>
      <c r="JM2088" s="38"/>
      <c r="JN2088" s="38"/>
      <c r="JO2088" s="38"/>
      <c r="JP2088" s="38"/>
      <c r="JQ2088" s="38"/>
      <c r="JR2088" s="38"/>
      <c r="JS2088" s="38"/>
      <c r="JT2088" s="38"/>
      <c r="JU2088" s="38"/>
      <c r="JV2088" s="38"/>
      <c r="JW2088" s="38"/>
      <c r="JX2088" s="38"/>
      <c r="JY2088" s="38"/>
      <c r="JZ2088" s="38"/>
      <c r="KA2088" s="38"/>
      <c r="KB2088" s="38"/>
      <c r="KC2088" s="38"/>
      <c r="KD2088" s="38"/>
      <c r="KE2088" s="38"/>
      <c r="KF2088" s="38"/>
      <c r="KG2088" s="38"/>
      <c r="KH2088" s="38"/>
      <c r="KI2088" s="38"/>
      <c r="KJ2088" s="38"/>
      <c r="KK2088" s="38"/>
      <c r="KL2088" s="38"/>
      <c r="KM2088" s="38"/>
      <c r="KN2088" s="38"/>
      <c r="KO2088" s="38"/>
      <c r="KP2088" s="38"/>
      <c r="KQ2088" s="38"/>
      <c r="KR2088" s="38"/>
      <c r="KS2088" s="38"/>
      <c r="KT2088" s="38"/>
      <c r="KU2088" s="38"/>
      <c r="KV2088" s="38"/>
      <c r="KW2088" s="38"/>
      <c r="KX2088" s="38"/>
      <c r="KY2088" s="38"/>
      <c r="KZ2088" s="38"/>
      <c r="LA2088" s="38"/>
      <c r="LB2088" s="38"/>
      <c r="LC2088" s="38"/>
      <c r="LD2088" s="38"/>
      <c r="LE2088" s="38"/>
      <c r="LF2088" s="38"/>
      <c r="LG2088" s="38"/>
      <c r="LH2088" s="38"/>
      <c r="LI2088" s="38"/>
      <c r="LJ2088" s="38"/>
      <c r="LK2088" s="38"/>
      <c r="LL2088" s="38"/>
      <c r="LM2088" s="38"/>
      <c r="LN2088" s="38"/>
      <c r="LO2088" s="38"/>
      <c r="LP2088" s="38"/>
      <c r="LQ2088" s="38"/>
      <c r="LR2088" s="38"/>
      <c r="LS2088" s="38"/>
      <c r="LT2088" s="38"/>
      <c r="LU2088" s="38"/>
      <c r="LV2088" s="38"/>
      <c r="LW2088" s="38"/>
      <c r="LX2088" s="38"/>
      <c r="LY2088" s="38"/>
      <c r="LZ2088" s="38"/>
      <c r="MA2088" s="38"/>
      <c r="MB2088" s="38"/>
      <c r="MC2088" s="38"/>
      <c r="MD2088" s="38"/>
      <c r="ME2088" s="38"/>
      <c r="MF2088" s="38"/>
      <c r="MG2088" s="38"/>
      <c r="MH2088" s="38"/>
      <c r="MI2088" s="38"/>
      <c r="MJ2088" s="38"/>
      <c r="MK2088" s="38"/>
      <c r="ML2088" s="38"/>
      <c r="MM2088" s="38"/>
      <c r="MN2088" s="38"/>
      <c r="MO2088" s="38"/>
      <c r="MP2088" s="38"/>
      <c r="MQ2088" s="38"/>
      <c r="MR2088" s="38"/>
      <c r="MS2088" s="38"/>
      <c r="MT2088" s="38"/>
      <c r="MU2088" s="38"/>
      <c r="MV2088" s="38"/>
      <c r="MW2088" s="38"/>
      <c r="MX2088" s="38"/>
      <c r="MY2088" s="38"/>
      <c r="MZ2088" s="38"/>
      <c r="NA2088" s="38"/>
      <c r="NB2088" s="38"/>
      <c r="NC2088" s="38"/>
      <c r="ND2088" s="38"/>
      <c r="NE2088" s="38"/>
      <c r="NF2088" s="38"/>
      <c r="NG2088" s="38"/>
      <c r="NH2088" s="38"/>
      <c r="NI2088" s="38"/>
      <c r="NJ2088" s="38"/>
      <c r="NK2088" s="38"/>
      <c r="NL2088" s="38"/>
      <c r="NM2088" s="38"/>
      <c r="NN2088" s="38"/>
      <c r="NO2088" s="38"/>
      <c r="NP2088" s="38"/>
      <c r="NQ2088" s="38"/>
      <c r="NR2088" s="38"/>
      <c r="NS2088" s="38"/>
      <c r="NT2088" s="38"/>
      <c r="NU2088" s="38"/>
      <c r="NV2088" s="38"/>
      <c r="NW2088" s="38"/>
      <c r="NX2088" s="38"/>
      <c r="NY2088" s="38"/>
      <c r="NZ2088" s="38"/>
      <c r="OA2088" s="38"/>
      <c r="OB2088" s="38"/>
      <c r="OC2088" s="38"/>
      <c r="OD2088" s="38"/>
      <c r="OE2088" s="38"/>
      <c r="OF2088" s="38"/>
      <c r="OG2088" s="38"/>
      <c r="OH2088" s="38"/>
      <c r="OI2088" s="38"/>
      <c r="OJ2088" s="38"/>
      <c r="OK2088" s="38"/>
      <c r="OL2088" s="38"/>
      <c r="OM2088" s="38"/>
      <c r="ON2088" s="38"/>
      <c r="OO2088" s="38"/>
      <c r="OP2088" s="38"/>
      <c r="OQ2088" s="38"/>
      <c r="OR2088" s="38"/>
      <c r="OS2088" s="38"/>
      <c r="OT2088" s="38"/>
      <c r="OU2088" s="38"/>
      <c r="OV2088" s="38"/>
      <c r="OW2088" s="38"/>
      <c r="OX2088" s="38"/>
      <c r="OY2088" s="38"/>
      <c r="OZ2088" s="38"/>
      <c r="PA2088" s="38"/>
      <c r="PB2088" s="38"/>
      <c r="PC2088" s="38"/>
      <c r="PD2088" s="38"/>
      <c r="PE2088" s="38"/>
      <c r="PF2088" s="38"/>
      <c r="PG2088" s="38"/>
      <c r="PH2088" s="38"/>
      <c r="PI2088" s="38"/>
      <c r="PJ2088" s="38"/>
      <c r="PK2088" s="38"/>
      <c r="PL2088" s="38"/>
      <c r="PM2088" s="38"/>
      <c r="PN2088" s="38"/>
      <c r="PO2088" s="38"/>
      <c r="PP2088" s="38"/>
      <c r="PQ2088" s="38"/>
      <c r="PR2088" s="38"/>
      <c r="PS2088" s="38"/>
      <c r="PT2088" s="38"/>
      <c r="PU2088" s="38"/>
      <c r="PV2088" s="38"/>
      <c r="PW2088" s="38"/>
      <c r="PX2088" s="38"/>
      <c r="PY2088" s="38"/>
      <c r="PZ2088" s="38"/>
      <c r="QA2088" s="38"/>
      <c r="QB2088" s="38"/>
      <c r="QC2088" s="38"/>
      <c r="QD2088" s="38"/>
      <c r="QE2088" s="38"/>
      <c r="QF2088" s="38"/>
      <c r="QG2088" s="38"/>
      <c r="QH2088" s="38"/>
      <c r="QI2088" s="38"/>
      <c r="QJ2088" s="38"/>
      <c r="QK2088" s="38"/>
      <c r="QL2088" s="38"/>
      <c r="QM2088" s="38"/>
      <c r="QN2088" s="38"/>
      <c r="QO2088" s="38"/>
      <c r="QP2088" s="38"/>
      <c r="QQ2088" s="38"/>
      <c r="QR2088" s="38"/>
      <c r="QS2088" s="38"/>
      <c r="QT2088" s="38"/>
      <c r="QU2088" s="38"/>
      <c r="QV2088" s="38"/>
      <c r="QW2088" s="38"/>
      <c r="QX2088" s="38"/>
      <c r="QY2088" s="38"/>
      <c r="QZ2088" s="38"/>
      <c r="RA2088" s="38"/>
      <c r="RB2088" s="38"/>
      <c r="RC2088" s="38"/>
      <c r="RD2088" s="38"/>
      <c r="RE2088" s="38"/>
      <c r="RF2088" s="38"/>
      <c r="RG2088" s="38"/>
      <c r="RH2088" s="38"/>
      <c r="RI2088" s="38"/>
      <c r="RJ2088" s="38"/>
      <c r="RK2088" s="38"/>
      <c r="RL2088" s="38"/>
      <c r="RM2088" s="38"/>
      <c r="RN2088" s="38"/>
      <c r="RO2088" s="38"/>
      <c r="RP2088" s="38"/>
      <c r="RQ2088" s="38"/>
      <c r="RR2088" s="38"/>
      <c r="RS2088" s="38"/>
      <c r="RT2088" s="38"/>
      <c r="RU2088" s="38"/>
      <c r="RV2088" s="38"/>
      <c r="RW2088" s="38"/>
      <c r="RX2088" s="38"/>
      <c r="RY2088" s="38"/>
      <c r="RZ2088" s="38"/>
      <c r="SA2088" s="38"/>
      <c r="SB2088" s="38"/>
      <c r="SC2088" s="38"/>
      <c r="SD2088" s="38"/>
      <c r="SE2088" s="38"/>
      <c r="SF2088" s="38"/>
      <c r="SG2088" s="38"/>
      <c r="SH2088" s="38"/>
      <c r="SI2088" s="38"/>
      <c r="SJ2088" s="38"/>
      <c r="SK2088" s="38"/>
      <c r="SL2088" s="38"/>
      <c r="SM2088" s="38"/>
      <c r="SN2088" s="38"/>
      <c r="SO2088" s="38"/>
      <c r="SP2088" s="38"/>
      <c r="SQ2088" s="38"/>
      <c r="SR2088" s="38"/>
      <c r="SS2088" s="38"/>
      <c r="ST2088" s="38"/>
      <c r="SU2088" s="38"/>
      <c r="SV2088" s="38"/>
      <c r="SW2088" s="38"/>
      <c r="SX2088" s="38"/>
      <c r="SY2088" s="38"/>
      <c r="SZ2088" s="38"/>
      <c r="TA2088" s="38"/>
      <c r="TB2088" s="38"/>
      <c r="TC2088" s="38"/>
      <c r="TD2088" s="38"/>
      <c r="TE2088" s="38"/>
      <c r="TF2088" s="38"/>
      <c r="TG2088" s="38"/>
      <c r="TH2088" s="38"/>
      <c r="TI2088" s="38"/>
      <c r="TJ2088" s="38"/>
      <c r="TK2088" s="38"/>
      <c r="TL2088" s="38"/>
      <c r="TM2088" s="38"/>
      <c r="TN2088" s="38"/>
      <c r="TO2088" s="38"/>
      <c r="TP2088" s="38"/>
      <c r="TQ2088" s="38"/>
      <c r="TR2088" s="38"/>
      <c r="TS2088" s="38"/>
      <c r="TT2088" s="38"/>
      <c r="TU2088" s="38"/>
      <c r="TV2088" s="38"/>
      <c r="TW2088" s="38"/>
      <c r="TX2088" s="38"/>
      <c r="TY2088" s="38"/>
      <c r="TZ2088" s="38"/>
      <c r="UA2088" s="38"/>
      <c r="UB2088" s="38"/>
      <c r="UC2088" s="38"/>
      <c r="UD2088" s="38"/>
      <c r="UE2088" s="38"/>
      <c r="UF2088" s="38"/>
      <c r="UG2088" s="38"/>
      <c r="UH2088" s="38"/>
      <c r="UI2088" s="38"/>
      <c r="UJ2088" s="38"/>
      <c r="UK2088" s="38"/>
      <c r="UL2088" s="38"/>
      <c r="UM2088" s="38"/>
      <c r="UN2088" s="38"/>
      <c r="UO2088" s="38"/>
      <c r="UP2088" s="38"/>
      <c r="UQ2088" s="38"/>
      <c r="UR2088" s="38"/>
      <c r="US2088" s="38"/>
      <c r="UT2088" s="38"/>
      <c r="UU2088" s="38"/>
      <c r="UV2088" s="38"/>
      <c r="UW2088" s="38"/>
      <c r="UX2088" s="38"/>
      <c r="UY2088" s="38"/>
      <c r="UZ2088" s="38"/>
      <c r="VA2088" s="38"/>
      <c r="VB2088" s="38"/>
      <c r="VC2088" s="38"/>
      <c r="VD2088" s="38"/>
      <c r="VE2088" s="38"/>
      <c r="VF2088" s="38"/>
      <c r="VG2088" s="38"/>
      <c r="VH2088" s="38"/>
      <c r="VI2088" s="38"/>
      <c r="VJ2088" s="38"/>
      <c r="VK2088" s="38"/>
      <c r="VL2088" s="38"/>
      <c r="VM2088" s="38"/>
      <c r="VN2088" s="38"/>
      <c r="VO2088" s="38"/>
      <c r="VP2088" s="38"/>
      <c r="VQ2088" s="38"/>
      <c r="VR2088" s="38"/>
      <c r="VS2088" s="38"/>
      <c r="VT2088" s="38"/>
      <c r="VU2088" s="38"/>
      <c r="VV2088" s="38"/>
      <c r="VW2088" s="38"/>
      <c r="VX2088" s="38"/>
      <c r="VY2088" s="38"/>
      <c r="VZ2088" s="38"/>
      <c r="WA2088" s="38"/>
      <c r="WB2088" s="38"/>
      <c r="WC2088" s="38"/>
      <c r="WD2088" s="38"/>
      <c r="WE2088" s="38"/>
      <c r="WF2088" s="38"/>
      <c r="WG2088" s="38"/>
      <c r="WH2088" s="38"/>
      <c r="WI2088" s="38"/>
      <c r="WJ2088" s="38"/>
      <c r="WK2088" s="38"/>
      <c r="WL2088" s="38"/>
      <c r="WM2088" s="38"/>
      <c r="WN2088" s="38"/>
      <c r="WO2088" s="38"/>
      <c r="WP2088" s="38"/>
      <c r="WQ2088" s="38"/>
      <c r="WR2088" s="38"/>
      <c r="WS2088" s="38"/>
      <c r="WT2088" s="38"/>
      <c r="WU2088" s="38"/>
      <c r="WV2088" s="38"/>
      <c r="WW2088" s="38"/>
      <c r="WX2088" s="38"/>
      <c r="WY2088" s="38"/>
      <c r="WZ2088" s="38"/>
      <c r="XA2088" s="38"/>
      <c r="XB2088" s="38"/>
      <c r="XC2088" s="38"/>
      <c r="XD2088" s="38"/>
      <c r="XE2088" s="38"/>
      <c r="XF2088" s="38"/>
      <c r="XG2088" s="38"/>
      <c r="XH2088" s="38"/>
      <c r="XI2088" s="38"/>
      <c r="XJ2088" s="38"/>
      <c r="XK2088" s="38"/>
      <c r="XL2088" s="38"/>
      <c r="XM2088" s="38"/>
      <c r="XN2088" s="38"/>
      <c r="XO2088" s="38"/>
      <c r="XP2088" s="38"/>
      <c r="XQ2088" s="38"/>
      <c r="XR2088" s="38"/>
      <c r="XS2088" s="38"/>
      <c r="XT2088" s="38"/>
      <c r="XU2088" s="38"/>
      <c r="XV2088" s="38"/>
      <c r="XW2088" s="38"/>
      <c r="XX2088" s="38"/>
      <c r="XY2088" s="38"/>
      <c r="XZ2088" s="38"/>
      <c r="YA2088" s="38"/>
      <c r="YB2088" s="38"/>
      <c r="YC2088" s="38"/>
      <c r="YD2088" s="38"/>
      <c r="YE2088" s="38"/>
      <c r="YF2088" s="38"/>
      <c r="YG2088" s="38"/>
      <c r="YH2088" s="38"/>
      <c r="YI2088" s="38"/>
      <c r="YJ2088" s="38"/>
      <c r="YK2088" s="38"/>
      <c r="YL2088" s="38"/>
      <c r="YM2088" s="38"/>
      <c r="YN2088" s="38"/>
      <c r="YO2088" s="38"/>
      <c r="YP2088" s="38"/>
      <c r="YQ2088" s="38"/>
      <c r="YR2088" s="38"/>
      <c r="YS2088" s="38"/>
      <c r="YT2088" s="38"/>
      <c r="YU2088" s="38"/>
      <c r="YV2088" s="38"/>
      <c r="YW2088" s="38"/>
      <c r="YX2088" s="38"/>
      <c r="YY2088" s="38"/>
      <c r="YZ2088" s="38"/>
      <c r="ZA2088" s="38"/>
      <c r="ZB2088" s="38"/>
      <c r="ZC2088" s="38"/>
      <c r="ZD2088" s="38"/>
      <c r="ZE2088" s="38"/>
      <c r="ZF2088" s="38"/>
      <c r="ZG2088" s="38"/>
      <c r="ZH2088" s="38"/>
      <c r="ZI2088" s="38"/>
      <c r="ZJ2088" s="38"/>
      <c r="ZK2088" s="38"/>
      <c r="ZL2088" s="38"/>
      <c r="ZM2088" s="38"/>
      <c r="ZN2088" s="38"/>
      <c r="ZO2088" s="38"/>
      <c r="ZP2088" s="38"/>
      <c r="ZQ2088" s="38"/>
      <c r="ZR2088" s="38"/>
      <c r="ZS2088" s="38"/>
      <c r="ZT2088" s="38"/>
      <c r="ZU2088" s="38"/>
      <c r="ZV2088" s="38"/>
      <c r="ZW2088" s="38"/>
      <c r="ZX2088" s="38"/>
      <c r="ZY2088" s="38"/>
      <c r="ZZ2088" s="38"/>
      <c r="AAA2088" s="38"/>
      <c r="AAB2088" s="38"/>
      <c r="AAC2088" s="38"/>
      <c r="AAD2088" s="38"/>
      <c r="AAE2088" s="38"/>
      <c r="AAF2088" s="38"/>
      <c r="AAG2088" s="38"/>
      <c r="AAH2088" s="38"/>
      <c r="AAI2088" s="38"/>
      <c r="AAJ2088" s="38"/>
      <c r="AAK2088" s="38"/>
      <c r="AAL2088" s="38"/>
      <c r="AAM2088" s="38"/>
      <c r="AAN2088" s="38"/>
      <c r="AAO2088" s="38"/>
      <c r="AAP2088" s="38"/>
      <c r="AAQ2088" s="38"/>
      <c r="AAR2088" s="38"/>
      <c r="AAS2088" s="38"/>
      <c r="AAT2088" s="38"/>
      <c r="AAU2088" s="38"/>
      <c r="AAV2088" s="38"/>
      <c r="AAW2088" s="38"/>
      <c r="AAX2088" s="38"/>
      <c r="AAY2088" s="38"/>
      <c r="AAZ2088" s="38"/>
      <c r="ABA2088" s="38"/>
      <c r="ABB2088" s="38"/>
      <c r="ABC2088" s="38"/>
      <c r="ABD2088" s="38"/>
      <c r="ABE2088" s="38"/>
      <c r="ABF2088" s="38"/>
      <c r="ABG2088" s="38"/>
      <c r="ABH2088" s="38"/>
      <c r="ABI2088" s="38"/>
      <c r="ABJ2088" s="38"/>
      <c r="ABK2088" s="38"/>
      <c r="ABL2088" s="38"/>
      <c r="ABM2088" s="38"/>
      <c r="ABN2088" s="38"/>
      <c r="ABO2088" s="38"/>
      <c r="ABP2088" s="38"/>
      <c r="ABQ2088" s="38"/>
      <c r="ABR2088" s="38"/>
      <c r="ABS2088" s="38"/>
      <c r="ABT2088" s="38"/>
      <c r="ABU2088" s="38"/>
      <c r="ABV2088" s="38"/>
      <c r="ABW2088" s="38"/>
      <c r="ABX2088" s="38"/>
      <c r="ABY2088" s="38"/>
      <c r="ABZ2088" s="38"/>
      <c r="ACA2088" s="38"/>
      <c r="ACB2088" s="38"/>
      <c r="ACC2088" s="38"/>
      <c r="ACD2088" s="38"/>
      <c r="ACE2088" s="38"/>
      <c r="ACF2088" s="38"/>
      <c r="ACG2088" s="38"/>
      <c r="ACH2088" s="38"/>
      <c r="ACI2088" s="38"/>
      <c r="ACJ2088" s="38"/>
      <c r="ACK2088" s="38"/>
      <c r="ACL2088" s="38"/>
      <c r="ACM2088" s="38"/>
      <c r="ACN2088" s="38"/>
      <c r="ACO2088" s="38"/>
      <c r="ACP2088" s="38"/>
      <c r="ACQ2088" s="38"/>
      <c r="ACR2088" s="38"/>
      <c r="ACS2088" s="38"/>
      <c r="ACT2088" s="38"/>
      <c r="ACU2088" s="38"/>
      <c r="ACV2088" s="38"/>
      <c r="ACW2088" s="38"/>
      <c r="ACX2088" s="38"/>
      <c r="ACY2088" s="38"/>
      <c r="ACZ2088" s="38"/>
      <c r="ADA2088" s="38"/>
      <c r="ADB2088" s="38"/>
      <c r="ADC2088" s="38"/>
      <c r="ADD2088" s="38"/>
      <c r="ADE2088" s="38"/>
      <c r="ADF2088" s="38"/>
      <c r="ADG2088" s="38"/>
      <c r="ADH2088" s="38"/>
      <c r="ADI2088" s="38"/>
      <c r="ADJ2088" s="38"/>
      <c r="ADK2088" s="38"/>
      <c r="ADL2088" s="38"/>
      <c r="ADM2088" s="38"/>
      <c r="ADN2088" s="38"/>
      <c r="ADO2088" s="38"/>
      <c r="ADP2088" s="38"/>
      <c r="ADQ2088" s="38"/>
      <c r="ADR2088" s="38"/>
      <c r="ADS2088" s="38"/>
      <c r="ADT2088" s="38"/>
      <c r="ADU2088" s="38"/>
      <c r="ADV2088" s="38"/>
      <c r="ADW2088" s="38"/>
      <c r="ADX2088" s="38"/>
      <c r="ADY2088" s="38"/>
      <c r="ADZ2088" s="38"/>
      <c r="AEA2088" s="38"/>
      <c r="AEB2088" s="38"/>
      <c r="AEC2088" s="38"/>
      <c r="AED2088" s="38"/>
      <c r="AEE2088" s="38"/>
      <c r="AEF2088" s="38"/>
      <c r="AEG2088" s="38"/>
      <c r="AEH2088" s="38"/>
      <c r="AEI2088" s="38"/>
      <c r="AEJ2088" s="38"/>
      <c r="AEK2088" s="38"/>
      <c r="AEL2088" s="38"/>
      <c r="AEM2088" s="38"/>
      <c r="AEN2088" s="38"/>
      <c r="AEO2088" s="38"/>
      <c r="AEP2088" s="38"/>
      <c r="AEQ2088" s="38"/>
      <c r="AER2088" s="38"/>
      <c r="AES2088" s="38"/>
      <c r="AET2088" s="38"/>
      <c r="AEU2088" s="38"/>
      <c r="AEV2088" s="38"/>
      <c r="AEW2088" s="38"/>
      <c r="AEX2088" s="38"/>
      <c r="AEY2088" s="38"/>
      <c r="AEZ2088" s="38"/>
      <c r="AFA2088" s="38"/>
      <c r="AFB2088" s="38"/>
      <c r="AFC2088" s="38"/>
      <c r="AFD2088" s="38"/>
      <c r="AFE2088" s="38"/>
      <c r="AFF2088" s="38"/>
      <c r="AFG2088" s="38"/>
      <c r="AFH2088" s="38"/>
      <c r="AFI2088" s="38"/>
      <c r="AFJ2088" s="38"/>
      <c r="AFK2088" s="38"/>
      <c r="AFL2088" s="38"/>
      <c r="AFM2088" s="38"/>
      <c r="AFN2088" s="38"/>
      <c r="AFO2088" s="38"/>
      <c r="AFP2088" s="38"/>
      <c r="AFQ2088" s="38"/>
      <c r="AFR2088" s="38"/>
      <c r="AFS2088" s="38"/>
      <c r="AFT2088" s="38"/>
      <c r="AFU2088" s="38"/>
      <c r="AFV2088" s="38"/>
      <c r="AFW2088" s="38"/>
      <c r="AFX2088" s="38"/>
      <c r="AFY2088" s="38"/>
      <c r="AFZ2088" s="38"/>
      <c r="AGA2088" s="38"/>
      <c r="AGB2088" s="38"/>
      <c r="AGC2088" s="38"/>
      <c r="AGD2088" s="38"/>
      <c r="AGE2088" s="38"/>
      <c r="AGF2088" s="38"/>
      <c r="AGG2088" s="38"/>
      <c r="AGH2088" s="38"/>
      <c r="AGI2088" s="38"/>
      <c r="AGJ2088" s="38"/>
      <c r="AGK2088" s="38"/>
      <c r="AGL2088" s="38"/>
      <c r="AGM2088" s="38"/>
      <c r="AGN2088" s="38"/>
      <c r="AGO2088" s="38"/>
      <c r="AGP2088" s="38"/>
      <c r="AGQ2088" s="38"/>
      <c r="AGR2088" s="38"/>
      <c r="AGS2088" s="38"/>
      <c r="AGT2088" s="38"/>
      <c r="AGU2088" s="38"/>
      <c r="AGV2088" s="38"/>
      <c r="AGW2088" s="38"/>
      <c r="AGX2088" s="38"/>
      <c r="AGY2088" s="38"/>
      <c r="AGZ2088" s="38"/>
      <c r="AHA2088" s="38"/>
      <c r="AHB2088" s="38"/>
      <c r="AHC2088" s="38"/>
      <c r="AHD2088" s="38"/>
      <c r="AHE2088" s="38"/>
      <c r="AHF2088" s="38"/>
      <c r="AHG2088" s="38"/>
      <c r="AHH2088" s="38"/>
      <c r="AHI2088" s="38"/>
      <c r="AHJ2088" s="38"/>
      <c r="AHK2088" s="38"/>
      <c r="AHL2088" s="38"/>
      <c r="AHM2088" s="38"/>
      <c r="AHN2088" s="38"/>
      <c r="AHO2088" s="38"/>
      <c r="AHP2088" s="38"/>
      <c r="AHQ2088" s="38"/>
      <c r="AHR2088" s="38"/>
      <c r="AHS2088" s="38"/>
      <c r="AHT2088" s="38"/>
      <c r="AHU2088" s="38"/>
      <c r="AHV2088" s="38"/>
      <c r="AHW2088" s="38"/>
      <c r="AHX2088" s="38"/>
      <c r="AHY2088" s="38"/>
      <c r="AHZ2088" s="38"/>
      <c r="AIA2088" s="38"/>
      <c r="AIB2088" s="38"/>
      <c r="AIC2088" s="38"/>
      <c r="AID2088" s="38"/>
      <c r="AIE2088" s="38"/>
      <c r="AIF2088" s="38"/>
      <c r="AIG2088" s="38"/>
      <c r="AIH2088" s="38"/>
      <c r="AII2088" s="38"/>
      <c r="AIJ2088" s="38"/>
      <c r="AIK2088" s="38"/>
      <c r="AIL2088" s="38"/>
      <c r="AIM2088" s="38"/>
      <c r="AIN2088" s="38"/>
      <c r="AIO2088" s="38"/>
      <c r="AIP2088" s="38"/>
      <c r="AIQ2088" s="38"/>
      <c r="AIR2088" s="38"/>
      <c r="AIS2088" s="38"/>
      <c r="AIT2088" s="38"/>
      <c r="AIU2088" s="38"/>
      <c r="AIV2088" s="38"/>
      <c r="AIW2088" s="38"/>
      <c r="AIX2088" s="38"/>
      <c r="AIY2088" s="38"/>
      <c r="AIZ2088" s="38"/>
      <c r="AJA2088" s="38"/>
      <c r="AJB2088" s="38"/>
      <c r="AJC2088" s="38"/>
      <c r="AJD2088" s="38"/>
      <c r="AJE2088" s="38"/>
      <c r="AJF2088" s="38"/>
      <c r="AJG2088" s="38"/>
      <c r="AJH2088" s="38"/>
      <c r="AJI2088" s="38"/>
      <c r="AJJ2088" s="38"/>
      <c r="AJK2088" s="38"/>
      <c r="AJL2088" s="38"/>
      <c r="AJM2088" s="38"/>
      <c r="AJN2088" s="38"/>
      <c r="AJO2088" s="38"/>
      <c r="AJP2088" s="38"/>
      <c r="AJQ2088" s="38"/>
      <c r="AJR2088" s="38"/>
      <c r="AJS2088" s="38"/>
      <c r="AJT2088" s="38"/>
      <c r="AJU2088" s="38"/>
      <c r="AJV2088" s="38"/>
      <c r="AJW2088" s="38"/>
      <c r="AJX2088" s="38"/>
      <c r="AJY2088" s="38"/>
      <c r="AJZ2088" s="38"/>
      <c r="AKA2088" s="38"/>
      <c r="AKB2088" s="38"/>
      <c r="AKC2088" s="38"/>
      <c r="AKD2088" s="38"/>
      <c r="AKE2088" s="38"/>
      <c r="AKF2088" s="38"/>
      <c r="AKG2088" s="38"/>
      <c r="AKH2088" s="38"/>
      <c r="AKI2088" s="38"/>
      <c r="AKJ2088" s="38"/>
      <c r="AKK2088" s="38"/>
      <c r="AKL2088" s="38"/>
      <c r="AKM2088" s="38"/>
      <c r="AKN2088" s="38"/>
      <c r="AKO2088" s="38"/>
      <c r="AKP2088" s="38"/>
      <c r="AKQ2088" s="38"/>
      <c r="AKR2088" s="38"/>
      <c r="AKS2088" s="38"/>
      <c r="AKT2088" s="38"/>
      <c r="AKU2088" s="38"/>
      <c r="AKV2088" s="38"/>
      <c r="AKW2088" s="38"/>
      <c r="AKX2088" s="38"/>
      <c r="AKY2088" s="38"/>
      <c r="AKZ2088" s="38"/>
      <c r="ALA2088" s="38"/>
      <c r="ALB2088" s="38"/>
      <c r="ALC2088" s="38"/>
      <c r="ALD2088" s="38"/>
      <c r="ALE2088" s="38"/>
      <c r="ALF2088" s="38"/>
      <c r="ALG2088" s="38"/>
      <c r="ALH2088" s="38"/>
      <c r="ALI2088" s="38"/>
      <c r="ALJ2088" s="38"/>
      <c r="ALK2088" s="38"/>
      <c r="ALL2088" s="38"/>
      <c r="ALM2088" s="38"/>
      <c r="ALN2088" s="38"/>
      <c r="ALO2088" s="38"/>
      <c r="ALP2088" s="38"/>
      <c r="ALQ2088" s="38"/>
      <c r="ALR2088" s="38"/>
      <c r="ALS2088" s="38"/>
      <c r="ALT2088" s="38"/>
      <c r="ALU2088" s="38"/>
      <c r="ALV2088" s="38"/>
      <c r="ALW2088" s="38"/>
      <c r="ALX2088" s="38"/>
      <c r="ALY2088" s="38"/>
      <c r="ALZ2088" s="38"/>
      <c r="AMA2088" s="38"/>
      <c r="AMB2088" s="38"/>
      <c r="AMC2088" s="38"/>
      <c r="AMD2088" s="38"/>
      <c r="AME2088" s="38"/>
      <c r="AMF2088" s="38"/>
      <c r="AMG2088" s="38"/>
      <c r="AMH2088" s="38"/>
      <c r="AMI2088" s="38"/>
      <c r="AMJ2088" s="38"/>
      <c r="AMK2088" s="38"/>
      <c r="AML2088" s="38"/>
      <c r="AMM2088" s="38"/>
      <c r="AMN2088" s="38"/>
      <c r="AMO2088" s="38"/>
      <c r="AMP2088" s="38"/>
      <c r="AMQ2088" s="38"/>
      <c r="AMR2088" s="38"/>
      <c r="AMS2088" s="38"/>
      <c r="AMT2088" s="38"/>
      <c r="AMU2088" s="38"/>
      <c r="AMV2088" s="38"/>
      <c r="AMW2088" s="38"/>
      <c r="AMX2088" s="38"/>
      <c r="AMY2088" s="38"/>
      <c r="AMZ2088" s="38"/>
      <c r="ANA2088" s="38"/>
      <c r="ANB2088" s="38"/>
      <c r="ANC2088" s="38"/>
      <c r="AND2088" s="38"/>
      <c r="ANE2088" s="38"/>
      <c r="ANF2088" s="38"/>
      <c r="ANG2088" s="38"/>
      <c r="ANH2088" s="38"/>
      <c r="ANI2088" s="38"/>
      <c r="ANJ2088" s="38"/>
      <c r="ANK2088" s="38"/>
      <c r="ANL2088" s="38"/>
      <c r="ANM2088" s="38"/>
      <c r="ANN2088" s="38"/>
      <c r="ANO2088" s="38"/>
      <c r="ANP2088" s="38"/>
      <c r="ANQ2088" s="38"/>
      <c r="ANR2088" s="38"/>
      <c r="ANS2088" s="38"/>
      <c r="ANT2088" s="38"/>
      <c r="ANU2088" s="38"/>
      <c r="ANV2088" s="38"/>
      <c r="ANW2088" s="38"/>
      <c r="ANX2088" s="38"/>
      <c r="ANY2088" s="38"/>
      <c r="ANZ2088" s="38"/>
      <c r="AOA2088" s="38"/>
      <c r="AOB2088" s="38"/>
      <c r="AOC2088" s="38"/>
      <c r="AOD2088" s="38"/>
      <c r="AOE2088" s="38"/>
      <c r="AOF2088" s="38"/>
      <c r="AOG2088" s="38"/>
      <c r="AOH2088" s="38"/>
      <c r="AOI2088" s="38"/>
      <c r="AOJ2088" s="38"/>
      <c r="AOK2088" s="38"/>
      <c r="AOL2088" s="38"/>
      <c r="AOM2088" s="38"/>
      <c r="AON2088" s="38"/>
      <c r="AOO2088" s="38"/>
      <c r="AOP2088" s="38"/>
      <c r="AOQ2088" s="38"/>
      <c r="AOR2088" s="38"/>
      <c r="AOS2088" s="38"/>
      <c r="AOT2088" s="38"/>
      <c r="AOU2088" s="38"/>
      <c r="AOV2088" s="38"/>
      <c r="AOW2088" s="38"/>
      <c r="AOX2088" s="38"/>
      <c r="AOY2088" s="38"/>
      <c r="AOZ2088" s="38"/>
      <c r="APA2088" s="38"/>
      <c r="APB2088" s="38"/>
      <c r="APC2088" s="38"/>
    </row>
    <row r="2089" spans="1:1095" s="36" customFormat="1" ht="14.25" customHeight="1">
      <c r="A2089" s="3" t="s">
        <v>1722</v>
      </c>
      <c r="B2089" s="36" t="s">
        <v>2473</v>
      </c>
      <c r="C2089" s="10">
        <v>4099854091612</v>
      </c>
      <c r="D2089" s="224">
        <v>4058075761414</v>
      </c>
      <c r="E2089" s="245" t="s">
        <v>2474</v>
      </c>
      <c r="F2089" s="246"/>
      <c r="G2089" s="66" t="str">
        <f>HYPERLINK("https://ledvance.com/pt/product-datasheet/275556/247048","Ficha de Produto")</f>
        <v>Ficha de Produto</v>
      </c>
      <c r="H2089" s="217">
        <v>4</v>
      </c>
      <c r="I2089" s="34" t="s">
        <v>6369</v>
      </c>
      <c r="J2089" s="34" t="s">
        <v>6364</v>
      </c>
      <c r="K2089" s="34" t="s">
        <v>788</v>
      </c>
      <c r="L2089" s="34" t="s">
        <v>793</v>
      </c>
      <c r="M2089" s="247">
        <v>19.100000000000001</v>
      </c>
      <c r="N2089" s="288" t="s">
        <v>722</v>
      </c>
    </row>
    <row r="2090" spans="1:1095" s="36" customFormat="1" ht="14.25" customHeight="1">
      <c r="A2090" s="3" t="s">
        <v>1722</v>
      </c>
      <c r="B2090" s="36" t="s">
        <v>2475</v>
      </c>
      <c r="C2090" s="10">
        <v>4058075761438</v>
      </c>
      <c r="D2090" s="224">
        <v>4058075761438</v>
      </c>
      <c r="E2090" s="245" t="s">
        <v>2476</v>
      </c>
      <c r="F2090" s="246"/>
      <c r="G2090" s="66" t="str">
        <f>HYPERLINK("https://ledvance.com/pt/product-datasheet/275556/212443","Ficha de Produto")</f>
        <v>Ficha de Produto</v>
      </c>
      <c r="H2090" s="217">
        <v>6</v>
      </c>
      <c r="I2090" s="34" t="s">
        <v>6369</v>
      </c>
      <c r="J2090" s="34" t="s">
        <v>6364</v>
      </c>
      <c r="K2090" s="34" t="s">
        <v>788</v>
      </c>
      <c r="L2090" s="34" t="s">
        <v>793</v>
      </c>
      <c r="M2090" s="247">
        <v>18.7</v>
      </c>
      <c r="N2090" s="288" t="s">
        <v>722</v>
      </c>
    </row>
    <row r="2091" spans="1:1095" s="36" customFormat="1" ht="14.25" customHeight="1">
      <c r="A2091" s="3" t="s">
        <v>1722</v>
      </c>
      <c r="B2091" s="36" t="s">
        <v>2477</v>
      </c>
      <c r="C2091" s="10">
        <v>4058075761452</v>
      </c>
      <c r="D2091" s="224">
        <v>4058075761452</v>
      </c>
      <c r="E2091" s="245" t="s">
        <v>2478</v>
      </c>
      <c r="F2091" s="246"/>
      <c r="G2091" s="66" t="str">
        <f>HYPERLINK("https://ledvance.com/pt/product-datasheet/275556/212446","Ficha de Produto")</f>
        <v>Ficha de Produto</v>
      </c>
      <c r="H2091" s="217">
        <v>6</v>
      </c>
      <c r="I2091" s="34" t="s">
        <v>854</v>
      </c>
      <c r="J2091" s="34" t="s">
        <v>6365</v>
      </c>
      <c r="K2091" s="34" t="s">
        <v>788</v>
      </c>
      <c r="L2091" s="34" t="s">
        <v>793</v>
      </c>
      <c r="M2091" s="247">
        <v>23.5</v>
      </c>
      <c r="N2091" s="288" t="s">
        <v>722</v>
      </c>
    </row>
    <row r="2092" spans="1:1095" s="36" customFormat="1" ht="14.25" customHeight="1">
      <c r="A2092" s="3" t="s">
        <v>1722</v>
      </c>
      <c r="B2092" s="36" t="s">
        <v>2479</v>
      </c>
      <c r="C2092" s="10">
        <v>4099854091025</v>
      </c>
      <c r="D2092" s="224">
        <v>4058075761476</v>
      </c>
      <c r="E2092" s="245" t="s">
        <v>2480</v>
      </c>
      <c r="F2092" s="246"/>
      <c r="G2092" s="66" t="str">
        <f>HYPERLINK("https://ledvance.com/pt/product-datasheet/275560/247054","Ficha de Produto")</f>
        <v>Ficha de Produto</v>
      </c>
      <c r="H2092" s="217">
        <v>4</v>
      </c>
      <c r="I2092" s="34" t="s">
        <v>794</v>
      </c>
      <c r="J2092" s="34" t="s">
        <v>6365</v>
      </c>
      <c r="K2092" s="34" t="s">
        <v>788</v>
      </c>
      <c r="L2092" s="34" t="s">
        <v>793</v>
      </c>
      <c r="M2092" s="247">
        <v>27.900000000000002</v>
      </c>
      <c r="N2092" s="288" t="s">
        <v>722</v>
      </c>
    </row>
    <row r="2093" spans="1:1095" s="36" customFormat="1" ht="14.25" customHeight="1">
      <c r="A2093" s="3" t="s">
        <v>1722</v>
      </c>
      <c r="B2093" s="36" t="s">
        <v>2481</v>
      </c>
      <c r="C2093" s="10">
        <v>4099854091049</v>
      </c>
      <c r="D2093" s="224">
        <v>4058075761490</v>
      </c>
      <c r="E2093" s="245" t="s">
        <v>2482</v>
      </c>
      <c r="F2093" s="246"/>
      <c r="G2093" s="66" t="str">
        <f>HYPERLINK("https://ledvance.com/pt/product-datasheet/275560/247057","Ficha de Produto")</f>
        <v>Ficha de Produto</v>
      </c>
      <c r="H2093" s="217">
        <v>4</v>
      </c>
      <c r="I2093" s="34" t="s">
        <v>1052</v>
      </c>
      <c r="J2093" s="34" t="s">
        <v>809</v>
      </c>
      <c r="K2093" s="34" t="s">
        <v>788</v>
      </c>
      <c r="L2093" s="34" t="s">
        <v>793</v>
      </c>
      <c r="M2093" s="247">
        <v>30.200000000000003</v>
      </c>
      <c r="N2093" s="288" t="s">
        <v>722</v>
      </c>
    </row>
    <row r="2094" spans="1:1095" s="36" customFormat="1" ht="14.25" customHeight="1">
      <c r="A2094" s="3" t="s">
        <v>1722</v>
      </c>
      <c r="B2094" s="36" t="s">
        <v>2483</v>
      </c>
      <c r="C2094" s="10">
        <v>4099854090806</v>
      </c>
      <c r="D2094" s="224">
        <v>4058075761575</v>
      </c>
      <c r="E2094" s="245" t="s">
        <v>2484</v>
      </c>
      <c r="F2094" s="246"/>
      <c r="G2094" s="66" t="str">
        <f>HYPERLINK("https://ledvance.com/pt/product-datasheet/275559/247070","Ficha de Produto")</f>
        <v>Ficha de Produto</v>
      </c>
      <c r="H2094" s="217">
        <v>4</v>
      </c>
      <c r="I2094" s="34" t="s">
        <v>794</v>
      </c>
      <c r="J2094" s="34" t="s">
        <v>6365</v>
      </c>
      <c r="K2094" s="34" t="s">
        <v>788</v>
      </c>
      <c r="L2094" s="34" t="s">
        <v>793</v>
      </c>
      <c r="M2094" s="247">
        <v>28.200000000000003</v>
      </c>
      <c r="N2094" s="288" t="s">
        <v>722</v>
      </c>
    </row>
    <row r="2095" spans="1:1095" s="36" customFormat="1" ht="14.25" customHeight="1">
      <c r="A2095" s="3" t="s">
        <v>1722</v>
      </c>
      <c r="B2095" s="36" t="s">
        <v>2485</v>
      </c>
      <c r="C2095" s="10">
        <v>4099854090820</v>
      </c>
      <c r="D2095" s="224">
        <v>4058075761599</v>
      </c>
      <c r="E2095" s="245" t="s">
        <v>2486</v>
      </c>
      <c r="F2095" s="246"/>
      <c r="G2095" s="66" t="str">
        <f>HYPERLINK("https://ledvance.com/pt/product-datasheet/275559/247073","Ficha de Produto")</f>
        <v>Ficha de Produto</v>
      </c>
      <c r="H2095" s="217">
        <v>4</v>
      </c>
      <c r="I2095" s="34" t="s">
        <v>1052</v>
      </c>
      <c r="J2095" s="34" t="s">
        <v>809</v>
      </c>
      <c r="K2095" s="34" t="s">
        <v>788</v>
      </c>
      <c r="L2095" s="34" t="s">
        <v>793</v>
      </c>
      <c r="M2095" s="247">
        <v>30.400000000000002</v>
      </c>
      <c r="N2095" s="288" t="s">
        <v>722</v>
      </c>
    </row>
    <row r="2096" spans="1:1095" s="36" customFormat="1" ht="14.25" customHeight="1">
      <c r="A2096" s="3" t="s">
        <v>1722</v>
      </c>
      <c r="B2096" s="36" t="s">
        <v>2487</v>
      </c>
      <c r="C2096" s="10">
        <v>4058075761612</v>
      </c>
      <c r="D2096" s="224">
        <v>4058075761612</v>
      </c>
      <c r="E2096" s="245" t="s">
        <v>2488</v>
      </c>
      <c r="F2096" s="246"/>
      <c r="G2096" s="66" t="str">
        <f>HYPERLINK("https://ledvance.com/pt/product-datasheet/275559/212471","Ficha de Produto")</f>
        <v>Ficha de Produto</v>
      </c>
      <c r="H2096" s="217">
        <v>4</v>
      </c>
      <c r="I2096" s="34" t="s">
        <v>794</v>
      </c>
      <c r="J2096" s="34" t="s">
        <v>6365</v>
      </c>
      <c r="K2096" s="34" t="s">
        <v>788</v>
      </c>
      <c r="L2096" s="34" t="s">
        <v>793</v>
      </c>
      <c r="M2096" s="247">
        <v>30.1</v>
      </c>
      <c r="N2096" s="288" t="s">
        <v>722</v>
      </c>
    </row>
    <row r="2097" spans="1:1095" s="36" customFormat="1" ht="14.25" customHeight="1">
      <c r="A2097" s="3" t="s">
        <v>1722</v>
      </c>
      <c r="B2097" s="36" t="s">
        <v>2489</v>
      </c>
      <c r="C2097" s="10">
        <v>4058075761636</v>
      </c>
      <c r="D2097" s="224">
        <v>4058075761636</v>
      </c>
      <c r="E2097" s="245" t="s">
        <v>2490</v>
      </c>
      <c r="F2097" s="246"/>
      <c r="G2097" s="66" t="str">
        <f>HYPERLINK("https://ledvance.com/pt/product-datasheet/275559/212474","Ficha de Produto")</f>
        <v>Ficha de Produto</v>
      </c>
      <c r="H2097" s="217">
        <v>4</v>
      </c>
      <c r="I2097" s="34" t="s">
        <v>1052</v>
      </c>
      <c r="J2097" s="34" t="s">
        <v>809</v>
      </c>
      <c r="K2097" s="34" t="s">
        <v>788</v>
      </c>
      <c r="L2097" s="34" t="s">
        <v>793</v>
      </c>
      <c r="M2097" s="247">
        <v>32.5</v>
      </c>
      <c r="N2097" s="288" t="s">
        <v>722</v>
      </c>
    </row>
    <row r="2098" spans="1:1095" s="36" customFormat="1" ht="14.25" customHeight="1">
      <c r="A2098" s="3" t="s">
        <v>1722</v>
      </c>
      <c r="B2098" s="36" t="s">
        <v>2491</v>
      </c>
      <c r="C2098" s="10">
        <v>4058075761650</v>
      </c>
      <c r="D2098" s="224">
        <v>4058075761650</v>
      </c>
      <c r="E2098" s="245" t="s">
        <v>2492</v>
      </c>
      <c r="F2098" s="246"/>
      <c r="G2098" s="66" t="str">
        <f>HYPERLINK("https://ledvance.com/pt/product-datasheet/275559/212478","Ficha de Produto")</f>
        <v>Ficha de Produto</v>
      </c>
      <c r="H2098" s="217">
        <v>4</v>
      </c>
      <c r="I2098" s="34" t="s">
        <v>794</v>
      </c>
      <c r="J2098" s="34" t="s">
        <v>6365</v>
      </c>
      <c r="K2098" s="34" t="s">
        <v>788</v>
      </c>
      <c r="L2098" s="34" t="s">
        <v>793</v>
      </c>
      <c r="M2098" s="247">
        <v>35.1</v>
      </c>
      <c r="N2098" s="288" t="s">
        <v>722</v>
      </c>
    </row>
    <row r="2099" spans="1:1095" s="36" customFormat="1" ht="14.25" customHeight="1">
      <c r="A2099" s="3" t="s">
        <v>1722</v>
      </c>
      <c r="B2099" s="36" t="s">
        <v>2493</v>
      </c>
      <c r="C2099" s="10">
        <v>4058075761674</v>
      </c>
      <c r="D2099" s="224">
        <v>4058075761674</v>
      </c>
      <c r="E2099" s="245" t="s">
        <v>2494</v>
      </c>
      <c r="F2099" s="246"/>
      <c r="G2099" s="66" t="str">
        <f>HYPERLINK("https://ledvance.com/pt/product-datasheet/275559/212481","Ficha de Produto")</f>
        <v>Ficha de Produto</v>
      </c>
      <c r="H2099" s="217">
        <v>4</v>
      </c>
      <c r="I2099" s="34" t="s">
        <v>1052</v>
      </c>
      <c r="J2099" s="34" t="s">
        <v>809</v>
      </c>
      <c r="K2099" s="34" t="s">
        <v>788</v>
      </c>
      <c r="L2099" s="34" t="s">
        <v>793</v>
      </c>
      <c r="M2099" s="247">
        <v>37.5</v>
      </c>
      <c r="N2099" s="288" t="s">
        <v>722</v>
      </c>
    </row>
    <row r="2100" spans="1:1095" s="36" customFormat="1" ht="14.25" customHeight="1">
      <c r="A2100" s="3" t="s">
        <v>1722</v>
      </c>
      <c r="B2100" s="36" t="s">
        <v>2495</v>
      </c>
      <c r="C2100" s="10">
        <v>4058075761698</v>
      </c>
      <c r="D2100" s="224">
        <v>4058075761698</v>
      </c>
      <c r="E2100" s="245" t="s">
        <v>2496</v>
      </c>
      <c r="F2100" s="246"/>
      <c r="G2100" s="66" t="str">
        <f>HYPERLINK("https://ledvance.com/pt/product-datasheet/275559/212484","Ficha de Produto")</f>
        <v>Ficha de Produto</v>
      </c>
      <c r="H2100" s="217">
        <v>4</v>
      </c>
      <c r="I2100" s="34" t="s">
        <v>854</v>
      </c>
      <c r="J2100" s="34" t="s">
        <v>6365</v>
      </c>
      <c r="K2100" s="34" t="s">
        <v>788</v>
      </c>
      <c r="L2100" s="34" t="s">
        <v>793</v>
      </c>
      <c r="M2100" s="247">
        <v>87.800000000000011</v>
      </c>
      <c r="N2100" s="288" t="s">
        <v>722</v>
      </c>
    </row>
    <row r="2101" spans="1:1095" s="39" customFormat="1" ht="14.25" customHeight="1">
      <c r="A2101" s="8" t="s">
        <v>1722</v>
      </c>
      <c r="B2101" s="39" t="s">
        <v>2497</v>
      </c>
      <c r="C2101" s="8"/>
      <c r="D2101" s="7"/>
      <c r="E2101" s="230"/>
      <c r="F2101" s="7"/>
      <c r="G2101" s="68"/>
      <c r="H2101" s="230"/>
      <c r="I2101" s="230"/>
      <c r="J2101" s="230"/>
      <c r="K2101" s="230"/>
      <c r="L2101" s="230"/>
      <c r="M2101" s="248"/>
      <c r="N2101" s="284"/>
      <c r="O2101" s="38"/>
      <c r="P2101" s="38"/>
      <c r="Q2101" s="38"/>
      <c r="R2101" s="38"/>
      <c r="S2101" s="38"/>
      <c r="T2101" s="38"/>
      <c r="U2101" s="38"/>
      <c r="V2101" s="38"/>
      <c r="W2101" s="38"/>
      <c r="X2101" s="38"/>
      <c r="Y2101" s="38"/>
      <c r="Z2101" s="38"/>
      <c r="AA2101" s="38"/>
      <c r="AB2101" s="38"/>
      <c r="AC2101" s="38"/>
      <c r="AD2101" s="38"/>
      <c r="AE2101" s="38"/>
      <c r="AF2101" s="38"/>
      <c r="AG2101" s="38"/>
      <c r="AH2101" s="38"/>
      <c r="AI2101" s="38"/>
      <c r="AJ2101" s="38"/>
      <c r="AK2101" s="38"/>
      <c r="AL2101" s="38"/>
      <c r="AM2101" s="38"/>
      <c r="AN2101" s="38"/>
      <c r="AO2101" s="38"/>
      <c r="AP2101" s="38"/>
      <c r="AQ2101" s="38"/>
      <c r="AR2101" s="38"/>
      <c r="AS2101" s="38"/>
      <c r="AT2101" s="38"/>
      <c r="AU2101" s="38"/>
      <c r="AV2101" s="38"/>
      <c r="AW2101" s="38"/>
      <c r="AX2101" s="38"/>
      <c r="AY2101" s="38"/>
      <c r="AZ2101" s="38"/>
      <c r="BA2101" s="38"/>
      <c r="BB2101" s="38"/>
      <c r="BC2101" s="38"/>
      <c r="BD2101" s="38"/>
      <c r="BE2101" s="38"/>
      <c r="BF2101" s="38"/>
      <c r="BG2101" s="38"/>
      <c r="BH2101" s="38"/>
      <c r="BI2101" s="38"/>
      <c r="BJ2101" s="38"/>
      <c r="BK2101" s="38"/>
      <c r="BL2101" s="38"/>
      <c r="BM2101" s="38"/>
      <c r="BN2101" s="38"/>
      <c r="BO2101" s="38"/>
      <c r="BP2101" s="38"/>
      <c r="BQ2101" s="38"/>
      <c r="BR2101" s="38"/>
      <c r="BS2101" s="38"/>
      <c r="BT2101" s="38"/>
      <c r="BU2101" s="38"/>
      <c r="BV2101" s="38"/>
      <c r="BW2101" s="38"/>
      <c r="BX2101" s="38"/>
      <c r="BY2101" s="38"/>
      <c r="BZ2101" s="38"/>
      <c r="CA2101" s="38"/>
      <c r="CB2101" s="38"/>
      <c r="CC2101" s="38"/>
      <c r="CD2101" s="38"/>
      <c r="CE2101" s="38"/>
      <c r="CF2101" s="38"/>
      <c r="CG2101" s="38"/>
      <c r="CH2101" s="38"/>
      <c r="CI2101" s="38"/>
      <c r="CJ2101" s="38"/>
      <c r="CK2101" s="38"/>
      <c r="CL2101" s="38"/>
      <c r="CM2101" s="38"/>
      <c r="CN2101" s="38"/>
      <c r="CO2101" s="38"/>
      <c r="CP2101" s="38"/>
      <c r="CQ2101" s="38"/>
      <c r="CR2101" s="38"/>
      <c r="CS2101" s="38"/>
      <c r="CT2101" s="38"/>
      <c r="CU2101" s="38"/>
      <c r="CV2101" s="38"/>
      <c r="CW2101" s="38"/>
      <c r="CX2101" s="38"/>
      <c r="CY2101" s="38"/>
      <c r="CZ2101" s="38"/>
      <c r="DA2101" s="38"/>
      <c r="DB2101" s="38"/>
      <c r="DC2101" s="38"/>
      <c r="DD2101" s="38"/>
      <c r="DE2101" s="38"/>
      <c r="DF2101" s="38"/>
      <c r="DG2101" s="38"/>
      <c r="DH2101" s="38"/>
      <c r="DI2101" s="38"/>
      <c r="DJ2101" s="38"/>
      <c r="DK2101" s="38"/>
      <c r="DL2101" s="38"/>
      <c r="DM2101" s="38"/>
      <c r="DN2101" s="38"/>
      <c r="DO2101" s="38"/>
      <c r="DP2101" s="38"/>
      <c r="DQ2101" s="38"/>
      <c r="DR2101" s="38"/>
      <c r="DS2101" s="38"/>
      <c r="DT2101" s="38"/>
      <c r="DU2101" s="38"/>
      <c r="DV2101" s="38"/>
      <c r="DW2101" s="38"/>
      <c r="DX2101" s="38"/>
      <c r="DY2101" s="38"/>
      <c r="DZ2101" s="38"/>
      <c r="EA2101" s="38"/>
      <c r="EB2101" s="38"/>
      <c r="EC2101" s="38"/>
      <c r="ED2101" s="38"/>
      <c r="EE2101" s="38"/>
      <c r="EF2101" s="38"/>
      <c r="EG2101" s="38"/>
      <c r="EH2101" s="38"/>
      <c r="EI2101" s="38"/>
      <c r="EJ2101" s="38"/>
      <c r="EK2101" s="38"/>
      <c r="EL2101" s="38"/>
      <c r="EM2101" s="38"/>
      <c r="EN2101" s="38"/>
      <c r="EO2101" s="38"/>
      <c r="EP2101" s="38"/>
      <c r="EQ2101" s="38"/>
      <c r="ER2101" s="38"/>
      <c r="ES2101" s="38"/>
      <c r="ET2101" s="38"/>
      <c r="EU2101" s="38"/>
      <c r="EV2101" s="38"/>
      <c r="EW2101" s="38"/>
      <c r="EX2101" s="38"/>
      <c r="EY2101" s="38"/>
      <c r="EZ2101" s="38"/>
      <c r="FA2101" s="38"/>
      <c r="FB2101" s="38"/>
      <c r="FC2101" s="38"/>
      <c r="FD2101" s="38"/>
      <c r="FE2101" s="38"/>
      <c r="FF2101" s="38"/>
      <c r="FG2101" s="38"/>
      <c r="FH2101" s="38"/>
      <c r="FI2101" s="38"/>
      <c r="FJ2101" s="38"/>
      <c r="FK2101" s="38"/>
      <c r="FL2101" s="38"/>
      <c r="FM2101" s="38"/>
      <c r="FN2101" s="38"/>
      <c r="FO2101" s="38"/>
      <c r="FP2101" s="38"/>
      <c r="FQ2101" s="38"/>
      <c r="FR2101" s="38"/>
      <c r="FS2101" s="38"/>
      <c r="FT2101" s="38"/>
      <c r="FU2101" s="38"/>
      <c r="FV2101" s="38"/>
      <c r="FW2101" s="38"/>
      <c r="FX2101" s="38"/>
      <c r="FY2101" s="38"/>
      <c r="FZ2101" s="38"/>
      <c r="GA2101" s="38"/>
      <c r="GB2101" s="38"/>
      <c r="GC2101" s="38"/>
      <c r="GD2101" s="38"/>
      <c r="GE2101" s="38"/>
      <c r="GF2101" s="38"/>
      <c r="GG2101" s="38"/>
      <c r="GH2101" s="38"/>
      <c r="GI2101" s="38"/>
      <c r="GJ2101" s="38"/>
      <c r="GK2101" s="38"/>
      <c r="GL2101" s="38"/>
      <c r="GM2101" s="38"/>
      <c r="GN2101" s="38"/>
      <c r="GO2101" s="38"/>
      <c r="GP2101" s="38"/>
      <c r="GQ2101" s="38"/>
      <c r="GR2101" s="38"/>
      <c r="GS2101" s="38"/>
      <c r="GT2101" s="38"/>
      <c r="GU2101" s="38"/>
      <c r="GV2101" s="38"/>
      <c r="GW2101" s="38"/>
      <c r="GX2101" s="38"/>
      <c r="GY2101" s="38"/>
      <c r="GZ2101" s="38"/>
      <c r="HA2101" s="38"/>
      <c r="HB2101" s="38"/>
      <c r="HC2101" s="38"/>
      <c r="HD2101" s="38"/>
      <c r="HE2101" s="38"/>
      <c r="HF2101" s="38"/>
      <c r="HG2101" s="38"/>
      <c r="HH2101" s="38"/>
      <c r="HI2101" s="38"/>
      <c r="HJ2101" s="38"/>
      <c r="HK2101" s="38"/>
      <c r="HL2101" s="38"/>
      <c r="HM2101" s="38"/>
      <c r="HN2101" s="38"/>
      <c r="HO2101" s="38"/>
      <c r="HP2101" s="38"/>
      <c r="HQ2101" s="38"/>
      <c r="HR2101" s="38"/>
      <c r="HS2101" s="38"/>
      <c r="HT2101" s="38"/>
      <c r="HU2101" s="38"/>
      <c r="HV2101" s="38"/>
      <c r="HW2101" s="38"/>
      <c r="HX2101" s="38"/>
      <c r="HY2101" s="38"/>
      <c r="HZ2101" s="38"/>
      <c r="IA2101" s="38"/>
      <c r="IB2101" s="38"/>
      <c r="IC2101" s="38"/>
      <c r="ID2101" s="38"/>
      <c r="IE2101" s="38"/>
      <c r="IF2101" s="38"/>
      <c r="IG2101" s="38"/>
      <c r="IH2101" s="38"/>
      <c r="II2101" s="38"/>
      <c r="IJ2101" s="38"/>
      <c r="IK2101" s="38"/>
      <c r="IL2101" s="38"/>
      <c r="IM2101" s="38"/>
      <c r="IN2101" s="38"/>
      <c r="IO2101" s="38"/>
      <c r="IP2101" s="38"/>
      <c r="IQ2101" s="38"/>
      <c r="IR2101" s="38"/>
      <c r="IS2101" s="38"/>
      <c r="IT2101" s="38"/>
      <c r="IU2101" s="38"/>
      <c r="IV2101" s="38"/>
      <c r="IW2101" s="38"/>
      <c r="IX2101" s="38"/>
      <c r="IY2101" s="38"/>
      <c r="IZ2101" s="38"/>
      <c r="JA2101" s="38"/>
      <c r="JB2101" s="38"/>
      <c r="JC2101" s="38"/>
      <c r="JD2101" s="38"/>
      <c r="JE2101" s="38"/>
      <c r="JF2101" s="38"/>
      <c r="JG2101" s="38"/>
      <c r="JH2101" s="38"/>
      <c r="JI2101" s="38"/>
      <c r="JJ2101" s="38"/>
      <c r="JK2101" s="38"/>
      <c r="JL2101" s="38"/>
      <c r="JM2101" s="38"/>
      <c r="JN2101" s="38"/>
      <c r="JO2101" s="38"/>
      <c r="JP2101" s="38"/>
      <c r="JQ2101" s="38"/>
      <c r="JR2101" s="38"/>
      <c r="JS2101" s="38"/>
      <c r="JT2101" s="38"/>
      <c r="JU2101" s="38"/>
      <c r="JV2101" s="38"/>
      <c r="JW2101" s="38"/>
      <c r="JX2101" s="38"/>
      <c r="JY2101" s="38"/>
      <c r="JZ2101" s="38"/>
      <c r="KA2101" s="38"/>
      <c r="KB2101" s="38"/>
      <c r="KC2101" s="38"/>
      <c r="KD2101" s="38"/>
      <c r="KE2101" s="38"/>
      <c r="KF2101" s="38"/>
      <c r="KG2101" s="38"/>
      <c r="KH2101" s="38"/>
      <c r="KI2101" s="38"/>
      <c r="KJ2101" s="38"/>
      <c r="KK2101" s="38"/>
      <c r="KL2101" s="38"/>
      <c r="KM2101" s="38"/>
      <c r="KN2101" s="38"/>
      <c r="KO2101" s="38"/>
      <c r="KP2101" s="38"/>
      <c r="KQ2101" s="38"/>
      <c r="KR2101" s="38"/>
      <c r="KS2101" s="38"/>
      <c r="KT2101" s="38"/>
      <c r="KU2101" s="38"/>
      <c r="KV2101" s="38"/>
      <c r="KW2101" s="38"/>
      <c r="KX2101" s="38"/>
      <c r="KY2101" s="38"/>
      <c r="KZ2101" s="38"/>
      <c r="LA2101" s="38"/>
      <c r="LB2101" s="38"/>
      <c r="LC2101" s="38"/>
      <c r="LD2101" s="38"/>
      <c r="LE2101" s="38"/>
      <c r="LF2101" s="38"/>
      <c r="LG2101" s="38"/>
      <c r="LH2101" s="38"/>
      <c r="LI2101" s="38"/>
      <c r="LJ2101" s="38"/>
      <c r="LK2101" s="38"/>
      <c r="LL2101" s="38"/>
      <c r="LM2101" s="38"/>
      <c r="LN2101" s="38"/>
      <c r="LO2101" s="38"/>
      <c r="LP2101" s="38"/>
      <c r="LQ2101" s="38"/>
      <c r="LR2101" s="38"/>
      <c r="LS2101" s="38"/>
      <c r="LT2101" s="38"/>
      <c r="LU2101" s="38"/>
      <c r="LV2101" s="38"/>
      <c r="LW2101" s="38"/>
      <c r="LX2101" s="38"/>
      <c r="LY2101" s="38"/>
      <c r="LZ2101" s="38"/>
      <c r="MA2101" s="38"/>
      <c r="MB2101" s="38"/>
      <c r="MC2101" s="38"/>
      <c r="MD2101" s="38"/>
      <c r="ME2101" s="38"/>
      <c r="MF2101" s="38"/>
      <c r="MG2101" s="38"/>
      <c r="MH2101" s="38"/>
      <c r="MI2101" s="38"/>
      <c r="MJ2101" s="38"/>
      <c r="MK2101" s="38"/>
      <c r="ML2101" s="38"/>
      <c r="MM2101" s="38"/>
      <c r="MN2101" s="38"/>
      <c r="MO2101" s="38"/>
      <c r="MP2101" s="38"/>
      <c r="MQ2101" s="38"/>
      <c r="MR2101" s="38"/>
      <c r="MS2101" s="38"/>
      <c r="MT2101" s="38"/>
      <c r="MU2101" s="38"/>
      <c r="MV2101" s="38"/>
      <c r="MW2101" s="38"/>
      <c r="MX2101" s="38"/>
      <c r="MY2101" s="38"/>
      <c r="MZ2101" s="38"/>
      <c r="NA2101" s="38"/>
      <c r="NB2101" s="38"/>
      <c r="NC2101" s="38"/>
      <c r="ND2101" s="38"/>
      <c r="NE2101" s="38"/>
      <c r="NF2101" s="38"/>
      <c r="NG2101" s="38"/>
      <c r="NH2101" s="38"/>
      <c r="NI2101" s="38"/>
      <c r="NJ2101" s="38"/>
      <c r="NK2101" s="38"/>
      <c r="NL2101" s="38"/>
      <c r="NM2101" s="38"/>
      <c r="NN2101" s="38"/>
      <c r="NO2101" s="38"/>
      <c r="NP2101" s="38"/>
      <c r="NQ2101" s="38"/>
      <c r="NR2101" s="38"/>
      <c r="NS2101" s="38"/>
      <c r="NT2101" s="38"/>
      <c r="NU2101" s="38"/>
      <c r="NV2101" s="38"/>
      <c r="NW2101" s="38"/>
      <c r="NX2101" s="38"/>
      <c r="NY2101" s="38"/>
      <c r="NZ2101" s="38"/>
      <c r="OA2101" s="38"/>
      <c r="OB2101" s="38"/>
      <c r="OC2101" s="38"/>
      <c r="OD2101" s="38"/>
      <c r="OE2101" s="38"/>
      <c r="OF2101" s="38"/>
      <c r="OG2101" s="38"/>
      <c r="OH2101" s="38"/>
      <c r="OI2101" s="38"/>
      <c r="OJ2101" s="38"/>
      <c r="OK2101" s="38"/>
      <c r="OL2101" s="38"/>
      <c r="OM2101" s="38"/>
      <c r="ON2101" s="38"/>
      <c r="OO2101" s="38"/>
      <c r="OP2101" s="38"/>
      <c r="OQ2101" s="38"/>
      <c r="OR2101" s="38"/>
      <c r="OS2101" s="38"/>
      <c r="OT2101" s="38"/>
      <c r="OU2101" s="38"/>
      <c r="OV2101" s="38"/>
      <c r="OW2101" s="38"/>
      <c r="OX2101" s="38"/>
      <c r="OY2101" s="38"/>
      <c r="OZ2101" s="38"/>
      <c r="PA2101" s="38"/>
      <c r="PB2101" s="38"/>
      <c r="PC2101" s="38"/>
      <c r="PD2101" s="38"/>
      <c r="PE2101" s="38"/>
      <c r="PF2101" s="38"/>
      <c r="PG2101" s="38"/>
      <c r="PH2101" s="38"/>
      <c r="PI2101" s="38"/>
      <c r="PJ2101" s="38"/>
      <c r="PK2101" s="38"/>
      <c r="PL2101" s="38"/>
      <c r="PM2101" s="38"/>
      <c r="PN2101" s="38"/>
      <c r="PO2101" s="38"/>
      <c r="PP2101" s="38"/>
      <c r="PQ2101" s="38"/>
      <c r="PR2101" s="38"/>
      <c r="PS2101" s="38"/>
      <c r="PT2101" s="38"/>
      <c r="PU2101" s="38"/>
      <c r="PV2101" s="38"/>
      <c r="PW2101" s="38"/>
      <c r="PX2101" s="38"/>
      <c r="PY2101" s="38"/>
      <c r="PZ2101" s="38"/>
      <c r="QA2101" s="38"/>
      <c r="QB2101" s="38"/>
      <c r="QC2101" s="38"/>
      <c r="QD2101" s="38"/>
      <c r="QE2101" s="38"/>
      <c r="QF2101" s="38"/>
      <c r="QG2101" s="38"/>
      <c r="QH2101" s="38"/>
      <c r="QI2101" s="38"/>
      <c r="QJ2101" s="38"/>
      <c r="QK2101" s="38"/>
      <c r="QL2101" s="38"/>
      <c r="QM2101" s="38"/>
      <c r="QN2101" s="38"/>
      <c r="QO2101" s="38"/>
      <c r="QP2101" s="38"/>
      <c r="QQ2101" s="38"/>
      <c r="QR2101" s="38"/>
      <c r="QS2101" s="38"/>
      <c r="QT2101" s="38"/>
      <c r="QU2101" s="38"/>
      <c r="QV2101" s="38"/>
      <c r="QW2101" s="38"/>
      <c r="QX2101" s="38"/>
      <c r="QY2101" s="38"/>
      <c r="QZ2101" s="38"/>
      <c r="RA2101" s="38"/>
      <c r="RB2101" s="38"/>
      <c r="RC2101" s="38"/>
      <c r="RD2101" s="38"/>
      <c r="RE2101" s="38"/>
      <c r="RF2101" s="38"/>
      <c r="RG2101" s="38"/>
      <c r="RH2101" s="38"/>
      <c r="RI2101" s="38"/>
      <c r="RJ2101" s="38"/>
      <c r="RK2101" s="38"/>
      <c r="RL2101" s="38"/>
      <c r="RM2101" s="38"/>
      <c r="RN2101" s="38"/>
      <c r="RO2101" s="38"/>
      <c r="RP2101" s="38"/>
      <c r="RQ2101" s="38"/>
      <c r="RR2101" s="38"/>
      <c r="RS2101" s="38"/>
      <c r="RT2101" s="38"/>
      <c r="RU2101" s="38"/>
      <c r="RV2101" s="38"/>
      <c r="RW2101" s="38"/>
      <c r="RX2101" s="38"/>
      <c r="RY2101" s="38"/>
      <c r="RZ2101" s="38"/>
      <c r="SA2101" s="38"/>
      <c r="SB2101" s="38"/>
      <c r="SC2101" s="38"/>
      <c r="SD2101" s="38"/>
      <c r="SE2101" s="38"/>
      <c r="SF2101" s="38"/>
      <c r="SG2101" s="38"/>
      <c r="SH2101" s="38"/>
      <c r="SI2101" s="38"/>
      <c r="SJ2101" s="38"/>
      <c r="SK2101" s="38"/>
      <c r="SL2101" s="38"/>
      <c r="SM2101" s="38"/>
      <c r="SN2101" s="38"/>
      <c r="SO2101" s="38"/>
      <c r="SP2101" s="38"/>
      <c r="SQ2101" s="38"/>
      <c r="SR2101" s="38"/>
      <c r="SS2101" s="38"/>
      <c r="ST2101" s="38"/>
      <c r="SU2101" s="38"/>
      <c r="SV2101" s="38"/>
      <c r="SW2101" s="38"/>
      <c r="SX2101" s="38"/>
      <c r="SY2101" s="38"/>
      <c r="SZ2101" s="38"/>
      <c r="TA2101" s="38"/>
      <c r="TB2101" s="38"/>
      <c r="TC2101" s="38"/>
      <c r="TD2101" s="38"/>
      <c r="TE2101" s="38"/>
      <c r="TF2101" s="38"/>
      <c r="TG2101" s="38"/>
      <c r="TH2101" s="38"/>
      <c r="TI2101" s="38"/>
      <c r="TJ2101" s="38"/>
      <c r="TK2101" s="38"/>
      <c r="TL2101" s="38"/>
      <c r="TM2101" s="38"/>
      <c r="TN2101" s="38"/>
      <c r="TO2101" s="38"/>
      <c r="TP2101" s="38"/>
      <c r="TQ2101" s="38"/>
      <c r="TR2101" s="38"/>
      <c r="TS2101" s="38"/>
      <c r="TT2101" s="38"/>
      <c r="TU2101" s="38"/>
      <c r="TV2101" s="38"/>
      <c r="TW2101" s="38"/>
      <c r="TX2101" s="38"/>
      <c r="TY2101" s="38"/>
      <c r="TZ2101" s="38"/>
      <c r="UA2101" s="38"/>
      <c r="UB2101" s="38"/>
      <c r="UC2101" s="38"/>
      <c r="UD2101" s="38"/>
      <c r="UE2101" s="38"/>
      <c r="UF2101" s="38"/>
      <c r="UG2101" s="38"/>
      <c r="UH2101" s="38"/>
      <c r="UI2101" s="38"/>
      <c r="UJ2101" s="38"/>
      <c r="UK2101" s="38"/>
      <c r="UL2101" s="38"/>
      <c r="UM2101" s="38"/>
      <c r="UN2101" s="38"/>
      <c r="UO2101" s="38"/>
      <c r="UP2101" s="38"/>
      <c r="UQ2101" s="38"/>
      <c r="UR2101" s="38"/>
      <c r="US2101" s="38"/>
      <c r="UT2101" s="38"/>
      <c r="UU2101" s="38"/>
      <c r="UV2101" s="38"/>
      <c r="UW2101" s="38"/>
      <c r="UX2101" s="38"/>
      <c r="UY2101" s="38"/>
      <c r="UZ2101" s="38"/>
      <c r="VA2101" s="38"/>
      <c r="VB2101" s="38"/>
      <c r="VC2101" s="38"/>
      <c r="VD2101" s="38"/>
      <c r="VE2101" s="38"/>
      <c r="VF2101" s="38"/>
      <c r="VG2101" s="38"/>
      <c r="VH2101" s="38"/>
      <c r="VI2101" s="38"/>
      <c r="VJ2101" s="38"/>
      <c r="VK2101" s="38"/>
      <c r="VL2101" s="38"/>
      <c r="VM2101" s="38"/>
      <c r="VN2101" s="38"/>
      <c r="VO2101" s="38"/>
      <c r="VP2101" s="38"/>
      <c r="VQ2101" s="38"/>
      <c r="VR2101" s="38"/>
      <c r="VS2101" s="38"/>
      <c r="VT2101" s="38"/>
      <c r="VU2101" s="38"/>
      <c r="VV2101" s="38"/>
      <c r="VW2101" s="38"/>
      <c r="VX2101" s="38"/>
      <c r="VY2101" s="38"/>
      <c r="VZ2101" s="38"/>
      <c r="WA2101" s="38"/>
      <c r="WB2101" s="38"/>
      <c r="WC2101" s="38"/>
      <c r="WD2101" s="38"/>
      <c r="WE2101" s="38"/>
      <c r="WF2101" s="38"/>
      <c r="WG2101" s="38"/>
      <c r="WH2101" s="38"/>
      <c r="WI2101" s="38"/>
      <c r="WJ2101" s="38"/>
      <c r="WK2101" s="38"/>
      <c r="WL2101" s="38"/>
      <c r="WM2101" s="38"/>
      <c r="WN2101" s="38"/>
      <c r="WO2101" s="38"/>
      <c r="WP2101" s="38"/>
      <c r="WQ2101" s="38"/>
      <c r="WR2101" s="38"/>
      <c r="WS2101" s="38"/>
      <c r="WT2101" s="38"/>
      <c r="WU2101" s="38"/>
      <c r="WV2101" s="38"/>
      <c r="WW2101" s="38"/>
      <c r="WX2101" s="38"/>
      <c r="WY2101" s="38"/>
      <c r="WZ2101" s="38"/>
      <c r="XA2101" s="38"/>
      <c r="XB2101" s="38"/>
      <c r="XC2101" s="38"/>
      <c r="XD2101" s="38"/>
      <c r="XE2101" s="38"/>
      <c r="XF2101" s="38"/>
      <c r="XG2101" s="38"/>
      <c r="XH2101" s="38"/>
      <c r="XI2101" s="38"/>
      <c r="XJ2101" s="38"/>
      <c r="XK2101" s="38"/>
      <c r="XL2101" s="38"/>
      <c r="XM2101" s="38"/>
      <c r="XN2101" s="38"/>
      <c r="XO2101" s="38"/>
      <c r="XP2101" s="38"/>
      <c r="XQ2101" s="38"/>
      <c r="XR2101" s="38"/>
      <c r="XS2101" s="38"/>
      <c r="XT2101" s="38"/>
      <c r="XU2101" s="38"/>
      <c r="XV2101" s="38"/>
      <c r="XW2101" s="38"/>
      <c r="XX2101" s="38"/>
      <c r="XY2101" s="38"/>
      <c r="XZ2101" s="38"/>
      <c r="YA2101" s="38"/>
      <c r="YB2101" s="38"/>
      <c r="YC2101" s="38"/>
      <c r="YD2101" s="38"/>
      <c r="YE2101" s="38"/>
      <c r="YF2101" s="38"/>
      <c r="YG2101" s="38"/>
      <c r="YH2101" s="38"/>
      <c r="YI2101" s="38"/>
      <c r="YJ2101" s="38"/>
      <c r="YK2101" s="38"/>
      <c r="YL2101" s="38"/>
      <c r="YM2101" s="38"/>
      <c r="YN2101" s="38"/>
      <c r="YO2101" s="38"/>
      <c r="YP2101" s="38"/>
      <c r="YQ2101" s="38"/>
      <c r="YR2101" s="38"/>
      <c r="YS2101" s="38"/>
      <c r="YT2101" s="38"/>
      <c r="YU2101" s="38"/>
      <c r="YV2101" s="38"/>
      <c r="YW2101" s="38"/>
      <c r="YX2101" s="38"/>
      <c r="YY2101" s="38"/>
      <c r="YZ2101" s="38"/>
      <c r="ZA2101" s="38"/>
      <c r="ZB2101" s="38"/>
      <c r="ZC2101" s="38"/>
      <c r="ZD2101" s="38"/>
      <c r="ZE2101" s="38"/>
      <c r="ZF2101" s="38"/>
      <c r="ZG2101" s="38"/>
      <c r="ZH2101" s="38"/>
      <c r="ZI2101" s="38"/>
      <c r="ZJ2101" s="38"/>
      <c r="ZK2101" s="38"/>
      <c r="ZL2101" s="38"/>
      <c r="ZM2101" s="38"/>
      <c r="ZN2101" s="38"/>
      <c r="ZO2101" s="38"/>
      <c r="ZP2101" s="38"/>
      <c r="ZQ2101" s="38"/>
      <c r="ZR2101" s="38"/>
      <c r="ZS2101" s="38"/>
      <c r="ZT2101" s="38"/>
      <c r="ZU2101" s="38"/>
      <c r="ZV2101" s="38"/>
      <c r="ZW2101" s="38"/>
      <c r="ZX2101" s="38"/>
      <c r="ZY2101" s="38"/>
      <c r="ZZ2101" s="38"/>
      <c r="AAA2101" s="38"/>
      <c r="AAB2101" s="38"/>
      <c r="AAC2101" s="38"/>
      <c r="AAD2101" s="38"/>
      <c r="AAE2101" s="38"/>
      <c r="AAF2101" s="38"/>
      <c r="AAG2101" s="38"/>
      <c r="AAH2101" s="38"/>
      <c r="AAI2101" s="38"/>
      <c r="AAJ2101" s="38"/>
      <c r="AAK2101" s="38"/>
      <c r="AAL2101" s="38"/>
      <c r="AAM2101" s="38"/>
      <c r="AAN2101" s="38"/>
      <c r="AAO2101" s="38"/>
      <c r="AAP2101" s="38"/>
      <c r="AAQ2101" s="38"/>
      <c r="AAR2101" s="38"/>
      <c r="AAS2101" s="38"/>
      <c r="AAT2101" s="38"/>
      <c r="AAU2101" s="38"/>
      <c r="AAV2101" s="38"/>
      <c r="AAW2101" s="38"/>
      <c r="AAX2101" s="38"/>
      <c r="AAY2101" s="38"/>
      <c r="AAZ2101" s="38"/>
      <c r="ABA2101" s="38"/>
      <c r="ABB2101" s="38"/>
      <c r="ABC2101" s="38"/>
      <c r="ABD2101" s="38"/>
      <c r="ABE2101" s="38"/>
      <c r="ABF2101" s="38"/>
      <c r="ABG2101" s="38"/>
      <c r="ABH2101" s="38"/>
      <c r="ABI2101" s="38"/>
      <c r="ABJ2101" s="38"/>
      <c r="ABK2101" s="38"/>
      <c r="ABL2101" s="38"/>
      <c r="ABM2101" s="38"/>
      <c r="ABN2101" s="38"/>
      <c r="ABO2101" s="38"/>
      <c r="ABP2101" s="38"/>
      <c r="ABQ2101" s="38"/>
      <c r="ABR2101" s="38"/>
      <c r="ABS2101" s="38"/>
      <c r="ABT2101" s="38"/>
      <c r="ABU2101" s="38"/>
      <c r="ABV2101" s="38"/>
      <c r="ABW2101" s="38"/>
      <c r="ABX2101" s="38"/>
      <c r="ABY2101" s="38"/>
      <c r="ABZ2101" s="38"/>
      <c r="ACA2101" s="38"/>
      <c r="ACB2101" s="38"/>
      <c r="ACC2101" s="38"/>
      <c r="ACD2101" s="38"/>
      <c r="ACE2101" s="38"/>
      <c r="ACF2101" s="38"/>
      <c r="ACG2101" s="38"/>
      <c r="ACH2101" s="38"/>
      <c r="ACI2101" s="38"/>
      <c r="ACJ2101" s="38"/>
      <c r="ACK2101" s="38"/>
      <c r="ACL2101" s="38"/>
      <c r="ACM2101" s="38"/>
      <c r="ACN2101" s="38"/>
      <c r="ACO2101" s="38"/>
      <c r="ACP2101" s="38"/>
      <c r="ACQ2101" s="38"/>
      <c r="ACR2101" s="38"/>
      <c r="ACS2101" s="38"/>
      <c r="ACT2101" s="38"/>
      <c r="ACU2101" s="38"/>
      <c r="ACV2101" s="38"/>
      <c r="ACW2101" s="38"/>
      <c r="ACX2101" s="38"/>
      <c r="ACY2101" s="38"/>
      <c r="ACZ2101" s="38"/>
      <c r="ADA2101" s="38"/>
      <c r="ADB2101" s="38"/>
      <c r="ADC2101" s="38"/>
      <c r="ADD2101" s="38"/>
      <c r="ADE2101" s="38"/>
      <c r="ADF2101" s="38"/>
      <c r="ADG2101" s="38"/>
      <c r="ADH2101" s="38"/>
      <c r="ADI2101" s="38"/>
      <c r="ADJ2101" s="38"/>
      <c r="ADK2101" s="38"/>
      <c r="ADL2101" s="38"/>
      <c r="ADM2101" s="38"/>
      <c r="ADN2101" s="38"/>
      <c r="ADO2101" s="38"/>
      <c r="ADP2101" s="38"/>
      <c r="ADQ2101" s="38"/>
      <c r="ADR2101" s="38"/>
      <c r="ADS2101" s="38"/>
      <c r="ADT2101" s="38"/>
      <c r="ADU2101" s="38"/>
      <c r="ADV2101" s="38"/>
      <c r="ADW2101" s="38"/>
      <c r="ADX2101" s="38"/>
      <c r="ADY2101" s="38"/>
      <c r="ADZ2101" s="38"/>
      <c r="AEA2101" s="38"/>
      <c r="AEB2101" s="38"/>
      <c r="AEC2101" s="38"/>
      <c r="AED2101" s="38"/>
      <c r="AEE2101" s="38"/>
      <c r="AEF2101" s="38"/>
      <c r="AEG2101" s="38"/>
      <c r="AEH2101" s="38"/>
      <c r="AEI2101" s="38"/>
      <c r="AEJ2101" s="38"/>
      <c r="AEK2101" s="38"/>
      <c r="AEL2101" s="38"/>
      <c r="AEM2101" s="38"/>
      <c r="AEN2101" s="38"/>
      <c r="AEO2101" s="38"/>
      <c r="AEP2101" s="38"/>
      <c r="AEQ2101" s="38"/>
      <c r="AER2101" s="38"/>
      <c r="AES2101" s="38"/>
      <c r="AET2101" s="38"/>
      <c r="AEU2101" s="38"/>
      <c r="AEV2101" s="38"/>
      <c r="AEW2101" s="38"/>
      <c r="AEX2101" s="38"/>
      <c r="AEY2101" s="38"/>
      <c r="AEZ2101" s="38"/>
      <c r="AFA2101" s="38"/>
      <c r="AFB2101" s="38"/>
      <c r="AFC2101" s="38"/>
      <c r="AFD2101" s="38"/>
      <c r="AFE2101" s="38"/>
      <c r="AFF2101" s="38"/>
      <c r="AFG2101" s="38"/>
      <c r="AFH2101" s="38"/>
      <c r="AFI2101" s="38"/>
      <c r="AFJ2101" s="38"/>
      <c r="AFK2101" s="38"/>
      <c r="AFL2101" s="38"/>
      <c r="AFM2101" s="38"/>
      <c r="AFN2101" s="38"/>
      <c r="AFO2101" s="38"/>
      <c r="AFP2101" s="38"/>
      <c r="AFQ2101" s="38"/>
      <c r="AFR2101" s="38"/>
      <c r="AFS2101" s="38"/>
      <c r="AFT2101" s="38"/>
      <c r="AFU2101" s="38"/>
      <c r="AFV2101" s="38"/>
      <c r="AFW2101" s="38"/>
      <c r="AFX2101" s="38"/>
      <c r="AFY2101" s="38"/>
      <c r="AFZ2101" s="38"/>
      <c r="AGA2101" s="38"/>
      <c r="AGB2101" s="38"/>
      <c r="AGC2101" s="38"/>
      <c r="AGD2101" s="38"/>
      <c r="AGE2101" s="38"/>
      <c r="AGF2101" s="38"/>
      <c r="AGG2101" s="38"/>
      <c r="AGH2101" s="38"/>
      <c r="AGI2101" s="38"/>
      <c r="AGJ2101" s="38"/>
      <c r="AGK2101" s="38"/>
      <c r="AGL2101" s="38"/>
      <c r="AGM2101" s="38"/>
      <c r="AGN2101" s="38"/>
      <c r="AGO2101" s="38"/>
      <c r="AGP2101" s="38"/>
      <c r="AGQ2101" s="38"/>
      <c r="AGR2101" s="38"/>
      <c r="AGS2101" s="38"/>
      <c r="AGT2101" s="38"/>
      <c r="AGU2101" s="38"/>
      <c r="AGV2101" s="38"/>
      <c r="AGW2101" s="38"/>
      <c r="AGX2101" s="38"/>
      <c r="AGY2101" s="38"/>
      <c r="AGZ2101" s="38"/>
      <c r="AHA2101" s="38"/>
      <c r="AHB2101" s="38"/>
      <c r="AHC2101" s="38"/>
      <c r="AHD2101" s="38"/>
      <c r="AHE2101" s="38"/>
      <c r="AHF2101" s="38"/>
      <c r="AHG2101" s="38"/>
      <c r="AHH2101" s="38"/>
      <c r="AHI2101" s="38"/>
      <c r="AHJ2101" s="38"/>
      <c r="AHK2101" s="38"/>
      <c r="AHL2101" s="38"/>
      <c r="AHM2101" s="38"/>
      <c r="AHN2101" s="38"/>
      <c r="AHO2101" s="38"/>
      <c r="AHP2101" s="38"/>
      <c r="AHQ2101" s="38"/>
      <c r="AHR2101" s="38"/>
      <c r="AHS2101" s="38"/>
      <c r="AHT2101" s="38"/>
      <c r="AHU2101" s="38"/>
      <c r="AHV2101" s="38"/>
      <c r="AHW2101" s="38"/>
      <c r="AHX2101" s="38"/>
      <c r="AHY2101" s="38"/>
      <c r="AHZ2101" s="38"/>
      <c r="AIA2101" s="38"/>
      <c r="AIB2101" s="38"/>
      <c r="AIC2101" s="38"/>
      <c r="AID2101" s="38"/>
      <c r="AIE2101" s="38"/>
      <c r="AIF2101" s="38"/>
      <c r="AIG2101" s="38"/>
      <c r="AIH2101" s="38"/>
      <c r="AII2101" s="38"/>
      <c r="AIJ2101" s="38"/>
      <c r="AIK2101" s="38"/>
      <c r="AIL2101" s="38"/>
      <c r="AIM2101" s="38"/>
      <c r="AIN2101" s="38"/>
      <c r="AIO2101" s="38"/>
      <c r="AIP2101" s="38"/>
      <c r="AIQ2101" s="38"/>
      <c r="AIR2101" s="38"/>
      <c r="AIS2101" s="38"/>
      <c r="AIT2101" s="38"/>
      <c r="AIU2101" s="38"/>
      <c r="AIV2101" s="38"/>
      <c r="AIW2101" s="38"/>
      <c r="AIX2101" s="38"/>
      <c r="AIY2101" s="38"/>
      <c r="AIZ2101" s="38"/>
      <c r="AJA2101" s="38"/>
      <c r="AJB2101" s="38"/>
      <c r="AJC2101" s="38"/>
      <c r="AJD2101" s="38"/>
      <c r="AJE2101" s="38"/>
      <c r="AJF2101" s="38"/>
      <c r="AJG2101" s="38"/>
      <c r="AJH2101" s="38"/>
      <c r="AJI2101" s="38"/>
      <c r="AJJ2101" s="38"/>
      <c r="AJK2101" s="38"/>
      <c r="AJL2101" s="38"/>
      <c r="AJM2101" s="38"/>
      <c r="AJN2101" s="38"/>
      <c r="AJO2101" s="38"/>
      <c r="AJP2101" s="38"/>
      <c r="AJQ2101" s="38"/>
      <c r="AJR2101" s="38"/>
      <c r="AJS2101" s="38"/>
      <c r="AJT2101" s="38"/>
      <c r="AJU2101" s="38"/>
      <c r="AJV2101" s="38"/>
      <c r="AJW2101" s="38"/>
      <c r="AJX2101" s="38"/>
      <c r="AJY2101" s="38"/>
      <c r="AJZ2101" s="38"/>
      <c r="AKA2101" s="38"/>
      <c r="AKB2101" s="38"/>
      <c r="AKC2101" s="38"/>
      <c r="AKD2101" s="38"/>
      <c r="AKE2101" s="38"/>
      <c r="AKF2101" s="38"/>
      <c r="AKG2101" s="38"/>
      <c r="AKH2101" s="38"/>
      <c r="AKI2101" s="38"/>
      <c r="AKJ2101" s="38"/>
      <c r="AKK2101" s="38"/>
      <c r="AKL2101" s="38"/>
      <c r="AKM2101" s="38"/>
      <c r="AKN2101" s="38"/>
      <c r="AKO2101" s="38"/>
      <c r="AKP2101" s="38"/>
      <c r="AKQ2101" s="38"/>
      <c r="AKR2101" s="38"/>
      <c r="AKS2101" s="38"/>
      <c r="AKT2101" s="38"/>
      <c r="AKU2101" s="38"/>
      <c r="AKV2101" s="38"/>
      <c r="AKW2101" s="38"/>
      <c r="AKX2101" s="38"/>
      <c r="AKY2101" s="38"/>
      <c r="AKZ2101" s="38"/>
      <c r="ALA2101" s="38"/>
      <c r="ALB2101" s="38"/>
      <c r="ALC2101" s="38"/>
      <c r="ALD2101" s="38"/>
      <c r="ALE2101" s="38"/>
      <c r="ALF2101" s="38"/>
      <c r="ALG2101" s="38"/>
      <c r="ALH2101" s="38"/>
      <c r="ALI2101" s="38"/>
      <c r="ALJ2101" s="38"/>
      <c r="ALK2101" s="38"/>
      <c r="ALL2101" s="38"/>
      <c r="ALM2101" s="38"/>
      <c r="ALN2101" s="38"/>
      <c r="ALO2101" s="38"/>
      <c r="ALP2101" s="38"/>
      <c r="ALQ2101" s="38"/>
      <c r="ALR2101" s="38"/>
      <c r="ALS2101" s="38"/>
      <c r="ALT2101" s="38"/>
      <c r="ALU2101" s="38"/>
      <c r="ALV2101" s="38"/>
      <c r="ALW2101" s="38"/>
      <c r="ALX2101" s="38"/>
      <c r="ALY2101" s="38"/>
      <c r="ALZ2101" s="38"/>
      <c r="AMA2101" s="38"/>
      <c r="AMB2101" s="38"/>
      <c r="AMC2101" s="38"/>
      <c r="AMD2101" s="38"/>
      <c r="AME2101" s="38"/>
      <c r="AMF2101" s="38"/>
      <c r="AMG2101" s="38"/>
      <c r="AMH2101" s="38"/>
      <c r="AMI2101" s="38"/>
      <c r="AMJ2101" s="38"/>
      <c r="AMK2101" s="38"/>
      <c r="AML2101" s="38"/>
      <c r="AMM2101" s="38"/>
      <c r="AMN2101" s="38"/>
      <c r="AMO2101" s="38"/>
      <c r="AMP2101" s="38"/>
      <c r="AMQ2101" s="38"/>
      <c r="AMR2101" s="38"/>
      <c r="AMS2101" s="38"/>
      <c r="AMT2101" s="38"/>
      <c r="AMU2101" s="38"/>
      <c r="AMV2101" s="38"/>
      <c r="AMW2101" s="38"/>
      <c r="AMX2101" s="38"/>
      <c r="AMY2101" s="38"/>
      <c r="AMZ2101" s="38"/>
      <c r="ANA2101" s="38"/>
      <c r="ANB2101" s="38"/>
      <c r="ANC2101" s="38"/>
      <c r="AND2101" s="38"/>
      <c r="ANE2101" s="38"/>
      <c r="ANF2101" s="38"/>
      <c r="ANG2101" s="38"/>
      <c r="ANH2101" s="38"/>
      <c r="ANI2101" s="38"/>
      <c r="ANJ2101" s="38"/>
      <c r="ANK2101" s="38"/>
      <c r="ANL2101" s="38"/>
      <c r="ANM2101" s="38"/>
      <c r="ANN2101" s="38"/>
      <c r="ANO2101" s="38"/>
      <c r="ANP2101" s="38"/>
      <c r="ANQ2101" s="38"/>
      <c r="ANR2101" s="38"/>
      <c r="ANS2101" s="38"/>
      <c r="ANT2101" s="38"/>
      <c r="ANU2101" s="38"/>
      <c r="ANV2101" s="38"/>
      <c r="ANW2101" s="38"/>
      <c r="ANX2101" s="38"/>
      <c r="ANY2101" s="38"/>
      <c r="ANZ2101" s="38"/>
      <c r="AOA2101" s="38"/>
      <c r="AOB2101" s="38"/>
      <c r="AOC2101" s="38"/>
      <c r="AOD2101" s="38"/>
      <c r="AOE2101" s="38"/>
      <c r="AOF2101" s="38"/>
      <c r="AOG2101" s="38"/>
      <c r="AOH2101" s="38"/>
      <c r="AOI2101" s="38"/>
      <c r="AOJ2101" s="38"/>
      <c r="AOK2101" s="38"/>
      <c r="AOL2101" s="38"/>
      <c r="AOM2101" s="38"/>
      <c r="AON2101" s="38"/>
      <c r="AOO2101" s="38"/>
      <c r="AOP2101" s="38"/>
      <c r="AOQ2101" s="38"/>
      <c r="AOR2101" s="38"/>
      <c r="AOS2101" s="38"/>
      <c r="AOT2101" s="38"/>
      <c r="AOU2101" s="38"/>
      <c r="AOV2101" s="38"/>
      <c r="AOW2101" s="38"/>
      <c r="AOX2101" s="38"/>
      <c r="AOY2101" s="38"/>
      <c r="AOZ2101" s="38"/>
      <c r="APA2101" s="38"/>
      <c r="APB2101" s="38"/>
      <c r="APC2101" s="38"/>
    </row>
    <row r="2102" spans="1:1095" s="36" customFormat="1" ht="14.25" customHeight="1">
      <c r="A2102" s="3" t="s">
        <v>1722</v>
      </c>
      <c r="B2102" s="36" t="s">
        <v>2498</v>
      </c>
      <c r="C2102" s="10">
        <v>4099854091063</v>
      </c>
      <c r="D2102" s="224">
        <v>4058075761513</v>
      </c>
      <c r="E2102" s="245" t="s">
        <v>2499</v>
      </c>
      <c r="F2102" s="246"/>
      <c r="G2102" s="66" t="str">
        <f>HYPERLINK("https://ledvance.com/pt/product-datasheet/275560/247060","Ficha de Produto")</f>
        <v>Ficha de Produto</v>
      </c>
      <c r="H2102" s="217">
        <v>4</v>
      </c>
      <c r="I2102" s="34" t="s">
        <v>6354</v>
      </c>
      <c r="J2102" s="34" t="s">
        <v>6363</v>
      </c>
      <c r="K2102" s="34" t="s">
        <v>788</v>
      </c>
      <c r="L2102" s="34" t="s">
        <v>793</v>
      </c>
      <c r="M2102" s="247">
        <v>38.400000000000006</v>
      </c>
      <c r="N2102" s="288" t="s">
        <v>722</v>
      </c>
    </row>
    <row r="2103" spans="1:1095" s="36" customFormat="1" ht="14.25" customHeight="1">
      <c r="A2103" s="3" t="s">
        <v>1722</v>
      </c>
      <c r="B2103" s="36" t="s">
        <v>2500</v>
      </c>
      <c r="C2103" s="10">
        <v>4099854091087</v>
      </c>
      <c r="D2103" s="224">
        <v>4058075761537</v>
      </c>
      <c r="E2103" s="245" t="s">
        <v>2501</v>
      </c>
      <c r="F2103" s="246"/>
      <c r="G2103" s="66" t="str">
        <f>HYPERLINK("https://ledvance.com/pt/product-datasheet/275560/247063","Ficha de Produto")</f>
        <v>Ficha de Produto</v>
      </c>
      <c r="H2103" s="217">
        <v>4</v>
      </c>
      <c r="I2103" s="34" t="s">
        <v>6349</v>
      </c>
      <c r="J2103" s="34" t="s">
        <v>6382</v>
      </c>
      <c r="K2103" s="34" t="s">
        <v>788</v>
      </c>
      <c r="L2103" s="34" t="s">
        <v>793</v>
      </c>
      <c r="M2103" s="247">
        <v>41.5</v>
      </c>
      <c r="N2103" s="288" t="s">
        <v>722</v>
      </c>
    </row>
    <row r="2104" spans="1:1095" s="36" customFormat="1" ht="14.25" customHeight="1">
      <c r="A2104" s="3" t="s">
        <v>1722</v>
      </c>
      <c r="B2104" s="36" t="s">
        <v>2502</v>
      </c>
      <c r="C2104" s="10">
        <v>4099854090844</v>
      </c>
      <c r="D2104" s="224">
        <v>4058075761711</v>
      </c>
      <c r="E2104" s="245" t="s">
        <v>2503</v>
      </c>
      <c r="F2104" s="246"/>
      <c r="G2104" s="66" t="str">
        <f>HYPERLINK("https://ledvance.com/pt/product-datasheet/275559/246974","Ficha de Produto")</f>
        <v>Ficha de Produto</v>
      </c>
      <c r="H2104" s="217">
        <v>4</v>
      </c>
      <c r="I2104" s="34" t="s">
        <v>6354</v>
      </c>
      <c r="J2104" s="34" t="s">
        <v>6363</v>
      </c>
      <c r="K2104" s="34" t="s">
        <v>788</v>
      </c>
      <c r="L2104" s="34" t="s">
        <v>793</v>
      </c>
      <c r="M2104" s="247">
        <v>38.6</v>
      </c>
      <c r="N2104" s="288" t="s">
        <v>722</v>
      </c>
    </row>
    <row r="2105" spans="1:1095" s="36" customFormat="1" ht="14.25" customHeight="1">
      <c r="A2105" s="3" t="s">
        <v>1722</v>
      </c>
      <c r="B2105" s="36" t="s">
        <v>2504</v>
      </c>
      <c r="C2105" s="10">
        <v>4099854090943</v>
      </c>
      <c r="D2105" s="224">
        <v>4058075761735</v>
      </c>
      <c r="E2105" s="245" t="s">
        <v>2505</v>
      </c>
      <c r="F2105" s="246"/>
      <c r="G2105" s="66" t="str">
        <f>HYPERLINK("https://ledvance.com/pt/product-datasheet/275559/246977","Ficha de Produto")</f>
        <v>Ficha de Produto</v>
      </c>
      <c r="H2105" s="217">
        <v>4</v>
      </c>
      <c r="I2105" s="34" t="s">
        <v>6349</v>
      </c>
      <c r="J2105" s="34" t="s">
        <v>6382</v>
      </c>
      <c r="K2105" s="34" t="s">
        <v>788</v>
      </c>
      <c r="L2105" s="34" t="s">
        <v>793</v>
      </c>
      <c r="M2105" s="247">
        <v>41.7</v>
      </c>
      <c r="N2105" s="288" t="s">
        <v>722</v>
      </c>
    </row>
    <row r="2106" spans="1:1095" s="36" customFormat="1" ht="14.25" customHeight="1">
      <c r="A2106" s="3" t="s">
        <v>1722</v>
      </c>
      <c r="B2106" s="36" t="s">
        <v>2506</v>
      </c>
      <c r="C2106" s="10">
        <v>4058075761759</v>
      </c>
      <c r="D2106" s="224">
        <v>4058075761759</v>
      </c>
      <c r="E2106" s="245" t="s">
        <v>2507</v>
      </c>
      <c r="F2106" s="246"/>
      <c r="G2106" s="66" t="str">
        <f>HYPERLINK("https://ledvance.com/pt/product-datasheet/275559/212495","Ficha de Produto")</f>
        <v>Ficha de Produto</v>
      </c>
      <c r="H2106" s="217">
        <v>4</v>
      </c>
      <c r="I2106" s="34" t="s">
        <v>6354</v>
      </c>
      <c r="J2106" s="34" t="s">
        <v>6363</v>
      </c>
      <c r="K2106" s="34" t="s">
        <v>788</v>
      </c>
      <c r="L2106" s="34" t="s">
        <v>793</v>
      </c>
      <c r="M2106" s="247">
        <v>41</v>
      </c>
      <c r="N2106" s="288" t="s">
        <v>722</v>
      </c>
    </row>
    <row r="2107" spans="1:1095" s="36" customFormat="1" ht="14.25" customHeight="1">
      <c r="A2107" s="3" t="s">
        <v>1722</v>
      </c>
      <c r="B2107" s="36" t="s">
        <v>2508</v>
      </c>
      <c r="C2107" s="10">
        <v>4058075761773</v>
      </c>
      <c r="D2107" s="224">
        <v>4058075761773</v>
      </c>
      <c r="E2107" s="245" t="s">
        <v>2509</v>
      </c>
      <c r="F2107" s="246"/>
      <c r="G2107" s="66" t="str">
        <f>HYPERLINK("https://ledvance.com/pt/product-datasheet/275559/212498","Ficha de Produto")</f>
        <v>Ficha de Produto</v>
      </c>
      <c r="H2107" s="217">
        <v>4</v>
      </c>
      <c r="I2107" s="34" t="s">
        <v>6349</v>
      </c>
      <c r="J2107" s="34" t="s">
        <v>6382</v>
      </c>
      <c r="K2107" s="34" t="s">
        <v>788</v>
      </c>
      <c r="L2107" s="34" t="s">
        <v>793</v>
      </c>
      <c r="M2107" s="247">
        <v>44.1</v>
      </c>
      <c r="N2107" s="288" t="s">
        <v>722</v>
      </c>
    </row>
    <row r="2108" spans="1:1095" s="36" customFormat="1" ht="14.25" customHeight="1">
      <c r="A2108" s="3" t="s">
        <v>1722</v>
      </c>
      <c r="B2108" s="36" t="s">
        <v>2510</v>
      </c>
      <c r="C2108" s="10">
        <v>4058075761797</v>
      </c>
      <c r="D2108" s="224">
        <v>4058075761797</v>
      </c>
      <c r="E2108" s="245" t="s">
        <v>2511</v>
      </c>
      <c r="F2108" s="246"/>
      <c r="G2108" s="66" t="str">
        <f>HYPERLINK("https://ledvance.com/pt/product-datasheet/275559/212501","Ficha de Produto")</f>
        <v>Ficha de Produto</v>
      </c>
      <c r="H2108" s="217">
        <v>4</v>
      </c>
      <c r="I2108" s="34" t="s">
        <v>6354</v>
      </c>
      <c r="J2108" s="34" t="s">
        <v>6363</v>
      </c>
      <c r="K2108" s="34" t="s">
        <v>788</v>
      </c>
      <c r="L2108" s="34" t="s">
        <v>793</v>
      </c>
      <c r="M2108" s="247">
        <v>44.900000000000006</v>
      </c>
      <c r="N2108" s="288" t="s">
        <v>722</v>
      </c>
    </row>
    <row r="2109" spans="1:1095" s="36" customFormat="1" ht="14.25" customHeight="1">
      <c r="A2109" s="3" t="s">
        <v>1722</v>
      </c>
      <c r="B2109" s="36" t="s">
        <v>2512</v>
      </c>
      <c r="C2109" s="10">
        <v>4058075761810</v>
      </c>
      <c r="D2109" s="224">
        <v>4058075761810</v>
      </c>
      <c r="E2109" s="245" t="s">
        <v>2513</v>
      </c>
      <c r="F2109" s="246"/>
      <c r="G2109" s="66" t="str">
        <f>HYPERLINK("https://ledvance.com/pt/product-datasheet/275559/212509","Ficha de Produto")</f>
        <v>Ficha de Produto</v>
      </c>
      <c r="H2109" s="217">
        <v>4</v>
      </c>
      <c r="I2109" s="34" t="s">
        <v>6349</v>
      </c>
      <c r="J2109" s="34" t="s">
        <v>6382</v>
      </c>
      <c r="K2109" s="34" t="s">
        <v>788</v>
      </c>
      <c r="L2109" s="34" t="s">
        <v>793</v>
      </c>
      <c r="M2109" s="247">
        <v>48</v>
      </c>
      <c r="N2109" s="288" t="s">
        <v>722</v>
      </c>
    </row>
    <row r="2110" spans="1:1095" s="39" customFormat="1" ht="14.25" customHeight="1">
      <c r="A2110" s="8" t="s">
        <v>1722</v>
      </c>
      <c r="B2110" s="39" t="s">
        <v>1689</v>
      </c>
      <c r="C2110" s="8"/>
      <c r="D2110" s="7"/>
      <c r="E2110" s="230"/>
      <c r="F2110" s="7"/>
      <c r="G2110" s="68"/>
      <c r="H2110" s="230"/>
      <c r="I2110" s="230"/>
      <c r="J2110" s="230"/>
      <c r="K2110" s="230"/>
      <c r="L2110" s="230"/>
      <c r="M2110" s="248"/>
      <c r="N2110" s="284"/>
      <c r="O2110" s="38"/>
      <c r="P2110" s="38"/>
      <c r="Q2110" s="38"/>
      <c r="R2110" s="38"/>
      <c r="S2110" s="38"/>
      <c r="T2110" s="38"/>
      <c r="U2110" s="38"/>
      <c r="V2110" s="38"/>
      <c r="W2110" s="38"/>
      <c r="X2110" s="38"/>
      <c r="Y2110" s="38"/>
      <c r="Z2110" s="38"/>
      <c r="AA2110" s="38"/>
      <c r="AB2110" s="38"/>
      <c r="AC2110" s="38"/>
      <c r="AD2110" s="38"/>
      <c r="AE2110" s="38"/>
      <c r="AF2110" s="38"/>
      <c r="AG2110" s="38"/>
      <c r="AH2110" s="38"/>
      <c r="AI2110" s="38"/>
      <c r="AJ2110" s="38"/>
      <c r="AK2110" s="38"/>
      <c r="AL2110" s="38"/>
      <c r="AM2110" s="38"/>
      <c r="AN2110" s="38"/>
      <c r="AO2110" s="38"/>
      <c r="AP2110" s="38"/>
      <c r="AQ2110" s="38"/>
      <c r="AR2110" s="38"/>
      <c r="AS2110" s="38"/>
      <c r="AT2110" s="38"/>
      <c r="AU2110" s="38"/>
      <c r="AV2110" s="38"/>
      <c r="AW2110" s="38"/>
      <c r="AX2110" s="38"/>
      <c r="AY2110" s="38"/>
      <c r="AZ2110" s="38"/>
      <c r="BA2110" s="38"/>
      <c r="BB2110" s="38"/>
      <c r="BC2110" s="38"/>
      <c r="BD2110" s="38"/>
      <c r="BE2110" s="38"/>
      <c r="BF2110" s="38"/>
      <c r="BG2110" s="38"/>
      <c r="BH2110" s="38"/>
      <c r="BI2110" s="38"/>
      <c r="BJ2110" s="38"/>
      <c r="BK2110" s="38"/>
      <c r="BL2110" s="38"/>
      <c r="BM2110" s="38"/>
      <c r="BN2110" s="38"/>
      <c r="BO2110" s="38"/>
      <c r="BP2110" s="38"/>
      <c r="BQ2110" s="38"/>
      <c r="BR2110" s="38"/>
      <c r="BS2110" s="38"/>
      <c r="BT2110" s="38"/>
      <c r="BU2110" s="38"/>
      <c r="BV2110" s="38"/>
      <c r="BW2110" s="38"/>
      <c r="BX2110" s="38"/>
      <c r="BY2110" s="38"/>
      <c r="BZ2110" s="38"/>
      <c r="CA2110" s="38"/>
      <c r="CB2110" s="38"/>
      <c r="CC2110" s="38"/>
      <c r="CD2110" s="38"/>
      <c r="CE2110" s="38"/>
      <c r="CF2110" s="38"/>
      <c r="CG2110" s="38"/>
      <c r="CH2110" s="38"/>
      <c r="CI2110" s="38"/>
      <c r="CJ2110" s="38"/>
      <c r="CK2110" s="38"/>
      <c r="CL2110" s="38"/>
      <c r="CM2110" s="38"/>
      <c r="CN2110" s="38"/>
      <c r="CO2110" s="38"/>
      <c r="CP2110" s="38"/>
      <c r="CQ2110" s="38"/>
      <c r="CR2110" s="38"/>
      <c r="CS2110" s="38"/>
      <c r="CT2110" s="38"/>
      <c r="CU2110" s="38"/>
      <c r="CV2110" s="38"/>
      <c r="CW2110" s="38"/>
      <c r="CX2110" s="38"/>
      <c r="CY2110" s="38"/>
      <c r="CZ2110" s="38"/>
      <c r="DA2110" s="38"/>
      <c r="DB2110" s="38"/>
      <c r="DC2110" s="38"/>
      <c r="DD2110" s="38"/>
      <c r="DE2110" s="38"/>
      <c r="DF2110" s="38"/>
      <c r="DG2110" s="38"/>
      <c r="DH2110" s="38"/>
      <c r="DI2110" s="38"/>
      <c r="DJ2110" s="38"/>
      <c r="DK2110" s="38"/>
      <c r="DL2110" s="38"/>
      <c r="DM2110" s="38"/>
      <c r="DN2110" s="38"/>
      <c r="DO2110" s="38"/>
      <c r="DP2110" s="38"/>
      <c r="DQ2110" s="38"/>
      <c r="DR2110" s="38"/>
      <c r="DS2110" s="38"/>
      <c r="DT2110" s="38"/>
      <c r="DU2110" s="38"/>
      <c r="DV2110" s="38"/>
      <c r="DW2110" s="38"/>
      <c r="DX2110" s="38"/>
      <c r="DY2110" s="38"/>
      <c r="DZ2110" s="38"/>
      <c r="EA2110" s="38"/>
      <c r="EB2110" s="38"/>
      <c r="EC2110" s="38"/>
      <c r="ED2110" s="38"/>
      <c r="EE2110" s="38"/>
      <c r="EF2110" s="38"/>
      <c r="EG2110" s="38"/>
      <c r="EH2110" s="38"/>
      <c r="EI2110" s="38"/>
      <c r="EJ2110" s="38"/>
      <c r="EK2110" s="38"/>
      <c r="EL2110" s="38"/>
      <c r="EM2110" s="38"/>
      <c r="EN2110" s="38"/>
      <c r="EO2110" s="38"/>
      <c r="EP2110" s="38"/>
      <c r="EQ2110" s="38"/>
      <c r="ER2110" s="38"/>
      <c r="ES2110" s="38"/>
      <c r="ET2110" s="38"/>
      <c r="EU2110" s="38"/>
      <c r="EV2110" s="38"/>
      <c r="EW2110" s="38"/>
      <c r="EX2110" s="38"/>
      <c r="EY2110" s="38"/>
      <c r="EZ2110" s="38"/>
      <c r="FA2110" s="38"/>
      <c r="FB2110" s="38"/>
      <c r="FC2110" s="38"/>
      <c r="FD2110" s="38"/>
      <c r="FE2110" s="38"/>
      <c r="FF2110" s="38"/>
      <c r="FG2110" s="38"/>
      <c r="FH2110" s="38"/>
      <c r="FI2110" s="38"/>
      <c r="FJ2110" s="38"/>
      <c r="FK2110" s="38"/>
      <c r="FL2110" s="38"/>
      <c r="FM2110" s="38"/>
      <c r="FN2110" s="38"/>
      <c r="FO2110" s="38"/>
      <c r="FP2110" s="38"/>
      <c r="FQ2110" s="38"/>
      <c r="FR2110" s="38"/>
      <c r="FS2110" s="38"/>
      <c r="FT2110" s="38"/>
      <c r="FU2110" s="38"/>
      <c r="FV2110" s="38"/>
      <c r="FW2110" s="38"/>
      <c r="FX2110" s="38"/>
      <c r="FY2110" s="38"/>
      <c r="FZ2110" s="38"/>
      <c r="GA2110" s="38"/>
      <c r="GB2110" s="38"/>
      <c r="GC2110" s="38"/>
      <c r="GD2110" s="38"/>
      <c r="GE2110" s="38"/>
      <c r="GF2110" s="38"/>
      <c r="GG2110" s="38"/>
      <c r="GH2110" s="38"/>
      <c r="GI2110" s="38"/>
      <c r="GJ2110" s="38"/>
      <c r="GK2110" s="38"/>
      <c r="GL2110" s="38"/>
      <c r="GM2110" s="38"/>
      <c r="GN2110" s="38"/>
      <c r="GO2110" s="38"/>
      <c r="GP2110" s="38"/>
      <c r="GQ2110" s="38"/>
      <c r="GR2110" s="38"/>
      <c r="GS2110" s="38"/>
      <c r="GT2110" s="38"/>
      <c r="GU2110" s="38"/>
      <c r="GV2110" s="38"/>
      <c r="GW2110" s="38"/>
      <c r="GX2110" s="38"/>
      <c r="GY2110" s="38"/>
      <c r="GZ2110" s="38"/>
      <c r="HA2110" s="38"/>
      <c r="HB2110" s="38"/>
      <c r="HC2110" s="38"/>
      <c r="HD2110" s="38"/>
      <c r="HE2110" s="38"/>
      <c r="HF2110" s="38"/>
      <c r="HG2110" s="38"/>
      <c r="HH2110" s="38"/>
      <c r="HI2110" s="38"/>
      <c r="HJ2110" s="38"/>
      <c r="HK2110" s="38"/>
      <c r="HL2110" s="38"/>
      <c r="HM2110" s="38"/>
      <c r="HN2110" s="38"/>
      <c r="HO2110" s="38"/>
      <c r="HP2110" s="38"/>
      <c r="HQ2110" s="38"/>
      <c r="HR2110" s="38"/>
      <c r="HS2110" s="38"/>
      <c r="HT2110" s="38"/>
      <c r="HU2110" s="38"/>
      <c r="HV2110" s="38"/>
      <c r="HW2110" s="38"/>
      <c r="HX2110" s="38"/>
      <c r="HY2110" s="38"/>
      <c r="HZ2110" s="38"/>
      <c r="IA2110" s="38"/>
      <c r="IB2110" s="38"/>
      <c r="IC2110" s="38"/>
      <c r="ID2110" s="38"/>
      <c r="IE2110" s="38"/>
      <c r="IF2110" s="38"/>
      <c r="IG2110" s="38"/>
      <c r="IH2110" s="38"/>
      <c r="II2110" s="38"/>
      <c r="IJ2110" s="38"/>
      <c r="IK2110" s="38"/>
      <c r="IL2110" s="38"/>
      <c r="IM2110" s="38"/>
      <c r="IN2110" s="38"/>
      <c r="IO2110" s="38"/>
      <c r="IP2110" s="38"/>
      <c r="IQ2110" s="38"/>
      <c r="IR2110" s="38"/>
      <c r="IS2110" s="38"/>
      <c r="IT2110" s="38"/>
      <c r="IU2110" s="38"/>
      <c r="IV2110" s="38"/>
      <c r="IW2110" s="38"/>
      <c r="IX2110" s="38"/>
      <c r="IY2110" s="38"/>
      <c r="IZ2110" s="38"/>
      <c r="JA2110" s="38"/>
      <c r="JB2110" s="38"/>
      <c r="JC2110" s="38"/>
      <c r="JD2110" s="38"/>
      <c r="JE2110" s="38"/>
      <c r="JF2110" s="38"/>
      <c r="JG2110" s="38"/>
      <c r="JH2110" s="38"/>
      <c r="JI2110" s="38"/>
      <c r="JJ2110" s="38"/>
      <c r="JK2110" s="38"/>
      <c r="JL2110" s="38"/>
      <c r="JM2110" s="38"/>
      <c r="JN2110" s="38"/>
      <c r="JO2110" s="38"/>
      <c r="JP2110" s="38"/>
      <c r="JQ2110" s="38"/>
      <c r="JR2110" s="38"/>
      <c r="JS2110" s="38"/>
      <c r="JT2110" s="38"/>
      <c r="JU2110" s="38"/>
      <c r="JV2110" s="38"/>
      <c r="JW2110" s="38"/>
      <c r="JX2110" s="38"/>
      <c r="JY2110" s="38"/>
      <c r="JZ2110" s="38"/>
      <c r="KA2110" s="38"/>
      <c r="KB2110" s="38"/>
      <c r="KC2110" s="38"/>
      <c r="KD2110" s="38"/>
      <c r="KE2110" s="38"/>
      <c r="KF2110" s="38"/>
      <c r="KG2110" s="38"/>
      <c r="KH2110" s="38"/>
      <c r="KI2110" s="38"/>
      <c r="KJ2110" s="38"/>
      <c r="KK2110" s="38"/>
      <c r="KL2110" s="38"/>
      <c r="KM2110" s="38"/>
      <c r="KN2110" s="38"/>
      <c r="KO2110" s="38"/>
      <c r="KP2110" s="38"/>
      <c r="KQ2110" s="38"/>
      <c r="KR2110" s="38"/>
      <c r="KS2110" s="38"/>
      <c r="KT2110" s="38"/>
      <c r="KU2110" s="38"/>
      <c r="KV2110" s="38"/>
      <c r="KW2110" s="38"/>
      <c r="KX2110" s="38"/>
      <c r="KY2110" s="38"/>
      <c r="KZ2110" s="38"/>
      <c r="LA2110" s="38"/>
      <c r="LB2110" s="38"/>
      <c r="LC2110" s="38"/>
      <c r="LD2110" s="38"/>
      <c r="LE2110" s="38"/>
      <c r="LF2110" s="38"/>
      <c r="LG2110" s="38"/>
      <c r="LH2110" s="38"/>
      <c r="LI2110" s="38"/>
      <c r="LJ2110" s="38"/>
      <c r="LK2110" s="38"/>
      <c r="LL2110" s="38"/>
      <c r="LM2110" s="38"/>
      <c r="LN2110" s="38"/>
      <c r="LO2110" s="38"/>
      <c r="LP2110" s="38"/>
      <c r="LQ2110" s="38"/>
      <c r="LR2110" s="38"/>
      <c r="LS2110" s="38"/>
      <c r="LT2110" s="38"/>
      <c r="LU2110" s="38"/>
      <c r="LV2110" s="38"/>
      <c r="LW2110" s="38"/>
      <c r="LX2110" s="38"/>
      <c r="LY2110" s="38"/>
      <c r="LZ2110" s="38"/>
      <c r="MA2110" s="38"/>
      <c r="MB2110" s="38"/>
      <c r="MC2110" s="38"/>
      <c r="MD2110" s="38"/>
      <c r="ME2110" s="38"/>
      <c r="MF2110" s="38"/>
      <c r="MG2110" s="38"/>
      <c r="MH2110" s="38"/>
      <c r="MI2110" s="38"/>
      <c r="MJ2110" s="38"/>
      <c r="MK2110" s="38"/>
      <c r="ML2110" s="38"/>
      <c r="MM2110" s="38"/>
      <c r="MN2110" s="38"/>
      <c r="MO2110" s="38"/>
      <c r="MP2110" s="38"/>
      <c r="MQ2110" s="38"/>
      <c r="MR2110" s="38"/>
      <c r="MS2110" s="38"/>
      <c r="MT2110" s="38"/>
      <c r="MU2110" s="38"/>
      <c r="MV2110" s="38"/>
      <c r="MW2110" s="38"/>
      <c r="MX2110" s="38"/>
      <c r="MY2110" s="38"/>
      <c r="MZ2110" s="38"/>
      <c r="NA2110" s="38"/>
      <c r="NB2110" s="38"/>
      <c r="NC2110" s="38"/>
      <c r="ND2110" s="38"/>
      <c r="NE2110" s="38"/>
      <c r="NF2110" s="38"/>
      <c r="NG2110" s="38"/>
      <c r="NH2110" s="38"/>
      <c r="NI2110" s="38"/>
      <c r="NJ2110" s="38"/>
      <c r="NK2110" s="38"/>
      <c r="NL2110" s="38"/>
      <c r="NM2110" s="38"/>
      <c r="NN2110" s="38"/>
      <c r="NO2110" s="38"/>
      <c r="NP2110" s="38"/>
      <c r="NQ2110" s="38"/>
      <c r="NR2110" s="38"/>
      <c r="NS2110" s="38"/>
      <c r="NT2110" s="38"/>
      <c r="NU2110" s="38"/>
      <c r="NV2110" s="38"/>
      <c r="NW2110" s="38"/>
      <c r="NX2110" s="38"/>
      <c r="NY2110" s="38"/>
      <c r="NZ2110" s="38"/>
      <c r="OA2110" s="38"/>
      <c r="OB2110" s="38"/>
      <c r="OC2110" s="38"/>
      <c r="OD2110" s="38"/>
      <c r="OE2110" s="38"/>
      <c r="OF2110" s="38"/>
      <c r="OG2110" s="38"/>
      <c r="OH2110" s="38"/>
      <c r="OI2110" s="38"/>
      <c r="OJ2110" s="38"/>
      <c r="OK2110" s="38"/>
      <c r="OL2110" s="38"/>
      <c r="OM2110" s="38"/>
      <c r="ON2110" s="38"/>
      <c r="OO2110" s="38"/>
      <c r="OP2110" s="38"/>
      <c r="OQ2110" s="38"/>
      <c r="OR2110" s="38"/>
      <c r="OS2110" s="38"/>
      <c r="OT2110" s="38"/>
      <c r="OU2110" s="38"/>
      <c r="OV2110" s="38"/>
      <c r="OW2110" s="38"/>
      <c r="OX2110" s="38"/>
      <c r="OY2110" s="38"/>
      <c r="OZ2110" s="38"/>
      <c r="PA2110" s="38"/>
      <c r="PB2110" s="38"/>
      <c r="PC2110" s="38"/>
      <c r="PD2110" s="38"/>
      <c r="PE2110" s="38"/>
      <c r="PF2110" s="38"/>
      <c r="PG2110" s="38"/>
      <c r="PH2110" s="38"/>
      <c r="PI2110" s="38"/>
      <c r="PJ2110" s="38"/>
      <c r="PK2110" s="38"/>
      <c r="PL2110" s="38"/>
      <c r="PM2110" s="38"/>
      <c r="PN2110" s="38"/>
      <c r="PO2110" s="38"/>
      <c r="PP2110" s="38"/>
      <c r="PQ2110" s="38"/>
      <c r="PR2110" s="38"/>
      <c r="PS2110" s="38"/>
      <c r="PT2110" s="38"/>
      <c r="PU2110" s="38"/>
      <c r="PV2110" s="38"/>
      <c r="PW2110" s="38"/>
      <c r="PX2110" s="38"/>
      <c r="PY2110" s="38"/>
      <c r="PZ2110" s="38"/>
      <c r="QA2110" s="38"/>
      <c r="QB2110" s="38"/>
      <c r="QC2110" s="38"/>
      <c r="QD2110" s="38"/>
      <c r="QE2110" s="38"/>
      <c r="QF2110" s="38"/>
      <c r="QG2110" s="38"/>
      <c r="QH2110" s="38"/>
      <c r="QI2110" s="38"/>
      <c r="QJ2110" s="38"/>
      <c r="QK2110" s="38"/>
      <c r="QL2110" s="38"/>
      <c r="QM2110" s="38"/>
      <c r="QN2110" s="38"/>
      <c r="QO2110" s="38"/>
      <c r="QP2110" s="38"/>
      <c r="QQ2110" s="38"/>
      <c r="QR2110" s="38"/>
      <c r="QS2110" s="38"/>
      <c r="QT2110" s="38"/>
      <c r="QU2110" s="38"/>
      <c r="QV2110" s="38"/>
      <c r="QW2110" s="38"/>
      <c r="QX2110" s="38"/>
      <c r="QY2110" s="38"/>
      <c r="QZ2110" s="38"/>
      <c r="RA2110" s="38"/>
      <c r="RB2110" s="38"/>
      <c r="RC2110" s="38"/>
      <c r="RD2110" s="38"/>
      <c r="RE2110" s="38"/>
      <c r="RF2110" s="38"/>
      <c r="RG2110" s="38"/>
      <c r="RH2110" s="38"/>
      <c r="RI2110" s="38"/>
      <c r="RJ2110" s="38"/>
      <c r="RK2110" s="38"/>
      <c r="RL2110" s="38"/>
      <c r="RM2110" s="38"/>
      <c r="RN2110" s="38"/>
      <c r="RO2110" s="38"/>
      <c r="RP2110" s="38"/>
      <c r="RQ2110" s="38"/>
      <c r="RR2110" s="38"/>
      <c r="RS2110" s="38"/>
      <c r="RT2110" s="38"/>
      <c r="RU2110" s="38"/>
      <c r="RV2110" s="38"/>
      <c r="RW2110" s="38"/>
      <c r="RX2110" s="38"/>
      <c r="RY2110" s="38"/>
      <c r="RZ2110" s="38"/>
      <c r="SA2110" s="38"/>
      <c r="SB2110" s="38"/>
      <c r="SC2110" s="38"/>
      <c r="SD2110" s="38"/>
      <c r="SE2110" s="38"/>
      <c r="SF2110" s="38"/>
      <c r="SG2110" s="38"/>
      <c r="SH2110" s="38"/>
      <c r="SI2110" s="38"/>
      <c r="SJ2110" s="38"/>
      <c r="SK2110" s="38"/>
      <c r="SL2110" s="38"/>
      <c r="SM2110" s="38"/>
      <c r="SN2110" s="38"/>
      <c r="SO2110" s="38"/>
      <c r="SP2110" s="38"/>
      <c r="SQ2110" s="38"/>
      <c r="SR2110" s="38"/>
      <c r="SS2110" s="38"/>
      <c r="ST2110" s="38"/>
      <c r="SU2110" s="38"/>
      <c r="SV2110" s="38"/>
      <c r="SW2110" s="38"/>
      <c r="SX2110" s="38"/>
      <c r="SY2110" s="38"/>
      <c r="SZ2110" s="38"/>
      <c r="TA2110" s="38"/>
      <c r="TB2110" s="38"/>
      <c r="TC2110" s="38"/>
      <c r="TD2110" s="38"/>
      <c r="TE2110" s="38"/>
      <c r="TF2110" s="38"/>
      <c r="TG2110" s="38"/>
      <c r="TH2110" s="38"/>
      <c r="TI2110" s="38"/>
      <c r="TJ2110" s="38"/>
      <c r="TK2110" s="38"/>
      <c r="TL2110" s="38"/>
      <c r="TM2110" s="38"/>
      <c r="TN2110" s="38"/>
      <c r="TO2110" s="38"/>
      <c r="TP2110" s="38"/>
      <c r="TQ2110" s="38"/>
      <c r="TR2110" s="38"/>
      <c r="TS2110" s="38"/>
      <c r="TT2110" s="38"/>
      <c r="TU2110" s="38"/>
      <c r="TV2110" s="38"/>
      <c r="TW2110" s="38"/>
      <c r="TX2110" s="38"/>
      <c r="TY2110" s="38"/>
      <c r="TZ2110" s="38"/>
      <c r="UA2110" s="38"/>
      <c r="UB2110" s="38"/>
      <c r="UC2110" s="38"/>
      <c r="UD2110" s="38"/>
      <c r="UE2110" s="38"/>
      <c r="UF2110" s="38"/>
      <c r="UG2110" s="38"/>
      <c r="UH2110" s="38"/>
      <c r="UI2110" s="38"/>
      <c r="UJ2110" s="38"/>
      <c r="UK2110" s="38"/>
      <c r="UL2110" s="38"/>
      <c r="UM2110" s="38"/>
      <c r="UN2110" s="38"/>
      <c r="UO2110" s="38"/>
      <c r="UP2110" s="38"/>
      <c r="UQ2110" s="38"/>
      <c r="UR2110" s="38"/>
      <c r="US2110" s="38"/>
      <c r="UT2110" s="38"/>
      <c r="UU2110" s="38"/>
      <c r="UV2110" s="38"/>
      <c r="UW2110" s="38"/>
      <c r="UX2110" s="38"/>
      <c r="UY2110" s="38"/>
      <c r="UZ2110" s="38"/>
      <c r="VA2110" s="38"/>
      <c r="VB2110" s="38"/>
      <c r="VC2110" s="38"/>
      <c r="VD2110" s="38"/>
      <c r="VE2110" s="38"/>
      <c r="VF2110" s="38"/>
      <c r="VG2110" s="38"/>
      <c r="VH2110" s="38"/>
      <c r="VI2110" s="38"/>
      <c r="VJ2110" s="38"/>
      <c r="VK2110" s="38"/>
      <c r="VL2110" s="38"/>
      <c r="VM2110" s="38"/>
      <c r="VN2110" s="38"/>
      <c r="VO2110" s="38"/>
      <c r="VP2110" s="38"/>
      <c r="VQ2110" s="38"/>
      <c r="VR2110" s="38"/>
      <c r="VS2110" s="38"/>
      <c r="VT2110" s="38"/>
      <c r="VU2110" s="38"/>
      <c r="VV2110" s="38"/>
      <c r="VW2110" s="38"/>
      <c r="VX2110" s="38"/>
      <c r="VY2110" s="38"/>
      <c r="VZ2110" s="38"/>
      <c r="WA2110" s="38"/>
      <c r="WB2110" s="38"/>
      <c r="WC2110" s="38"/>
      <c r="WD2110" s="38"/>
      <c r="WE2110" s="38"/>
      <c r="WF2110" s="38"/>
      <c r="WG2110" s="38"/>
      <c r="WH2110" s="38"/>
      <c r="WI2110" s="38"/>
      <c r="WJ2110" s="38"/>
      <c r="WK2110" s="38"/>
      <c r="WL2110" s="38"/>
      <c r="WM2110" s="38"/>
      <c r="WN2110" s="38"/>
      <c r="WO2110" s="38"/>
      <c r="WP2110" s="38"/>
      <c r="WQ2110" s="38"/>
      <c r="WR2110" s="38"/>
      <c r="WS2110" s="38"/>
      <c r="WT2110" s="38"/>
      <c r="WU2110" s="38"/>
      <c r="WV2110" s="38"/>
      <c r="WW2110" s="38"/>
      <c r="WX2110" s="38"/>
      <c r="WY2110" s="38"/>
      <c r="WZ2110" s="38"/>
      <c r="XA2110" s="38"/>
      <c r="XB2110" s="38"/>
      <c r="XC2110" s="38"/>
      <c r="XD2110" s="38"/>
      <c r="XE2110" s="38"/>
      <c r="XF2110" s="38"/>
      <c r="XG2110" s="38"/>
      <c r="XH2110" s="38"/>
      <c r="XI2110" s="38"/>
      <c r="XJ2110" s="38"/>
      <c r="XK2110" s="38"/>
      <c r="XL2110" s="38"/>
      <c r="XM2110" s="38"/>
      <c r="XN2110" s="38"/>
      <c r="XO2110" s="38"/>
      <c r="XP2110" s="38"/>
      <c r="XQ2110" s="38"/>
      <c r="XR2110" s="38"/>
      <c r="XS2110" s="38"/>
      <c r="XT2110" s="38"/>
      <c r="XU2110" s="38"/>
      <c r="XV2110" s="38"/>
      <c r="XW2110" s="38"/>
      <c r="XX2110" s="38"/>
      <c r="XY2110" s="38"/>
      <c r="XZ2110" s="38"/>
      <c r="YA2110" s="38"/>
      <c r="YB2110" s="38"/>
      <c r="YC2110" s="38"/>
      <c r="YD2110" s="38"/>
      <c r="YE2110" s="38"/>
      <c r="YF2110" s="38"/>
      <c r="YG2110" s="38"/>
      <c r="YH2110" s="38"/>
      <c r="YI2110" s="38"/>
      <c r="YJ2110" s="38"/>
      <c r="YK2110" s="38"/>
      <c r="YL2110" s="38"/>
      <c r="YM2110" s="38"/>
      <c r="YN2110" s="38"/>
      <c r="YO2110" s="38"/>
      <c r="YP2110" s="38"/>
      <c r="YQ2110" s="38"/>
      <c r="YR2110" s="38"/>
      <c r="YS2110" s="38"/>
      <c r="YT2110" s="38"/>
      <c r="YU2110" s="38"/>
      <c r="YV2110" s="38"/>
      <c r="YW2110" s="38"/>
      <c r="YX2110" s="38"/>
      <c r="YY2110" s="38"/>
      <c r="YZ2110" s="38"/>
      <c r="ZA2110" s="38"/>
      <c r="ZB2110" s="38"/>
      <c r="ZC2110" s="38"/>
      <c r="ZD2110" s="38"/>
      <c r="ZE2110" s="38"/>
      <c r="ZF2110" s="38"/>
      <c r="ZG2110" s="38"/>
      <c r="ZH2110" s="38"/>
      <c r="ZI2110" s="38"/>
      <c r="ZJ2110" s="38"/>
      <c r="ZK2110" s="38"/>
      <c r="ZL2110" s="38"/>
      <c r="ZM2110" s="38"/>
      <c r="ZN2110" s="38"/>
      <c r="ZO2110" s="38"/>
      <c r="ZP2110" s="38"/>
      <c r="ZQ2110" s="38"/>
      <c r="ZR2110" s="38"/>
      <c r="ZS2110" s="38"/>
      <c r="ZT2110" s="38"/>
      <c r="ZU2110" s="38"/>
      <c r="ZV2110" s="38"/>
      <c r="ZW2110" s="38"/>
      <c r="ZX2110" s="38"/>
      <c r="ZY2110" s="38"/>
      <c r="ZZ2110" s="38"/>
      <c r="AAA2110" s="38"/>
      <c r="AAB2110" s="38"/>
      <c r="AAC2110" s="38"/>
      <c r="AAD2110" s="38"/>
      <c r="AAE2110" s="38"/>
      <c r="AAF2110" s="38"/>
      <c r="AAG2110" s="38"/>
      <c r="AAH2110" s="38"/>
      <c r="AAI2110" s="38"/>
      <c r="AAJ2110" s="38"/>
      <c r="AAK2110" s="38"/>
      <c r="AAL2110" s="38"/>
      <c r="AAM2110" s="38"/>
      <c r="AAN2110" s="38"/>
      <c r="AAO2110" s="38"/>
      <c r="AAP2110" s="38"/>
      <c r="AAQ2110" s="38"/>
      <c r="AAR2110" s="38"/>
      <c r="AAS2110" s="38"/>
      <c r="AAT2110" s="38"/>
      <c r="AAU2110" s="38"/>
      <c r="AAV2110" s="38"/>
      <c r="AAW2110" s="38"/>
      <c r="AAX2110" s="38"/>
      <c r="AAY2110" s="38"/>
      <c r="AAZ2110" s="38"/>
      <c r="ABA2110" s="38"/>
      <c r="ABB2110" s="38"/>
      <c r="ABC2110" s="38"/>
      <c r="ABD2110" s="38"/>
      <c r="ABE2110" s="38"/>
      <c r="ABF2110" s="38"/>
      <c r="ABG2110" s="38"/>
      <c r="ABH2110" s="38"/>
      <c r="ABI2110" s="38"/>
      <c r="ABJ2110" s="38"/>
      <c r="ABK2110" s="38"/>
      <c r="ABL2110" s="38"/>
      <c r="ABM2110" s="38"/>
      <c r="ABN2110" s="38"/>
      <c r="ABO2110" s="38"/>
      <c r="ABP2110" s="38"/>
      <c r="ABQ2110" s="38"/>
      <c r="ABR2110" s="38"/>
      <c r="ABS2110" s="38"/>
      <c r="ABT2110" s="38"/>
      <c r="ABU2110" s="38"/>
      <c r="ABV2110" s="38"/>
      <c r="ABW2110" s="38"/>
      <c r="ABX2110" s="38"/>
      <c r="ABY2110" s="38"/>
      <c r="ABZ2110" s="38"/>
      <c r="ACA2110" s="38"/>
      <c r="ACB2110" s="38"/>
      <c r="ACC2110" s="38"/>
      <c r="ACD2110" s="38"/>
      <c r="ACE2110" s="38"/>
      <c r="ACF2110" s="38"/>
      <c r="ACG2110" s="38"/>
      <c r="ACH2110" s="38"/>
      <c r="ACI2110" s="38"/>
      <c r="ACJ2110" s="38"/>
      <c r="ACK2110" s="38"/>
      <c r="ACL2110" s="38"/>
      <c r="ACM2110" s="38"/>
      <c r="ACN2110" s="38"/>
      <c r="ACO2110" s="38"/>
      <c r="ACP2110" s="38"/>
      <c r="ACQ2110" s="38"/>
      <c r="ACR2110" s="38"/>
      <c r="ACS2110" s="38"/>
      <c r="ACT2110" s="38"/>
      <c r="ACU2110" s="38"/>
      <c r="ACV2110" s="38"/>
      <c r="ACW2110" s="38"/>
      <c r="ACX2110" s="38"/>
      <c r="ACY2110" s="38"/>
      <c r="ACZ2110" s="38"/>
      <c r="ADA2110" s="38"/>
      <c r="ADB2110" s="38"/>
      <c r="ADC2110" s="38"/>
      <c r="ADD2110" s="38"/>
      <c r="ADE2110" s="38"/>
      <c r="ADF2110" s="38"/>
      <c r="ADG2110" s="38"/>
      <c r="ADH2110" s="38"/>
      <c r="ADI2110" s="38"/>
      <c r="ADJ2110" s="38"/>
      <c r="ADK2110" s="38"/>
      <c r="ADL2110" s="38"/>
      <c r="ADM2110" s="38"/>
      <c r="ADN2110" s="38"/>
      <c r="ADO2110" s="38"/>
      <c r="ADP2110" s="38"/>
      <c r="ADQ2110" s="38"/>
      <c r="ADR2110" s="38"/>
      <c r="ADS2110" s="38"/>
      <c r="ADT2110" s="38"/>
      <c r="ADU2110" s="38"/>
      <c r="ADV2110" s="38"/>
      <c r="ADW2110" s="38"/>
      <c r="ADX2110" s="38"/>
      <c r="ADY2110" s="38"/>
      <c r="ADZ2110" s="38"/>
      <c r="AEA2110" s="38"/>
      <c r="AEB2110" s="38"/>
      <c r="AEC2110" s="38"/>
      <c r="AED2110" s="38"/>
      <c r="AEE2110" s="38"/>
      <c r="AEF2110" s="38"/>
      <c r="AEG2110" s="38"/>
      <c r="AEH2110" s="38"/>
      <c r="AEI2110" s="38"/>
      <c r="AEJ2110" s="38"/>
      <c r="AEK2110" s="38"/>
      <c r="AEL2110" s="38"/>
      <c r="AEM2110" s="38"/>
      <c r="AEN2110" s="38"/>
      <c r="AEO2110" s="38"/>
      <c r="AEP2110" s="38"/>
      <c r="AEQ2110" s="38"/>
      <c r="AER2110" s="38"/>
      <c r="AES2110" s="38"/>
      <c r="AET2110" s="38"/>
      <c r="AEU2110" s="38"/>
      <c r="AEV2110" s="38"/>
      <c r="AEW2110" s="38"/>
      <c r="AEX2110" s="38"/>
      <c r="AEY2110" s="38"/>
      <c r="AEZ2110" s="38"/>
      <c r="AFA2110" s="38"/>
      <c r="AFB2110" s="38"/>
      <c r="AFC2110" s="38"/>
      <c r="AFD2110" s="38"/>
      <c r="AFE2110" s="38"/>
      <c r="AFF2110" s="38"/>
      <c r="AFG2110" s="38"/>
      <c r="AFH2110" s="38"/>
      <c r="AFI2110" s="38"/>
      <c r="AFJ2110" s="38"/>
      <c r="AFK2110" s="38"/>
      <c r="AFL2110" s="38"/>
      <c r="AFM2110" s="38"/>
      <c r="AFN2110" s="38"/>
      <c r="AFO2110" s="38"/>
      <c r="AFP2110" s="38"/>
      <c r="AFQ2110" s="38"/>
      <c r="AFR2110" s="38"/>
      <c r="AFS2110" s="38"/>
      <c r="AFT2110" s="38"/>
      <c r="AFU2110" s="38"/>
      <c r="AFV2110" s="38"/>
      <c r="AFW2110" s="38"/>
      <c r="AFX2110" s="38"/>
      <c r="AFY2110" s="38"/>
      <c r="AFZ2110" s="38"/>
      <c r="AGA2110" s="38"/>
      <c r="AGB2110" s="38"/>
      <c r="AGC2110" s="38"/>
      <c r="AGD2110" s="38"/>
      <c r="AGE2110" s="38"/>
      <c r="AGF2110" s="38"/>
      <c r="AGG2110" s="38"/>
      <c r="AGH2110" s="38"/>
      <c r="AGI2110" s="38"/>
      <c r="AGJ2110" s="38"/>
      <c r="AGK2110" s="38"/>
      <c r="AGL2110" s="38"/>
      <c r="AGM2110" s="38"/>
      <c r="AGN2110" s="38"/>
      <c r="AGO2110" s="38"/>
      <c r="AGP2110" s="38"/>
      <c r="AGQ2110" s="38"/>
      <c r="AGR2110" s="38"/>
      <c r="AGS2110" s="38"/>
      <c r="AGT2110" s="38"/>
      <c r="AGU2110" s="38"/>
      <c r="AGV2110" s="38"/>
      <c r="AGW2110" s="38"/>
      <c r="AGX2110" s="38"/>
      <c r="AGY2110" s="38"/>
      <c r="AGZ2110" s="38"/>
      <c r="AHA2110" s="38"/>
      <c r="AHB2110" s="38"/>
      <c r="AHC2110" s="38"/>
      <c r="AHD2110" s="38"/>
      <c r="AHE2110" s="38"/>
      <c r="AHF2110" s="38"/>
      <c r="AHG2110" s="38"/>
      <c r="AHH2110" s="38"/>
      <c r="AHI2110" s="38"/>
      <c r="AHJ2110" s="38"/>
      <c r="AHK2110" s="38"/>
      <c r="AHL2110" s="38"/>
      <c r="AHM2110" s="38"/>
      <c r="AHN2110" s="38"/>
      <c r="AHO2110" s="38"/>
      <c r="AHP2110" s="38"/>
      <c r="AHQ2110" s="38"/>
      <c r="AHR2110" s="38"/>
      <c r="AHS2110" s="38"/>
      <c r="AHT2110" s="38"/>
      <c r="AHU2110" s="38"/>
      <c r="AHV2110" s="38"/>
      <c r="AHW2110" s="38"/>
      <c r="AHX2110" s="38"/>
      <c r="AHY2110" s="38"/>
      <c r="AHZ2110" s="38"/>
      <c r="AIA2110" s="38"/>
      <c r="AIB2110" s="38"/>
      <c r="AIC2110" s="38"/>
      <c r="AID2110" s="38"/>
      <c r="AIE2110" s="38"/>
      <c r="AIF2110" s="38"/>
      <c r="AIG2110" s="38"/>
      <c r="AIH2110" s="38"/>
      <c r="AII2110" s="38"/>
      <c r="AIJ2110" s="38"/>
      <c r="AIK2110" s="38"/>
      <c r="AIL2110" s="38"/>
      <c r="AIM2110" s="38"/>
      <c r="AIN2110" s="38"/>
      <c r="AIO2110" s="38"/>
      <c r="AIP2110" s="38"/>
      <c r="AIQ2110" s="38"/>
      <c r="AIR2110" s="38"/>
      <c r="AIS2110" s="38"/>
      <c r="AIT2110" s="38"/>
      <c r="AIU2110" s="38"/>
      <c r="AIV2110" s="38"/>
      <c r="AIW2110" s="38"/>
      <c r="AIX2110" s="38"/>
      <c r="AIY2110" s="38"/>
      <c r="AIZ2110" s="38"/>
      <c r="AJA2110" s="38"/>
      <c r="AJB2110" s="38"/>
      <c r="AJC2110" s="38"/>
      <c r="AJD2110" s="38"/>
      <c r="AJE2110" s="38"/>
      <c r="AJF2110" s="38"/>
      <c r="AJG2110" s="38"/>
      <c r="AJH2110" s="38"/>
      <c r="AJI2110" s="38"/>
      <c r="AJJ2110" s="38"/>
      <c r="AJK2110" s="38"/>
      <c r="AJL2110" s="38"/>
      <c r="AJM2110" s="38"/>
      <c r="AJN2110" s="38"/>
      <c r="AJO2110" s="38"/>
      <c r="AJP2110" s="38"/>
      <c r="AJQ2110" s="38"/>
      <c r="AJR2110" s="38"/>
      <c r="AJS2110" s="38"/>
      <c r="AJT2110" s="38"/>
      <c r="AJU2110" s="38"/>
      <c r="AJV2110" s="38"/>
      <c r="AJW2110" s="38"/>
      <c r="AJX2110" s="38"/>
      <c r="AJY2110" s="38"/>
      <c r="AJZ2110" s="38"/>
      <c r="AKA2110" s="38"/>
      <c r="AKB2110" s="38"/>
      <c r="AKC2110" s="38"/>
      <c r="AKD2110" s="38"/>
      <c r="AKE2110" s="38"/>
      <c r="AKF2110" s="38"/>
      <c r="AKG2110" s="38"/>
      <c r="AKH2110" s="38"/>
      <c r="AKI2110" s="38"/>
      <c r="AKJ2110" s="38"/>
      <c r="AKK2110" s="38"/>
      <c r="AKL2110" s="38"/>
      <c r="AKM2110" s="38"/>
      <c r="AKN2110" s="38"/>
      <c r="AKO2110" s="38"/>
      <c r="AKP2110" s="38"/>
      <c r="AKQ2110" s="38"/>
      <c r="AKR2110" s="38"/>
      <c r="AKS2110" s="38"/>
      <c r="AKT2110" s="38"/>
      <c r="AKU2110" s="38"/>
      <c r="AKV2110" s="38"/>
      <c r="AKW2110" s="38"/>
      <c r="AKX2110" s="38"/>
      <c r="AKY2110" s="38"/>
      <c r="AKZ2110" s="38"/>
      <c r="ALA2110" s="38"/>
      <c r="ALB2110" s="38"/>
      <c r="ALC2110" s="38"/>
      <c r="ALD2110" s="38"/>
      <c r="ALE2110" s="38"/>
      <c r="ALF2110" s="38"/>
      <c r="ALG2110" s="38"/>
      <c r="ALH2110" s="38"/>
      <c r="ALI2110" s="38"/>
      <c r="ALJ2110" s="38"/>
      <c r="ALK2110" s="38"/>
      <c r="ALL2110" s="38"/>
      <c r="ALM2110" s="38"/>
      <c r="ALN2110" s="38"/>
      <c r="ALO2110" s="38"/>
      <c r="ALP2110" s="38"/>
      <c r="ALQ2110" s="38"/>
      <c r="ALR2110" s="38"/>
      <c r="ALS2110" s="38"/>
      <c r="ALT2110" s="38"/>
      <c r="ALU2110" s="38"/>
      <c r="ALV2110" s="38"/>
      <c r="ALW2110" s="38"/>
      <c r="ALX2110" s="38"/>
      <c r="ALY2110" s="38"/>
      <c r="ALZ2110" s="38"/>
      <c r="AMA2110" s="38"/>
      <c r="AMB2110" s="38"/>
      <c r="AMC2110" s="38"/>
      <c r="AMD2110" s="38"/>
      <c r="AME2110" s="38"/>
      <c r="AMF2110" s="38"/>
      <c r="AMG2110" s="38"/>
      <c r="AMH2110" s="38"/>
      <c r="AMI2110" s="38"/>
      <c r="AMJ2110" s="38"/>
      <c r="AMK2110" s="38"/>
      <c r="AML2110" s="38"/>
      <c r="AMM2110" s="38"/>
      <c r="AMN2110" s="38"/>
      <c r="AMO2110" s="38"/>
      <c r="AMP2110" s="38"/>
      <c r="AMQ2110" s="38"/>
      <c r="AMR2110" s="38"/>
      <c r="AMS2110" s="38"/>
      <c r="AMT2110" s="38"/>
      <c r="AMU2110" s="38"/>
      <c r="AMV2110" s="38"/>
      <c r="AMW2110" s="38"/>
      <c r="AMX2110" s="38"/>
      <c r="AMY2110" s="38"/>
      <c r="AMZ2110" s="38"/>
      <c r="ANA2110" s="38"/>
      <c r="ANB2110" s="38"/>
      <c r="ANC2110" s="38"/>
      <c r="AND2110" s="38"/>
      <c r="ANE2110" s="38"/>
      <c r="ANF2110" s="38"/>
      <c r="ANG2110" s="38"/>
      <c r="ANH2110" s="38"/>
      <c r="ANI2110" s="38"/>
      <c r="ANJ2110" s="38"/>
      <c r="ANK2110" s="38"/>
      <c r="ANL2110" s="38"/>
      <c r="ANM2110" s="38"/>
      <c r="ANN2110" s="38"/>
      <c r="ANO2110" s="38"/>
      <c r="ANP2110" s="38"/>
      <c r="ANQ2110" s="38"/>
      <c r="ANR2110" s="38"/>
      <c r="ANS2110" s="38"/>
      <c r="ANT2110" s="38"/>
      <c r="ANU2110" s="38"/>
      <c r="ANV2110" s="38"/>
      <c r="ANW2110" s="38"/>
      <c r="ANX2110" s="38"/>
      <c r="ANY2110" s="38"/>
      <c r="ANZ2110" s="38"/>
      <c r="AOA2110" s="38"/>
      <c r="AOB2110" s="38"/>
      <c r="AOC2110" s="38"/>
      <c r="AOD2110" s="38"/>
      <c r="AOE2110" s="38"/>
      <c r="AOF2110" s="38"/>
      <c r="AOG2110" s="38"/>
      <c r="AOH2110" s="38"/>
      <c r="AOI2110" s="38"/>
      <c r="AOJ2110" s="38"/>
      <c r="AOK2110" s="38"/>
      <c r="AOL2110" s="38"/>
      <c r="AOM2110" s="38"/>
      <c r="AON2110" s="38"/>
      <c r="AOO2110" s="38"/>
      <c r="AOP2110" s="38"/>
      <c r="AOQ2110" s="38"/>
      <c r="AOR2110" s="38"/>
      <c r="AOS2110" s="38"/>
      <c r="AOT2110" s="38"/>
      <c r="AOU2110" s="38"/>
      <c r="AOV2110" s="38"/>
      <c r="AOW2110" s="38"/>
      <c r="AOX2110" s="38"/>
      <c r="AOY2110" s="38"/>
      <c r="AOZ2110" s="38"/>
      <c r="APA2110" s="38"/>
      <c r="APB2110" s="38"/>
      <c r="APC2110" s="38"/>
    </row>
    <row r="2111" spans="1:1095" s="36" customFormat="1" ht="14.25" customHeight="1">
      <c r="A2111" s="3" t="s">
        <v>1722</v>
      </c>
      <c r="B2111" s="36" t="s">
        <v>2514</v>
      </c>
      <c r="C2111" s="10">
        <v>4058075761919</v>
      </c>
      <c r="D2111" s="224">
        <v>4058075761919</v>
      </c>
      <c r="E2111" s="245" t="s">
        <v>2515</v>
      </c>
      <c r="F2111" s="246"/>
      <c r="G2111" s="66" t="str">
        <f>HYPERLINK("https://ledvance.com/pt/product-datasheet/275561/212526","Ficha de Produto")</f>
        <v>Ficha de Produto</v>
      </c>
      <c r="H2111" s="217">
        <v>4</v>
      </c>
      <c r="I2111" s="34" t="s">
        <v>854</v>
      </c>
      <c r="J2111" s="34" t="s">
        <v>6365</v>
      </c>
      <c r="K2111" s="34" t="s">
        <v>788</v>
      </c>
      <c r="L2111" s="34" t="s">
        <v>793</v>
      </c>
      <c r="M2111" s="247">
        <v>87.800000000000011</v>
      </c>
      <c r="N2111" s="288" t="s">
        <v>722</v>
      </c>
    </row>
    <row r="2112" spans="1:1095" s="36" customFormat="1" ht="14.25" customHeight="1">
      <c r="A2112" s="3" t="s">
        <v>1722</v>
      </c>
      <c r="B2112" s="36" t="s">
        <v>2516</v>
      </c>
      <c r="C2112" s="10">
        <v>4058075761056</v>
      </c>
      <c r="D2112" s="224">
        <v>4058075761056</v>
      </c>
      <c r="E2112" s="245" t="s">
        <v>2517</v>
      </c>
      <c r="F2112" s="246"/>
      <c r="G2112" s="66" t="str">
        <f>HYPERLINK("https://ledvance.com/pt/product-datasheet/275561/212543","Ficha de Produto")</f>
        <v>Ficha de Produto</v>
      </c>
      <c r="H2112" s="217">
        <v>4</v>
      </c>
      <c r="I2112" s="34" t="s">
        <v>6378</v>
      </c>
      <c r="J2112" s="34" t="s">
        <v>6365</v>
      </c>
      <c r="K2112" s="34" t="s">
        <v>788</v>
      </c>
      <c r="L2112" s="34" t="s">
        <v>793</v>
      </c>
      <c r="M2112" s="247">
        <v>96.2</v>
      </c>
      <c r="N2112" s="288" t="s">
        <v>722</v>
      </c>
    </row>
    <row r="2113" spans="1:1095" s="36" customFormat="1" ht="14.25" customHeight="1">
      <c r="A2113" s="3" t="s">
        <v>1722</v>
      </c>
      <c r="B2113" s="36" t="s">
        <v>2518</v>
      </c>
      <c r="C2113" s="10">
        <v>4058075761834</v>
      </c>
      <c r="D2113" s="224">
        <v>4058075761834</v>
      </c>
      <c r="E2113" s="245" t="s">
        <v>2519</v>
      </c>
      <c r="F2113" s="246"/>
      <c r="G2113" s="66" t="str">
        <f>HYPERLINK("https://ledvance.com/pt/product-datasheet/275561/212518","Ficha de Produto")</f>
        <v>Ficha de Produto</v>
      </c>
      <c r="H2113" s="217">
        <v>4</v>
      </c>
      <c r="I2113" s="34" t="s">
        <v>6338</v>
      </c>
      <c r="J2113" s="34" t="s">
        <v>6365</v>
      </c>
      <c r="K2113" s="34" t="s">
        <v>788</v>
      </c>
      <c r="L2113" s="34" t="s">
        <v>793</v>
      </c>
      <c r="M2113" s="247">
        <v>84.4</v>
      </c>
      <c r="N2113" s="288" t="s">
        <v>722</v>
      </c>
    </row>
    <row r="2114" spans="1:1095" s="36" customFormat="1" ht="14.25" customHeight="1">
      <c r="A2114" s="3" t="s">
        <v>1722</v>
      </c>
      <c r="B2114" s="36" t="s">
        <v>2520</v>
      </c>
      <c r="C2114" s="10">
        <v>4099854091803</v>
      </c>
      <c r="D2114" s="224">
        <v>4058075761551</v>
      </c>
      <c r="E2114" s="245" t="s">
        <v>2521</v>
      </c>
      <c r="F2114" s="246"/>
      <c r="G2114" s="66" t="str">
        <f>HYPERLINK("https://ledvance.com/pt/product-datasheet/275561/247066","Ficha de Produto")</f>
        <v>Ficha de Produto</v>
      </c>
      <c r="H2114" s="217">
        <v>4</v>
      </c>
      <c r="I2114" s="34" t="s">
        <v>6354</v>
      </c>
      <c r="J2114" s="34" t="s">
        <v>6365</v>
      </c>
      <c r="K2114" s="34" t="s">
        <v>788</v>
      </c>
      <c r="L2114" s="34" t="s">
        <v>793</v>
      </c>
      <c r="M2114" s="247">
        <v>31.400000000000002</v>
      </c>
      <c r="N2114" s="288" t="s">
        <v>722</v>
      </c>
    </row>
    <row r="2115" spans="1:1095" s="36" customFormat="1" ht="14.25" customHeight="1">
      <c r="A2115" s="3" t="s">
        <v>1722</v>
      </c>
      <c r="B2115" s="36" t="s">
        <v>2522</v>
      </c>
      <c r="C2115" s="10">
        <v>4058075760974</v>
      </c>
      <c r="D2115" s="224">
        <v>4058075760974</v>
      </c>
      <c r="E2115" s="245" t="s">
        <v>2523</v>
      </c>
      <c r="F2115" s="246"/>
      <c r="G2115" s="66" t="str">
        <f>HYPERLINK("https://ledvance.com/pt/product-datasheet/275561/211997","Ficha de Produto")</f>
        <v>Ficha de Produto</v>
      </c>
      <c r="H2115" s="217">
        <v>4</v>
      </c>
      <c r="I2115" s="34" t="s">
        <v>6380</v>
      </c>
      <c r="J2115" s="34" t="s">
        <v>6383</v>
      </c>
      <c r="K2115" s="34" t="s">
        <v>788</v>
      </c>
      <c r="L2115" s="34" t="s">
        <v>793</v>
      </c>
      <c r="M2115" s="247">
        <v>64.600000000000009</v>
      </c>
      <c r="N2115" s="288" t="s">
        <v>722</v>
      </c>
    </row>
    <row r="2116" spans="1:1095" s="36" customFormat="1" ht="14.25" customHeight="1">
      <c r="A2116" s="3" t="s">
        <v>1722</v>
      </c>
      <c r="B2116" s="36" t="s">
        <v>2524</v>
      </c>
      <c r="C2116" s="10">
        <v>4058075761858</v>
      </c>
      <c r="D2116" s="224">
        <v>4058075761858</v>
      </c>
      <c r="E2116" s="245" t="s">
        <v>2525</v>
      </c>
      <c r="F2116" s="246"/>
      <c r="G2116" s="66" t="str">
        <f>HYPERLINK("https://ledvance.com/pt/product-datasheet/275561/212000","Ficha de Produto")</f>
        <v>Ficha de Produto</v>
      </c>
      <c r="H2116" s="217">
        <v>4</v>
      </c>
      <c r="I2116" s="34" t="s">
        <v>6384</v>
      </c>
      <c r="J2116" s="34" t="s">
        <v>6383</v>
      </c>
      <c r="K2116" s="34" t="s">
        <v>788</v>
      </c>
      <c r="L2116" s="34" t="s">
        <v>793</v>
      </c>
      <c r="M2116" s="247">
        <v>79.800000000000011</v>
      </c>
      <c r="N2116" s="288" t="s">
        <v>722</v>
      </c>
    </row>
    <row r="2117" spans="1:1095" s="36" customFormat="1" ht="14.25" customHeight="1">
      <c r="A2117" s="3" t="s">
        <v>1722</v>
      </c>
      <c r="B2117" s="36" t="s">
        <v>2526</v>
      </c>
      <c r="C2117" s="10">
        <v>4058075761872</v>
      </c>
      <c r="D2117" s="224">
        <v>4058075761872</v>
      </c>
      <c r="E2117" s="245" t="s">
        <v>2527</v>
      </c>
      <c r="F2117" s="246"/>
      <c r="G2117" s="66" t="str">
        <f>HYPERLINK("https://ledvance.com/pt/product-datasheet/275561/212003","Ficha de Produto")</f>
        <v>Ficha de Produto</v>
      </c>
      <c r="H2117" s="217">
        <v>4</v>
      </c>
      <c r="I2117" s="34" t="s">
        <v>6378</v>
      </c>
      <c r="J2117" s="34" t="s">
        <v>6383</v>
      </c>
      <c r="K2117" s="34" t="s">
        <v>788</v>
      </c>
      <c r="L2117" s="34" t="s">
        <v>793</v>
      </c>
      <c r="M2117" s="247">
        <v>77.400000000000006</v>
      </c>
      <c r="N2117" s="288" t="s">
        <v>722</v>
      </c>
    </row>
    <row r="2118" spans="1:1095" s="36" customFormat="1" ht="14.25" customHeight="1">
      <c r="A2118" s="3" t="s">
        <v>1722</v>
      </c>
      <c r="B2118" s="36" t="s">
        <v>2528</v>
      </c>
      <c r="C2118" s="10">
        <v>4058075761896</v>
      </c>
      <c r="D2118" s="224">
        <v>4058075761896</v>
      </c>
      <c r="E2118" s="245" t="s">
        <v>2529</v>
      </c>
      <c r="F2118" s="246"/>
      <c r="G2118" s="66" t="str">
        <f>HYPERLINK("https://ledvance.com/pt/product-datasheet/275561/212006","Ficha de Produto")</f>
        <v>Ficha de Produto</v>
      </c>
      <c r="H2118" s="217">
        <v>4</v>
      </c>
      <c r="I2118" s="34" t="s">
        <v>6385</v>
      </c>
      <c r="J2118" s="34" t="s">
        <v>6383</v>
      </c>
      <c r="K2118" s="34" t="s">
        <v>788</v>
      </c>
      <c r="L2118" s="34" t="s">
        <v>793</v>
      </c>
      <c r="M2118" s="247">
        <v>80.900000000000006</v>
      </c>
      <c r="N2118" s="288" t="s">
        <v>722</v>
      </c>
    </row>
    <row r="2119" spans="1:1095" s="36" customFormat="1" ht="14.25" customHeight="1">
      <c r="A2119" s="3" t="s">
        <v>1722</v>
      </c>
      <c r="B2119" s="36" t="s">
        <v>2530</v>
      </c>
      <c r="C2119" s="10">
        <v>4058075760998</v>
      </c>
      <c r="D2119" s="224">
        <v>4058075760998</v>
      </c>
      <c r="E2119" s="245" t="s">
        <v>2531</v>
      </c>
      <c r="F2119" s="246"/>
      <c r="G2119" s="66" t="str">
        <f>HYPERLINK("https://ledvance.com/pt/product-datasheet/275561/212009","Ficha de Produto")</f>
        <v>Ficha de Produto</v>
      </c>
      <c r="H2119" s="217">
        <v>4</v>
      </c>
      <c r="I2119" s="34" t="s">
        <v>6380</v>
      </c>
      <c r="J2119" s="34" t="s">
        <v>6383</v>
      </c>
      <c r="K2119" s="34" t="s">
        <v>788</v>
      </c>
      <c r="L2119" s="34" t="s">
        <v>793</v>
      </c>
      <c r="M2119" s="247">
        <v>80.900000000000006</v>
      </c>
      <c r="N2119" s="288" t="s">
        <v>722</v>
      </c>
    </row>
    <row r="2120" spans="1:1095" s="36" customFormat="1" ht="14.25" customHeight="1">
      <c r="A2120" s="3" t="s">
        <v>1722</v>
      </c>
      <c r="B2120" s="36" t="s">
        <v>2532</v>
      </c>
      <c r="C2120" s="10">
        <v>4058075761018</v>
      </c>
      <c r="D2120" s="224">
        <v>4058075761018</v>
      </c>
      <c r="E2120" s="245" t="s">
        <v>2533</v>
      </c>
      <c r="F2120" s="246"/>
      <c r="G2120" s="66" t="str">
        <f>HYPERLINK("https://ledvance.com/pt/product-datasheet/275561/211994","Ficha de Produto")</f>
        <v>Ficha de Produto</v>
      </c>
      <c r="H2120" s="217">
        <v>4</v>
      </c>
      <c r="I2120" s="34" t="s">
        <v>1035</v>
      </c>
      <c r="J2120" s="34" t="s">
        <v>855</v>
      </c>
      <c r="K2120" s="34" t="s">
        <v>788</v>
      </c>
      <c r="L2120" s="34" t="s">
        <v>793</v>
      </c>
      <c r="M2120" s="247">
        <v>87.100000000000009</v>
      </c>
      <c r="N2120" s="288" t="s">
        <v>722</v>
      </c>
    </row>
    <row r="2121" spans="1:1095" s="36" customFormat="1" ht="14.25" customHeight="1">
      <c r="A2121" s="3" t="s">
        <v>1722</v>
      </c>
      <c r="B2121" s="36" t="s">
        <v>2534</v>
      </c>
      <c r="C2121" s="10">
        <v>4099854090325</v>
      </c>
      <c r="D2121" s="224">
        <v>4058075761032</v>
      </c>
      <c r="E2121" s="245" t="s">
        <v>2535</v>
      </c>
      <c r="F2121" s="246"/>
      <c r="G2121" s="66" t="str">
        <f>HYPERLINK("https://ledvance.com/pt/product-datasheet/275561/246593","Ficha de Produto")</f>
        <v>Ficha de Produto</v>
      </c>
      <c r="H2121" s="217">
        <v>4</v>
      </c>
      <c r="I2121" s="34" t="s">
        <v>1035</v>
      </c>
      <c r="J2121" s="34" t="s">
        <v>855</v>
      </c>
      <c r="K2121" s="34" t="s">
        <v>788</v>
      </c>
      <c r="L2121" s="34" t="s">
        <v>793</v>
      </c>
      <c r="M2121" s="247">
        <v>64.100000000000009</v>
      </c>
      <c r="N2121" s="288" t="s">
        <v>722</v>
      </c>
    </row>
    <row r="2122" spans="1:1095" s="39" customFormat="1" ht="14.25" customHeight="1">
      <c r="A2122" s="8" t="s">
        <v>1722</v>
      </c>
      <c r="B2122" s="39" t="s">
        <v>2536</v>
      </c>
      <c r="C2122" s="8"/>
      <c r="D2122" s="7"/>
      <c r="E2122" s="230"/>
      <c r="F2122" s="7"/>
      <c r="G2122" s="68"/>
      <c r="H2122" s="230"/>
      <c r="I2122" s="230"/>
      <c r="J2122" s="230"/>
      <c r="K2122" s="230"/>
      <c r="L2122" s="230"/>
      <c r="M2122" s="248"/>
      <c r="N2122" s="284"/>
      <c r="O2122" s="38"/>
      <c r="P2122" s="38"/>
      <c r="Q2122" s="38"/>
      <c r="R2122" s="38"/>
      <c r="S2122" s="38"/>
      <c r="T2122" s="38"/>
      <c r="U2122" s="38"/>
      <c r="V2122" s="38"/>
      <c r="W2122" s="38"/>
      <c r="X2122" s="38"/>
      <c r="Y2122" s="38"/>
      <c r="Z2122" s="38"/>
      <c r="AA2122" s="38"/>
      <c r="AB2122" s="38"/>
      <c r="AC2122" s="38"/>
      <c r="AD2122" s="38"/>
      <c r="AE2122" s="38"/>
      <c r="AF2122" s="38"/>
      <c r="AG2122" s="38"/>
      <c r="AH2122" s="38"/>
      <c r="AI2122" s="38"/>
      <c r="AJ2122" s="38"/>
      <c r="AK2122" s="38"/>
      <c r="AL2122" s="38"/>
      <c r="AM2122" s="38"/>
      <c r="AN2122" s="38"/>
      <c r="AO2122" s="38"/>
      <c r="AP2122" s="38"/>
      <c r="AQ2122" s="38"/>
      <c r="AR2122" s="38"/>
      <c r="AS2122" s="38"/>
      <c r="AT2122" s="38"/>
      <c r="AU2122" s="38"/>
      <c r="AV2122" s="38"/>
      <c r="AW2122" s="38"/>
      <c r="AX2122" s="38"/>
      <c r="AY2122" s="38"/>
      <c r="AZ2122" s="38"/>
      <c r="BA2122" s="38"/>
      <c r="BB2122" s="38"/>
      <c r="BC2122" s="38"/>
      <c r="BD2122" s="38"/>
      <c r="BE2122" s="38"/>
      <c r="BF2122" s="38"/>
      <c r="BG2122" s="38"/>
      <c r="BH2122" s="38"/>
      <c r="BI2122" s="38"/>
      <c r="BJ2122" s="38"/>
      <c r="BK2122" s="38"/>
      <c r="BL2122" s="38"/>
      <c r="BM2122" s="38"/>
      <c r="BN2122" s="38"/>
      <c r="BO2122" s="38"/>
      <c r="BP2122" s="38"/>
      <c r="BQ2122" s="38"/>
      <c r="BR2122" s="38"/>
      <c r="BS2122" s="38"/>
      <c r="BT2122" s="38"/>
      <c r="BU2122" s="38"/>
      <c r="BV2122" s="38"/>
      <c r="BW2122" s="38"/>
      <c r="BX2122" s="38"/>
      <c r="BY2122" s="38"/>
      <c r="BZ2122" s="38"/>
      <c r="CA2122" s="38"/>
      <c r="CB2122" s="38"/>
      <c r="CC2122" s="38"/>
      <c r="CD2122" s="38"/>
      <c r="CE2122" s="38"/>
      <c r="CF2122" s="38"/>
      <c r="CG2122" s="38"/>
      <c r="CH2122" s="38"/>
      <c r="CI2122" s="38"/>
      <c r="CJ2122" s="38"/>
      <c r="CK2122" s="38"/>
      <c r="CL2122" s="38"/>
      <c r="CM2122" s="38"/>
      <c r="CN2122" s="38"/>
      <c r="CO2122" s="38"/>
      <c r="CP2122" s="38"/>
      <c r="CQ2122" s="38"/>
      <c r="CR2122" s="38"/>
      <c r="CS2122" s="38"/>
      <c r="CT2122" s="38"/>
      <c r="CU2122" s="38"/>
      <c r="CV2122" s="38"/>
      <c r="CW2122" s="38"/>
      <c r="CX2122" s="38"/>
      <c r="CY2122" s="38"/>
      <c r="CZ2122" s="38"/>
      <c r="DA2122" s="38"/>
      <c r="DB2122" s="38"/>
      <c r="DC2122" s="38"/>
      <c r="DD2122" s="38"/>
      <c r="DE2122" s="38"/>
      <c r="DF2122" s="38"/>
      <c r="DG2122" s="38"/>
      <c r="DH2122" s="38"/>
      <c r="DI2122" s="38"/>
      <c r="DJ2122" s="38"/>
      <c r="DK2122" s="38"/>
      <c r="DL2122" s="38"/>
      <c r="DM2122" s="38"/>
      <c r="DN2122" s="38"/>
      <c r="DO2122" s="38"/>
      <c r="DP2122" s="38"/>
      <c r="DQ2122" s="38"/>
      <c r="DR2122" s="38"/>
      <c r="DS2122" s="38"/>
      <c r="DT2122" s="38"/>
      <c r="DU2122" s="38"/>
      <c r="DV2122" s="38"/>
      <c r="DW2122" s="38"/>
      <c r="DX2122" s="38"/>
      <c r="DY2122" s="38"/>
      <c r="DZ2122" s="38"/>
      <c r="EA2122" s="38"/>
      <c r="EB2122" s="38"/>
      <c r="EC2122" s="38"/>
      <c r="ED2122" s="38"/>
      <c r="EE2122" s="38"/>
      <c r="EF2122" s="38"/>
      <c r="EG2122" s="38"/>
      <c r="EH2122" s="38"/>
      <c r="EI2122" s="38"/>
      <c r="EJ2122" s="38"/>
      <c r="EK2122" s="38"/>
      <c r="EL2122" s="38"/>
      <c r="EM2122" s="38"/>
      <c r="EN2122" s="38"/>
      <c r="EO2122" s="38"/>
      <c r="EP2122" s="38"/>
      <c r="EQ2122" s="38"/>
      <c r="ER2122" s="38"/>
      <c r="ES2122" s="38"/>
      <c r="ET2122" s="38"/>
      <c r="EU2122" s="38"/>
      <c r="EV2122" s="38"/>
      <c r="EW2122" s="38"/>
      <c r="EX2122" s="38"/>
      <c r="EY2122" s="38"/>
      <c r="EZ2122" s="38"/>
      <c r="FA2122" s="38"/>
      <c r="FB2122" s="38"/>
      <c r="FC2122" s="38"/>
      <c r="FD2122" s="38"/>
      <c r="FE2122" s="38"/>
      <c r="FF2122" s="38"/>
      <c r="FG2122" s="38"/>
      <c r="FH2122" s="38"/>
      <c r="FI2122" s="38"/>
      <c r="FJ2122" s="38"/>
      <c r="FK2122" s="38"/>
      <c r="FL2122" s="38"/>
      <c r="FM2122" s="38"/>
      <c r="FN2122" s="38"/>
      <c r="FO2122" s="38"/>
      <c r="FP2122" s="38"/>
      <c r="FQ2122" s="38"/>
      <c r="FR2122" s="38"/>
      <c r="FS2122" s="38"/>
      <c r="FT2122" s="38"/>
      <c r="FU2122" s="38"/>
      <c r="FV2122" s="38"/>
      <c r="FW2122" s="38"/>
      <c r="FX2122" s="38"/>
      <c r="FY2122" s="38"/>
      <c r="FZ2122" s="38"/>
      <c r="GA2122" s="38"/>
      <c r="GB2122" s="38"/>
      <c r="GC2122" s="38"/>
      <c r="GD2122" s="38"/>
      <c r="GE2122" s="38"/>
      <c r="GF2122" s="38"/>
      <c r="GG2122" s="38"/>
      <c r="GH2122" s="38"/>
      <c r="GI2122" s="38"/>
      <c r="GJ2122" s="38"/>
      <c r="GK2122" s="38"/>
      <c r="GL2122" s="38"/>
      <c r="GM2122" s="38"/>
      <c r="GN2122" s="38"/>
      <c r="GO2122" s="38"/>
      <c r="GP2122" s="38"/>
      <c r="GQ2122" s="38"/>
      <c r="GR2122" s="38"/>
      <c r="GS2122" s="38"/>
      <c r="GT2122" s="38"/>
      <c r="GU2122" s="38"/>
      <c r="GV2122" s="38"/>
      <c r="GW2122" s="38"/>
      <c r="GX2122" s="38"/>
      <c r="GY2122" s="38"/>
      <c r="GZ2122" s="38"/>
      <c r="HA2122" s="38"/>
      <c r="HB2122" s="38"/>
      <c r="HC2122" s="38"/>
      <c r="HD2122" s="38"/>
      <c r="HE2122" s="38"/>
      <c r="HF2122" s="38"/>
      <c r="HG2122" s="38"/>
      <c r="HH2122" s="38"/>
      <c r="HI2122" s="38"/>
      <c r="HJ2122" s="38"/>
      <c r="HK2122" s="38"/>
      <c r="HL2122" s="38"/>
      <c r="HM2122" s="38"/>
      <c r="HN2122" s="38"/>
      <c r="HO2122" s="38"/>
      <c r="HP2122" s="38"/>
      <c r="HQ2122" s="38"/>
      <c r="HR2122" s="38"/>
      <c r="HS2122" s="38"/>
      <c r="HT2122" s="38"/>
      <c r="HU2122" s="38"/>
      <c r="HV2122" s="38"/>
      <c r="HW2122" s="38"/>
      <c r="HX2122" s="38"/>
      <c r="HY2122" s="38"/>
      <c r="HZ2122" s="38"/>
      <c r="IA2122" s="38"/>
      <c r="IB2122" s="38"/>
      <c r="IC2122" s="38"/>
      <c r="ID2122" s="38"/>
      <c r="IE2122" s="38"/>
      <c r="IF2122" s="38"/>
      <c r="IG2122" s="38"/>
      <c r="IH2122" s="38"/>
      <c r="II2122" s="38"/>
      <c r="IJ2122" s="38"/>
      <c r="IK2122" s="38"/>
      <c r="IL2122" s="38"/>
      <c r="IM2122" s="38"/>
      <c r="IN2122" s="38"/>
      <c r="IO2122" s="38"/>
      <c r="IP2122" s="38"/>
      <c r="IQ2122" s="38"/>
      <c r="IR2122" s="38"/>
      <c r="IS2122" s="38"/>
      <c r="IT2122" s="38"/>
      <c r="IU2122" s="38"/>
      <c r="IV2122" s="38"/>
      <c r="IW2122" s="38"/>
      <c r="IX2122" s="38"/>
      <c r="IY2122" s="38"/>
      <c r="IZ2122" s="38"/>
      <c r="JA2122" s="38"/>
      <c r="JB2122" s="38"/>
      <c r="JC2122" s="38"/>
      <c r="JD2122" s="38"/>
      <c r="JE2122" s="38"/>
      <c r="JF2122" s="38"/>
      <c r="JG2122" s="38"/>
      <c r="JH2122" s="38"/>
      <c r="JI2122" s="38"/>
      <c r="JJ2122" s="38"/>
      <c r="JK2122" s="38"/>
      <c r="JL2122" s="38"/>
      <c r="JM2122" s="38"/>
      <c r="JN2122" s="38"/>
      <c r="JO2122" s="38"/>
      <c r="JP2122" s="38"/>
      <c r="JQ2122" s="38"/>
      <c r="JR2122" s="38"/>
      <c r="JS2122" s="38"/>
      <c r="JT2122" s="38"/>
      <c r="JU2122" s="38"/>
      <c r="JV2122" s="38"/>
      <c r="JW2122" s="38"/>
      <c r="JX2122" s="38"/>
      <c r="JY2122" s="38"/>
      <c r="JZ2122" s="38"/>
      <c r="KA2122" s="38"/>
      <c r="KB2122" s="38"/>
      <c r="KC2122" s="38"/>
      <c r="KD2122" s="38"/>
      <c r="KE2122" s="38"/>
      <c r="KF2122" s="38"/>
      <c r="KG2122" s="38"/>
      <c r="KH2122" s="38"/>
      <c r="KI2122" s="38"/>
      <c r="KJ2122" s="38"/>
      <c r="KK2122" s="38"/>
      <c r="KL2122" s="38"/>
      <c r="KM2122" s="38"/>
      <c r="KN2122" s="38"/>
      <c r="KO2122" s="38"/>
      <c r="KP2122" s="38"/>
      <c r="KQ2122" s="38"/>
      <c r="KR2122" s="38"/>
      <c r="KS2122" s="38"/>
      <c r="KT2122" s="38"/>
      <c r="KU2122" s="38"/>
      <c r="KV2122" s="38"/>
      <c r="KW2122" s="38"/>
      <c r="KX2122" s="38"/>
      <c r="KY2122" s="38"/>
      <c r="KZ2122" s="38"/>
      <c r="LA2122" s="38"/>
      <c r="LB2122" s="38"/>
      <c r="LC2122" s="38"/>
      <c r="LD2122" s="38"/>
      <c r="LE2122" s="38"/>
      <c r="LF2122" s="38"/>
      <c r="LG2122" s="38"/>
      <c r="LH2122" s="38"/>
      <c r="LI2122" s="38"/>
      <c r="LJ2122" s="38"/>
      <c r="LK2122" s="38"/>
      <c r="LL2122" s="38"/>
      <c r="LM2122" s="38"/>
      <c r="LN2122" s="38"/>
      <c r="LO2122" s="38"/>
      <c r="LP2122" s="38"/>
      <c r="LQ2122" s="38"/>
      <c r="LR2122" s="38"/>
      <c r="LS2122" s="38"/>
      <c r="LT2122" s="38"/>
      <c r="LU2122" s="38"/>
      <c r="LV2122" s="38"/>
      <c r="LW2122" s="38"/>
      <c r="LX2122" s="38"/>
      <c r="LY2122" s="38"/>
      <c r="LZ2122" s="38"/>
      <c r="MA2122" s="38"/>
      <c r="MB2122" s="38"/>
      <c r="MC2122" s="38"/>
      <c r="MD2122" s="38"/>
      <c r="ME2122" s="38"/>
      <c r="MF2122" s="38"/>
      <c r="MG2122" s="38"/>
      <c r="MH2122" s="38"/>
      <c r="MI2122" s="38"/>
      <c r="MJ2122" s="38"/>
      <c r="MK2122" s="38"/>
      <c r="ML2122" s="38"/>
      <c r="MM2122" s="38"/>
      <c r="MN2122" s="38"/>
      <c r="MO2122" s="38"/>
      <c r="MP2122" s="38"/>
      <c r="MQ2122" s="38"/>
      <c r="MR2122" s="38"/>
      <c r="MS2122" s="38"/>
      <c r="MT2122" s="38"/>
      <c r="MU2122" s="38"/>
      <c r="MV2122" s="38"/>
      <c r="MW2122" s="38"/>
      <c r="MX2122" s="38"/>
      <c r="MY2122" s="38"/>
      <c r="MZ2122" s="38"/>
      <c r="NA2122" s="38"/>
      <c r="NB2122" s="38"/>
      <c r="NC2122" s="38"/>
      <c r="ND2122" s="38"/>
      <c r="NE2122" s="38"/>
      <c r="NF2122" s="38"/>
      <c r="NG2122" s="38"/>
      <c r="NH2122" s="38"/>
      <c r="NI2122" s="38"/>
      <c r="NJ2122" s="38"/>
      <c r="NK2122" s="38"/>
      <c r="NL2122" s="38"/>
      <c r="NM2122" s="38"/>
      <c r="NN2122" s="38"/>
      <c r="NO2122" s="38"/>
      <c r="NP2122" s="38"/>
      <c r="NQ2122" s="38"/>
      <c r="NR2122" s="38"/>
      <c r="NS2122" s="38"/>
      <c r="NT2122" s="38"/>
      <c r="NU2122" s="38"/>
      <c r="NV2122" s="38"/>
      <c r="NW2122" s="38"/>
      <c r="NX2122" s="38"/>
      <c r="NY2122" s="38"/>
      <c r="NZ2122" s="38"/>
      <c r="OA2122" s="38"/>
      <c r="OB2122" s="38"/>
      <c r="OC2122" s="38"/>
      <c r="OD2122" s="38"/>
      <c r="OE2122" s="38"/>
      <c r="OF2122" s="38"/>
      <c r="OG2122" s="38"/>
      <c r="OH2122" s="38"/>
      <c r="OI2122" s="38"/>
      <c r="OJ2122" s="38"/>
      <c r="OK2122" s="38"/>
      <c r="OL2122" s="38"/>
      <c r="OM2122" s="38"/>
      <c r="ON2122" s="38"/>
      <c r="OO2122" s="38"/>
      <c r="OP2122" s="38"/>
      <c r="OQ2122" s="38"/>
      <c r="OR2122" s="38"/>
      <c r="OS2122" s="38"/>
      <c r="OT2122" s="38"/>
      <c r="OU2122" s="38"/>
      <c r="OV2122" s="38"/>
      <c r="OW2122" s="38"/>
      <c r="OX2122" s="38"/>
      <c r="OY2122" s="38"/>
      <c r="OZ2122" s="38"/>
      <c r="PA2122" s="38"/>
      <c r="PB2122" s="38"/>
      <c r="PC2122" s="38"/>
      <c r="PD2122" s="38"/>
      <c r="PE2122" s="38"/>
      <c r="PF2122" s="38"/>
      <c r="PG2122" s="38"/>
      <c r="PH2122" s="38"/>
      <c r="PI2122" s="38"/>
      <c r="PJ2122" s="38"/>
      <c r="PK2122" s="38"/>
      <c r="PL2122" s="38"/>
      <c r="PM2122" s="38"/>
      <c r="PN2122" s="38"/>
      <c r="PO2122" s="38"/>
      <c r="PP2122" s="38"/>
      <c r="PQ2122" s="38"/>
      <c r="PR2122" s="38"/>
      <c r="PS2122" s="38"/>
      <c r="PT2122" s="38"/>
      <c r="PU2122" s="38"/>
      <c r="PV2122" s="38"/>
      <c r="PW2122" s="38"/>
      <c r="PX2122" s="38"/>
      <c r="PY2122" s="38"/>
      <c r="PZ2122" s="38"/>
      <c r="QA2122" s="38"/>
      <c r="QB2122" s="38"/>
      <c r="QC2122" s="38"/>
      <c r="QD2122" s="38"/>
      <c r="QE2122" s="38"/>
      <c r="QF2122" s="38"/>
      <c r="QG2122" s="38"/>
      <c r="QH2122" s="38"/>
      <c r="QI2122" s="38"/>
      <c r="QJ2122" s="38"/>
      <c r="QK2122" s="38"/>
      <c r="QL2122" s="38"/>
      <c r="QM2122" s="38"/>
      <c r="QN2122" s="38"/>
      <c r="QO2122" s="38"/>
      <c r="QP2122" s="38"/>
      <c r="QQ2122" s="38"/>
      <c r="QR2122" s="38"/>
      <c r="QS2122" s="38"/>
      <c r="QT2122" s="38"/>
      <c r="QU2122" s="38"/>
      <c r="QV2122" s="38"/>
      <c r="QW2122" s="38"/>
      <c r="QX2122" s="38"/>
      <c r="QY2122" s="38"/>
      <c r="QZ2122" s="38"/>
      <c r="RA2122" s="38"/>
      <c r="RB2122" s="38"/>
      <c r="RC2122" s="38"/>
      <c r="RD2122" s="38"/>
      <c r="RE2122" s="38"/>
      <c r="RF2122" s="38"/>
      <c r="RG2122" s="38"/>
      <c r="RH2122" s="38"/>
      <c r="RI2122" s="38"/>
      <c r="RJ2122" s="38"/>
      <c r="RK2122" s="38"/>
      <c r="RL2122" s="38"/>
      <c r="RM2122" s="38"/>
      <c r="RN2122" s="38"/>
      <c r="RO2122" s="38"/>
      <c r="RP2122" s="38"/>
      <c r="RQ2122" s="38"/>
      <c r="RR2122" s="38"/>
      <c r="RS2122" s="38"/>
      <c r="RT2122" s="38"/>
      <c r="RU2122" s="38"/>
      <c r="RV2122" s="38"/>
      <c r="RW2122" s="38"/>
      <c r="RX2122" s="38"/>
      <c r="RY2122" s="38"/>
      <c r="RZ2122" s="38"/>
      <c r="SA2122" s="38"/>
      <c r="SB2122" s="38"/>
      <c r="SC2122" s="38"/>
      <c r="SD2122" s="38"/>
      <c r="SE2122" s="38"/>
      <c r="SF2122" s="38"/>
      <c r="SG2122" s="38"/>
      <c r="SH2122" s="38"/>
      <c r="SI2122" s="38"/>
      <c r="SJ2122" s="38"/>
      <c r="SK2122" s="38"/>
      <c r="SL2122" s="38"/>
      <c r="SM2122" s="38"/>
      <c r="SN2122" s="38"/>
      <c r="SO2122" s="38"/>
      <c r="SP2122" s="38"/>
      <c r="SQ2122" s="38"/>
      <c r="SR2122" s="38"/>
      <c r="SS2122" s="38"/>
      <c r="ST2122" s="38"/>
      <c r="SU2122" s="38"/>
      <c r="SV2122" s="38"/>
      <c r="SW2122" s="38"/>
      <c r="SX2122" s="38"/>
      <c r="SY2122" s="38"/>
      <c r="SZ2122" s="38"/>
      <c r="TA2122" s="38"/>
      <c r="TB2122" s="38"/>
      <c r="TC2122" s="38"/>
      <c r="TD2122" s="38"/>
      <c r="TE2122" s="38"/>
      <c r="TF2122" s="38"/>
      <c r="TG2122" s="38"/>
      <c r="TH2122" s="38"/>
      <c r="TI2122" s="38"/>
      <c r="TJ2122" s="38"/>
      <c r="TK2122" s="38"/>
      <c r="TL2122" s="38"/>
      <c r="TM2122" s="38"/>
      <c r="TN2122" s="38"/>
      <c r="TO2122" s="38"/>
      <c r="TP2122" s="38"/>
      <c r="TQ2122" s="38"/>
      <c r="TR2122" s="38"/>
      <c r="TS2122" s="38"/>
      <c r="TT2122" s="38"/>
      <c r="TU2122" s="38"/>
      <c r="TV2122" s="38"/>
      <c r="TW2122" s="38"/>
      <c r="TX2122" s="38"/>
      <c r="TY2122" s="38"/>
      <c r="TZ2122" s="38"/>
      <c r="UA2122" s="38"/>
      <c r="UB2122" s="38"/>
      <c r="UC2122" s="38"/>
      <c r="UD2122" s="38"/>
      <c r="UE2122" s="38"/>
      <c r="UF2122" s="38"/>
      <c r="UG2122" s="38"/>
      <c r="UH2122" s="38"/>
      <c r="UI2122" s="38"/>
      <c r="UJ2122" s="38"/>
      <c r="UK2122" s="38"/>
      <c r="UL2122" s="38"/>
      <c r="UM2122" s="38"/>
      <c r="UN2122" s="38"/>
      <c r="UO2122" s="38"/>
      <c r="UP2122" s="38"/>
      <c r="UQ2122" s="38"/>
      <c r="UR2122" s="38"/>
      <c r="US2122" s="38"/>
      <c r="UT2122" s="38"/>
      <c r="UU2122" s="38"/>
      <c r="UV2122" s="38"/>
      <c r="UW2122" s="38"/>
      <c r="UX2122" s="38"/>
      <c r="UY2122" s="38"/>
      <c r="UZ2122" s="38"/>
      <c r="VA2122" s="38"/>
      <c r="VB2122" s="38"/>
      <c r="VC2122" s="38"/>
      <c r="VD2122" s="38"/>
      <c r="VE2122" s="38"/>
      <c r="VF2122" s="38"/>
      <c r="VG2122" s="38"/>
      <c r="VH2122" s="38"/>
      <c r="VI2122" s="38"/>
      <c r="VJ2122" s="38"/>
      <c r="VK2122" s="38"/>
      <c r="VL2122" s="38"/>
      <c r="VM2122" s="38"/>
      <c r="VN2122" s="38"/>
      <c r="VO2122" s="38"/>
      <c r="VP2122" s="38"/>
      <c r="VQ2122" s="38"/>
      <c r="VR2122" s="38"/>
      <c r="VS2122" s="38"/>
      <c r="VT2122" s="38"/>
      <c r="VU2122" s="38"/>
      <c r="VV2122" s="38"/>
      <c r="VW2122" s="38"/>
      <c r="VX2122" s="38"/>
      <c r="VY2122" s="38"/>
      <c r="VZ2122" s="38"/>
      <c r="WA2122" s="38"/>
      <c r="WB2122" s="38"/>
      <c r="WC2122" s="38"/>
      <c r="WD2122" s="38"/>
      <c r="WE2122" s="38"/>
      <c r="WF2122" s="38"/>
      <c r="WG2122" s="38"/>
      <c r="WH2122" s="38"/>
      <c r="WI2122" s="38"/>
      <c r="WJ2122" s="38"/>
      <c r="WK2122" s="38"/>
      <c r="WL2122" s="38"/>
      <c r="WM2122" s="38"/>
      <c r="WN2122" s="38"/>
      <c r="WO2122" s="38"/>
      <c r="WP2122" s="38"/>
      <c r="WQ2122" s="38"/>
      <c r="WR2122" s="38"/>
      <c r="WS2122" s="38"/>
      <c r="WT2122" s="38"/>
      <c r="WU2122" s="38"/>
      <c r="WV2122" s="38"/>
      <c r="WW2122" s="38"/>
      <c r="WX2122" s="38"/>
      <c r="WY2122" s="38"/>
      <c r="WZ2122" s="38"/>
      <c r="XA2122" s="38"/>
      <c r="XB2122" s="38"/>
      <c r="XC2122" s="38"/>
      <c r="XD2122" s="38"/>
      <c r="XE2122" s="38"/>
      <c r="XF2122" s="38"/>
      <c r="XG2122" s="38"/>
      <c r="XH2122" s="38"/>
      <c r="XI2122" s="38"/>
      <c r="XJ2122" s="38"/>
      <c r="XK2122" s="38"/>
      <c r="XL2122" s="38"/>
      <c r="XM2122" s="38"/>
      <c r="XN2122" s="38"/>
      <c r="XO2122" s="38"/>
      <c r="XP2122" s="38"/>
      <c r="XQ2122" s="38"/>
      <c r="XR2122" s="38"/>
      <c r="XS2122" s="38"/>
      <c r="XT2122" s="38"/>
      <c r="XU2122" s="38"/>
      <c r="XV2122" s="38"/>
      <c r="XW2122" s="38"/>
      <c r="XX2122" s="38"/>
      <c r="XY2122" s="38"/>
      <c r="XZ2122" s="38"/>
      <c r="YA2122" s="38"/>
      <c r="YB2122" s="38"/>
      <c r="YC2122" s="38"/>
      <c r="YD2122" s="38"/>
      <c r="YE2122" s="38"/>
      <c r="YF2122" s="38"/>
      <c r="YG2122" s="38"/>
      <c r="YH2122" s="38"/>
      <c r="YI2122" s="38"/>
      <c r="YJ2122" s="38"/>
      <c r="YK2122" s="38"/>
      <c r="YL2122" s="38"/>
      <c r="YM2122" s="38"/>
      <c r="YN2122" s="38"/>
      <c r="YO2122" s="38"/>
      <c r="YP2122" s="38"/>
      <c r="YQ2122" s="38"/>
      <c r="YR2122" s="38"/>
      <c r="YS2122" s="38"/>
      <c r="YT2122" s="38"/>
      <c r="YU2122" s="38"/>
      <c r="YV2122" s="38"/>
      <c r="YW2122" s="38"/>
      <c r="YX2122" s="38"/>
      <c r="YY2122" s="38"/>
      <c r="YZ2122" s="38"/>
      <c r="ZA2122" s="38"/>
      <c r="ZB2122" s="38"/>
      <c r="ZC2122" s="38"/>
      <c r="ZD2122" s="38"/>
      <c r="ZE2122" s="38"/>
      <c r="ZF2122" s="38"/>
      <c r="ZG2122" s="38"/>
      <c r="ZH2122" s="38"/>
      <c r="ZI2122" s="38"/>
      <c r="ZJ2122" s="38"/>
      <c r="ZK2122" s="38"/>
      <c r="ZL2122" s="38"/>
      <c r="ZM2122" s="38"/>
      <c r="ZN2122" s="38"/>
      <c r="ZO2122" s="38"/>
      <c r="ZP2122" s="38"/>
      <c r="ZQ2122" s="38"/>
      <c r="ZR2122" s="38"/>
      <c r="ZS2122" s="38"/>
      <c r="ZT2122" s="38"/>
      <c r="ZU2122" s="38"/>
      <c r="ZV2122" s="38"/>
      <c r="ZW2122" s="38"/>
      <c r="ZX2122" s="38"/>
      <c r="ZY2122" s="38"/>
      <c r="ZZ2122" s="38"/>
      <c r="AAA2122" s="38"/>
      <c r="AAB2122" s="38"/>
      <c r="AAC2122" s="38"/>
      <c r="AAD2122" s="38"/>
      <c r="AAE2122" s="38"/>
      <c r="AAF2122" s="38"/>
      <c r="AAG2122" s="38"/>
      <c r="AAH2122" s="38"/>
      <c r="AAI2122" s="38"/>
      <c r="AAJ2122" s="38"/>
      <c r="AAK2122" s="38"/>
      <c r="AAL2122" s="38"/>
      <c r="AAM2122" s="38"/>
      <c r="AAN2122" s="38"/>
      <c r="AAO2122" s="38"/>
      <c r="AAP2122" s="38"/>
      <c r="AAQ2122" s="38"/>
      <c r="AAR2122" s="38"/>
      <c r="AAS2122" s="38"/>
      <c r="AAT2122" s="38"/>
      <c r="AAU2122" s="38"/>
      <c r="AAV2122" s="38"/>
      <c r="AAW2122" s="38"/>
      <c r="AAX2122" s="38"/>
      <c r="AAY2122" s="38"/>
      <c r="AAZ2122" s="38"/>
      <c r="ABA2122" s="38"/>
      <c r="ABB2122" s="38"/>
      <c r="ABC2122" s="38"/>
      <c r="ABD2122" s="38"/>
      <c r="ABE2122" s="38"/>
      <c r="ABF2122" s="38"/>
      <c r="ABG2122" s="38"/>
      <c r="ABH2122" s="38"/>
      <c r="ABI2122" s="38"/>
      <c r="ABJ2122" s="38"/>
      <c r="ABK2122" s="38"/>
      <c r="ABL2122" s="38"/>
      <c r="ABM2122" s="38"/>
      <c r="ABN2122" s="38"/>
      <c r="ABO2122" s="38"/>
      <c r="ABP2122" s="38"/>
      <c r="ABQ2122" s="38"/>
      <c r="ABR2122" s="38"/>
      <c r="ABS2122" s="38"/>
      <c r="ABT2122" s="38"/>
      <c r="ABU2122" s="38"/>
      <c r="ABV2122" s="38"/>
      <c r="ABW2122" s="38"/>
      <c r="ABX2122" s="38"/>
      <c r="ABY2122" s="38"/>
      <c r="ABZ2122" s="38"/>
      <c r="ACA2122" s="38"/>
      <c r="ACB2122" s="38"/>
      <c r="ACC2122" s="38"/>
      <c r="ACD2122" s="38"/>
      <c r="ACE2122" s="38"/>
      <c r="ACF2122" s="38"/>
      <c r="ACG2122" s="38"/>
      <c r="ACH2122" s="38"/>
      <c r="ACI2122" s="38"/>
      <c r="ACJ2122" s="38"/>
      <c r="ACK2122" s="38"/>
      <c r="ACL2122" s="38"/>
      <c r="ACM2122" s="38"/>
      <c r="ACN2122" s="38"/>
      <c r="ACO2122" s="38"/>
      <c r="ACP2122" s="38"/>
      <c r="ACQ2122" s="38"/>
      <c r="ACR2122" s="38"/>
      <c r="ACS2122" s="38"/>
      <c r="ACT2122" s="38"/>
      <c r="ACU2122" s="38"/>
      <c r="ACV2122" s="38"/>
      <c r="ACW2122" s="38"/>
      <c r="ACX2122" s="38"/>
      <c r="ACY2122" s="38"/>
      <c r="ACZ2122" s="38"/>
      <c r="ADA2122" s="38"/>
      <c r="ADB2122" s="38"/>
      <c r="ADC2122" s="38"/>
      <c r="ADD2122" s="38"/>
      <c r="ADE2122" s="38"/>
      <c r="ADF2122" s="38"/>
      <c r="ADG2122" s="38"/>
      <c r="ADH2122" s="38"/>
      <c r="ADI2122" s="38"/>
      <c r="ADJ2122" s="38"/>
      <c r="ADK2122" s="38"/>
      <c r="ADL2122" s="38"/>
      <c r="ADM2122" s="38"/>
      <c r="ADN2122" s="38"/>
      <c r="ADO2122" s="38"/>
      <c r="ADP2122" s="38"/>
      <c r="ADQ2122" s="38"/>
      <c r="ADR2122" s="38"/>
      <c r="ADS2122" s="38"/>
      <c r="ADT2122" s="38"/>
      <c r="ADU2122" s="38"/>
      <c r="ADV2122" s="38"/>
      <c r="ADW2122" s="38"/>
      <c r="ADX2122" s="38"/>
      <c r="ADY2122" s="38"/>
      <c r="ADZ2122" s="38"/>
      <c r="AEA2122" s="38"/>
      <c r="AEB2122" s="38"/>
      <c r="AEC2122" s="38"/>
      <c r="AED2122" s="38"/>
      <c r="AEE2122" s="38"/>
      <c r="AEF2122" s="38"/>
      <c r="AEG2122" s="38"/>
      <c r="AEH2122" s="38"/>
      <c r="AEI2122" s="38"/>
      <c r="AEJ2122" s="38"/>
      <c r="AEK2122" s="38"/>
      <c r="AEL2122" s="38"/>
      <c r="AEM2122" s="38"/>
      <c r="AEN2122" s="38"/>
      <c r="AEO2122" s="38"/>
      <c r="AEP2122" s="38"/>
      <c r="AEQ2122" s="38"/>
      <c r="AER2122" s="38"/>
      <c r="AES2122" s="38"/>
      <c r="AET2122" s="38"/>
      <c r="AEU2122" s="38"/>
      <c r="AEV2122" s="38"/>
      <c r="AEW2122" s="38"/>
      <c r="AEX2122" s="38"/>
      <c r="AEY2122" s="38"/>
      <c r="AEZ2122" s="38"/>
      <c r="AFA2122" s="38"/>
      <c r="AFB2122" s="38"/>
      <c r="AFC2122" s="38"/>
      <c r="AFD2122" s="38"/>
      <c r="AFE2122" s="38"/>
      <c r="AFF2122" s="38"/>
      <c r="AFG2122" s="38"/>
      <c r="AFH2122" s="38"/>
      <c r="AFI2122" s="38"/>
      <c r="AFJ2122" s="38"/>
      <c r="AFK2122" s="38"/>
      <c r="AFL2122" s="38"/>
      <c r="AFM2122" s="38"/>
      <c r="AFN2122" s="38"/>
      <c r="AFO2122" s="38"/>
      <c r="AFP2122" s="38"/>
      <c r="AFQ2122" s="38"/>
      <c r="AFR2122" s="38"/>
      <c r="AFS2122" s="38"/>
      <c r="AFT2122" s="38"/>
      <c r="AFU2122" s="38"/>
      <c r="AFV2122" s="38"/>
      <c r="AFW2122" s="38"/>
      <c r="AFX2122" s="38"/>
      <c r="AFY2122" s="38"/>
      <c r="AFZ2122" s="38"/>
      <c r="AGA2122" s="38"/>
      <c r="AGB2122" s="38"/>
      <c r="AGC2122" s="38"/>
      <c r="AGD2122" s="38"/>
      <c r="AGE2122" s="38"/>
      <c r="AGF2122" s="38"/>
      <c r="AGG2122" s="38"/>
      <c r="AGH2122" s="38"/>
      <c r="AGI2122" s="38"/>
      <c r="AGJ2122" s="38"/>
      <c r="AGK2122" s="38"/>
      <c r="AGL2122" s="38"/>
      <c r="AGM2122" s="38"/>
      <c r="AGN2122" s="38"/>
      <c r="AGO2122" s="38"/>
      <c r="AGP2122" s="38"/>
      <c r="AGQ2122" s="38"/>
      <c r="AGR2122" s="38"/>
      <c r="AGS2122" s="38"/>
      <c r="AGT2122" s="38"/>
      <c r="AGU2122" s="38"/>
      <c r="AGV2122" s="38"/>
      <c r="AGW2122" s="38"/>
      <c r="AGX2122" s="38"/>
      <c r="AGY2122" s="38"/>
      <c r="AGZ2122" s="38"/>
      <c r="AHA2122" s="38"/>
      <c r="AHB2122" s="38"/>
      <c r="AHC2122" s="38"/>
      <c r="AHD2122" s="38"/>
      <c r="AHE2122" s="38"/>
      <c r="AHF2122" s="38"/>
      <c r="AHG2122" s="38"/>
      <c r="AHH2122" s="38"/>
      <c r="AHI2122" s="38"/>
      <c r="AHJ2122" s="38"/>
      <c r="AHK2122" s="38"/>
      <c r="AHL2122" s="38"/>
      <c r="AHM2122" s="38"/>
      <c r="AHN2122" s="38"/>
      <c r="AHO2122" s="38"/>
      <c r="AHP2122" s="38"/>
      <c r="AHQ2122" s="38"/>
      <c r="AHR2122" s="38"/>
      <c r="AHS2122" s="38"/>
      <c r="AHT2122" s="38"/>
      <c r="AHU2122" s="38"/>
      <c r="AHV2122" s="38"/>
      <c r="AHW2122" s="38"/>
      <c r="AHX2122" s="38"/>
      <c r="AHY2122" s="38"/>
      <c r="AHZ2122" s="38"/>
      <c r="AIA2122" s="38"/>
      <c r="AIB2122" s="38"/>
      <c r="AIC2122" s="38"/>
      <c r="AID2122" s="38"/>
      <c r="AIE2122" s="38"/>
      <c r="AIF2122" s="38"/>
      <c r="AIG2122" s="38"/>
      <c r="AIH2122" s="38"/>
      <c r="AII2122" s="38"/>
      <c r="AIJ2122" s="38"/>
      <c r="AIK2122" s="38"/>
      <c r="AIL2122" s="38"/>
      <c r="AIM2122" s="38"/>
      <c r="AIN2122" s="38"/>
      <c r="AIO2122" s="38"/>
      <c r="AIP2122" s="38"/>
      <c r="AIQ2122" s="38"/>
      <c r="AIR2122" s="38"/>
      <c r="AIS2122" s="38"/>
      <c r="AIT2122" s="38"/>
      <c r="AIU2122" s="38"/>
      <c r="AIV2122" s="38"/>
      <c r="AIW2122" s="38"/>
      <c r="AIX2122" s="38"/>
      <c r="AIY2122" s="38"/>
      <c r="AIZ2122" s="38"/>
      <c r="AJA2122" s="38"/>
      <c r="AJB2122" s="38"/>
      <c r="AJC2122" s="38"/>
      <c r="AJD2122" s="38"/>
      <c r="AJE2122" s="38"/>
      <c r="AJF2122" s="38"/>
      <c r="AJG2122" s="38"/>
      <c r="AJH2122" s="38"/>
      <c r="AJI2122" s="38"/>
      <c r="AJJ2122" s="38"/>
      <c r="AJK2122" s="38"/>
      <c r="AJL2122" s="38"/>
      <c r="AJM2122" s="38"/>
      <c r="AJN2122" s="38"/>
      <c r="AJO2122" s="38"/>
      <c r="AJP2122" s="38"/>
      <c r="AJQ2122" s="38"/>
      <c r="AJR2122" s="38"/>
      <c r="AJS2122" s="38"/>
      <c r="AJT2122" s="38"/>
      <c r="AJU2122" s="38"/>
      <c r="AJV2122" s="38"/>
      <c r="AJW2122" s="38"/>
      <c r="AJX2122" s="38"/>
      <c r="AJY2122" s="38"/>
      <c r="AJZ2122" s="38"/>
      <c r="AKA2122" s="38"/>
      <c r="AKB2122" s="38"/>
      <c r="AKC2122" s="38"/>
      <c r="AKD2122" s="38"/>
      <c r="AKE2122" s="38"/>
      <c r="AKF2122" s="38"/>
      <c r="AKG2122" s="38"/>
      <c r="AKH2122" s="38"/>
      <c r="AKI2122" s="38"/>
      <c r="AKJ2122" s="38"/>
      <c r="AKK2122" s="38"/>
      <c r="AKL2122" s="38"/>
      <c r="AKM2122" s="38"/>
      <c r="AKN2122" s="38"/>
      <c r="AKO2122" s="38"/>
      <c r="AKP2122" s="38"/>
      <c r="AKQ2122" s="38"/>
      <c r="AKR2122" s="38"/>
      <c r="AKS2122" s="38"/>
      <c r="AKT2122" s="38"/>
      <c r="AKU2122" s="38"/>
      <c r="AKV2122" s="38"/>
      <c r="AKW2122" s="38"/>
      <c r="AKX2122" s="38"/>
      <c r="AKY2122" s="38"/>
      <c r="AKZ2122" s="38"/>
      <c r="ALA2122" s="38"/>
      <c r="ALB2122" s="38"/>
      <c r="ALC2122" s="38"/>
      <c r="ALD2122" s="38"/>
      <c r="ALE2122" s="38"/>
      <c r="ALF2122" s="38"/>
      <c r="ALG2122" s="38"/>
      <c r="ALH2122" s="38"/>
      <c r="ALI2122" s="38"/>
      <c r="ALJ2122" s="38"/>
      <c r="ALK2122" s="38"/>
      <c r="ALL2122" s="38"/>
      <c r="ALM2122" s="38"/>
      <c r="ALN2122" s="38"/>
      <c r="ALO2122" s="38"/>
      <c r="ALP2122" s="38"/>
      <c r="ALQ2122" s="38"/>
      <c r="ALR2122" s="38"/>
      <c r="ALS2122" s="38"/>
      <c r="ALT2122" s="38"/>
      <c r="ALU2122" s="38"/>
      <c r="ALV2122" s="38"/>
      <c r="ALW2122" s="38"/>
      <c r="ALX2122" s="38"/>
      <c r="ALY2122" s="38"/>
      <c r="ALZ2122" s="38"/>
      <c r="AMA2122" s="38"/>
      <c r="AMB2122" s="38"/>
      <c r="AMC2122" s="38"/>
      <c r="AMD2122" s="38"/>
      <c r="AME2122" s="38"/>
      <c r="AMF2122" s="38"/>
      <c r="AMG2122" s="38"/>
      <c r="AMH2122" s="38"/>
      <c r="AMI2122" s="38"/>
      <c r="AMJ2122" s="38"/>
      <c r="AMK2122" s="38"/>
      <c r="AML2122" s="38"/>
      <c r="AMM2122" s="38"/>
      <c r="AMN2122" s="38"/>
      <c r="AMO2122" s="38"/>
      <c r="AMP2122" s="38"/>
      <c r="AMQ2122" s="38"/>
      <c r="AMR2122" s="38"/>
      <c r="AMS2122" s="38"/>
      <c r="AMT2122" s="38"/>
      <c r="AMU2122" s="38"/>
      <c r="AMV2122" s="38"/>
      <c r="AMW2122" s="38"/>
      <c r="AMX2122" s="38"/>
      <c r="AMY2122" s="38"/>
      <c r="AMZ2122" s="38"/>
      <c r="ANA2122" s="38"/>
      <c r="ANB2122" s="38"/>
      <c r="ANC2122" s="38"/>
      <c r="AND2122" s="38"/>
      <c r="ANE2122" s="38"/>
      <c r="ANF2122" s="38"/>
      <c r="ANG2122" s="38"/>
      <c r="ANH2122" s="38"/>
      <c r="ANI2122" s="38"/>
      <c r="ANJ2122" s="38"/>
      <c r="ANK2122" s="38"/>
      <c r="ANL2122" s="38"/>
      <c r="ANM2122" s="38"/>
      <c r="ANN2122" s="38"/>
      <c r="ANO2122" s="38"/>
      <c r="ANP2122" s="38"/>
      <c r="ANQ2122" s="38"/>
      <c r="ANR2122" s="38"/>
      <c r="ANS2122" s="38"/>
      <c r="ANT2122" s="38"/>
      <c r="ANU2122" s="38"/>
      <c r="ANV2122" s="38"/>
      <c r="ANW2122" s="38"/>
      <c r="ANX2122" s="38"/>
      <c r="ANY2122" s="38"/>
      <c r="ANZ2122" s="38"/>
      <c r="AOA2122" s="38"/>
      <c r="AOB2122" s="38"/>
      <c r="AOC2122" s="38"/>
      <c r="AOD2122" s="38"/>
      <c r="AOE2122" s="38"/>
      <c r="AOF2122" s="38"/>
      <c r="AOG2122" s="38"/>
      <c r="AOH2122" s="38"/>
      <c r="AOI2122" s="38"/>
      <c r="AOJ2122" s="38"/>
      <c r="AOK2122" s="38"/>
      <c r="AOL2122" s="38"/>
      <c r="AOM2122" s="38"/>
      <c r="AON2122" s="38"/>
      <c r="AOO2122" s="38"/>
      <c r="AOP2122" s="38"/>
      <c r="AOQ2122" s="38"/>
      <c r="AOR2122" s="38"/>
      <c r="AOS2122" s="38"/>
      <c r="AOT2122" s="38"/>
      <c r="AOU2122" s="38"/>
      <c r="AOV2122" s="38"/>
      <c r="AOW2122" s="38"/>
      <c r="AOX2122" s="38"/>
      <c r="AOY2122" s="38"/>
      <c r="AOZ2122" s="38"/>
      <c r="APA2122" s="38"/>
      <c r="APB2122" s="38"/>
      <c r="APC2122" s="38"/>
    </row>
    <row r="2123" spans="1:1095" s="36" customFormat="1" ht="14.25" customHeight="1">
      <c r="A2123" s="3" t="s">
        <v>1722</v>
      </c>
      <c r="B2123" s="36" t="s">
        <v>2537</v>
      </c>
      <c r="C2123" s="10">
        <v>4058075760912</v>
      </c>
      <c r="D2123" s="224">
        <v>4058075760912</v>
      </c>
      <c r="E2123" s="245" t="s">
        <v>2538</v>
      </c>
      <c r="F2123" s="246"/>
      <c r="G2123" s="66" t="str">
        <f>HYPERLINK("https://ledvance.com/pt/product-datasheet/275553/212534","Ficha de Produto")</f>
        <v>Ficha de Produto</v>
      </c>
      <c r="H2123" s="217">
        <v>6</v>
      </c>
      <c r="I2123" s="34" t="s">
        <v>6378</v>
      </c>
      <c r="J2123" s="34" t="s">
        <v>6364</v>
      </c>
      <c r="K2123" s="34" t="s">
        <v>788</v>
      </c>
      <c r="L2123" s="34" t="s">
        <v>793</v>
      </c>
      <c r="M2123" s="247">
        <v>19.100000000000001</v>
      </c>
      <c r="N2123" s="288" t="s">
        <v>722</v>
      </c>
    </row>
    <row r="2124" spans="1:1095" s="36" customFormat="1" ht="14.25" customHeight="1">
      <c r="A2124" s="3" t="s">
        <v>1722</v>
      </c>
      <c r="B2124" s="36" t="s">
        <v>2539</v>
      </c>
      <c r="C2124" s="10">
        <v>4099854091353</v>
      </c>
      <c r="D2124" s="224">
        <v>4058075760936</v>
      </c>
      <c r="E2124" s="245" t="s">
        <v>2540</v>
      </c>
      <c r="F2124" s="246"/>
      <c r="G2124" s="66" t="str">
        <f>HYPERLINK("https://ledvance.com/pt/product-datasheet/275553/247028","Ficha de Produto")</f>
        <v>Ficha de Produto</v>
      </c>
      <c r="H2124" s="217">
        <v>4</v>
      </c>
      <c r="I2124" s="34" t="s">
        <v>6378</v>
      </c>
      <c r="J2124" s="34" t="s">
        <v>6364</v>
      </c>
      <c r="K2124" s="34" t="s">
        <v>788</v>
      </c>
      <c r="L2124" s="34" t="s">
        <v>793</v>
      </c>
      <c r="M2124" s="247">
        <v>21.3</v>
      </c>
      <c r="N2124" s="288" t="s">
        <v>722</v>
      </c>
    </row>
    <row r="2125" spans="1:1095" s="36" customFormat="1" ht="14.25" customHeight="1">
      <c r="A2125" s="3" t="s">
        <v>1722</v>
      </c>
      <c r="B2125" s="36" t="s">
        <v>2541</v>
      </c>
      <c r="C2125" s="10">
        <v>4058075760950</v>
      </c>
      <c r="D2125" s="224">
        <v>4058075760950</v>
      </c>
      <c r="E2125" s="245" t="s">
        <v>2542</v>
      </c>
      <c r="F2125" s="246"/>
      <c r="G2125" s="66" t="str">
        <f>HYPERLINK("https://ledvance.com/pt/product-datasheet/275553/212540","Ficha de Produto")</f>
        <v>Ficha de Produto</v>
      </c>
      <c r="H2125" s="217">
        <v>4</v>
      </c>
      <c r="I2125" s="34" t="s">
        <v>6378</v>
      </c>
      <c r="J2125" s="34" t="s">
        <v>6364</v>
      </c>
      <c r="K2125" s="34" t="s">
        <v>788</v>
      </c>
      <c r="L2125" s="34" t="s">
        <v>793</v>
      </c>
      <c r="M2125" s="247">
        <v>24.5</v>
      </c>
      <c r="N2125" s="288" t="s">
        <v>722</v>
      </c>
    </row>
    <row r="2126" spans="1:1095" s="39" customFormat="1" ht="14.25" customHeight="1">
      <c r="A2126" s="8" t="s">
        <v>1722</v>
      </c>
      <c r="B2126" s="39" t="s">
        <v>2543</v>
      </c>
      <c r="C2126" s="8"/>
      <c r="D2126" s="7"/>
      <c r="E2126" s="230"/>
      <c r="F2126" s="7"/>
      <c r="G2126" s="68"/>
      <c r="H2126" s="230"/>
      <c r="I2126" s="230"/>
      <c r="J2126" s="230"/>
      <c r="K2126" s="230"/>
      <c r="L2126" s="230"/>
      <c r="M2126" s="248"/>
      <c r="N2126" s="292"/>
      <c r="O2126" s="38"/>
      <c r="P2126" s="38"/>
      <c r="Q2126" s="38"/>
      <c r="R2126" s="38"/>
      <c r="S2126" s="38"/>
      <c r="T2126" s="38"/>
      <c r="U2126" s="38"/>
      <c r="V2126" s="38"/>
      <c r="W2126" s="38"/>
      <c r="X2126" s="38"/>
      <c r="Y2126" s="38"/>
      <c r="Z2126" s="38"/>
      <c r="AA2126" s="38"/>
      <c r="AB2126" s="38"/>
      <c r="AC2126" s="38"/>
      <c r="AD2126" s="38"/>
      <c r="AE2126" s="38"/>
      <c r="AF2126" s="38"/>
      <c r="AG2126" s="38"/>
      <c r="AH2126" s="38"/>
      <c r="AI2126" s="38"/>
      <c r="AJ2126" s="38"/>
      <c r="AK2126" s="38"/>
      <c r="AL2126" s="38"/>
      <c r="AM2126" s="38"/>
      <c r="AN2126" s="38"/>
      <c r="AO2126" s="38"/>
      <c r="AP2126" s="38"/>
      <c r="AQ2126" s="38"/>
      <c r="AR2126" s="38"/>
      <c r="AS2126" s="38"/>
      <c r="AT2126" s="38"/>
      <c r="AU2126" s="38"/>
      <c r="AV2126" s="38"/>
      <c r="AW2126" s="38"/>
      <c r="AX2126" s="38"/>
      <c r="AY2126" s="38"/>
      <c r="AZ2126" s="38"/>
      <c r="BA2126" s="38"/>
      <c r="BB2126" s="38"/>
      <c r="BC2126" s="38"/>
      <c r="BD2126" s="38"/>
      <c r="BE2126" s="38"/>
      <c r="BF2126" s="38"/>
      <c r="BG2126" s="38"/>
      <c r="BH2126" s="38"/>
      <c r="BI2126" s="38"/>
      <c r="BJ2126" s="38"/>
      <c r="BK2126" s="38"/>
      <c r="BL2126" s="38"/>
      <c r="BM2126" s="38"/>
      <c r="BN2126" s="38"/>
      <c r="BO2126" s="38"/>
      <c r="BP2126" s="38"/>
      <c r="BQ2126" s="38"/>
      <c r="BR2126" s="38"/>
      <c r="BS2126" s="38"/>
      <c r="BT2126" s="38"/>
      <c r="BU2126" s="38"/>
      <c r="BV2126" s="38"/>
      <c r="BW2126" s="38"/>
      <c r="BX2126" s="38"/>
      <c r="BY2126" s="38"/>
      <c r="BZ2126" s="38"/>
      <c r="CA2126" s="38"/>
      <c r="CB2126" s="38"/>
      <c r="CC2126" s="38"/>
      <c r="CD2126" s="38"/>
      <c r="CE2126" s="38"/>
      <c r="CF2126" s="38"/>
      <c r="CG2126" s="38"/>
      <c r="CH2126" s="38"/>
      <c r="CI2126" s="38"/>
      <c r="CJ2126" s="38"/>
      <c r="CK2126" s="38"/>
      <c r="CL2126" s="38"/>
      <c r="CM2126" s="38"/>
      <c r="CN2126" s="38"/>
      <c r="CO2126" s="38"/>
      <c r="CP2126" s="38"/>
      <c r="CQ2126" s="38"/>
      <c r="CR2126" s="38"/>
      <c r="CS2126" s="38"/>
      <c r="CT2126" s="38"/>
      <c r="CU2126" s="38"/>
      <c r="CV2126" s="38"/>
      <c r="CW2126" s="38"/>
      <c r="CX2126" s="38"/>
      <c r="CY2126" s="38"/>
      <c r="CZ2126" s="38"/>
      <c r="DA2126" s="38"/>
      <c r="DB2126" s="38"/>
      <c r="DC2126" s="38"/>
      <c r="DD2126" s="38"/>
      <c r="DE2126" s="38"/>
      <c r="DF2126" s="38"/>
      <c r="DG2126" s="38"/>
      <c r="DH2126" s="38"/>
      <c r="DI2126" s="38"/>
      <c r="DJ2126" s="38"/>
      <c r="DK2126" s="38"/>
      <c r="DL2126" s="38"/>
      <c r="DM2126" s="38"/>
      <c r="DN2126" s="38"/>
      <c r="DO2126" s="38"/>
      <c r="DP2126" s="38"/>
      <c r="DQ2126" s="38"/>
      <c r="DR2126" s="38"/>
      <c r="DS2126" s="38"/>
      <c r="DT2126" s="38"/>
      <c r="DU2126" s="38"/>
      <c r="DV2126" s="38"/>
      <c r="DW2126" s="38"/>
      <c r="DX2126" s="38"/>
      <c r="DY2126" s="38"/>
      <c r="DZ2126" s="38"/>
      <c r="EA2126" s="38"/>
      <c r="EB2126" s="38"/>
      <c r="EC2126" s="38"/>
      <c r="ED2126" s="38"/>
      <c r="EE2126" s="38"/>
      <c r="EF2126" s="38"/>
      <c r="EG2126" s="38"/>
      <c r="EH2126" s="38"/>
      <c r="EI2126" s="38"/>
      <c r="EJ2126" s="38"/>
      <c r="EK2126" s="38"/>
      <c r="EL2126" s="38"/>
      <c r="EM2126" s="38"/>
      <c r="EN2126" s="38"/>
      <c r="EO2126" s="38"/>
      <c r="EP2126" s="38"/>
      <c r="EQ2126" s="38"/>
      <c r="ER2126" s="38"/>
      <c r="ES2126" s="38"/>
      <c r="ET2126" s="38"/>
      <c r="EU2126" s="38"/>
      <c r="EV2126" s="38"/>
      <c r="EW2126" s="38"/>
      <c r="EX2126" s="38"/>
      <c r="EY2126" s="38"/>
      <c r="EZ2126" s="38"/>
      <c r="FA2126" s="38"/>
      <c r="FB2126" s="38"/>
      <c r="FC2126" s="38"/>
      <c r="FD2126" s="38"/>
      <c r="FE2126" s="38"/>
      <c r="FF2126" s="38"/>
      <c r="FG2126" s="38"/>
      <c r="FH2126" s="38"/>
      <c r="FI2126" s="38"/>
      <c r="FJ2126" s="38"/>
      <c r="FK2126" s="38"/>
      <c r="FL2126" s="38"/>
      <c r="FM2126" s="38"/>
      <c r="FN2126" s="38"/>
      <c r="FO2126" s="38"/>
      <c r="FP2126" s="38"/>
      <c r="FQ2126" s="38"/>
      <c r="FR2126" s="38"/>
      <c r="FS2126" s="38"/>
      <c r="FT2126" s="38"/>
      <c r="FU2126" s="38"/>
      <c r="FV2126" s="38"/>
      <c r="FW2126" s="38"/>
      <c r="FX2126" s="38"/>
      <c r="FY2126" s="38"/>
      <c r="FZ2126" s="38"/>
      <c r="GA2126" s="38"/>
      <c r="GB2126" s="38"/>
      <c r="GC2126" s="38"/>
      <c r="GD2126" s="38"/>
      <c r="GE2126" s="38"/>
      <c r="GF2126" s="38"/>
      <c r="GG2126" s="38"/>
      <c r="GH2126" s="38"/>
      <c r="GI2126" s="38"/>
      <c r="GJ2126" s="38"/>
      <c r="GK2126" s="38"/>
      <c r="GL2126" s="38"/>
      <c r="GM2126" s="38"/>
      <c r="GN2126" s="38"/>
      <c r="GO2126" s="38"/>
      <c r="GP2126" s="38"/>
      <c r="GQ2126" s="38"/>
      <c r="GR2126" s="38"/>
      <c r="GS2126" s="38"/>
      <c r="GT2126" s="38"/>
      <c r="GU2126" s="38"/>
      <c r="GV2126" s="38"/>
      <c r="GW2126" s="38"/>
      <c r="GX2126" s="38"/>
      <c r="GY2126" s="38"/>
      <c r="GZ2126" s="38"/>
      <c r="HA2126" s="38"/>
      <c r="HB2126" s="38"/>
      <c r="HC2126" s="38"/>
      <c r="HD2126" s="38"/>
      <c r="HE2126" s="38"/>
      <c r="HF2126" s="38"/>
      <c r="HG2126" s="38"/>
      <c r="HH2126" s="38"/>
      <c r="HI2126" s="38"/>
      <c r="HJ2126" s="38"/>
      <c r="HK2126" s="38"/>
      <c r="HL2126" s="38"/>
      <c r="HM2126" s="38"/>
      <c r="HN2126" s="38"/>
      <c r="HO2126" s="38"/>
      <c r="HP2126" s="38"/>
      <c r="HQ2126" s="38"/>
      <c r="HR2126" s="38"/>
      <c r="HS2126" s="38"/>
      <c r="HT2126" s="38"/>
      <c r="HU2126" s="38"/>
      <c r="HV2126" s="38"/>
      <c r="HW2126" s="38"/>
      <c r="HX2126" s="38"/>
      <c r="HY2126" s="38"/>
      <c r="HZ2126" s="38"/>
      <c r="IA2126" s="38"/>
      <c r="IB2126" s="38"/>
      <c r="IC2126" s="38"/>
      <c r="ID2126" s="38"/>
      <c r="IE2126" s="38"/>
      <c r="IF2126" s="38"/>
      <c r="IG2126" s="38"/>
      <c r="IH2126" s="38"/>
      <c r="II2126" s="38"/>
      <c r="IJ2126" s="38"/>
      <c r="IK2126" s="38"/>
      <c r="IL2126" s="38"/>
      <c r="IM2126" s="38"/>
      <c r="IN2126" s="38"/>
      <c r="IO2126" s="38"/>
      <c r="IP2126" s="38"/>
      <c r="IQ2126" s="38"/>
      <c r="IR2126" s="38"/>
      <c r="IS2126" s="38"/>
      <c r="IT2126" s="38"/>
      <c r="IU2126" s="38"/>
      <c r="IV2126" s="38"/>
      <c r="IW2126" s="38"/>
      <c r="IX2126" s="38"/>
      <c r="IY2126" s="38"/>
      <c r="IZ2126" s="38"/>
      <c r="JA2126" s="38"/>
      <c r="JB2126" s="38"/>
      <c r="JC2126" s="38"/>
      <c r="JD2126" s="38"/>
      <c r="JE2126" s="38"/>
      <c r="JF2126" s="38"/>
      <c r="JG2126" s="38"/>
      <c r="JH2126" s="38"/>
      <c r="JI2126" s="38"/>
      <c r="JJ2126" s="38"/>
      <c r="JK2126" s="38"/>
      <c r="JL2126" s="38"/>
      <c r="JM2126" s="38"/>
      <c r="JN2126" s="38"/>
      <c r="JO2126" s="38"/>
      <c r="JP2126" s="38"/>
      <c r="JQ2126" s="38"/>
      <c r="JR2126" s="38"/>
      <c r="JS2126" s="38"/>
      <c r="JT2126" s="38"/>
      <c r="JU2126" s="38"/>
      <c r="JV2126" s="38"/>
      <c r="JW2126" s="38"/>
      <c r="JX2126" s="38"/>
      <c r="JY2126" s="38"/>
      <c r="JZ2126" s="38"/>
      <c r="KA2126" s="38"/>
      <c r="KB2126" s="38"/>
      <c r="KC2126" s="38"/>
      <c r="KD2126" s="38"/>
      <c r="KE2126" s="38"/>
      <c r="KF2126" s="38"/>
      <c r="KG2126" s="38"/>
      <c r="KH2126" s="38"/>
      <c r="KI2126" s="38"/>
      <c r="KJ2126" s="38"/>
      <c r="KK2126" s="38"/>
      <c r="KL2126" s="38"/>
      <c r="KM2126" s="38"/>
      <c r="KN2126" s="38"/>
      <c r="KO2126" s="38"/>
      <c r="KP2126" s="38"/>
      <c r="KQ2126" s="38"/>
      <c r="KR2126" s="38"/>
      <c r="KS2126" s="38"/>
      <c r="KT2126" s="38"/>
      <c r="KU2126" s="38"/>
      <c r="KV2126" s="38"/>
      <c r="KW2126" s="38"/>
      <c r="KX2126" s="38"/>
      <c r="KY2126" s="38"/>
      <c r="KZ2126" s="38"/>
      <c r="LA2126" s="38"/>
      <c r="LB2126" s="38"/>
      <c r="LC2126" s="38"/>
      <c r="LD2126" s="38"/>
      <c r="LE2126" s="38"/>
      <c r="LF2126" s="38"/>
      <c r="LG2126" s="38"/>
      <c r="LH2126" s="38"/>
      <c r="LI2126" s="38"/>
      <c r="LJ2126" s="38"/>
      <c r="LK2126" s="38"/>
      <c r="LL2126" s="38"/>
      <c r="LM2126" s="38"/>
      <c r="LN2126" s="38"/>
      <c r="LO2126" s="38"/>
      <c r="LP2126" s="38"/>
      <c r="LQ2126" s="38"/>
      <c r="LR2126" s="38"/>
      <c r="LS2126" s="38"/>
      <c r="LT2126" s="38"/>
      <c r="LU2126" s="38"/>
      <c r="LV2126" s="38"/>
      <c r="LW2126" s="38"/>
      <c r="LX2126" s="38"/>
      <c r="LY2126" s="38"/>
      <c r="LZ2126" s="38"/>
      <c r="MA2126" s="38"/>
      <c r="MB2126" s="38"/>
      <c r="MC2126" s="38"/>
      <c r="MD2126" s="38"/>
      <c r="ME2126" s="38"/>
      <c r="MF2126" s="38"/>
      <c r="MG2126" s="38"/>
      <c r="MH2126" s="38"/>
      <c r="MI2126" s="38"/>
      <c r="MJ2126" s="38"/>
      <c r="MK2126" s="38"/>
      <c r="ML2126" s="38"/>
      <c r="MM2126" s="38"/>
      <c r="MN2126" s="38"/>
      <c r="MO2126" s="38"/>
      <c r="MP2126" s="38"/>
      <c r="MQ2126" s="38"/>
      <c r="MR2126" s="38"/>
      <c r="MS2126" s="38"/>
      <c r="MT2126" s="38"/>
      <c r="MU2126" s="38"/>
      <c r="MV2126" s="38"/>
      <c r="MW2126" s="38"/>
      <c r="MX2126" s="38"/>
      <c r="MY2126" s="38"/>
      <c r="MZ2126" s="38"/>
      <c r="NA2126" s="38"/>
      <c r="NB2126" s="38"/>
      <c r="NC2126" s="38"/>
      <c r="ND2126" s="38"/>
      <c r="NE2126" s="38"/>
      <c r="NF2126" s="38"/>
      <c r="NG2126" s="38"/>
      <c r="NH2126" s="38"/>
      <c r="NI2126" s="38"/>
      <c r="NJ2126" s="38"/>
      <c r="NK2126" s="38"/>
      <c r="NL2126" s="38"/>
      <c r="NM2126" s="38"/>
      <c r="NN2126" s="38"/>
      <c r="NO2126" s="38"/>
      <c r="NP2126" s="38"/>
      <c r="NQ2126" s="38"/>
      <c r="NR2126" s="38"/>
      <c r="NS2126" s="38"/>
      <c r="NT2126" s="38"/>
      <c r="NU2126" s="38"/>
      <c r="NV2126" s="38"/>
      <c r="NW2126" s="38"/>
      <c r="NX2126" s="38"/>
      <c r="NY2126" s="38"/>
      <c r="NZ2126" s="38"/>
      <c r="OA2126" s="38"/>
      <c r="OB2126" s="38"/>
      <c r="OC2126" s="38"/>
      <c r="OD2126" s="38"/>
      <c r="OE2126" s="38"/>
      <c r="OF2126" s="38"/>
      <c r="OG2126" s="38"/>
      <c r="OH2126" s="38"/>
      <c r="OI2126" s="38"/>
      <c r="OJ2126" s="38"/>
      <c r="OK2126" s="38"/>
      <c r="OL2126" s="38"/>
      <c r="OM2126" s="38"/>
      <c r="ON2126" s="38"/>
      <c r="OO2126" s="38"/>
      <c r="OP2126" s="38"/>
      <c r="OQ2126" s="38"/>
      <c r="OR2126" s="38"/>
      <c r="OS2126" s="38"/>
      <c r="OT2126" s="38"/>
      <c r="OU2126" s="38"/>
      <c r="OV2126" s="38"/>
      <c r="OW2126" s="38"/>
      <c r="OX2126" s="38"/>
      <c r="OY2126" s="38"/>
      <c r="OZ2126" s="38"/>
      <c r="PA2126" s="38"/>
      <c r="PB2126" s="38"/>
      <c r="PC2126" s="38"/>
      <c r="PD2126" s="38"/>
      <c r="PE2126" s="38"/>
      <c r="PF2126" s="38"/>
      <c r="PG2126" s="38"/>
      <c r="PH2126" s="38"/>
      <c r="PI2126" s="38"/>
      <c r="PJ2126" s="38"/>
      <c r="PK2126" s="38"/>
      <c r="PL2126" s="38"/>
      <c r="PM2126" s="38"/>
      <c r="PN2126" s="38"/>
      <c r="PO2126" s="38"/>
      <c r="PP2126" s="38"/>
      <c r="PQ2126" s="38"/>
      <c r="PR2126" s="38"/>
      <c r="PS2126" s="38"/>
      <c r="PT2126" s="38"/>
      <c r="PU2126" s="38"/>
      <c r="PV2126" s="38"/>
      <c r="PW2126" s="38"/>
      <c r="PX2126" s="38"/>
      <c r="PY2126" s="38"/>
      <c r="PZ2126" s="38"/>
      <c r="QA2126" s="38"/>
      <c r="QB2126" s="38"/>
      <c r="QC2126" s="38"/>
      <c r="QD2126" s="38"/>
      <c r="QE2126" s="38"/>
      <c r="QF2126" s="38"/>
      <c r="QG2126" s="38"/>
      <c r="QH2126" s="38"/>
      <c r="QI2126" s="38"/>
      <c r="QJ2126" s="38"/>
      <c r="QK2126" s="38"/>
      <c r="QL2126" s="38"/>
      <c r="QM2126" s="38"/>
      <c r="QN2126" s="38"/>
      <c r="QO2126" s="38"/>
      <c r="QP2126" s="38"/>
      <c r="QQ2126" s="38"/>
      <c r="QR2126" s="38"/>
      <c r="QS2126" s="38"/>
      <c r="QT2126" s="38"/>
      <c r="QU2126" s="38"/>
      <c r="QV2126" s="38"/>
      <c r="QW2126" s="38"/>
      <c r="QX2126" s="38"/>
      <c r="QY2126" s="38"/>
      <c r="QZ2126" s="38"/>
      <c r="RA2126" s="38"/>
      <c r="RB2126" s="38"/>
      <c r="RC2126" s="38"/>
      <c r="RD2126" s="38"/>
      <c r="RE2126" s="38"/>
      <c r="RF2126" s="38"/>
      <c r="RG2126" s="38"/>
      <c r="RH2126" s="38"/>
      <c r="RI2126" s="38"/>
      <c r="RJ2126" s="38"/>
      <c r="RK2126" s="38"/>
      <c r="RL2126" s="38"/>
      <c r="RM2126" s="38"/>
      <c r="RN2126" s="38"/>
      <c r="RO2126" s="38"/>
      <c r="RP2126" s="38"/>
      <c r="RQ2126" s="38"/>
      <c r="RR2126" s="38"/>
      <c r="RS2126" s="38"/>
      <c r="RT2126" s="38"/>
      <c r="RU2126" s="38"/>
      <c r="RV2126" s="38"/>
      <c r="RW2126" s="38"/>
      <c r="RX2126" s="38"/>
      <c r="RY2126" s="38"/>
      <c r="RZ2126" s="38"/>
      <c r="SA2126" s="38"/>
      <c r="SB2126" s="38"/>
      <c r="SC2126" s="38"/>
      <c r="SD2126" s="38"/>
      <c r="SE2126" s="38"/>
      <c r="SF2126" s="38"/>
      <c r="SG2126" s="38"/>
      <c r="SH2126" s="38"/>
      <c r="SI2126" s="38"/>
      <c r="SJ2126" s="38"/>
      <c r="SK2126" s="38"/>
      <c r="SL2126" s="38"/>
      <c r="SM2126" s="38"/>
      <c r="SN2126" s="38"/>
      <c r="SO2126" s="38"/>
      <c r="SP2126" s="38"/>
      <c r="SQ2126" s="38"/>
      <c r="SR2126" s="38"/>
      <c r="SS2126" s="38"/>
      <c r="ST2126" s="38"/>
      <c r="SU2126" s="38"/>
      <c r="SV2126" s="38"/>
      <c r="SW2126" s="38"/>
      <c r="SX2126" s="38"/>
      <c r="SY2126" s="38"/>
      <c r="SZ2126" s="38"/>
      <c r="TA2126" s="38"/>
      <c r="TB2126" s="38"/>
      <c r="TC2126" s="38"/>
      <c r="TD2126" s="38"/>
      <c r="TE2126" s="38"/>
      <c r="TF2126" s="38"/>
      <c r="TG2126" s="38"/>
      <c r="TH2126" s="38"/>
      <c r="TI2126" s="38"/>
      <c r="TJ2126" s="38"/>
      <c r="TK2126" s="38"/>
      <c r="TL2126" s="38"/>
      <c r="TM2126" s="38"/>
      <c r="TN2126" s="38"/>
      <c r="TO2126" s="38"/>
      <c r="TP2126" s="38"/>
      <c r="TQ2126" s="38"/>
      <c r="TR2126" s="38"/>
      <c r="TS2126" s="38"/>
      <c r="TT2126" s="38"/>
      <c r="TU2126" s="38"/>
      <c r="TV2126" s="38"/>
      <c r="TW2126" s="38"/>
      <c r="TX2126" s="38"/>
      <c r="TY2126" s="38"/>
      <c r="TZ2126" s="38"/>
      <c r="UA2126" s="38"/>
      <c r="UB2126" s="38"/>
      <c r="UC2126" s="38"/>
      <c r="UD2126" s="38"/>
      <c r="UE2126" s="38"/>
      <c r="UF2126" s="38"/>
      <c r="UG2126" s="38"/>
      <c r="UH2126" s="38"/>
      <c r="UI2126" s="38"/>
      <c r="UJ2126" s="38"/>
      <c r="UK2126" s="38"/>
      <c r="UL2126" s="38"/>
      <c r="UM2126" s="38"/>
      <c r="UN2126" s="38"/>
      <c r="UO2126" s="38"/>
      <c r="UP2126" s="38"/>
      <c r="UQ2126" s="38"/>
      <c r="UR2126" s="38"/>
      <c r="US2126" s="38"/>
      <c r="UT2126" s="38"/>
      <c r="UU2126" s="38"/>
      <c r="UV2126" s="38"/>
      <c r="UW2126" s="38"/>
      <c r="UX2126" s="38"/>
      <c r="UY2126" s="38"/>
      <c r="UZ2126" s="38"/>
      <c r="VA2126" s="38"/>
      <c r="VB2126" s="38"/>
      <c r="VC2126" s="38"/>
      <c r="VD2126" s="38"/>
      <c r="VE2126" s="38"/>
      <c r="VF2126" s="38"/>
      <c r="VG2126" s="38"/>
      <c r="VH2126" s="38"/>
      <c r="VI2126" s="38"/>
      <c r="VJ2126" s="38"/>
      <c r="VK2126" s="38"/>
      <c r="VL2126" s="38"/>
      <c r="VM2126" s="38"/>
      <c r="VN2126" s="38"/>
      <c r="VO2126" s="38"/>
      <c r="VP2126" s="38"/>
      <c r="VQ2126" s="38"/>
      <c r="VR2126" s="38"/>
      <c r="VS2126" s="38"/>
      <c r="VT2126" s="38"/>
      <c r="VU2126" s="38"/>
      <c r="VV2126" s="38"/>
      <c r="VW2126" s="38"/>
      <c r="VX2126" s="38"/>
      <c r="VY2126" s="38"/>
      <c r="VZ2126" s="38"/>
      <c r="WA2126" s="38"/>
      <c r="WB2126" s="38"/>
      <c r="WC2126" s="38"/>
      <c r="WD2126" s="38"/>
      <c r="WE2126" s="38"/>
      <c r="WF2126" s="38"/>
      <c r="WG2126" s="38"/>
      <c r="WH2126" s="38"/>
      <c r="WI2126" s="38"/>
      <c r="WJ2126" s="38"/>
      <c r="WK2126" s="38"/>
      <c r="WL2126" s="38"/>
      <c r="WM2126" s="38"/>
      <c r="WN2126" s="38"/>
      <c r="WO2126" s="38"/>
      <c r="WP2126" s="38"/>
      <c r="WQ2126" s="38"/>
      <c r="WR2126" s="38"/>
      <c r="WS2126" s="38"/>
      <c r="WT2126" s="38"/>
      <c r="WU2126" s="38"/>
      <c r="WV2126" s="38"/>
      <c r="WW2126" s="38"/>
      <c r="WX2126" s="38"/>
      <c r="WY2126" s="38"/>
      <c r="WZ2126" s="38"/>
      <c r="XA2126" s="38"/>
      <c r="XB2126" s="38"/>
      <c r="XC2126" s="38"/>
      <c r="XD2126" s="38"/>
      <c r="XE2126" s="38"/>
      <c r="XF2126" s="38"/>
      <c r="XG2126" s="38"/>
      <c r="XH2126" s="38"/>
      <c r="XI2126" s="38"/>
      <c r="XJ2126" s="38"/>
      <c r="XK2126" s="38"/>
      <c r="XL2126" s="38"/>
      <c r="XM2126" s="38"/>
      <c r="XN2126" s="38"/>
      <c r="XO2126" s="38"/>
      <c r="XP2126" s="38"/>
      <c r="XQ2126" s="38"/>
      <c r="XR2126" s="38"/>
      <c r="XS2126" s="38"/>
      <c r="XT2126" s="38"/>
      <c r="XU2126" s="38"/>
      <c r="XV2126" s="38"/>
      <c r="XW2126" s="38"/>
      <c r="XX2126" s="38"/>
      <c r="XY2126" s="38"/>
      <c r="XZ2126" s="38"/>
      <c r="YA2126" s="38"/>
      <c r="YB2126" s="38"/>
      <c r="YC2126" s="38"/>
      <c r="YD2126" s="38"/>
      <c r="YE2126" s="38"/>
      <c r="YF2126" s="38"/>
      <c r="YG2126" s="38"/>
      <c r="YH2126" s="38"/>
      <c r="YI2126" s="38"/>
      <c r="YJ2126" s="38"/>
      <c r="YK2126" s="38"/>
      <c r="YL2126" s="38"/>
      <c r="YM2126" s="38"/>
      <c r="YN2126" s="38"/>
      <c r="YO2126" s="38"/>
      <c r="YP2126" s="38"/>
      <c r="YQ2126" s="38"/>
      <c r="YR2126" s="38"/>
      <c r="YS2126" s="38"/>
      <c r="YT2126" s="38"/>
      <c r="YU2126" s="38"/>
      <c r="YV2126" s="38"/>
      <c r="YW2126" s="38"/>
      <c r="YX2126" s="38"/>
      <c r="YY2126" s="38"/>
      <c r="YZ2126" s="38"/>
      <c r="ZA2126" s="38"/>
      <c r="ZB2126" s="38"/>
      <c r="ZC2126" s="38"/>
      <c r="ZD2126" s="38"/>
      <c r="ZE2126" s="38"/>
      <c r="ZF2126" s="38"/>
      <c r="ZG2126" s="38"/>
      <c r="ZH2126" s="38"/>
      <c r="ZI2126" s="38"/>
      <c r="ZJ2126" s="38"/>
      <c r="ZK2126" s="38"/>
      <c r="ZL2126" s="38"/>
      <c r="ZM2126" s="38"/>
      <c r="ZN2126" s="38"/>
      <c r="ZO2126" s="38"/>
      <c r="ZP2126" s="38"/>
      <c r="ZQ2126" s="38"/>
      <c r="ZR2126" s="38"/>
      <c r="ZS2126" s="38"/>
      <c r="ZT2126" s="38"/>
      <c r="ZU2126" s="38"/>
      <c r="ZV2126" s="38"/>
      <c r="ZW2126" s="38"/>
      <c r="ZX2126" s="38"/>
      <c r="ZY2126" s="38"/>
      <c r="ZZ2126" s="38"/>
      <c r="AAA2126" s="38"/>
      <c r="AAB2126" s="38"/>
      <c r="AAC2126" s="38"/>
      <c r="AAD2126" s="38"/>
      <c r="AAE2126" s="38"/>
      <c r="AAF2126" s="38"/>
      <c r="AAG2126" s="38"/>
      <c r="AAH2126" s="38"/>
      <c r="AAI2126" s="38"/>
      <c r="AAJ2126" s="38"/>
      <c r="AAK2126" s="38"/>
      <c r="AAL2126" s="38"/>
      <c r="AAM2126" s="38"/>
      <c r="AAN2126" s="38"/>
      <c r="AAO2126" s="38"/>
      <c r="AAP2126" s="38"/>
      <c r="AAQ2126" s="38"/>
      <c r="AAR2126" s="38"/>
      <c r="AAS2126" s="38"/>
      <c r="AAT2126" s="38"/>
      <c r="AAU2126" s="38"/>
      <c r="AAV2126" s="38"/>
      <c r="AAW2126" s="38"/>
      <c r="AAX2126" s="38"/>
      <c r="AAY2126" s="38"/>
      <c r="AAZ2126" s="38"/>
      <c r="ABA2126" s="38"/>
      <c r="ABB2126" s="38"/>
      <c r="ABC2126" s="38"/>
      <c r="ABD2126" s="38"/>
      <c r="ABE2126" s="38"/>
      <c r="ABF2126" s="38"/>
      <c r="ABG2126" s="38"/>
      <c r="ABH2126" s="38"/>
      <c r="ABI2126" s="38"/>
      <c r="ABJ2126" s="38"/>
      <c r="ABK2126" s="38"/>
      <c r="ABL2126" s="38"/>
      <c r="ABM2126" s="38"/>
      <c r="ABN2126" s="38"/>
      <c r="ABO2126" s="38"/>
      <c r="ABP2126" s="38"/>
      <c r="ABQ2126" s="38"/>
      <c r="ABR2126" s="38"/>
      <c r="ABS2126" s="38"/>
      <c r="ABT2126" s="38"/>
      <c r="ABU2126" s="38"/>
      <c r="ABV2126" s="38"/>
      <c r="ABW2126" s="38"/>
      <c r="ABX2126" s="38"/>
      <c r="ABY2126" s="38"/>
      <c r="ABZ2126" s="38"/>
      <c r="ACA2126" s="38"/>
      <c r="ACB2126" s="38"/>
      <c r="ACC2126" s="38"/>
      <c r="ACD2126" s="38"/>
      <c r="ACE2126" s="38"/>
      <c r="ACF2126" s="38"/>
      <c r="ACG2126" s="38"/>
      <c r="ACH2126" s="38"/>
      <c r="ACI2126" s="38"/>
      <c r="ACJ2126" s="38"/>
      <c r="ACK2126" s="38"/>
      <c r="ACL2126" s="38"/>
      <c r="ACM2126" s="38"/>
      <c r="ACN2126" s="38"/>
      <c r="ACO2126" s="38"/>
      <c r="ACP2126" s="38"/>
      <c r="ACQ2126" s="38"/>
      <c r="ACR2126" s="38"/>
      <c r="ACS2126" s="38"/>
      <c r="ACT2126" s="38"/>
      <c r="ACU2126" s="38"/>
      <c r="ACV2126" s="38"/>
      <c r="ACW2126" s="38"/>
      <c r="ACX2126" s="38"/>
      <c r="ACY2126" s="38"/>
      <c r="ACZ2126" s="38"/>
      <c r="ADA2126" s="38"/>
      <c r="ADB2126" s="38"/>
      <c r="ADC2126" s="38"/>
      <c r="ADD2126" s="38"/>
      <c r="ADE2126" s="38"/>
      <c r="ADF2126" s="38"/>
      <c r="ADG2126" s="38"/>
      <c r="ADH2126" s="38"/>
      <c r="ADI2126" s="38"/>
      <c r="ADJ2126" s="38"/>
      <c r="ADK2126" s="38"/>
      <c r="ADL2126" s="38"/>
      <c r="ADM2126" s="38"/>
      <c r="ADN2126" s="38"/>
      <c r="ADO2126" s="38"/>
      <c r="ADP2126" s="38"/>
      <c r="ADQ2126" s="38"/>
      <c r="ADR2126" s="38"/>
      <c r="ADS2126" s="38"/>
      <c r="ADT2126" s="38"/>
      <c r="ADU2126" s="38"/>
      <c r="ADV2126" s="38"/>
      <c r="ADW2126" s="38"/>
      <c r="ADX2126" s="38"/>
      <c r="ADY2126" s="38"/>
      <c r="ADZ2126" s="38"/>
      <c r="AEA2126" s="38"/>
      <c r="AEB2126" s="38"/>
      <c r="AEC2126" s="38"/>
      <c r="AED2126" s="38"/>
      <c r="AEE2126" s="38"/>
      <c r="AEF2126" s="38"/>
      <c r="AEG2126" s="38"/>
      <c r="AEH2126" s="38"/>
      <c r="AEI2126" s="38"/>
      <c r="AEJ2126" s="38"/>
      <c r="AEK2126" s="38"/>
      <c r="AEL2126" s="38"/>
      <c r="AEM2126" s="38"/>
      <c r="AEN2126" s="38"/>
      <c r="AEO2126" s="38"/>
      <c r="AEP2126" s="38"/>
      <c r="AEQ2126" s="38"/>
      <c r="AER2126" s="38"/>
      <c r="AES2126" s="38"/>
      <c r="AET2126" s="38"/>
      <c r="AEU2126" s="38"/>
      <c r="AEV2126" s="38"/>
      <c r="AEW2126" s="38"/>
      <c r="AEX2126" s="38"/>
      <c r="AEY2126" s="38"/>
      <c r="AEZ2126" s="38"/>
      <c r="AFA2126" s="38"/>
      <c r="AFB2126" s="38"/>
      <c r="AFC2126" s="38"/>
      <c r="AFD2126" s="38"/>
      <c r="AFE2126" s="38"/>
      <c r="AFF2126" s="38"/>
      <c r="AFG2126" s="38"/>
      <c r="AFH2126" s="38"/>
      <c r="AFI2126" s="38"/>
      <c r="AFJ2126" s="38"/>
      <c r="AFK2126" s="38"/>
      <c r="AFL2126" s="38"/>
      <c r="AFM2126" s="38"/>
      <c r="AFN2126" s="38"/>
      <c r="AFO2126" s="38"/>
      <c r="AFP2126" s="38"/>
      <c r="AFQ2126" s="38"/>
      <c r="AFR2126" s="38"/>
      <c r="AFS2126" s="38"/>
      <c r="AFT2126" s="38"/>
      <c r="AFU2126" s="38"/>
      <c r="AFV2126" s="38"/>
      <c r="AFW2126" s="38"/>
      <c r="AFX2126" s="38"/>
      <c r="AFY2126" s="38"/>
      <c r="AFZ2126" s="38"/>
      <c r="AGA2126" s="38"/>
      <c r="AGB2126" s="38"/>
      <c r="AGC2126" s="38"/>
      <c r="AGD2126" s="38"/>
      <c r="AGE2126" s="38"/>
      <c r="AGF2126" s="38"/>
      <c r="AGG2126" s="38"/>
      <c r="AGH2126" s="38"/>
      <c r="AGI2126" s="38"/>
      <c r="AGJ2126" s="38"/>
      <c r="AGK2126" s="38"/>
      <c r="AGL2126" s="38"/>
      <c r="AGM2126" s="38"/>
      <c r="AGN2126" s="38"/>
      <c r="AGO2126" s="38"/>
      <c r="AGP2126" s="38"/>
      <c r="AGQ2126" s="38"/>
      <c r="AGR2126" s="38"/>
      <c r="AGS2126" s="38"/>
      <c r="AGT2126" s="38"/>
      <c r="AGU2126" s="38"/>
      <c r="AGV2126" s="38"/>
      <c r="AGW2126" s="38"/>
      <c r="AGX2126" s="38"/>
      <c r="AGY2126" s="38"/>
      <c r="AGZ2126" s="38"/>
      <c r="AHA2126" s="38"/>
      <c r="AHB2126" s="38"/>
      <c r="AHC2126" s="38"/>
      <c r="AHD2126" s="38"/>
      <c r="AHE2126" s="38"/>
      <c r="AHF2126" s="38"/>
      <c r="AHG2126" s="38"/>
      <c r="AHH2126" s="38"/>
      <c r="AHI2126" s="38"/>
      <c r="AHJ2126" s="38"/>
      <c r="AHK2126" s="38"/>
      <c r="AHL2126" s="38"/>
      <c r="AHM2126" s="38"/>
      <c r="AHN2126" s="38"/>
      <c r="AHO2126" s="38"/>
      <c r="AHP2126" s="38"/>
      <c r="AHQ2126" s="38"/>
      <c r="AHR2126" s="38"/>
      <c r="AHS2126" s="38"/>
      <c r="AHT2126" s="38"/>
      <c r="AHU2126" s="38"/>
      <c r="AHV2126" s="38"/>
      <c r="AHW2126" s="38"/>
      <c r="AHX2126" s="38"/>
      <c r="AHY2126" s="38"/>
      <c r="AHZ2126" s="38"/>
      <c r="AIA2126" s="38"/>
      <c r="AIB2126" s="38"/>
      <c r="AIC2126" s="38"/>
      <c r="AID2126" s="38"/>
      <c r="AIE2126" s="38"/>
      <c r="AIF2126" s="38"/>
      <c r="AIG2126" s="38"/>
      <c r="AIH2126" s="38"/>
      <c r="AII2126" s="38"/>
      <c r="AIJ2126" s="38"/>
      <c r="AIK2126" s="38"/>
      <c r="AIL2126" s="38"/>
      <c r="AIM2126" s="38"/>
      <c r="AIN2126" s="38"/>
      <c r="AIO2126" s="38"/>
      <c r="AIP2126" s="38"/>
      <c r="AIQ2126" s="38"/>
      <c r="AIR2126" s="38"/>
      <c r="AIS2126" s="38"/>
      <c r="AIT2126" s="38"/>
      <c r="AIU2126" s="38"/>
      <c r="AIV2126" s="38"/>
      <c r="AIW2126" s="38"/>
      <c r="AIX2126" s="38"/>
      <c r="AIY2126" s="38"/>
      <c r="AIZ2126" s="38"/>
      <c r="AJA2126" s="38"/>
      <c r="AJB2126" s="38"/>
      <c r="AJC2126" s="38"/>
      <c r="AJD2126" s="38"/>
      <c r="AJE2126" s="38"/>
      <c r="AJF2126" s="38"/>
      <c r="AJG2126" s="38"/>
      <c r="AJH2126" s="38"/>
      <c r="AJI2126" s="38"/>
      <c r="AJJ2126" s="38"/>
      <c r="AJK2126" s="38"/>
      <c r="AJL2126" s="38"/>
      <c r="AJM2126" s="38"/>
      <c r="AJN2126" s="38"/>
      <c r="AJO2126" s="38"/>
      <c r="AJP2126" s="38"/>
      <c r="AJQ2126" s="38"/>
      <c r="AJR2126" s="38"/>
      <c r="AJS2126" s="38"/>
      <c r="AJT2126" s="38"/>
      <c r="AJU2126" s="38"/>
      <c r="AJV2126" s="38"/>
      <c r="AJW2126" s="38"/>
      <c r="AJX2126" s="38"/>
      <c r="AJY2126" s="38"/>
      <c r="AJZ2126" s="38"/>
      <c r="AKA2126" s="38"/>
      <c r="AKB2126" s="38"/>
      <c r="AKC2126" s="38"/>
      <c r="AKD2126" s="38"/>
      <c r="AKE2126" s="38"/>
      <c r="AKF2126" s="38"/>
      <c r="AKG2126" s="38"/>
      <c r="AKH2126" s="38"/>
      <c r="AKI2126" s="38"/>
      <c r="AKJ2126" s="38"/>
      <c r="AKK2126" s="38"/>
      <c r="AKL2126" s="38"/>
      <c r="AKM2126" s="38"/>
      <c r="AKN2126" s="38"/>
      <c r="AKO2126" s="38"/>
      <c r="AKP2126" s="38"/>
      <c r="AKQ2126" s="38"/>
      <c r="AKR2126" s="38"/>
      <c r="AKS2126" s="38"/>
      <c r="AKT2126" s="38"/>
      <c r="AKU2126" s="38"/>
      <c r="AKV2126" s="38"/>
      <c r="AKW2126" s="38"/>
      <c r="AKX2126" s="38"/>
      <c r="AKY2126" s="38"/>
      <c r="AKZ2126" s="38"/>
      <c r="ALA2126" s="38"/>
      <c r="ALB2126" s="38"/>
      <c r="ALC2126" s="38"/>
      <c r="ALD2126" s="38"/>
      <c r="ALE2126" s="38"/>
      <c r="ALF2126" s="38"/>
      <c r="ALG2126" s="38"/>
      <c r="ALH2126" s="38"/>
      <c r="ALI2126" s="38"/>
      <c r="ALJ2126" s="38"/>
      <c r="ALK2126" s="38"/>
      <c r="ALL2126" s="38"/>
      <c r="ALM2126" s="38"/>
      <c r="ALN2126" s="38"/>
      <c r="ALO2126" s="38"/>
      <c r="ALP2126" s="38"/>
      <c r="ALQ2126" s="38"/>
      <c r="ALR2126" s="38"/>
      <c r="ALS2126" s="38"/>
      <c r="ALT2126" s="38"/>
      <c r="ALU2126" s="38"/>
      <c r="ALV2126" s="38"/>
      <c r="ALW2126" s="38"/>
      <c r="ALX2126" s="38"/>
      <c r="ALY2126" s="38"/>
      <c r="ALZ2126" s="38"/>
      <c r="AMA2126" s="38"/>
      <c r="AMB2126" s="38"/>
      <c r="AMC2126" s="38"/>
      <c r="AMD2126" s="38"/>
      <c r="AME2126" s="38"/>
      <c r="AMF2126" s="38"/>
      <c r="AMG2126" s="38"/>
      <c r="AMH2126" s="38"/>
      <c r="AMI2126" s="38"/>
      <c r="AMJ2126" s="38"/>
      <c r="AMK2126" s="38"/>
      <c r="AML2126" s="38"/>
      <c r="AMM2126" s="38"/>
      <c r="AMN2126" s="38"/>
      <c r="AMO2126" s="38"/>
      <c r="AMP2126" s="38"/>
      <c r="AMQ2126" s="38"/>
      <c r="AMR2126" s="38"/>
      <c r="AMS2126" s="38"/>
      <c r="AMT2126" s="38"/>
      <c r="AMU2126" s="38"/>
      <c r="AMV2126" s="38"/>
      <c r="AMW2126" s="38"/>
      <c r="AMX2126" s="38"/>
      <c r="AMY2126" s="38"/>
      <c r="AMZ2126" s="38"/>
      <c r="ANA2126" s="38"/>
      <c r="ANB2126" s="38"/>
      <c r="ANC2126" s="38"/>
      <c r="AND2126" s="38"/>
      <c r="ANE2126" s="38"/>
      <c r="ANF2126" s="38"/>
      <c r="ANG2126" s="38"/>
      <c r="ANH2126" s="38"/>
      <c r="ANI2126" s="38"/>
      <c r="ANJ2126" s="38"/>
      <c r="ANK2126" s="38"/>
      <c r="ANL2126" s="38"/>
      <c r="ANM2126" s="38"/>
      <c r="ANN2126" s="38"/>
      <c r="ANO2126" s="38"/>
      <c r="ANP2126" s="38"/>
      <c r="ANQ2126" s="38"/>
      <c r="ANR2126" s="38"/>
      <c r="ANS2126" s="38"/>
      <c r="ANT2126" s="38"/>
      <c r="ANU2126" s="38"/>
      <c r="ANV2126" s="38"/>
      <c r="ANW2126" s="38"/>
      <c r="ANX2126" s="38"/>
      <c r="ANY2126" s="38"/>
      <c r="ANZ2126" s="38"/>
      <c r="AOA2126" s="38"/>
      <c r="AOB2126" s="38"/>
      <c r="AOC2126" s="38"/>
      <c r="AOD2126" s="38"/>
      <c r="AOE2126" s="38"/>
      <c r="AOF2126" s="38"/>
      <c r="AOG2126" s="38"/>
      <c r="AOH2126" s="38"/>
      <c r="AOI2126" s="38"/>
      <c r="AOJ2126" s="38"/>
      <c r="AOK2126" s="38"/>
      <c r="AOL2126" s="38"/>
      <c r="AOM2126" s="38"/>
      <c r="AON2126" s="38"/>
      <c r="AOO2126" s="38"/>
      <c r="AOP2126" s="38"/>
      <c r="AOQ2126" s="38"/>
      <c r="AOR2126" s="38"/>
      <c r="AOS2126" s="38"/>
      <c r="AOT2126" s="38"/>
      <c r="AOU2126" s="38"/>
      <c r="AOV2126" s="38"/>
      <c r="AOW2126" s="38"/>
      <c r="AOX2126" s="38"/>
      <c r="AOY2126" s="38"/>
      <c r="AOZ2126" s="38"/>
      <c r="APA2126" s="38"/>
      <c r="APB2126" s="38"/>
      <c r="APC2126" s="38"/>
    </row>
    <row r="2127" spans="1:1095" s="36" customFormat="1" ht="14.25" customHeight="1">
      <c r="A2127" s="3" t="s">
        <v>1722</v>
      </c>
      <c r="B2127" s="36" t="s">
        <v>2544</v>
      </c>
      <c r="C2127" s="10">
        <v>4058075293199</v>
      </c>
      <c r="D2127" s="224">
        <v>4058075293199</v>
      </c>
      <c r="E2127" s="245" t="s">
        <v>2545</v>
      </c>
      <c r="F2127" s="246"/>
      <c r="G2127" s="66" t="str">
        <f>HYPERLINK("https://ledvance.com/pt/product-datasheet/275113/92253","Ficha de Produto")</f>
        <v>Ficha de Produto</v>
      </c>
      <c r="H2127" s="217">
        <v>6</v>
      </c>
      <c r="I2127" s="34" t="s">
        <v>6385</v>
      </c>
      <c r="J2127" s="34" t="s">
        <v>5840</v>
      </c>
      <c r="K2127" s="34" t="s">
        <v>788</v>
      </c>
      <c r="L2127" s="34" t="s">
        <v>793</v>
      </c>
      <c r="M2127" s="247">
        <v>6.2</v>
      </c>
      <c r="N2127" s="288" t="s">
        <v>722</v>
      </c>
    </row>
    <row r="2128" spans="1:1095" s="36" customFormat="1" ht="14.25" customHeight="1">
      <c r="A2128" s="3" t="s">
        <v>1722</v>
      </c>
      <c r="B2128" s="36" t="s">
        <v>2546</v>
      </c>
      <c r="C2128" s="10">
        <v>4058075293090</v>
      </c>
      <c r="D2128" s="224">
        <v>4058075293090</v>
      </c>
      <c r="E2128" s="245" t="s">
        <v>2547</v>
      </c>
      <c r="F2128" s="246"/>
      <c r="G2128" s="66" t="str">
        <f>HYPERLINK("https://ledvance.com/pt/product-datasheet/275113/59527","Ficha de Produto")</f>
        <v>Ficha de Produto</v>
      </c>
      <c r="H2128" s="217">
        <v>6</v>
      </c>
      <c r="I2128" s="34" t="s">
        <v>6386</v>
      </c>
      <c r="J2128" s="34" t="s">
        <v>855</v>
      </c>
      <c r="K2128" s="34" t="s">
        <v>788</v>
      </c>
      <c r="L2128" s="34" t="s">
        <v>793</v>
      </c>
      <c r="M2128" s="247">
        <v>7.9</v>
      </c>
      <c r="N2128" s="288" t="s">
        <v>722</v>
      </c>
    </row>
    <row r="2129" spans="1:1095" s="36" customFormat="1" ht="14.25" customHeight="1">
      <c r="A2129" s="3" t="s">
        <v>1722</v>
      </c>
      <c r="B2129" s="36" t="s">
        <v>2548</v>
      </c>
      <c r="C2129" s="10">
        <v>4058075293298</v>
      </c>
      <c r="D2129" s="224">
        <v>4058075293298</v>
      </c>
      <c r="E2129" s="245" t="s">
        <v>2549</v>
      </c>
      <c r="F2129" s="246"/>
      <c r="G2129" s="66" t="str">
        <f>HYPERLINK("https://ledvance.com/pt/product-datasheet/275113/70933","Ficha de Produto")</f>
        <v>Ficha de Produto</v>
      </c>
      <c r="H2129" s="217">
        <v>6</v>
      </c>
      <c r="I2129" s="34" t="s">
        <v>6314</v>
      </c>
      <c r="J2129" s="34" t="s">
        <v>6367</v>
      </c>
      <c r="K2129" s="34" t="s">
        <v>788</v>
      </c>
      <c r="L2129" s="34" t="s">
        <v>793</v>
      </c>
      <c r="M2129" s="247">
        <v>9.8000000000000007</v>
      </c>
      <c r="N2129" s="288" t="s">
        <v>722</v>
      </c>
    </row>
    <row r="2130" spans="1:1095" s="36" customFormat="1" ht="14.25" customHeight="1">
      <c r="A2130" s="3" t="s">
        <v>1722</v>
      </c>
      <c r="B2130" s="36" t="s">
        <v>2550</v>
      </c>
      <c r="C2130" s="10">
        <v>4058075293359</v>
      </c>
      <c r="D2130" s="224">
        <v>4058075293359</v>
      </c>
      <c r="E2130" s="245" t="s">
        <v>2551</v>
      </c>
      <c r="F2130" s="246"/>
      <c r="G2130" s="66" t="str">
        <f>HYPERLINK("https://ledvance.com/pt/product-datasheet/275113/40664","Ficha de Produto")</f>
        <v>Ficha de Produto</v>
      </c>
      <c r="H2130" s="217">
        <v>6</v>
      </c>
      <c r="I2130" s="34" t="s">
        <v>6387</v>
      </c>
      <c r="J2130" s="34" t="s">
        <v>6292</v>
      </c>
      <c r="K2130" s="34" t="s">
        <v>788</v>
      </c>
      <c r="L2130" s="34" t="s">
        <v>793</v>
      </c>
      <c r="M2130" s="247">
        <v>13</v>
      </c>
      <c r="N2130" s="288" t="s">
        <v>722</v>
      </c>
    </row>
    <row r="2131" spans="1:1095" s="36" customFormat="1" ht="14.25" customHeight="1">
      <c r="A2131" s="3" t="s">
        <v>1722</v>
      </c>
      <c r="B2131" s="36" t="s">
        <v>2552</v>
      </c>
      <c r="C2131" s="10">
        <v>4099854091599</v>
      </c>
      <c r="D2131" s="224">
        <v>4058075293205</v>
      </c>
      <c r="E2131" s="245" t="s">
        <v>2553</v>
      </c>
      <c r="F2131" s="246"/>
      <c r="G2131" s="66" t="str">
        <f>HYPERLINK("https://ledvance.com/pt/product-datasheet/275543/246958","Ficha de Produto")</f>
        <v>Ficha de Produto</v>
      </c>
      <c r="H2131" s="217">
        <v>6</v>
      </c>
      <c r="I2131" s="34" t="s">
        <v>6379</v>
      </c>
      <c r="J2131" s="34" t="s">
        <v>6372</v>
      </c>
      <c r="K2131" s="34" t="s">
        <v>788</v>
      </c>
      <c r="L2131" s="34" t="s">
        <v>793</v>
      </c>
      <c r="M2131" s="247">
        <v>6</v>
      </c>
      <c r="N2131" s="288" t="s">
        <v>722</v>
      </c>
    </row>
    <row r="2132" spans="1:1095" s="36" customFormat="1" ht="14.25" customHeight="1">
      <c r="A2132" s="3" t="s">
        <v>1722</v>
      </c>
      <c r="B2132" s="36" t="s">
        <v>2554</v>
      </c>
      <c r="C2132" s="10">
        <v>4099854091575</v>
      </c>
      <c r="D2132" s="224">
        <v>4058075293212</v>
      </c>
      <c r="E2132" s="245" t="s">
        <v>2555</v>
      </c>
      <c r="F2132" s="246"/>
      <c r="G2132" s="66" t="str">
        <f>HYPERLINK("https://ledvance.com/pt/product-datasheet/275543/246955","Ficha de Produto")</f>
        <v>Ficha de Produto</v>
      </c>
      <c r="H2132" s="217">
        <v>6</v>
      </c>
      <c r="I2132" s="34" t="s">
        <v>6385</v>
      </c>
      <c r="J2132" s="34" t="s">
        <v>5840</v>
      </c>
      <c r="K2132" s="34" t="s">
        <v>788</v>
      </c>
      <c r="L2132" s="34" t="s">
        <v>793</v>
      </c>
      <c r="M2132" s="247">
        <v>6.9</v>
      </c>
      <c r="N2132" s="288" t="s">
        <v>722</v>
      </c>
    </row>
    <row r="2133" spans="1:1095" s="36" customFormat="1" ht="14.25" customHeight="1">
      <c r="A2133" s="3" t="s">
        <v>1722</v>
      </c>
      <c r="B2133" s="36" t="s">
        <v>2556</v>
      </c>
      <c r="C2133" s="10">
        <v>4099854091476</v>
      </c>
      <c r="D2133" s="224">
        <v>4058075293434</v>
      </c>
      <c r="E2133" s="245" t="s">
        <v>2557</v>
      </c>
      <c r="F2133" s="246"/>
      <c r="G2133" s="66" t="str">
        <f>HYPERLINK("https://ledvance.com/pt/product-datasheet/275543/246967","Ficha de Produto")</f>
        <v>Ficha de Produto</v>
      </c>
      <c r="H2133" s="217">
        <v>6</v>
      </c>
      <c r="I2133" s="34" t="s">
        <v>6386</v>
      </c>
      <c r="J2133" s="34" t="s">
        <v>855</v>
      </c>
      <c r="K2133" s="34" t="s">
        <v>788</v>
      </c>
      <c r="L2133" s="34" t="s">
        <v>793</v>
      </c>
      <c r="M2133" s="247">
        <v>8.6</v>
      </c>
      <c r="N2133" s="288" t="s">
        <v>722</v>
      </c>
    </row>
    <row r="2134" spans="1:1095" s="36" customFormat="1" ht="14.25" customHeight="1">
      <c r="A2134" s="3" t="s">
        <v>1722</v>
      </c>
      <c r="B2134" s="36" t="s">
        <v>2558</v>
      </c>
      <c r="C2134" s="10">
        <v>4099854091551</v>
      </c>
      <c r="D2134" s="224">
        <v>4058075293229</v>
      </c>
      <c r="E2134" s="245" t="s">
        <v>2559</v>
      </c>
      <c r="F2134" s="246"/>
      <c r="G2134" s="66" t="str">
        <f>HYPERLINK("https://ledvance.com/pt/product-datasheet/275543/246952","Ficha de Produto")</f>
        <v>Ficha de Produto</v>
      </c>
      <c r="H2134" s="217">
        <v>10</v>
      </c>
      <c r="I2134" s="34" t="s">
        <v>6379</v>
      </c>
      <c r="J2134" s="34" t="s">
        <v>6372</v>
      </c>
      <c r="K2134" s="34" t="s">
        <v>788</v>
      </c>
      <c r="L2134" s="34" t="s">
        <v>793</v>
      </c>
      <c r="M2134" s="247">
        <v>6</v>
      </c>
      <c r="N2134" s="288" t="s">
        <v>722</v>
      </c>
    </row>
    <row r="2135" spans="1:1095" s="36" customFormat="1" ht="14.25" customHeight="1">
      <c r="A2135" s="3" t="s">
        <v>1722</v>
      </c>
      <c r="B2135" s="36" t="s">
        <v>2560</v>
      </c>
      <c r="C2135" s="10">
        <v>4099854091537</v>
      </c>
      <c r="D2135" s="224">
        <v>4058075293236</v>
      </c>
      <c r="E2135" s="245" t="s">
        <v>2561</v>
      </c>
      <c r="F2135" s="246"/>
      <c r="G2135" s="66" t="str">
        <f>HYPERLINK("https://ledvance.com/pt/product-datasheet/275543/246949","Ficha de Produto")</f>
        <v>Ficha de Produto</v>
      </c>
      <c r="H2135" s="217">
        <v>10</v>
      </c>
      <c r="I2135" s="34" t="s">
        <v>6385</v>
      </c>
      <c r="J2135" s="34" t="s">
        <v>5840</v>
      </c>
      <c r="K2135" s="34" t="s">
        <v>788</v>
      </c>
      <c r="L2135" s="34" t="s">
        <v>793</v>
      </c>
      <c r="M2135" s="247">
        <v>6.7</v>
      </c>
      <c r="N2135" s="288" t="s">
        <v>722</v>
      </c>
    </row>
    <row r="2136" spans="1:1095" s="36" customFormat="1" ht="14.25" customHeight="1">
      <c r="A2136" s="3" t="s">
        <v>1722</v>
      </c>
      <c r="B2136" s="36" t="s">
        <v>2562</v>
      </c>
      <c r="C2136" s="10">
        <v>4099854091513</v>
      </c>
      <c r="D2136" s="224">
        <v>4058075293243</v>
      </c>
      <c r="E2136" s="245" t="s">
        <v>2563</v>
      </c>
      <c r="F2136" s="246"/>
      <c r="G2136" s="66" t="str">
        <f>HYPERLINK("https://ledvance.com/pt/product-datasheet/275543/246946","Ficha de Produto")</f>
        <v>Ficha de Produto</v>
      </c>
      <c r="H2136" s="217">
        <v>6</v>
      </c>
      <c r="I2136" s="34" t="s">
        <v>6379</v>
      </c>
      <c r="J2136" s="34" t="s">
        <v>6372</v>
      </c>
      <c r="K2136" s="34" t="s">
        <v>788</v>
      </c>
      <c r="L2136" s="34" t="s">
        <v>793</v>
      </c>
      <c r="M2136" s="247">
        <v>6</v>
      </c>
      <c r="N2136" s="288" t="s">
        <v>722</v>
      </c>
    </row>
    <row r="2137" spans="1:1095" s="36" customFormat="1" ht="14.25" customHeight="1">
      <c r="A2137" s="3" t="s">
        <v>1722</v>
      </c>
      <c r="B2137" s="36" t="s">
        <v>2564</v>
      </c>
      <c r="C2137" s="10">
        <v>4099854091490</v>
      </c>
      <c r="D2137" s="224">
        <v>4058075293274</v>
      </c>
      <c r="E2137" s="245" t="s">
        <v>2565</v>
      </c>
      <c r="F2137" s="246"/>
      <c r="G2137" s="66" t="str">
        <f>HYPERLINK("https://ledvance.com/pt/product-datasheet/275543/246943","Ficha de Produto")</f>
        <v>Ficha de Produto</v>
      </c>
      <c r="H2137" s="217">
        <v>6</v>
      </c>
      <c r="I2137" s="34" t="s">
        <v>6385</v>
      </c>
      <c r="J2137" s="34" t="s">
        <v>5840</v>
      </c>
      <c r="K2137" s="34" t="s">
        <v>788</v>
      </c>
      <c r="L2137" s="34" t="s">
        <v>793</v>
      </c>
      <c r="M2137" s="247">
        <v>6.6000000000000005</v>
      </c>
      <c r="N2137" s="288" t="s">
        <v>722</v>
      </c>
    </row>
    <row r="2138" spans="1:1095" s="39" customFormat="1" ht="14.25" customHeight="1">
      <c r="A2138" s="8" t="s">
        <v>1722</v>
      </c>
      <c r="B2138" s="39" t="s">
        <v>2566</v>
      </c>
      <c r="C2138" s="8"/>
      <c r="D2138" s="7"/>
      <c r="E2138" s="230"/>
      <c r="F2138" s="7"/>
      <c r="G2138" s="68"/>
      <c r="H2138" s="230"/>
      <c r="I2138" s="230"/>
      <c r="J2138" s="230"/>
      <c r="K2138" s="230"/>
      <c r="L2138" s="230"/>
      <c r="M2138" s="248"/>
      <c r="N2138" s="292"/>
      <c r="O2138" s="38"/>
      <c r="P2138" s="38"/>
      <c r="Q2138" s="38"/>
      <c r="R2138" s="38"/>
      <c r="S2138" s="38"/>
      <c r="T2138" s="38"/>
      <c r="U2138" s="38"/>
      <c r="V2138" s="38"/>
      <c r="W2138" s="38"/>
      <c r="X2138" s="38"/>
      <c r="Y2138" s="38"/>
      <c r="Z2138" s="38"/>
      <c r="AA2138" s="38"/>
      <c r="AB2138" s="38"/>
      <c r="AC2138" s="38"/>
      <c r="AD2138" s="38"/>
      <c r="AE2138" s="38"/>
      <c r="AF2138" s="38"/>
      <c r="AG2138" s="38"/>
      <c r="AH2138" s="38"/>
      <c r="AI2138" s="38"/>
      <c r="AJ2138" s="38"/>
      <c r="AK2138" s="38"/>
      <c r="AL2138" s="38"/>
      <c r="AM2138" s="38"/>
      <c r="AN2138" s="38"/>
      <c r="AO2138" s="38"/>
      <c r="AP2138" s="38"/>
      <c r="AQ2138" s="38"/>
      <c r="AR2138" s="38"/>
      <c r="AS2138" s="38"/>
      <c r="AT2138" s="38"/>
      <c r="AU2138" s="38"/>
      <c r="AV2138" s="38"/>
      <c r="AW2138" s="38"/>
      <c r="AX2138" s="38"/>
      <c r="AY2138" s="38"/>
      <c r="AZ2138" s="38"/>
      <c r="BA2138" s="38"/>
      <c r="BB2138" s="38"/>
      <c r="BC2138" s="38"/>
      <c r="BD2138" s="38"/>
      <c r="BE2138" s="38"/>
      <c r="BF2138" s="38"/>
      <c r="BG2138" s="38"/>
      <c r="BH2138" s="38"/>
      <c r="BI2138" s="38"/>
      <c r="BJ2138" s="38"/>
      <c r="BK2138" s="38"/>
      <c r="BL2138" s="38"/>
      <c r="BM2138" s="38"/>
      <c r="BN2138" s="38"/>
      <c r="BO2138" s="38"/>
      <c r="BP2138" s="38"/>
      <c r="BQ2138" s="38"/>
      <c r="BR2138" s="38"/>
      <c r="BS2138" s="38"/>
      <c r="BT2138" s="38"/>
      <c r="BU2138" s="38"/>
      <c r="BV2138" s="38"/>
      <c r="BW2138" s="38"/>
      <c r="BX2138" s="38"/>
      <c r="BY2138" s="38"/>
      <c r="BZ2138" s="38"/>
      <c r="CA2138" s="38"/>
      <c r="CB2138" s="38"/>
      <c r="CC2138" s="38"/>
      <c r="CD2138" s="38"/>
      <c r="CE2138" s="38"/>
      <c r="CF2138" s="38"/>
      <c r="CG2138" s="38"/>
      <c r="CH2138" s="38"/>
      <c r="CI2138" s="38"/>
      <c r="CJ2138" s="38"/>
      <c r="CK2138" s="38"/>
      <c r="CL2138" s="38"/>
      <c r="CM2138" s="38"/>
      <c r="CN2138" s="38"/>
      <c r="CO2138" s="38"/>
      <c r="CP2138" s="38"/>
      <c r="CQ2138" s="38"/>
      <c r="CR2138" s="38"/>
      <c r="CS2138" s="38"/>
      <c r="CT2138" s="38"/>
      <c r="CU2138" s="38"/>
      <c r="CV2138" s="38"/>
      <c r="CW2138" s="38"/>
      <c r="CX2138" s="38"/>
      <c r="CY2138" s="38"/>
      <c r="CZ2138" s="38"/>
      <c r="DA2138" s="38"/>
      <c r="DB2138" s="38"/>
      <c r="DC2138" s="38"/>
      <c r="DD2138" s="38"/>
      <c r="DE2138" s="38"/>
      <c r="DF2138" s="38"/>
      <c r="DG2138" s="38"/>
      <c r="DH2138" s="38"/>
      <c r="DI2138" s="38"/>
      <c r="DJ2138" s="38"/>
      <c r="DK2138" s="38"/>
      <c r="DL2138" s="38"/>
      <c r="DM2138" s="38"/>
      <c r="DN2138" s="38"/>
      <c r="DO2138" s="38"/>
      <c r="DP2138" s="38"/>
      <c r="DQ2138" s="38"/>
      <c r="DR2138" s="38"/>
      <c r="DS2138" s="38"/>
      <c r="DT2138" s="38"/>
      <c r="DU2138" s="38"/>
      <c r="DV2138" s="38"/>
      <c r="DW2138" s="38"/>
      <c r="DX2138" s="38"/>
      <c r="DY2138" s="38"/>
      <c r="DZ2138" s="38"/>
      <c r="EA2138" s="38"/>
      <c r="EB2138" s="38"/>
      <c r="EC2138" s="38"/>
      <c r="ED2138" s="38"/>
      <c r="EE2138" s="38"/>
      <c r="EF2138" s="38"/>
      <c r="EG2138" s="38"/>
      <c r="EH2138" s="38"/>
      <c r="EI2138" s="38"/>
      <c r="EJ2138" s="38"/>
      <c r="EK2138" s="38"/>
      <c r="EL2138" s="38"/>
      <c r="EM2138" s="38"/>
      <c r="EN2138" s="38"/>
      <c r="EO2138" s="38"/>
      <c r="EP2138" s="38"/>
      <c r="EQ2138" s="38"/>
      <c r="ER2138" s="38"/>
      <c r="ES2138" s="38"/>
      <c r="ET2138" s="38"/>
      <c r="EU2138" s="38"/>
      <c r="EV2138" s="38"/>
      <c r="EW2138" s="38"/>
      <c r="EX2138" s="38"/>
      <c r="EY2138" s="38"/>
      <c r="EZ2138" s="38"/>
      <c r="FA2138" s="38"/>
      <c r="FB2138" s="38"/>
      <c r="FC2138" s="38"/>
      <c r="FD2138" s="38"/>
      <c r="FE2138" s="38"/>
      <c r="FF2138" s="38"/>
      <c r="FG2138" s="38"/>
      <c r="FH2138" s="38"/>
      <c r="FI2138" s="38"/>
      <c r="FJ2138" s="38"/>
      <c r="FK2138" s="38"/>
      <c r="FL2138" s="38"/>
      <c r="FM2138" s="38"/>
      <c r="FN2138" s="38"/>
      <c r="FO2138" s="38"/>
      <c r="FP2138" s="38"/>
      <c r="FQ2138" s="38"/>
      <c r="FR2138" s="38"/>
      <c r="FS2138" s="38"/>
      <c r="FT2138" s="38"/>
      <c r="FU2138" s="38"/>
      <c r="FV2138" s="38"/>
      <c r="FW2138" s="38"/>
      <c r="FX2138" s="38"/>
      <c r="FY2138" s="38"/>
      <c r="FZ2138" s="38"/>
      <c r="GA2138" s="38"/>
      <c r="GB2138" s="38"/>
      <c r="GC2138" s="38"/>
      <c r="GD2138" s="38"/>
      <c r="GE2138" s="38"/>
      <c r="GF2138" s="38"/>
      <c r="GG2138" s="38"/>
      <c r="GH2138" s="38"/>
      <c r="GI2138" s="38"/>
      <c r="GJ2138" s="38"/>
      <c r="GK2138" s="38"/>
      <c r="GL2138" s="38"/>
      <c r="GM2138" s="38"/>
      <c r="GN2138" s="38"/>
      <c r="GO2138" s="38"/>
      <c r="GP2138" s="38"/>
      <c r="GQ2138" s="38"/>
      <c r="GR2138" s="38"/>
      <c r="GS2138" s="38"/>
      <c r="GT2138" s="38"/>
      <c r="GU2138" s="38"/>
      <c r="GV2138" s="38"/>
      <c r="GW2138" s="38"/>
      <c r="GX2138" s="38"/>
      <c r="GY2138" s="38"/>
      <c r="GZ2138" s="38"/>
      <c r="HA2138" s="38"/>
      <c r="HB2138" s="38"/>
      <c r="HC2138" s="38"/>
      <c r="HD2138" s="38"/>
      <c r="HE2138" s="38"/>
      <c r="HF2138" s="38"/>
      <c r="HG2138" s="38"/>
      <c r="HH2138" s="38"/>
      <c r="HI2138" s="38"/>
      <c r="HJ2138" s="38"/>
      <c r="HK2138" s="38"/>
      <c r="HL2138" s="38"/>
      <c r="HM2138" s="38"/>
      <c r="HN2138" s="38"/>
      <c r="HO2138" s="38"/>
      <c r="HP2138" s="38"/>
      <c r="HQ2138" s="38"/>
      <c r="HR2138" s="38"/>
      <c r="HS2138" s="38"/>
      <c r="HT2138" s="38"/>
      <c r="HU2138" s="38"/>
      <c r="HV2138" s="38"/>
      <c r="HW2138" s="38"/>
      <c r="HX2138" s="38"/>
      <c r="HY2138" s="38"/>
      <c r="HZ2138" s="38"/>
      <c r="IA2138" s="38"/>
      <c r="IB2138" s="38"/>
      <c r="IC2138" s="38"/>
      <c r="ID2138" s="38"/>
      <c r="IE2138" s="38"/>
      <c r="IF2138" s="38"/>
      <c r="IG2138" s="38"/>
      <c r="IH2138" s="38"/>
      <c r="II2138" s="38"/>
      <c r="IJ2138" s="38"/>
      <c r="IK2138" s="38"/>
      <c r="IL2138" s="38"/>
      <c r="IM2138" s="38"/>
      <c r="IN2138" s="38"/>
      <c r="IO2138" s="38"/>
      <c r="IP2138" s="38"/>
      <c r="IQ2138" s="38"/>
      <c r="IR2138" s="38"/>
      <c r="IS2138" s="38"/>
      <c r="IT2138" s="38"/>
      <c r="IU2138" s="38"/>
      <c r="IV2138" s="38"/>
      <c r="IW2138" s="38"/>
      <c r="IX2138" s="38"/>
      <c r="IY2138" s="38"/>
      <c r="IZ2138" s="38"/>
      <c r="JA2138" s="38"/>
      <c r="JB2138" s="38"/>
      <c r="JC2138" s="38"/>
      <c r="JD2138" s="38"/>
      <c r="JE2138" s="38"/>
      <c r="JF2138" s="38"/>
      <c r="JG2138" s="38"/>
      <c r="JH2138" s="38"/>
      <c r="JI2138" s="38"/>
      <c r="JJ2138" s="38"/>
      <c r="JK2138" s="38"/>
      <c r="JL2138" s="38"/>
      <c r="JM2138" s="38"/>
      <c r="JN2138" s="38"/>
      <c r="JO2138" s="38"/>
      <c r="JP2138" s="38"/>
      <c r="JQ2138" s="38"/>
      <c r="JR2138" s="38"/>
      <c r="JS2138" s="38"/>
      <c r="JT2138" s="38"/>
      <c r="JU2138" s="38"/>
      <c r="JV2138" s="38"/>
      <c r="JW2138" s="38"/>
      <c r="JX2138" s="38"/>
      <c r="JY2138" s="38"/>
      <c r="JZ2138" s="38"/>
      <c r="KA2138" s="38"/>
      <c r="KB2138" s="38"/>
      <c r="KC2138" s="38"/>
      <c r="KD2138" s="38"/>
      <c r="KE2138" s="38"/>
      <c r="KF2138" s="38"/>
      <c r="KG2138" s="38"/>
      <c r="KH2138" s="38"/>
      <c r="KI2138" s="38"/>
      <c r="KJ2138" s="38"/>
      <c r="KK2138" s="38"/>
      <c r="KL2138" s="38"/>
      <c r="KM2138" s="38"/>
      <c r="KN2138" s="38"/>
      <c r="KO2138" s="38"/>
      <c r="KP2138" s="38"/>
      <c r="KQ2138" s="38"/>
      <c r="KR2138" s="38"/>
      <c r="KS2138" s="38"/>
      <c r="KT2138" s="38"/>
      <c r="KU2138" s="38"/>
      <c r="KV2138" s="38"/>
      <c r="KW2138" s="38"/>
      <c r="KX2138" s="38"/>
      <c r="KY2138" s="38"/>
      <c r="KZ2138" s="38"/>
      <c r="LA2138" s="38"/>
      <c r="LB2138" s="38"/>
      <c r="LC2138" s="38"/>
      <c r="LD2138" s="38"/>
      <c r="LE2138" s="38"/>
      <c r="LF2138" s="38"/>
      <c r="LG2138" s="38"/>
      <c r="LH2138" s="38"/>
      <c r="LI2138" s="38"/>
      <c r="LJ2138" s="38"/>
      <c r="LK2138" s="38"/>
      <c r="LL2138" s="38"/>
      <c r="LM2138" s="38"/>
      <c r="LN2138" s="38"/>
      <c r="LO2138" s="38"/>
      <c r="LP2138" s="38"/>
      <c r="LQ2138" s="38"/>
      <c r="LR2138" s="38"/>
      <c r="LS2138" s="38"/>
      <c r="LT2138" s="38"/>
      <c r="LU2138" s="38"/>
      <c r="LV2138" s="38"/>
      <c r="LW2138" s="38"/>
      <c r="LX2138" s="38"/>
      <c r="LY2138" s="38"/>
      <c r="LZ2138" s="38"/>
      <c r="MA2138" s="38"/>
      <c r="MB2138" s="38"/>
      <c r="MC2138" s="38"/>
      <c r="MD2138" s="38"/>
      <c r="ME2138" s="38"/>
      <c r="MF2138" s="38"/>
      <c r="MG2138" s="38"/>
      <c r="MH2138" s="38"/>
      <c r="MI2138" s="38"/>
      <c r="MJ2138" s="38"/>
      <c r="MK2138" s="38"/>
      <c r="ML2138" s="38"/>
      <c r="MM2138" s="38"/>
      <c r="MN2138" s="38"/>
      <c r="MO2138" s="38"/>
      <c r="MP2138" s="38"/>
      <c r="MQ2138" s="38"/>
      <c r="MR2138" s="38"/>
      <c r="MS2138" s="38"/>
      <c r="MT2138" s="38"/>
      <c r="MU2138" s="38"/>
      <c r="MV2138" s="38"/>
      <c r="MW2138" s="38"/>
      <c r="MX2138" s="38"/>
      <c r="MY2138" s="38"/>
      <c r="MZ2138" s="38"/>
      <c r="NA2138" s="38"/>
      <c r="NB2138" s="38"/>
      <c r="NC2138" s="38"/>
      <c r="ND2138" s="38"/>
      <c r="NE2138" s="38"/>
      <c r="NF2138" s="38"/>
      <c r="NG2138" s="38"/>
      <c r="NH2138" s="38"/>
      <c r="NI2138" s="38"/>
      <c r="NJ2138" s="38"/>
      <c r="NK2138" s="38"/>
      <c r="NL2138" s="38"/>
      <c r="NM2138" s="38"/>
      <c r="NN2138" s="38"/>
      <c r="NO2138" s="38"/>
      <c r="NP2138" s="38"/>
      <c r="NQ2138" s="38"/>
      <c r="NR2138" s="38"/>
      <c r="NS2138" s="38"/>
      <c r="NT2138" s="38"/>
      <c r="NU2138" s="38"/>
      <c r="NV2138" s="38"/>
      <c r="NW2138" s="38"/>
      <c r="NX2138" s="38"/>
      <c r="NY2138" s="38"/>
      <c r="NZ2138" s="38"/>
      <c r="OA2138" s="38"/>
      <c r="OB2138" s="38"/>
      <c r="OC2138" s="38"/>
      <c r="OD2138" s="38"/>
      <c r="OE2138" s="38"/>
      <c r="OF2138" s="38"/>
      <c r="OG2138" s="38"/>
      <c r="OH2138" s="38"/>
      <c r="OI2138" s="38"/>
      <c r="OJ2138" s="38"/>
      <c r="OK2138" s="38"/>
      <c r="OL2138" s="38"/>
      <c r="OM2138" s="38"/>
      <c r="ON2138" s="38"/>
      <c r="OO2138" s="38"/>
      <c r="OP2138" s="38"/>
      <c r="OQ2138" s="38"/>
      <c r="OR2138" s="38"/>
      <c r="OS2138" s="38"/>
      <c r="OT2138" s="38"/>
      <c r="OU2138" s="38"/>
      <c r="OV2138" s="38"/>
      <c r="OW2138" s="38"/>
      <c r="OX2138" s="38"/>
      <c r="OY2138" s="38"/>
      <c r="OZ2138" s="38"/>
      <c r="PA2138" s="38"/>
      <c r="PB2138" s="38"/>
      <c r="PC2138" s="38"/>
      <c r="PD2138" s="38"/>
      <c r="PE2138" s="38"/>
      <c r="PF2138" s="38"/>
      <c r="PG2138" s="38"/>
      <c r="PH2138" s="38"/>
      <c r="PI2138" s="38"/>
      <c r="PJ2138" s="38"/>
      <c r="PK2138" s="38"/>
      <c r="PL2138" s="38"/>
      <c r="PM2138" s="38"/>
      <c r="PN2138" s="38"/>
      <c r="PO2138" s="38"/>
      <c r="PP2138" s="38"/>
      <c r="PQ2138" s="38"/>
      <c r="PR2138" s="38"/>
      <c r="PS2138" s="38"/>
      <c r="PT2138" s="38"/>
      <c r="PU2138" s="38"/>
      <c r="PV2138" s="38"/>
      <c r="PW2138" s="38"/>
      <c r="PX2138" s="38"/>
      <c r="PY2138" s="38"/>
      <c r="PZ2138" s="38"/>
      <c r="QA2138" s="38"/>
      <c r="QB2138" s="38"/>
      <c r="QC2138" s="38"/>
      <c r="QD2138" s="38"/>
      <c r="QE2138" s="38"/>
      <c r="QF2138" s="38"/>
      <c r="QG2138" s="38"/>
      <c r="QH2138" s="38"/>
      <c r="QI2138" s="38"/>
      <c r="QJ2138" s="38"/>
      <c r="QK2138" s="38"/>
      <c r="QL2138" s="38"/>
      <c r="QM2138" s="38"/>
      <c r="QN2138" s="38"/>
      <c r="QO2138" s="38"/>
      <c r="QP2138" s="38"/>
      <c r="QQ2138" s="38"/>
      <c r="QR2138" s="38"/>
      <c r="QS2138" s="38"/>
      <c r="QT2138" s="38"/>
      <c r="QU2138" s="38"/>
      <c r="QV2138" s="38"/>
      <c r="QW2138" s="38"/>
      <c r="QX2138" s="38"/>
      <c r="QY2138" s="38"/>
      <c r="QZ2138" s="38"/>
      <c r="RA2138" s="38"/>
      <c r="RB2138" s="38"/>
      <c r="RC2138" s="38"/>
      <c r="RD2138" s="38"/>
      <c r="RE2138" s="38"/>
      <c r="RF2138" s="38"/>
      <c r="RG2138" s="38"/>
      <c r="RH2138" s="38"/>
      <c r="RI2138" s="38"/>
      <c r="RJ2138" s="38"/>
      <c r="RK2138" s="38"/>
      <c r="RL2138" s="38"/>
      <c r="RM2138" s="38"/>
      <c r="RN2138" s="38"/>
      <c r="RO2138" s="38"/>
      <c r="RP2138" s="38"/>
      <c r="RQ2138" s="38"/>
      <c r="RR2138" s="38"/>
      <c r="RS2138" s="38"/>
      <c r="RT2138" s="38"/>
      <c r="RU2138" s="38"/>
      <c r="RV2138" s="38"/>
      <c r="RW2138" s="38"/>
      <c r="RX2138" s="38"/>
      <c r="RY2138" s="38"/>
      <c r="RZ2138" s="38"/>
      <c r="SA2138" s="38"/>
      <c r="SB2138" s="38"/>
      <c r="SC2138" s="38"/>
      <c r="SD2138" s="38"/>
      <c r="SE2138" s="38"/>
      <c r="SF2138" s="38"/>
      <c r="SG2138" s="38"/>
      <c r="SH2138" s="38"/>
      <c r="SI2138" s="38"/>
      <c r="SJ2138" s="38"/>
      <c r="SK2138" s="38"/>
      <c r="SL2138" s="38"/>
      <c r="SM2138" s="38"/>
      <c r="SN2138" s="38"/>
      <c r="SO2138" s="38"/>
      <c r="SP2138" s="38"/>
      <c r="SQ2138" s="38"/>
      <c r="SR2138" s="38"/>
      <c r="SS2138" s="38"/>
      <c r="ST2138" s="38"/>
      <c r="SU2138" s="38"/>
      <c r="SV2138" s="38"/>
      <c r="SW2138" s="38"/>
      <c r="SX2138" s="38"/>
      <c r="SY2138" s="38"/>
      <c r="SZ2138" s="38"/>
      <c r="TA2138" s="38"/>
      <c r="TB2138" s="38"/>
      <c r="TC2138" s="38"/>
      <c r="TD2138" s="38"/>
      <c r="TE2138" s="38"/>
      <c r="TF2138" s="38"/>
      <c r="TG2138" s="38"/>
      <c r="TH2138" s="38"/>
      <c r="TI2138" s="38"/>
      <c r="TJ2138" s="38"/>
      <c r="TK2138" s="38"/>
      <c r="TL2138" s="38"/>
      <c r="TM2138" s="38"/>
      <c r="TN2138" s="38"/>
      <c r="TO2138" s="38"/>
      <c r="TP2138" s="38"/>
      <c r="TQ2138" s="38"/>
      <c r="TR2138" s="38"/>
      <c r="TS2138" s="38"/>
      <c r="TT2138" s="38"/>
      <c r="TU2138" s="38"/>
      <c r="TV2138" s="38"/>
      <c r="TW2138" s="38"/>
      <c r="TX2138" s="38"/>
      <c r="TY2138" s="38"/>
      <c r="TZ2138" s="38"/>
      <c r="UA2138" s="38"/>
      <c r="UB2138" s="38"/>
      <c r="UC2138" s="38"/>
      <c r="UD2138" s="38"/>
      <c r="UE2138" s="38"/>
      <c r="UF2138" s="38"/>
      <c r="UG2138" s="38"/>
      <c r="UH2138" s="38"/>
      <c r="UI2138" s="38"/>
      <c r="UJ2138" s="38"/>
      <c r="UK2138" s="38"/>
      <c r="UL2138" s="38"/>
      <c r="UM2138" s="38"/>
      <c r="UN2138" s="38"/>
      <c r="UO2138" s="38"/>
      <c r="UP2138" s="38"/>
      <c r="UQ2138" s="38"/>
      <c r="UR2138" s="38"/>
      <c r="US2138" s="38"/>
      <c r="UT2138" s="38"/>
      <c r="UU2138" s="38"/>
      <c r="UV2138" s="38"/>
      <c r="UW2138" s="38"/>
      <c r="UX2138" s="38"/>
      <c r="UY2138" s="38"/>
      <c r="UZ2138" s="38"/>
      <c r="VA2138" s="38"/>
      <c r="VB2138" s="38"/>
      <c r="VC2138" s="38"/>
      <c r="VD2138" s="38"/>
      <c r="VE2138" s="38"/>
      <c r="VF2138" s="38"/>
      <c r="VG2138" s="38"/>
      <c r="VH2138" s="38"/>
      <c r="VI2138" s="38"/>
      <c r="VJ2138" s="38"/>
      <c r="VK2138" s="38"/>
      <c r="VL2138" s="38"/>
      <c r="VM2138" s="38"/>
      <c r="VN2138" s="38"/>
      <c r="VO2138" s="38"/>
      <c r="VP2138" s="38"/>
      <c r="VQ2138" s="38"/>
      <c r="VR2138" s="38"/>
      <c r="VS2138" s="38"/>
      <c r="VT2138" s="38"/>
      <c r="VU2138" s="38"/>
      <c r="VV2138" s="38"/>
      <c r="VW2138" s="38"/>
      <c r="VX2138" s="38"/>
      <c r="VY2138" s="38"/>
      <c r="VZ2138" s="38"/>
      <c r="WA2138" s="38"/>
      <c r="WB2138" s="38"/>
      <c r="WC2138" s="38"/>
      <c r="WD2138" s="38"/>
      <c r="WE2138" s="38"/>
      <c r="WF2138" s="38"/>
      <c r="WG2138" s="38"/>
      <c r="WH2138" s="38"/>
      <c r="WI2138" s="38"/>
      <c r="WJ2138" s="38"/>
      <c r="WK2138" s="38"/>
      <c r="WL2138" s="38"/>
      <c r="WM2138" s="38"/>
      <c r="WN2138" s="38"/>
      <c r="WO2138" s="38"/>
      <c r="WP2138" s="38"/>
      <c r="WQ2138" s="38"/>
      <c r="WR2138" s="38"/>
      <c r="WS2138" s="38"/>
      <c r="WT2138" s="38"/>
      <c r="WU2138" s="38"/>
      <c r="WV2138" s="38"/>
      <c r="WW2138" s="38"/>
      <c r="WX2138" s="38"/>
      <c r="WY2138" s="38"/>
      <c r="WZ2138" s="38"/>
      <c r="XA2138" s="38"/>
      <c r="XB2138" s="38"/>
      <c r="XC2138" s="38"/>
      <c r="XD2138" s="38"/>
      <c r="XE2138" s="38"/>
      <c r="XF2138" s="38"/>
      <c r="XG2138" s="38"/>
      <c r="XH2138" s="38"/>
      <c r="XI2138" s="38"/>
      <c r="XJ2138" s="38"/>
      <c r="XK2138" s="38"/>
      <c r="XL2138" s="38"/>
      <c r="XM2138" s="38"/>
      <c r="XN2138" s="38"/>
      <c r="XO2138" s="38"/>
      <c r="XP2138" s="38"/>
      <c r="XQ2138" s="38"/>
      <c r="XR2138" s="38"/>
      <c r="XS2138" s="38"/>
      <c r="XT2138" s="38"/>
      <c r="XU2138" s="38"/>
      <c r="XV2138" s="38"/>
      <c r="XW2138" s="38"/>
      <c r="XX2138" s="38"/>
      <c r="XY2138" s="38"/>
      <c r="XZ2138" s="38"/>
      <c r="YA2138" s="38"/>
      <c r="YB2138" s="38"/>
      <c r="YC2138" s="38"/>
      <c r="YD2138" s="38"/>
      <c r="YE2138" s="38"/>
      <c r="YF2138" s="38"/>
      <c r="YG2138" s="38"/>
      <c r="YH2138" s="38"/>
      <c r="YI2138" s="38"/>
      <c r="YJ2138" s="38"/>
      <c r="YK2138" s="38"/>
      <c r="YL2138" s="38"/>
      <c r="YM2138" s="38"/>
      <c r="YN2138" s="38"/>
      <c r="YO2138" s="38"/>
      <c r="YP2138" s="38"/>
      <c r="YQ2138" s="38"/>
      <c r="YR2138" s="38"/>
      <c r="YS2138" s="38"/>
      <c r="YT2138" s="38"/>
      <c r="YU2138" s="38"/>
      <c r="YV2138" s="38"/>
      <c r="YW2138" s="38"/>
      <c r="YX2138" s="38"/>
      <c r="YY2138" s="38"/>
      <c r="YZ2138" s="38"/>
      <c r="ZA2138" s="38"/>
      <c r="ZB2138" s="38"/>
      <c r="ZC2138" s="38"/>
      <c r="ZD2138" s="38"/>
      <c r="ZE2138" s="38"/>
      <c r="ZF2138" s="38"/>
      <c r="ZG2138" s="38"/>
      <c r="ZH2138" s="38"/>
      <c r="ZI2138" s="38"/>
      <c r="ZJ2138" s="38"/>
      <c r="ZK2138" s="38"/>
      <c r="ZL2138" s="38"/>
      <c r="ZM2138" s="38"/>
      <c r="ZN2138" s="38"/>
      <c r="ZO2138" s="38"/>
      <c r="ZP2138" s="38"/>
      <c r="ZQ2138" s="38"/>
      <c r="ZR2138" s="38"/>
      <c r="ZS2138" s="38"/>
      <c r="ZT2138" s="38"/>
      <c r="ZU2138" s="38"/>
      <c r="ZV2138" s="38"/>
      <c r="ZW2138" s="38"/>
      <c r="ZX2138" s="38"/>
      <c r="ZY2138" s="38"/>
      <c r="ZZ2138" s="38"/>
      <c r="AAA2138" s="38"/>
      <c r="AAB2138" s="38"/>
      <c r="AAC2138" s="38"/>
      <c r="AAD2138" s="38"/>
      <c r="AAE2138" s="38"/>
      <c r="AAF2138" s="38"/>
      <c r="AAG2138" s="38"/>
      <c r="AAH2138" s="38"/>
      <c r="AAI2138" s="38"/>
      <c r="AAJ2138" s="38"/>
      <c r="AAK2138" s="38"/>
      <c r="AAL2138" s="38"/>
      <c r="AAM2138" s="38"/>
      <c r="AAN2138" s="38"/>
      <c r="AAO2138" s="38"/>
      <c r="AAP2138" s="38"/>
      <c r="AAQ2138" s="38"/>
      <c r="AAR2138" s="38"/>
      <c r="AAS2138" s="38"/>
      <c r="AAT2138" s="38"/>
      <c r="AAU2138" s="38"/>
      <c r="AAV2138" s="38"/>
      <c r="AAW2138" s="38"/>
      <c r="AAX2138" s="38"/>
      <c r="AAY2138" s="38"/>
      <c r="AAZ2138" s="38"/>
      <c r="ABA2138" s="38"/>
      <c r="ABB2138" s="38"/>
      <c r="ABC2138" s="38"/>
      <c r="ABD2138" s="38"/>
      <c r="ABE2138" s="38"/>
      <c r="ABF2138" s="38"/>
      <c r="ABG2138" s="38"/>
      <c r="ABH2138" s="38"/>
      <c r="ABI2138" s="38"/>
      <c r="ABJ2138" s="38"/>
      <c r="ABK2138" s="38"/>
      <c r="ABL2138" s="38"/>
      <c r="ABM2138" s="38"/>
      <c r="ABN2138" s="38"/>
      <c r="ABO2138" s="38"/>
      <c r="ABP2138" s="38"/>
      <c r="ABQ2138" s="38"/>
      <c r="ABR2138" s="38"/>
      <c r="ABS2138" s="38"/>
      <c r="ABT2138" s="38"/>
      <c r="ABU2138" s="38"/>
      <c r="ABV2138" s="38"/>
      <c r="ABW2138" s="38"/>
      <c r="ABX2138" s="38"/>
      <c r="ABY2138" s="38"/>
      <c r="ABZ2138" s="38"/>
      <c r="ACA2138" s="38"/>
      <c r="ACB2138" s="38"/>
      <c r="ACC2138" s="38"/>
      <c r="ACD2138" s="38"/>
      <c r="ACE2138" s="38"/>
      <c r="ACF2138" s="38"/>
      <c r="ACG2138" s="38"/>
      <c r="ACH2138" s="38"/>
      <c r="ACI2138" s="38"/>
      <c r="ACJ2138" s="38"/>
      <c r="ACK2138" s="38"/>
      <c r="ACL2138" s="38"/>
      <c r="ACM2138" s="38"/>
      <c r="ACN2138" s="38"/>
      <c r="ACO2138" s="38"/>
      <c r="ACP2138" s="38"/>
      <c r="ACQ2138" s="38"/>
      <c r="ACR2138" s="38"/>
      <c r="ACS2138" s="38"/>
      <c r="ACT2138" s="38"/>
      <c r="ACU2138" s="38"/>
      <c r="ACV2138" s="38"/>
      <c r="ACW2138" s="38"/>
      <c r="ACX2138" s="38"/>
      <c r="ACY2138" s="38"/>
      <c r="ACZ2138" s="38"/>
      <c r="ADA2138" s="38"/>
      <c r="ADB2138" s="38"/>
      <c r="ADC2138" s="38"/>
      <c r="ADD2138" s="38"/>
      <c r="ADE2138" s="38"/>
      <c r="ADF2138" s="38"/>
      <c r="ADG2138" s="38"/>
      <c r="ADH2138" s="38"/>
      <c r="ADI2138" s="38"/>
      <c r="ADJ2138" s="38"/>
      <c r="ADK2138" s="38"/>
      <c r="ADL2138" s="38"/>
      <c r="ADM2138" s="38"/>
      <c r="ADN2138" s="38"/>
      <c r="ADO2138" s="38"/>
      <c r="ADP2138" s="38"/>
      <c r="ADQ2138" s="38"/>
      <c r="ADR2138" s="38"/>
      <c r="ADS2138" s="38"/>
      <c r="ADT2138" s="38"/>
      <c r="ADU2138" s="38"/>
      <c r="ADV2138" s="38"/>
      <c r="ADW2138" s="38"/>
      <c r="ADX2138" s="38"/>
      <c r="ADY2138" s="38"/>
      <c r="ADZ2138" s="38"/>
      <c r="AEA2138" s="38"/>
      <c r="AEB2138" s="38"/>
      <c r="AEC2138" s="38"/>
      <c r="AED2138" s="38"/>
      <c r="AEE2138" s="38"/>
      <c r="AEF2138" s="38"/>
      <c r="AEG2138" s="38"/>
      <c r="AEH2138" s="38"/>
      <c r="AEI2138" s="38"/>
      <c r="AEJ2138" s="38"/>
      <c r="AEK2138" s="38"/>
      <c r="AEL2138" s="38"/>
      <c r="AEM2138" s="38"/>
      <c r="AEN2138" s="38"/>
      <c r="AEO2138" s="38"/>
      <c r="AEP2138" s="38"/>
      <c r="AEQ2138" s="38"/>
      <c r="AER2138" s="38"/>
      <c r="AES2138" s="38"/>
      <c r="AET2138" s="38"/>
      <c r="AEU2138" s="38"/>
      <c r="AEV2138" s="38"/>
      <c r="AEW2138" s="38"/>
      <c r="AEX2138" s="38"/>
      <c r="AEY2138" s="38"/>
      <c r="AEZ2138" s="38"/>
      <c r="AFA2138" s="38"/>
      <c r="AFB2138" s="38"/>
      <c r="AFC2138" s="38"/>
      <c r="AFD2138" s="38"/>
      <c r="AFE2138" s="38"/>
      <c r="AFF2138" s="38"/>
      <c r="AFG2138" s="38"/>
      <c r="AFH2138" s="38"/>
      <c r="AFI2138" s="38"/>
      <c r="AFJ2138" s="38"/>
      <c r="AFK2138" s="38"/>
      <c r="AFL2138" s="38"/>
      <c r="AFM2138" s="38"/>
      <c r="AFN2138" s="38"/>
      <c r="AFO2138" s="38"/>
      <c r="AFP2138" s="38"/>
      <c r="AFQ2138" s="38"/>
      <c r="AFR2138" s="38"/>
      <c r="AFS2138" s="38"/>
      <c r="AFT2138" s="38"/>
      <c r="AFU2138" s="38"/>
      <c r="AFV2138" s="38"/>
      <c r="AFW2138" s="38"/>
      <c r="AFX2138" s="38"/>
      <c r="AFY2138" s="38"/>
      <c r="AFZ2138" s="38"/>
      <c r="AGA2138" s="38"/>
      <c r="AGB2138" s="38"/>
      <c r="AGC2138" s="38"/>
      <c r="AGD2138" s="38"/>
      <c r="AGE2138" s="38"/>
      <c r="AGF2138" s="38"/>
      <c r="AGG2138" s="38"/>
      <c r="AGH2138" s="38"/>
      <c r="AGI2138" s="38"/>
      <c r="AGJ2138" s="38"/>
      <c r="AGK2138" s="38"/>
      <c r="AGL2138" s="38"/>
      <c r="AGM2138" s="38"/>
      <c r="AGN2138" s="38"/>
      <c r="AGO2138" s="38"/>
      <c r="AGP2138" s="38"/>
      <c r="AGQ2138" s="38"/>
      <c r="AGR2138" s="38"/>
      <c r="AGS2138" s="38"/>
      <c r="AGT2138" s="38"/>
      <c r="AGU2138" s="38"/>
      <c r="AGV2138" s="38"/>
      <c r="AGW2138" s="38"/>
      <c r="AGX2138" s="38"/>
      <c r="AGY2138" s="38"/>
      <c r="AGZ2138" s="38"/>
      <c r="AHA2138" s="38"/>
      <c r="AHB2138" s="38"/>
      <c r="AHC2138" s="38"/>
      <c r="AHD2138" s="38"/>
      <c r="AHE2138" s="38"/>
      <c r="AHF2138" s="38"/>
      <c r="AHG2138" s="38"/>
      <c r="AHH2138" s="38"/>
      <c r="AHI2138" s="38"/>
      <c r="AHJ2138" s="38"/>
      <c r="AHK2138" s="38"/>
      <c r="AHL2138" s="38"/>
      <c r="AHM2138" s="38"/>
      <c r="AHN2138" s="38"/>
      <c r="AHO2138" s="38"/>
      <c r="AHP2138" s="38"/>
      <c r="AHQ2138" s="38"/>
      <c r="AHR2138" s="38"/>
      <c r="AHS2138" s="38"/>
      <c r="AHT2138" s="38"/>
      <c r="AHU2138" s="38"/>
      <c r="AHV2138" s="38"/>
      <c r="AHW2138" s="38"/>
      <c r="AHX2138" s="38"/>
      <c r="AHY2138" s="38"/>
      <c r="AHZ2138" s="38"/>
      <c r="AIA2138" s="38"/>
      <c r="AIB2138" s="38"/>
      <c r="AIC2138" s="38"/>
      <c r="AID2138" s="38"/>
      <c r="AIE2138" s="38"/>
      <c r="AIF2138" s="38"/>
      <c r="AIG2138" s="38"/>
      <c r="AIH2138" s="38"/>
      <c r="AII2138" s="38"/>
      <c r="AIJ2138" s="38"/>
      <c r="AIK2138" s="38"/>
      <c r="AIL2138" s="38"/>
      <c r="AIM2138" s="38"/>
      <c r="AIN2138" s="38"/>
      <c r="AIO2138" s="38"/>
      <c r="AIP2138" s="38"/>
      <c r="AIQ2138" s="38"/>
      <c r="AIR2138" s="38"/>
      <c r="AIS2138" s="38"/>
      <c r="AIT2138" s="38"/>
      <c r="AIU2138" s="38"/>
      <c r="AIV2138" s="38"/>
      <c r="AIW2138" s="38"/>
      <c r="AIX2138" s="38"/>
      <c r="AIY2138" s="38"/>
      <c r="AIZ2138" s="38"/>
      <c r="AJA2138" s="38"/>
      <c r="AJB2138" s="38"/>
      <c r="AJC2138" s="38"/>
      <c r="AJD2138" s="38"/>
      <c r="AJE2138" s="38"/>
      <c r="AJF2138" s="38"/>
      <c r="AJG2138" s="38"/>
      <c r="AJH2138" s="38"/>
      <c r="AJI2138" s="38"/>
      <c r="AJJ2138" s="38"/>
      <c r="AJK2138" s="38"/>
      <c r="AJL2138" s="38"/>
      <c r="AJM2138" s="38"/>
      <c r="AJN2138" s="38"/>
      <c r="AJO2138" s="38"/>
      <c r="AJP2138" s="38"/>
      <c r="AJQ2138" s="38"/>
      <c r="AJR2138" s="38"/>
      <c r="AJS2138" s="38"/>
      <c r="AJT2138" s="38"/>
      <c r="AJU2138" s="38"/>
      <c r="AJV2138" s="38"/>
      <c r="AJW2138" s="38"/>
      <c r="AJX2138" s="38"/>
      <c r="AJY2138" s="38"/>
      <c r="AJZ2138" s="38"/>
      <c r="AKA2138" s="38"/>
      <c r="AKB2138" s="38"/>
      <c r="AKC2138" s="38"/>
      <c r="AKD2138" s="38"/>
      <c r="AKE2138" s="38"/>
      <c r="AKF2138" s="38"/>
      <c r="AKG2138" s="38"/>
      <c r="AKH2138" s="38"/>
      <c r="AKI2138" s="38"/>
      <c r="AKJ2138" s="38"/>
      <c r="AKK2138" s="38"/>
      <c r="AKL2138" s="38"/>
      <c r="AKM2138" s="38"/>
      <c r="AKN2138" s="38"/>
      <c r="AKO2138" s="38"/>
      <c r="AKP2138" s="38"/>
      <c r="AKQ2138" s="38"/>
      <c r="AKR2138" s="38"/>
      <c r="AKS2138" s="38"/>
      <c r="AKT2138" s="38"/>
      <c r="AKU2138" s="38"/>
      <c r="AKV2138" s="38"/>
      <c r="AKW2138" s="38"/>
      <c r="AKX2138" s="38"/>
      <c r="AKY2138" s="38"/>
      <c r="AKZ2138" s="38"/>
      <c r="ALA2138" s="38"/>
      <c r="ALB2138" s="38"/>
      <c r="ALC2138" s="38"/>
      <c r="ALD2138" s="38"/>
      <c r="ALE2138" s="38"/>
      <c r="ALF2138" s="38"/>
      <c r="ALG2138" s="38"/>
      <c r="ALH2138" s="38"/>
      <c r="ALI2138" s="38"/>
      <c r="ALJ2138" s="38"/>
      <c r="ALK2138" s="38"/>
      <c r="ALL2138" s="38"/>
      <c r="ALM2138" s="38"/>
      <c r="ALN2138" s="38"/>
      <c r="ALO2138" s="38"/>
      <c r="ALP2138" s="38"/>
      <c r="ALQ2138" s="38"/>
      <c r="ALR2138" s="38"/>
      <c r="ALS2138" s="38"/>
      <c r="ALT2138" s="38"/>
      <c r="ALU2138" s="38"/>
      <c r="ALV2138" s="38"/>
      <c r="ALW2138" s="38"/>
      <c r="ALX2138" s="38"/>
      <c r="ALY2138" s="38"/>
      <c r="ALZ2138" s="38"/>
      <c r="AMA2138" s="38"/>
      <c r="AMB2138" s="38"/>
      <c r="AMC2138" s="38"/>
      <c r="AMD2138" s="38"/>
      <c r="AME2138" s="38"/>
      <c r="AMF2138" s="38"/>
      <c r="AMG2138" s="38"/>
      <c r="AMH2138" s="38"/>
      <c r="AMI2138" s="38"/>
      <c r="AMJ2138" s="38"/>
      <c r="AMK2138" s="38"/>
      <c r="AML2138" s="38"/>
      <c r="AMM2138" s="38"/>
      <c r="AMN2138" s="38"/>
      <c r="AMO2138" s="38"/>
      <c r="AMP2138" s="38"/>
      <c r="AMQ2138" s="38"/>
      <c r="AMR2138" s="38"/>
      <c r="AMS2138" s="38"/>
      <c r="AMT2138" s="38"/>
      <c r="AMU2138" s="38"/>
      <c r="AMV2138" s="38"/>
      <c r="AMW2138" s="38"/>
      <c r="AMX2138" s="38"/>
      <c r="AMY2138" s="38"/>
      <c r="AMZ2138" s="38"/>
      <c r="ANA2138" s="38"/>
      <c r="ANB2138" s="38"/>
      <c r="ANC2138" s="38"/>
      <c r="AND2138" s="38"/>
      <c r="ANE2138" s="38"/>
      <c r="ANF2138" s="38"/>
      <c r="ANG2138" s="38"/>
      <c r="ANH2138" s="38"/>
      <c r="ANI2138" s="38"/>
      <c r="ANJ2138" s="38"/>
      <c r="ANK2138" s="38"/>
      <c r="ANL2138" s="38"/>
      <c r="ANM2138" s="38"/>
      <c r="ANN2138" s="38"/>
      <c r="ANO2138" s="38"/>
      <c r="ANP2138" s="38"/>
      <c r="ANQ2138" s="38"/>
      <c r="ANR2138" s="38"/>
      <c r="ANS2138" s="38"/>
      <c r="ANT2138" s="38"/>
      <c r="ANU2138" s="38"/>
      <c r="ANV2138" s="38"/>
      <c r="ANW2138" s="38"/>
      <c r="ANX2138" s="38"/>
      <c r="ANY2138" s="38"/>
      <c r="ANZ2138" s="38"/>
      <c r="AOA2138" s="38"/>
      <c r="AOB2138" s="38"/>
      <c r="AOC2138" s="38"/>
      <c r="AOD2138" s="38"/>
      <c r="AOE2138" s="38"/>
      <c r="AOF2138" s="38"/>
      <c r="AOG2138" s="38"/>
      <c r="AOH2138" s="38"/>
      <c r="AOI2138" s="38"/>
      <c r="AOJ2138" s="38"/>
      <c r="AOK2138" s="38"/>
      <c r="AOL2138" s="38"/>
      <c r="AOM2138" s="38"/>
      <c r="AON2138" s="38"/>
      <c r="AOO2138" s="38"/>
      <c r="AOP2138" s="38"/>
      <c r="AOQ2138" s="38"/>
      <c r="AOR2138" s="38"/>
      <c r="AOS2138" s="38"/>
      <c r="AOT2138" s="38"/>
      <c r="AOU2138" s="38"/>
      <c r="AOV2138" s="38"/>
      <c r="AOW2138" s="38"/>
      <c r="AOX2138" s="38"/>
      <c r="AOY2138" s="38"/>
      <c r="AOZ2138" s="38"/>
      <c r="APA2138" s="38"/>
      <c r="APB2138" s="38"/>
      <c r="APC2138" s="38"/>
    </row>
    <row r="2139" spans="1:1095" s="36" customFormat="1" ht="14.25" customHeight="1">
      <c r="A2139" s="3" t="s">
        <v>1722</v>
      </c>
      <c r="B2139" s="36" t="s">
        <v>2567</v>
      </c>
      <c r="C2139" s="10">
        <v>4058075290815</v>
      </c>
      <c r="D2139" s="224">
        <v>4058075290815</v>
      </c>
      <c r="E2139" s="245" t="s">
        <v>2568</v>
      </c>
      <c r="F2139" s="246"/>
      <c r="G2139" s="66" t="str">
        <f>HYPERLINK("https://ledvance.com/pt/product-datasheet/275546/92297","Ficha de Produto")</f>
        <v>Ficha de Produto</v>
      </c>
      <c r="H2139" s="217">
        <v>6</v>
      </c>
      <c r="I2139" s="34" t="s">
        <v>6385</v>
      </c>
      <c r="J2139" s="34" t="s">
        <v>5840</v>
      </c>
      <c r="K2139" s="34" t="s">
        <v>788</v>
      </c>
      <c r="L2139" s="34" t="s">
        <v>793</v>
      </c>
      <c r="M2139" s="247">
        <v>6.9</v>
      </c>
      <c r="N2139" s="288" t="s">
        <v>722</v>
      </c>
    </row>
    <row r="2140" spans="1:1095" s="36" customFormat="1" ht="14.25" customHeight="1">
      <c r="A2140" s="3" t="s">
        <v>1722</v>
      </c>
      <c r="B2140" s="36" t="s">
        <v>2569</v>
      </c>
      <c r="C2140" s="10">
        <v>4058075293496</v>
      </c>
      <c r="D2140" s="224">
        <v>4058075293496</v>
      </c>
      <c r="E2140" s="245" t="s">
        <v>2570</v>
      </c>
      <c r="F2140" s="246"/>
      <c r="G2140" s="66" t="str">
        <f>HYPERLINK("https://ledvance.com/pt/product-datasheet/275546/66480","Ficha de Produto")</f>
        <v>Ficha de Produto</v>
      </c>
      <c r="H2140" s="217">
        <v>6</v>
      </c>
      <c r="I2140" s="34" t="s">
        <v>6386</v>
      </c>
      <c r="J2140" s="34" t="s">
        <v>855</v>
      </c>
      <c r="K2140" s="34" t="s">
        <v>788</v>
      </c>
      <c r="L2140" s="34" t="s">
        <v>793</v>
      </c>
      <c r="M2140" s="247">
        <v>8.3000000000000007</v>
      </c>
      <c r="N2140" s="288" t="s">
        <v>722</v>
      </c>
    </row>
    <row r="2141" spans="1:1095" s="36" customFormat="1" ht="14.25" customHeight="1">
      <c r="A2141" s="3" t="s">
        <v>1722</v>
      </c>
      <c r="B2141" s="36" t="s">
        <v>2571</v>
      </c>
      <c r="C2141" s="10">
        <v>4099854091339</v>
      </c>
      <c r="D2141" s="224">
        <v>4058075808706</v>
      </c>
      <c r="E2141" s="245" t="s">
        <v>2572</v>
      </c>
      <c r="F2141" s="246"/>
      <c r="G2141" s="66" t="str">
        <f>HYPERLINK("https://ledvance.com/pt/product-datasheet/275550/246909","Ficha de Produto")</f>
        <v>Ficha de Produto</v>
      </c>
      <c r="H2141" s="217">
        <v>4</v>
      </c>
      <c r="I2141" s="34" t="s">
        <v>6385</v>
      </c>
      <c r="J2141" s="34" t="s">
        <v>5840</v>
      </c>
      <c r="K2141" s="34" t="s">
        <v>788</v>
      </c>
      <c r="L2141" s="34" t="s">
        <v>793</v>
      </c>
      <c r="M2141" s="247">
        <v>9.9</v>
      </c>
      <c r="N2141" s="288" t="s">
        <v>722</v>
      </c>
    </row>
    <row r="2142" spans="1:1095" s="36" customFormat="1" ht="14.25" customHeight="1">
      <c r="A2142" s="3" t="s">
        <v>1722</v>
      </c>
      <c r="B2142" s="36" t="s">
        <v>2573</v>
      </c>
      <c r="C2142" s="10">
        <v>4099854091377</v>
      </c>
      <c r="D2142" s="224">
        <v>4052899962095</v>
      </c>
      <c r="E2142" s="245" t="s">
        <v>2574</v>
      </c>
      <c r="F2142" s="246"/>
      <c r="G2142" s="66" t="str">
        <f>HYPERLINK("https://ledvance.com/pt/product-datasheet/275550/246962","Ficha de Produto")</f>
        <v>Ficha de Produto</v>
      </c>
      <c r="H2142" s="217">
        <v>4</v>
      </c>
      <c r="I2142" s="34" t="s">
        <v>6386</v>
      </c>
      <c r="J2142" s="34" t="s">
        <v>855</v>
      </c>
      <c r="K2142" s="34" t="s">
        <v>788</v>
      </c>
      <c r="L2142" s="34" t="s">
        <v>793</v>
      </c>
      <c r="M2142" s="247">
        <v>13.200000000000001</v>
      </c>
      <c r="N2142" s="288" t="s">
        <v>722</v>
      </c>
    </row>
    <row r="2143" spans="1:1095" s="36" customFormat="1" ht="14.25" customHeight="1">
      <c r="A2143" s="3" t="s">
        <v>1722</v>
      </c>
      <c r="B2143" s="36" t="s">
        <v>2575</v>
      </c>
      <c r="C2143" s="10">
        <v>4058075808980</v>
      </c>
      <c r="D2143" s="224">
        <v>4058075808980</v>
      </c>
      <c r="E2143" s="245" t="s">
        <v>2576</v>
      </c>
      <c r="F2143" s="246"/>
      <c r="G2143" s="66" t="str">
        <f>HYPERLINK("https://ledvance.com/pt/product-datasheet/275548/70140","Ficha de Produto")</f>
        <v>Ficha de Produto</v>
      </c>
      <c r="H2143" s="217">
        <v>4</v>
      </c>
      <c r="I2143" s="34" t="s">
        <v>6385</v>
      </c>
      <c r="J2143" s="34" t="s">
        <v>5840</v>
      </c>
      <c r="K2143" s="34" t="s">
        <v>788</v>
      </c>
      <c r="L2143" s="34" t="s">
        <v>793</v>
      </c>
      <c r="M2143" s="247">
        <v>11.5</v>
      </c>
      <c r="N2143" s="288" t="s">
        <v>722</v>
      </c>
    </row>
    <row r="2144" spans="1:1095" s="36" customFormat="1" ht="14.25" customHeight="1">
      <c r="A2144" s="3" t="s">
        <v>1722</v>
      </c>
      <c r="B2144" s="36" t="s">
        <v>2577</v>
      </c>
      <c r="C2144" s="10">
        <v>4099854091179</v>
      </c>
      <c r="D2144" s="224">
        <v>4052899962071</v>
      </c>
      <c r="E2144" s="245" t="s">
        <v>2578</v>
      </c>
      <c r="F2144" s="246"/>
      <c r="G2144" s="66" t="str">
        <f>HYPERLINK("https://ledvance.com/pt/product-datasheet/275548/246938","Ficha de Produto")</f>
        <v>Ficha de Produto</v>
      </c>
      <c r="H2144" s="217">
        <v>4</v>
      </c>
      <c r="I2144" s="34" t="s">
        <v>6386</v>
      </c>
      <c r="J2144" s="34" t="s">
        <v>855</v>
      </c>
      <c r="K2144" s="34" t="s">
        <v>788</v>
      </c>
      <c r="L2144" s="34" t="s">
        <v>793</v>
      </c>
      <c r="M2144" s="247">
        <v>13.600000000000001</v>
      </c>
      <c r="N2144" s="288" t="s">
        <v>722</v>
      </c>
    </row>
    <row r="2145" spans="1:1095" s="36" customFormat="1" ht="14.25" customHeight="1">
      <c r="A2145" s="3" t="s">
        <v>1722</v>
      </c>
      <c r="B2145" s="36" t="s">
        <v>2579</v>
      </c>
      <c r="C2145" s="10">
        <v>4058075809406</v>
      </c>
      <c r="D2145" s="224">
        <v>4058075809406</v>
      </c>
      <c r="E2145" s="245" t="s">
        <v>2580</v>
      </c>
      <c r="F2145" s="246"/>
      <c r="G2145" s="66" t="str">
        <f>HYPERLINK("https://ledvance.com/pt/product-datasheet/275548/32819","Ficha de Produto")</f>
        <v>Ficha de Produto</v>
      </c>
      <c r="H2145" s="217">
        <v>4</v>
      </c>
      <c r="I2145" s="34" t="s">
        <v>808</v>
      </c>
      <c r="J2145" s="34" t="s">
        <v>6367</v>
      </c>
      <c r="K2145" s="34" t="s">
        <v>788</v>
      </c>
      <c r="L2145" s="34" t="s">
        <v>793</v>
      </c>
      <c r="M2145" s="247">
        <v>17.2</v>
      </c>
      <c r="N2145" s="288" t="s">
        <v>722</v>
      </c>
    </row>
    <row r="2146" spans="1:1095" s="39" customFormat="1" ht="14.25" customHeight="1">
      <c r="A2146" s="8" t="s">
        <v>1722</v>
      </c>
      <c r="B2146" s="39" t="s">
        <v>2581</v>
      </c>
      <c r="C2146" s="8"/>
      <c r="D2146" s="7"/>
      <c r="E2146" s="230"/>
      <c r="F2146" s="7"/>
      <c r="G2146" s="68"/>
      <c r="H2146" s="230"/>
      <c r="I2146" s="230"/>
      <c r="J2146" s="230"/>
      <c r="K2146" s="230"/>
      <c r="L2146" s="230"/>
      <c r="M2146" s="248"/>
      <c r="N2146" s="292"/>
      <c r="O2146" s="38"/>
      <c r="P2146" s="38"/>
      <c r="Q2146" s="38"/>
      <c r="R2146" s="38"/>
      <c r="S2146" s="38"/>
      <c r="T2146" s="38"/>
      <c r="U2146" s="38"/>
      <c r="V2146" s="38"/>
      <c r="W2146" s="38"/>
      <c r="X2146" s="38"/>
      <c r="Y2146" s="38"/>
      <c r="Z2146" s="38"/>
      <c r="AA2146" s="38"/>
      <c r="AB2146" s="38"/>
      <c r="AC2146" s="38"/>
      <c r="AD2146" s="38"/>
      <c r="AE2146" s="38"/>
      <c r="AF2146" s="38"/>
      <c r="AG2146" s="38"/>
      <c r="AH2146" s="38"/>
      <c r="AI2146" s="38"/>
      <c r="AJ2146" s="38"/>
      <c r="AK2146" s="38"/>
      <c r="AL2146" s="38"/>
      <c r="AM2146" s="38"/>
      <c r="AN2146" s="38"/>
      <c r="AO2146" s="38"/>
      <c r="AP2146" s="38"/>
      <c r="AQ2146" s="38"/>
      <c r="AR2146" s="38"/>
      <c r="AS2146" s="38"/>
      <c r="AT2146" s="38"/>
      <c r="AU2146" s="38"/>
      <c r="AV2146" s="38"/>
      <c r="AW2146" s="38"/>
      <c r="AX2146" s="38"/>
      <c r="AY2146" s="38"/>
      <c r="AZ2146" s="38"/>
      <c r="BA2146" s="38"/>
      <c r="BB2146" s="38"/>
      <c r="BC2146" s="38"/>
      <c r="BD2146" s="38"/>
      <c r="BE2146" s="38"/>
      <c r="BF2146" s="38"/>
      <c r="BG2146" s="38"/>
      <c r="BH2146" s="38"/>
      <c r="BI2146" s="38"/>
      <c r="BJ2146" s="38"/>
      <c r="BK2146" s="38"/>
      <c r="BL2146" s="38"/>
      <c r="BM2146" s="38"/>
      <c r="BN2146" s="38"/>
      <c r="BO2146" s="38"/>
      <c r="BP2146" s="38"/>
      <c r="BQ2146" s="38"/>
      <c r="BR2146" s="38"/>
      <c r="BS2146" s="38"/>
      <c r="BT2146" s="38"/>
      <c r="BU2146" s="38"/>
      <c r="BV2146" s="38"/>
      <c r="BW2146" s="38"/>
      <c r="BX2146" s="38"/>
      <c r="BY2146" s="38"/>
      <c r="BZ2146" s="38"/>
      <c r="CA2146" s="38"/>
      <c r="CB2146" s="38"/>
      <c r="CC2146" s="38"/>
      <c r="CD2146" s="38"/>
      <c r="CE2146" s="38"/>
      <c r="CF2146" s="38"/>
      <c r="CG2146" s="38"/>
      <c r="CH2146" s="38"/>
      <c r="CI2146" s="38"/>
      <c r="CJ2146" s="38"/>
      <c r="CK2146" s="38"/>
      <c r="CL2146" s="38"/>
      <c r="CM2146" s="38"/>
      <c r="CN2146" s="38"/>
      <c r="CO2146" s="38"/>
      <c r="CP2146" s="38"/>
      <c r="CQ2146" s="38"/>
      <c r="CR2146" s="38"/>
      <c r="CS2146" s="38"/>
      <c r="CT2146" s="38"/>
      <c r="CU2146" s="38"/>
      <c r="CV2146" s="38"/>
      <c r="CW2146" s="38"/>
      <c r="CX2146" s="38"/>
      <c r="CY2146" s="38"/>
      <c r="CZ2146" s="38"/>
      <c r="DA2146" s="38"/>
      <c r="DB2146" s="38"/>
      <c r="DC2146" s="38"/>
      <c r="DD2146" s="38"/>
      <c r="DE2146" s="38"/>
      <c r="DF2146" s="38"/>
      <c r="DG2146" s="38"/>
      <c r="DH2146" s="38"/>
      <c r="DI2146" s="38"/>
      <c r="DJ2146" s="38"/>
      <c r="DK2146" s="38"/>
      <c r="DL2146" s="38"/>
      <c r="DM2146" s="38"/>
      <c r="DN2146" s="38"/>
      <c r="DO2146" s="38"/>
      <c r="DP2146" s="38"/>
      <c r="DQ2146" s="38"/>
      <c r="DR2146" s="38"/>
      <c r="DS2146" s="38"/>
      <c r="DT2146" s="38"/>
      <c r="DU2146" s="38"/>
      <c r="DV2146" s="38"/>
      <c r="DW2146" s="38"/>
      <c r="DX2146" s="38"/>
      <c r="DY2146" s="38"/>
      <c r="DZ2146" s="38"/>
      <c r="EA2146" s="38"/>
      <c r="EB2146" s="38"/>
      <c r="EC2146" s="38"/>
      <c r="ED2146" s="38"/>
      <c r="EE2146" s="38"/>
      <c r="EF2146" s="38"/>
      <c r="EG2146" s="38"/>
      <c r="EH2146" s="38"/>
      <c r="EI2146" s="38"/>
      <c r="EJ2146" s="38"/>
      <c r="EK2146" s="38"/>
      <c r="EL2146" s="38"/>
      <c r="EM2146" s="38"/>
      <c r="EN2146" s="38"/>
      <c r="EO2146" s="38"/>
      <c r="EP2146" s="38"/>
      <c r="EQ2146" s="38"/>
      <c r="ER2146" s="38"/>
      <c r="ES2146" s="38"/>
      <c r="ET2146" s="38"/>
      <c r="EU2146" s="38"/>
      <c r="EV2146" s="38"/>
      <c r="EW2146" s="38"/>
      <c r="EX2146" s="38"/>
      <c r="EY2146" s="38"/>
      <c r="EZ2146" s="38"/>
      <c r="FA2146" s="38"/>
      <c r="FB2146" s="38"/>
      <c r="FC2146" s="38"/>
      <c r="FD2146" s="38"/>
      <c r="FE2146" s="38"/>
      <c r="FF2146" s="38"/>
      <c r="FG2146" s="38"/>
      <c r="FH2146" s="38"/>
      <c r="FI2146" s="38"/>
      <c r="FJ2146" s="38"/>
      <c r="FK2146" s="38"/>
      <c r="FL2146" s="38"/>
      <c r="FM2146" s="38"/>
      <c r="FN2146" s="38"/>
      <c r="FO2146" s="38"/>
      <c r="FP2146" s="38"/>
      <c r="FQ2146" s="38"/>
      <c r="FR2146" s="38"/>
      <c r="FS2146" s="38"/>
      <c r="FT2146" s="38"/>
      <c r="FU2146" s="38"/>
      <c r="FV2146" s="38"/>
      <c r="FW2146" s="38"/>
      <c r="FX2146" s="38"/>
      <c r="FY2146" s="38"/>
      <c r="FZ2146" s="38"/>
      <c r="GA2146" s="38"/>
      <c r="GB2146" s="38"/>
      <c r="GC2146" s="38"/>
      <c r="GD2146" s="38"/>
      <c r="GE2146" s="38"/>
      <c r="GF2146" s="38"/>
      <c r="GG2146" s="38"/>
      <c r="GH2146" s="38"/>
      <c r="GI2146" s="38"/>
      <c r="GJ2146" s="38"/>
      <c r="GK2146" s="38"/>
      <c r="GL2146" s="38"/>
      <c r="GM2146" s="38"/>
      <c r="GN2146" s="38"/>
      <c r="GO2146" s="38"/>
      <c r="GP2146" s="38"/>
      <c r="GQ2146" s="38"/>
      <c r="GR2146" s="38"/>
      <c r="GS2146" s="38"/>
      <c r="GT2146" s="38"/>
      <c r="GU2146" s="38"/>
      <c r="GV2146" s="38"/>
      <c r="GW2146" s="38"/>
      <c r="GX2146" s="38"/>
      <c r="GY2146" s="38"/>
      <c r="GZ2146" s="38"/>
      <c r="HA2146" s="38"/>
      <c r="HB2146" s="38"/>
      <c r="HC2146" s="38"/>
      <c r="HD2146" s="38"/>
      <c r="HE2146" s="38"/>
      <c r="HF2146" s="38"/>
      <c r="HG2146" s="38"/>
      <c r="HH2146" s="38"/>
      <c r="HI2146" s="38"/>
      <c r="HJ2146" s="38"/>
      <c r="HK2146" s="38"/>
      <c r="HL2146" s="38"/>
      <c r="HM2146" s="38"/>
      <c r="HN2146" s="38"/>
      <c r="HO2146" s="38"/>
      <c r="HP2146" s="38"/>
      <c r="HQ2146" s="38"/>
      <c r="HR2146" s="38"/>
      <c r="HS2146" s="38"/>
      <c r="HT2146" s="38"/>
      <c r="HU2146" s="38"/>
      <c r="HV2146" s="38"/>
      <c r="HW2146" s="38"/>
      <c r="HX2146" s="38"/>
      <c r="HY2146" s="38"/>
      <c r="HZ2146" s="38"/>
      <c r="IA2146" s="38"/>
      <c r="IB2146" s="38"/>
      <c r="IC2146" s="38"/>
      <c r="ID2146" s="38"/>
      <c r="IE2146" s="38"/>
      <c r="IF2146" s="38"/>
      <c r="IG2146" s="38"/>
      <c r="IH2146" s="38"/>
      <c r="II2146" s="38"/>
      <c r="IJ2146" s="38"/>
      <c r="IK2146" s="38"/>
      <c r="IL2146" s="38"/>
      <c r="IM2146" s="38"/>
      <c r="IN2146" s="38"/>
      <c r="IO2146" s="38"/>
      <c r="IP2146" s="38"/>
      <c r="IQ2146" s="38"/>
      <c r="IR2146" s="38"/>
      <c r="IS2146" s="38"/>
      <c r="IT2146" s="38"/>
      <c r="IU2146" s="38"/>
      <c r="IV2146" s="38"/>
      <c r="IW2146" s="38"/>
      <c r="IX2146" s="38"/>
      <c r="IY2146" s="38"/>
      <c r="IZ2146" s="38"/>
      <c r="JA2146" s="38"/>
      <c r="JB2146" s="38"/>
      <c r="JC2146" s="38"/>
      <c r="JD2146" s="38"/>
      <c r="JE2146" s="38"/>
      <c r="JF2146" s="38"/>
      <c r="JG2146" s="38"/>
      <c r="JH2146" s="38"/>
      <c r="JI2146" s="38"/>
      <c r="JJ2146" s="38"/>
      <c r="JK2146" s="38"/>
      <c r="JL2146" s="38"/>
      <c r="JM2146" s="38"/>
      <c r="JN2146" s="38"/>
      <c r="JO2146" s="38"/>
      <c r="JP2146" s="38"/>
      <c r="JQ2146" s="38"/>
      <c r="JR2146" s="38"/>
      <c r="JS2146" s="38"/>
      <c r="JT2146" s="38"/>
      <c r="JU2146" s="38"/>
      <c r="JV2146" s="38"/>
      <c r="JW2146" s="38"/>
      <c r="JX2146" s="38"/>
      <c r="JY2146" s="38"/>
      <c r="JZ2146" s="38"/>
      <c r="KA2146" s="38"/>
      <c r="KB2146" s="38"/>
      <c r="KC2146" s="38"/>
      <c r="KD2146" s="38"/>
      <c r="KE2146" s="38"/>
      <c r="KF2146" s="38"/>
      <c r="KG2146" s="38"/>
      <c r="KH2146" s="38"/>
      <c r="KI2146" s="38"/>
      <c r="KJ2146" s="38"/>
      <c r="KK2146" s="38"/>
      <c r="KL2146" s="38"/>
      <c r="KM2146" s="38"/>
      <c r="KN2146" s="38"/>
      <c r="KO2146" s="38"/>
      <c r="KP2146" s="38"/>
      <c r="KQ2146" s="38"/>
      <c r="KR2146" s="38"/>
      <c r="KS2146" s="38"/>
      <c r="KT2146" s="38"/>
      <c r="KU2146" s="38"/>
      <c r="KV2146" s="38"/>
      <c r="KW2146" s="38"/>
      <c r="KX2146" s="38"/>
      <c r="KY2146" s="38"/>
      <c r="KZ2146" s="38"/>
      <c r="LA2146" s="38"/>
      <c r="LB2146" s="38"/>
      <c r="LC2146" s="38"/>
      <c r="LD2146" s="38"/>
      <c r="LE2146" s="38"/>
      <c r="LF2146" s="38"/>
      <c r="LG2146" s="38"/>
      <c r="LH2146" s="38"/>
      <c r="LI2146" s="38"/>
      <c r="LJ2146" s="38"/>
      <c r="LK2146" s="38"/>
      <c r="LL2146" s="38"/>
      <c r="LM2146" s="38"/>
      <c r="LN2146" s="38"/>
      <c r="LO2146" s="38"/>
      <c r="LP2146" s="38"/>
      <c r="LQ2146" s="38"/>
      <c r="LR2146" s="38"/>
      <c r="LS2146" s="38"/>
      <c r="LT2146" s="38"/>
      <c r="LU2146" s="38"/>
      <c r="LV2146" s="38"/>
      <c r="LW2146" s="38"/>
      <c r="LX2146" s="38"/>
      <c r="LY2146" s="38"/>
      <c r="LZ2146" s="38"/>
      <c r="MA2146" s="38"/>
      <c r="MB2146" s="38"/>
      <c r="MC2146" s="38"/>
      <c r="MD2146" s="38"/>
      <c r="ME2146" s="38"/>
      <c r="MF2146" s="38"/>
      <c r="MG2146" s="38"/>
      <c r="MH2146" s="38"/>
      <c r="MI2146" s="38"/>
      <c r="MJ2146" s="38"/>
      <c r="MK2146" s="38"/>
      <c r="ML2146" s="38"/>
      <c r="MM2146" s="38"/>
      <c r="MN2146" s="38"/>
      <c r="MO2146" s="38"/>
      <c r="MP2146" s="38"/>
      <c r="MQ2146" s="38"/>
      <c r="MR2146" s="38"/>
      <c r="MS2146" s="38"/>
      <c r="MT2146" s="38"/>
      <c r="MU2146" s="38"/>
      <c r="MV2146" s="38"/>
      <c r="MW2146" s="38"/>
      <c r="MX2146" s="38"/>
      <c r="MY2146" s="38"/>
      <c r="MZ2146" s="38"/>
      <c r="NA2146" s="38"/>
      <c r="NB2146" s="38"/>
      <c r="NC2146" s="38"/>
      <c r="ND2146" s="38"/>
      <c r="NE2146" s="38"/>
      <c r="NF2146" s="38"/>
      <c r="NG2146" s="38"/>
      <c r="NH2146" s="38"/>
      <c r="NI2146" s="38"/>
      <c r="NJ2146" s="38"/>
      <c r="NK2146" s="38"/>
      <c r="NL2146" s="38"/>
      <c r="NM2146" s="38"/>
      <c r="NN2146" s="38"/>
      <c r="NO2146" s="38"/>
      <c r="NP2146" s="38"/>
      <c r="NQ2146" s="38"/>
      <c r="NR2146" s="38"/>
      <c r="NS2146" s="38"/>
      <c r="NT2146" s="38"/>
      <c r="NU2146" s="38"/>
      <c r="NV2146" s="38"/>
      <c r="NW2146" s="38"/>
      <c r="NX2146" s="38"/>
      <c r="NY2146" s="38"/>
      <c r="NZ2146" s="38"/>
      <c r="OA2146" s="38"/>
      <c r="OB2146" s="38"/>
      <c r="OC2146" s="38"/>
      <c r="OD2146" s="38"/>
      <c r="OE2146" s="38"/>
      <c r="OF2146" s="38"/>
      <c r="OG2146" s="38"/>
      <c r="OH2146" s="38"/>
      <c r="OI2146" s="38"/>
      <c r="OJ2146" s="38"/>
      <c r="OK2146" s="38"/>
      <c r="OL2146" s="38"/>
      <c r="OM2146" s="38"/>
      <c r="ON2146" s="38"/>
      <c r="OO2146" s="38"/>
      <c r="OP2146" s="38"/>
      <c r="OQ2146" s="38"/>
      <c r="OR2146" s="38"/>
      <c r="OS2146" s="38"/>
      <c r="OT2146" s="38"/>
      <c r="OU2146" s="38"/>
      <c r="OV2146" s="38"/>
      <c r="OW2146" s="38"/>
      <c r="OX2146" s="38"/>
      <c r="OY2146" s="38"/>
      <c r="OZ2146" s="38"/>
      <c r="PA2146" s="38"/>
      <c r="PB2146" s="38"/>
      <c r="PC2146" s="38"/>
      <c r="PD2146" s="38"/>
      <c r="PE2146" s="38"/>
      <c r="PF2146" s="38"/>
      <c r="PG2146" s="38"/>
      <c r="PH2146" s="38"/>
      <c r="PI2146" s="38"/>
      <c r="PJ2146" s="38"/>
      <c r="PK2146" s="38"/>
      <c r="PL2146" s="38"/>
      <c r="PM2146" s="38"/>
      <c r="PN2146" s="38"/>
      <c r="PO2146" s="38"/>
      <c r="PP2146" s="38"/>
      <c r="PQ2146" s="38"/>
      <c r="PR2146" s="38"/>
      <c r="PS2146" s="38"/>
      <c r="PT2146" s="38"/>
      <c r="PU2146" s="38"/>
      <c r="PV2146" s="38"/>
      <c r="PW2146" s="38"/>
      <c r="PX2146" s="38"/>
      <c r="PY2146" s="38"/>
      <c r="PZ2146" s="38"/>
      <c r="QA2146" s="38"/>
      <c r="QB2146" s="38"/>
      <c r="QC2146" s="38"/>
      <c r="QD2146" s="38"/>
      <c r="QE2146" s="38"/>
      <c r="QF2146" s="38"/>
      <c r="QG2146" s="38"/>
      <c r="QH2146" s="38"/>
      <c r="QI2146" s="38"/>
      <c r="QJ2146" s="38"/>
      <c r="QK2146" s="38"/>
      <c r="QL2146" s="38"/>
      <c r="QM2146" s="38"/>
      <c r="QN2146" s="38"/>
      <c r="QO2146" s="38"/>
      <c r="QP2146" s="38"/>
      <c r="QQ2146" s="38"/>
      <c r="QR2146" s="38"/>
      <c r="QS2146" s="38"/>
      <c r="QT2146" s="38"/>
      <c r="QU2146" s="38"/>
      <c r="QV2146" s="38"/>
      <c r="QW2146" s="38"/>
      <c r="QX2146" s="38"/>
      <c r="QY2146" s="38"/>
      <c r="QZ2146" s="38"/>
      <c r="RA2146" s="38"/>
      <c r="RB2146" s="38"/>
      <c r="RC2146" s="38"/>
      <c r="RD2146" s="38"/>
      <c r="RE2146" s="38"/>
      <c r="RF2146" s="38"/>
      <c r="RG2146" s="38"/>
      <c r="RH2146" s="38"/>
      <c r="RI2146" s="38"/>
      <c r="RJ2146" s="38"/>
      <c r="RK2146" s="38"/>
      <c r="RL2146" s="38"/>
      <c r="RM2146" s="38"/>
      <c r="RN2146" s="38"/>
      <c r="RO2146" s="38"/>
      <c r="RP2146" s="38"/>
      <c r="RQ2146" s="38"/>
      <c r="RR2146" s="38"/>
      <c r="RS2146" s="38"/>
      <c r="RT2146" s="38"/>
      <c r="RU2146" s="38"/>
      <c r="RV2146" s="38"/>
      <c r="RW2146" s="38"/>
      <c r="RX2146" s="38"/>
      <c r="RY2146" s="38"/>
      <c r="RZ2146" s="38"/>
      <c r="SA2146" s="38"/>
      <c r="SB2146" s="38"/>
      <c r="SC2146" s="38"/>
      <c r="SD2146" s="38"/>
      <c r="SE2146" s="38"/>
      <c r="SF2146" s="38"/>
      <c r="SG2146" s="38"/>
      <c r="SH2146" s="38"/>
      <c r="SI2146" s="38"/>
      <c r="SJ2146" s="38"/>
      <c r="SK2146" s="38"/>
      <c r="SL2146" s="38"/>
      <c r="SM2146" s="38"/>
      <c r="SN2146" s="38"/>
      <c r="SO2146" s="38"/>
      <c r="SP2146" s="38"/>
      <c r="SQ2146" s="38"/>
      <c r="SR2146" s="38"/>
      <c r="SS2146" s="38"/>
      <c r="ST2146" s="38"/>
      <c r="SU2146" s="38"/>
      <c r="SV2146" s="38"/>
      <c r="SW2146" s="38"/>
      <c r="SX2146" s="38"/>
      <c r="SY2146" s="38"/>
      <c r="SZ2146" s="38"/>
      <c r="TA2146" s="38"/>
      <c r="TB2146" s="38"/>
      <c r="TC2146" s="38"/>
      <c r="TD2146" s="38"/>
      <c r="TE2146" s="38"/>
      <c r="TF2146" s="38"/>
      <c r="TG2146" s="38"/>
      <c r="TH2146" s="38"/>
      <c r="TI2146" s="38"/>
      <c r="TJ2146" s="38"/>
      <c r="TK2146" s="38"/>
      <c r="TL2146" s="38"/>
      <c r="TM2146" s="38"/>
      <c r="TN2146" s="38"/>
      <c r="TO2146" s="38"/>
      <c r="TP2146" s="38"/>
      <c r="TQ2146" s="38"/>
      <c r="TR2146" s="38"/>
      <c r="TS2146" s="38"/>
      <c r="TT2146" s="38"/>
      <c r="TU2146" s="38"/>
      <c r="TV2146" s="38"/>
      <c r="TW2146" s="38"/>
      <c r="TX2146" s="38"/>
      <c r="TY2146" s="38"/>
      <c r="TZ2146" s="38"/>
      <c r="UA2146" s="38"/>
      <c r="UB2146" s="38"/>
      <c r="UC2146" s="38"/>
      <c r="UD2146" s="38"/>
      <c r="UE2146" s="38"/>
      <c r="UF2146" s="38"/>
      <c r="UG2146" s="38"/>
      <c r="UH2146" s="38"/>
      <c r="UI2146" s="38"/>
      <c r="UJ2146" s="38"/>
      <c r="UK2146" s="38"/>
      <c r="UL2146" s="38"/>
      <c r="UM2146" s="38"/>
      <c r="UN2146" s="38"/>
      <c r="UO2146" s="38"/>
      <c r="UP2146" s="38"/>
      <c r="UQ2146" s="38"/>
      <c r="UR2146" s="38"/>
      <c r="US2146" s="38"/>
      <c r="UT2146" s="38"/>
      <c r="UU2146" s="38"/>
      <c r="UV2146" s="38"/>
      <c r="UW2146" s="38"/>
      <c r="UX2146" s="38"/>
      <c r="UY2146" s="38"/>
      <c r="UZ2146" s="38"/>
      <c r="VA2146" s="38"/>
      <c r="VB2146" s="38"/>
      <c r="VC2146" s="38"/>
      <c r="VD2146" s="38"/>
      <c r="VE2146" s="38"/>
      <c r="VF2146" s="38"/>
      <c r="VG2146" s="38"/>
      <c r="VH2146" s="38"/>
      <c r="VI2146" s="38"/>
      <c r="VJ2146" s="38"/>
      <c r="VK2146" s="38"/>
      <c r="VL2146" s="38"/>
      <c r="VM2146" s="38"/>
      <c r="VN2146" s="38"/>
      <c r="VO2146" s="38"/>
      <c r="VP2146" s="38"/>
      <c r="VQ2146" s="38"/>
      <c r="VR2146" s="38"/>
      <c r="VS2146" s="38"/>
      <c r="VT2146" s="38"/>
      <c r="VU2146" s="38"/>
      <c r="VV2146" s="38"/>
      <c r="VW2146" s="38"/>
      <c r="VX2146" s="38"/>
      <c r="VY2146" s="38"/>
      <c r="VZ2146" s="38"/>
      <c r="WA2146" s="38"/>
      <c r="WB2146" s="38"/>
      <c r="WC2146" s="38"/>
      <c r="WD2146" s="38"/>
      <c r="WE2146" s="38"/>
      <c r="WF2146" s="38"/>
      <c r="WG2146" s="38"/>
      <c r="WH2146" s="38"/>
      <c r="WI2146" s="38"/>
      <c r="WJ2146" s="38"/>
      <c r="WK2146" s="38"/>
      <c r="WL2146" s="38"/>
      <c r="WM2146" s="38"/>
      <c r="WN2146" s="38"/>
      <c r="WO2146" s="38"/>
      <c r="WP2146" s="38"/>
      <c r="WQ2146" s="38"/>
      <c r="WR2146" s="38"/>
      <c r="WS2146" s="38"/>
      <c r="WT2146" s="38"/>
      <c r="WU2146" s="38"/>
      <c r="WV2146" s="38"/>
      <c r="WW2146" s="38"/>
      <c r="WX2146" s="38"/>
      <c r="WY2146" s="38"/>
      <c r="WZ2146" s="38"/>
      <c r="XA2146" s="38"/>
      <c r="XB2146" s="38"/>
      <c r="XC2146" s="38"/>
      <c r="XD2146" s="38"/>
      <c r="XE2146" s="38"/>
      <c r="XF2146" s="38"/>
      <c r="XG2146" s="38"/>
      <c r="XH2146" s="38"/>
      <c r="XI2146" s="38"/>
      <c r="XJ2146" s="38"/>
      <c r="XK2146" s="38"/>
      <c r="XL2146" s="38"/>
      <c r="XM2146" s="38"/>
      <c r="XN2146" s="38"/>
      <c r="XO2146" s="38"/>
      <c r="XP2146" s="38"/>
      <c r="XQ2146" s="38"/>
      <c r="XR2146" s="38"/>
      <c r="XS2146" s="38"/>
      <c r="XT2146" s="38"/>
      <c r="XU2146" s="38"/>
      <c r="XV2146" s="38"/>
      <c r="XW2146" s="38"/>
      <c r="XX2146" s="38"/>
      <c r="XY2146" s="38"/>
      <c r="XZ2146" s="38"/>
      <c r="YA2146" s="38"/>
      <c r="YB2146" s="38"/>
      <c r="YC2146" s="38"/>
      <c r="YD2146" s="38"/>
      <c r="YE2146" s="38"/>
      <c r="YF2146" s="38"/>
      <c r="YG2146" s="38"/>
      <c r="YH2146" s="38"/>
      <c r="YI2146" s="38"/>
      <c r="YJ2146" s="38"/>
      <c r="YK2146" s="38"/>
      <c r="YL2146" s="38"/>
      <c r="YM2146" s="38"/>
      <c r="YN2146" s="38"/>
      <c r="YO2146" s="38"/>
      <c r="YP2146" s="38"/>
      <c r="YQ2146" s="38"/>
      <c r="YR2146" s="38"/>
      <c r="YS2146" s="38"/>
      <c r="YT2146" s="38"/>
      <c r="YU2146" s="38"/>
      <c r="YV2146" s="38"/>
      <c r="YW2146" s="38"/>
      <c r="YX2146" s="38"/>
      <c r="YY2146" s="38"/>
      <c r="YZ2146" s="38"/>
      <c r="ZA2146" s="38"/>
      <c r="ZB2146" s="38"/>
      <c r="ZC2146" s="38"/>
      <c r="ZD2146" s="38"/>
      <c r="ZE2146" s="38"/>
      <c r="ZF2146" s="38"/>
      <c r="ZG2146" s="38"/>
      <c r="ZH2146" s="38"/>
      <c r="ZI2146" s="38"/>
      <c r="ZJ2146" s="38"/>
      <c r="ZK2146" s="38"/>
      <c r="ZL2146" s="38"/>
      <c r="ZM2146" s="38"/>
      <c r="ZN2146" s="38"/>
      <c r="ZO2146" s="38"/>
      <c r="ZP2146" s="38"/>
      <c r="ZQ2146" s="38"/>
      <c r="ZR2146" s="38"/>
      <c r="ZS2146" s="38"/>
      <c r="ZT2146" s="38"/>
      <c r="ZU2146" s="38"/>
      <c r="ZV2146" s="38"/>
      <c r="ZW2146" s="38"/>
      <c r="ZX2146" s="38"/>
      <c r="ZY2146" s="38"/>
      <c r="ZZ2146" s="38"/>
      <c r="AAA2146" s="38"/>
      <c r="AAB2146" s="38"/>
      <c r="AAC2146" s="38"/>
      <c r="AAD2146" s="38"/>
      <c r="AAE2146" s="38"/>
      <c r="AAF2146" s="38"/>
      <c r="AAG2146" s="38"/>
      <c r="AAH2146" s="38"/>
      <c r="AAI2146" s="38"/>
      <c r="AAJ2146" s="38"/>
      <c r="AAK2146" s="38"/>
      <c r="AAL2146" s="38"/>
      <c r="AAM2146" s="38"/>
      <c r="AAN2146" s="38"/>
      <c r="AAO2146" s="38"/>
      <c r="AAP2146" s="38"/>
      <c r="AAQ2146" s="38"/>
      <c r="AAR2146" s="38"/>
      <c r="AAS2146" s="38"/>
      <c r="AAT2146" s="38"/>
      <c r="AAU2146" s="38"/>
      <c r="AAV2146" s="38"/>
      <c r="AAW2146" s="38"/>
      <c r="AAX2146" s="38"/>
      <c r="AAY2146" s="38"/>
      <c r="AAZ2146" s="38"/>
      <c r="ABA2146" s="38"/>
      <c r="ABB2146" s="38"/>
      <c r="ABC2146" s="38"/>
      <c r="ABD2146" s="38"/>
      <c r="ABE2146" s="38"/>
      <c r="ABF2146" s="38"/>
      <c r="ABG2146" s="38"/>
      <c r="ABH2146" s="38"/>
      <c r="ABI2146" s="38"/>
      <c r="ABJ2146" s="38"/>
      <c r="ABK2146" s="38"/>
      <c r="ABL2146" s="38"/>
      <c r="ABM2146" s="38"/>
      <c r="ABN2146" s="38"/>
      <c r="ABO2146" s="38"/>
      <c r="ABP2146" s="38"/>
      <c r="ABQ2146" s="38"/>
      <c r="ABR2146" s="38"/>
      <c r="ABS2146" s="38"/>
      <c r="ABT2146" s="38"/>
      <c r="ABU2146" s="38"/>
      <c r="ABV2146" s="38"/>
      <c r="ABW2146" s="38"/>
      <c r="ABX2146" s="38"/>
      <c r="ABY2146" s="38"/>
      <c r="ABZ2146" s="38"/>
      <c r="ACA2146" s="38"/>
      <c r="ACB2146" s="38"/>
      <c r="ACC2146" s="38"/>
      <c r="ACD2146" s="38"/>
      <c r="ACE2146" s="38"/>
      <c r="ACF2146" s="38"/>
      <c r="ACG2146" s="38"/>
      <c r="ACH2146" s="38"/>
      <c r="ACI2146" s="38"/>
      <c r="ACJ2146" s="38"/>
      <c r="ACK2146" s="38"/>
      <c r="ACL2146" s="38"/>
      <c r="ACM2146" s="38"/>
      <c r="ACN2146" s="38"/>
      <c r="ACO2146" s="38"/>
      <c r="ACP2146" s="38"/>
      <c r="ACQ2146" s="38"/>
      <c r="ACR2146" s="38"/>
      <c r="ACS2146" s="38"/>
      <c r="ACT2146" s="38"/>
      <c r="ACU2146" s="38"/>
      <c r="ACV2146" s="38"/>
      <c r="ACW2146" s="38"/>
      <c r="ACX2146" s="38"/>
      <c r="ACY2146" s="38"/>
      <c r="ACZ2146" s="38"/>
      <c r="ADA2146" s="38"/>
      <c r="ADB2146" s="38"/>
      <c r="ADC2146" s="38"/>
      <c r="ADD2146" s="38"/>
      <c r="ADE2146" s="38"/>
      <c r="ADF2146" s="38"/>
      <c r="ADG2146" s="38"/>
      <c r="ADH2146" s="38"/>
      <c r="ADI2146" s="38"/>
      <c r="ADJ2146" s="38"/>
      <c r="ADK2146" s="38"/>
      <c r="ADL2146" s="38"/>
      <c r="ADM2146" s="38"/>
      <c r="ADN2146" s="38"/>
      <c r="ADO2146" s="38"/>
      <c r="ADP2146" s="38"/>
      <c r="ADQ2146" s="38"/>
      <c r="ADR2146" s="38"/>
      <c r="ADS2146" s="38"/>
      <c r="ADT2146" s="38"/>
      <c r="ADU2146" s="38"/>
      <c r="ADV2146" s="38"/>
      <c r="ADW2146" s="38"/>
      <c r="ADX2146" s="38"/>
      <c r="ADY2146" s="38"/>
      <c r="ADZ2146" s="38"/>
      <c r="AEA2146" s="38"/>
      <c r="AEB2146" s="38"/>
      <c r="AEC2146" s="38"/>
      <c r="AED2146" s="38"/>
      <c r="AEE2146" s="38"/>
      <c r="AEF2146" s="38"/>
      <c r="AEG2146" s="38"/>
      <c r="AEH2146" s="38"/>
      <c r="AEI2146" s="38"/>
      <c r="AEJ2146" s="38"/>
      <c r="AEK2146" s="38"/>
      <c r="AEL2146" s="38"/>
      <c r="AEM2146" s="38"/>
      <c r="AEN2146" s="38"/>
      <c r="AEO2146" s="38"/>
      <c r="AEP2146" s="38"/>
      <c r="AEQ2146" s="38"/>
      <c r="AER2146" s="38"/>
      <c r="AES2146" s="38"/>
      <c r="AET2146" s="38"/>
      <c r="AEU2146" s="38"/>
      <c r="AEV2146" s="38"/>
      <c r="AEW2146" s="38"/>
      <c r="AEX2146" s="38"/>
      <c r="AEY2146" s="38"/>
      <c r="AEZ2146" s="38"/>
      <c r="AFA2146" s="38"/>
      <c r="AFB2146" s="38"/>
      <c r="AFC2146" s="38"/>
      <c r="AFD2146" s="38"/>
      <c r="AFE2146" s="38"/>
      <c r="AFF2146" s="38"/>
      <c r="AFG2146" s="38"/>
      <c r="AFH2146" s="38"/>
      <c r="AFI2146" s="38"/>
      <c r="AFJ2146" s="38"/>
      <c r="AFK2146" s="38"/>
      <c r="AFL2146" s="38"/>
      <c r="AFM2146" s="38"/>
      <c r="AFN2146" s="38"/>
      <c r="AFO2146" s="38"/>
      <c r="AFP2146" s="38"/>
      <c r="AFQ2146" s="38"/>
      <c r="AFR2146" s="38"/>
      <c r="AFS2146" s="38"/>
      <c r="AFT2146" s="38"/>
      <c r="AFU2146" s="38"/>
      <c r="AFV2146" s="38"/>
      <c r="AFW2146" s="38"/>
      <c r="AFX2146" s="38"/>
      <c r="AFY2146" s="38"/>
      <c r="AFZ2146" s="38"/>
      <c r="AGA2146" s="38"/>
      <c r="AGB2146" s="38"/>
      <c r="AGC2146" s="38"/>
      <c r="AGD2146" s="38"/>
      <c r="AGE2146" s="38"/>
      <c r="AGF2146" s="38"/>
      <c r="AGG2146" s="38"/>
      <c r="AGH2146" s="38"/>
      <c r="AGI2146" s="38"/>
      <c r="AGJ2146" s="38"/>
      <c r="AGK2146" s="38"/>
      <c r="AGL2146" s="38"/>
      <c r="AGM2146" s="38"/>
      <c r="AGN2146" s="38"/>
      <c r="AGO2146" s="38"/>
      <c r="AGP2146" s="38"/>
      <c r="AGQ2146" s="38"/>
      <c r="AGR2146" s="38"/>
      <c r="AGS2146" s="38"/>
      <c r="AGT2146" s="38"/>
      <c r="AGU2146" s="38"/>
      <c r="AGV2146" s="38"/>
      <c r="AGW2146" s="38"/>
      <c r="AGX2146" s="38"/>
      <c r="AGY2146" s="38"/>
      <c r="AGZ2146" s="38"/>
      <c r="AHA2146" s="38"/>
      <c r="AHB2146" s="38"/>
      <c r="AHC2146" s="38"/>
      <c r="AHD2146" s="38"/>
      <c r="AHE2146" s="38"/>
      <c r="AHF2146" s="38"/>
      <c r="AHG2146" s="38"/>
      <c r="AHH2146" s="38"/>
      <c r="AHI2146" s="38"/>
      <c r="AHJ2146" s="38"/>
      <c r="AHK2146" s="38"/>
      <c r="AHL2146" s="38"/>
      <c r="AHM2146" s="38"/>
      <c r="AHN2146" s="38"/>
      <c r="AHO2146" s="38"/>
      <c r="AHP2146" s="38"/>
      <c r="AHQ2146" s="38"/>
      <c r="AHR2146" s="38"/>
      <c r="AHS2146" s="38"/>
      <c r="AHT2146" s="38"/>
      <c r="AHU2146" s="38"/>
      <c r="AHV2146" s="38"/>
      <c r="AHW2146" s="38"/>
      <c r="AHX2146" s="38"/>
      <c r="AHY2146" s="38"/>
      <c r="AHZ2146" s="38"/>
      <c r="AIA2146" s="38"/>
      <c r="AIB2146" s="38"/>
      <c r="AIC2146" s="38"/>
      <c r="AID2146" s="38"/>
      <c r="AIE2146" s="38"/>
      <c r="AIF2146" s="38"/>
      <c r="AIG2146" s="38"/>
      <c r="AIH2146" s="38"/>
      <c r="AII2146" s="38"/>
      <c r="AIJ2146" s="38"/>
      <c r="AIK2146" s="38"/>
      <c r="AIL2146" s="38"/>
      <c r="AIM2146" s="38"/>
      <c r="AIN2146" s="38"/>
      <c r="AIO2146" s="38"/>
      <c r="AIP2146" s="38"/>
      <c r="AIQ2146" s="38"/>
      <c r="AIR2146" s="38"/>
      <c r="AIS2146" s="38"/>
      <c r="AIT2146" s="38"/>
      <c r="AIU2146" s="38"/>
      <c r="AIV2146" s="38"/>
      <c r="AIW2146" s="38"/>
      <c r="AIX2146" s="38"/>
      <c r="AIY2146" s="38"/>
      <c r="AIZ2146" s="38"/>
      <c r="AJA2146" s="38"/>
      <c r="AJB2146" s="38"/>
      <c r="AJC2146" s="38"/>
      <c r="AJD2146" s="38"/>
      <c r="AJE2146" s="38"/>
      <c r="AJF2146" s="38"/>
      <c r="AJG2146" s="38"/>
      <c r="AJH2146" s="38"/>
      <c r="AJI2146" s="38"/>
      <c r="AJJ2146" s="38"/>
      <c r="AJK2146" s="38"/>
      <c r="AJL2146" s="38"/>
      <c r="AJM2146" s="38"/>
      <c r="AJN2146" s="38"/>
      <c r="AJO2146" s="38"/>
      <c r="AJP2146" s="38"/>
      <c r="AJQ2146" s="38"/>
      <c r="AJR2146" s="38"/>
      <c r="AJS2146" s="38"/>
      <c r="AJT2146" s="38"/>
      <c r="AJU2146" s="38"/>
      <c r="AJV2146" s="38"/>
      <c r="AJW2146" s="38"/>
      <c r="AJX2146" s="38"/>
      <c r="AJY2146" s="38"/>
      <c r="AJZ2146" s="38"/>
      <c r="AKA2146" s="38"/>
      <c r="AKB2146" s="38"/>
      <c r="AKC2146" s="38"/>
      <c r="AKD2146" s="38"/>
      <c r="AKE2146" s="38"/>
      <c r="AKF2146" s="38"/>
      <c r="AKG2146" s="38"/>
      <c r="AKH2146" s="38"/>
      <c r="AKI2146" s="38"/>
      <c r="AKJ2146" s="38"/>
      <c r="AKK2146" s="38"/>
      <c r="AKL2146" s="38"/>
      <c r="AKM2146" s="38"/>
      <c r="AKN2146" s="38"/>
      <c r="AKO2146" s="38"/>
      <c r="AKP2146" s="38"/>
      <c r="AKQ2146" s="38"/>
      <c r="AKR2146" s="38"/>
      <c r="AKS2146" s="38"/>
      <c r="AKT2146" s="38"/>
      <c r="AKU2146" s="38"/>
      <c r="AKV2146" s="38"/>
      <c r="AKW2146" s="38"/>
      <c r="AKX2146" s="38"/>
      <c r="AKY2146" s="38"/>
      <c r="AKZ2146" s="38"/>
      <c r="ALA2146" s="38"/>
      <c r="ALB2146" s="38"/>
      <c r="ALC2146" s="38"/>
      <c r="ALD2146" s="38"/>
      <c r="ALE2146" s="38"/>
      <c r="ALF2146" s="38"/>
      <c r="ALG2146" s="38"/>
      <c r="ALH2146" s="38"/>
      <c r="ALI2146" s="38"/>
      <c r="ALJ2146" s="38"/>
      <c r="ALK2146" s="38"/>
      <c r="ALL2146" s="38"/>
      <c r="ALM2146" s="38"/>
      <c r="ALN2146" s="38"/>
      <c r="ALO2146" s="38"/>
      <c r="ALP2146" s="38"/>
      <c r="ALQ2146" s="38"/>
      <c r="ALR2146" s="38"/>
      <c r="ALS2146" s="38"/>
      <c r="ALT2146" s="38"/>
      <c r="ALU2146" s="38"/>
      <c r="ALV2146" s="38"/>
      <c r="ALW2146" s="38"/>
      <c r="ALX2146" s="38"/>
      <c r="ALY2146" s="38"/>
      <c r="ALZ2146" s="38"/>
      <c r="AMA2146" s="38"/>
      <c r="AMB2146" s="38"/>
      <c r="AMC2146" s="38"/>
      <c r="AMD2146" s="38"/>
      <c r="AME2146" s="38"/>
      <c r="AMF2146" s="38"/>
      <c r="AMG2146" s="38"/>
      <c r="AMH2146" s="38"/>
      <c r="AMI2146" s="38"/>
      <c r="AMJ2146" s="38"/>
      <c r="AMK2146" s="38"/>
      <c r="AML2146" s="38"/>
      <c r="AMM2146" s="38"/>
      <c r="AMN2146" s="38"/>
      <c r="AMO2146" s="38"/>
      <c r="AMP2146" s="38"/>
      <c r="AMQ2146" s="38"/>
      <c r="AMR2146" s="38"/>
      <c r="AMS2146" s="38"/>
      <c r="AMT2146" s="38"/>
      <c r="AMU2146" s="38"/>
      <c r="AMV2146" s="38"/>
      <c r="AMW2146" s="38"/>
      <c r="AMX2146" s="38"/>
      <c r="AMY2146" s="38"/>
      <c r="AMZ2146" s="38"/>
      <c r="ANA2146" s="38"/>
      <c r="ANB2146" s="38"/>
      <c r="ANC2146" s="38"/>
      <c r="AND2146" s="38"/>
      <c r="ANE2146" s="38"/>
      <c r="ANF2146" s="38"/>
      <c r="ANG2146" s="38"/>
      <c r="ANH2146" s="38"/>
      <c r="ANI2146" s="38"/>
      <c r="ANJ2146" s="38"/>
      <c r="ANK2146" s="38"/>
      <c r="ANL2146" s="38"/>
      <c r="ANM2146" s="38"/>
      <c r="ANN2146" s="38"/>
      <c r="ANO2146" s="38"/>
      <c r="ANP2146" s="38"/>
      <c r="ANQ2146" s="38"/>
      <c r="ANR2146" s="38"/>
      <c r="ANS2146" s="38"/>
      <c r="ANT2146" s="38"/>
      <c r="ANU2146" s="38"/>
      <c r="ANV2146" s="38"/>
      <c r="ANW2146" s="38"/>
      <c r="ANX2146" s="38"/>
      <c r="ANY2146" s="38"/>
      <c r="ANZ2146" s="38"/>
      <c r="AOA2146" s="38"/>
      <c r="AOB2146" s="38"/>
      <c r="AOC2146" s="38"/>
      <c r="AOD2146" s="38"/>
      <c r="AOE2146" s="38"/>
      <c r="AOF2146" s="38"/>
      <c r="AOG2146" s="38"/>
      <c r="AOH2146" s="38"/>
      <c r="AOI2146" s="38"/>
      <c r="AOJ2146" s="38"/>
      <c r="AOK2146" s="38"/>
      <c r="AOL2146" s="38"/>
      <c r="AOM2146" s="38"/>
      <c r="AON2146" s="38"/>
      <c r="AOO2146" s="38"/>
      <c r="AOP2146" s="38"/>
      <c r="AOQ2146" s="38"/>
      <c r="AOR2146" s="38"/>
      <c r="AOS2146" s="38"/>
      <c r="AOT2146" s="38"/>
      <c r="AOU2146" s="38"/>
      <c r="AOV2146" s="38"/>
      <c r="AOW2146" s="38"/>
      <c r="AOX2146" s="38"/>
      <c r="AOY2146" s="38"/>
      <c r="AOZ2146" s="38"/>
      <c r="APA2146" s="38"/>
      <c r="APB2146" s="38"/>
      <c r="APC2146" s="38"/>
    </row>
    <row r="2147" spans="1:1095" s="36" customFormat="1" ht="14.25" customHeight="1">
      <c r="A2147" s="3" t="s">
        <v>1722</v>
      </c>
      <c r="B2147" s="36" t="s">
        <v>2582</v>
      </c>
      <c r="C2147" s="10">
        <v>4099854091858</v>
      </c>
      <c r="D2147" s="224">
        <v>4058075808171</v>
      </c>
      <c r="E2147" s="245" t="s">
        <v>2583</v>
      </c>
      <c r="F2147" s="246"/>
      <c r="G2147" s="66" t="str">
        <f>HYPERLINK("https://ledvance.com/pt/product-datasheet/275551/246901","Ficha de Produto")</f>
        <v>Ficha de Produto</v>
      </c>
      <c r="H2147" s="217">
        <v>4</v>
      </c>
      <c r="I2147" s="34" t="s">
        <v>6388</v>
      </c>
      <c r="J2147" s="34" t="s">
        <v>5840</v>
      </c>
      <c r="K2147" s="34" t="s">
        <v>788</v>
      </c>
      <c r="L2147" s="34" t="s">
        <v>793</v>
      </c>
      <c r="M2147" s="247">
        <v>13</v>
      </c>
      <c r="N2147" s="288" t="s">
        <v>722</v>
      </c>
    </row>
    <row r="2148" spans="1:1095" s="36" customFormat="1" ht="14.25" customHeight="1">
      <c r="A2148" s="3" t="s">
        <v>1722</v>
      </c>
      <c r="B2148" s="36" t="s">
        <v>2584</v>
      </c>
      <c r="C2148" s="10">
        <v>4099854091889</v>
      </c>
      <c r="D2148" s="224">
        <v>4058075808188</v>
      </c>
      <c r="E2148" s="245" t="s">
        <v>2585</v>
      </c>
      <c r="F2148" s="246"/>
      <c r="G2148" s="66" t="str">
        <f>HYPERLINK("https://ledvance.com/pt/product-datasheet/275551/246897","Ficha de Produto")</f>
        <v>Ficha de Produto</v>
      </c>
      <c r="H2148" s="217">
        <v>4</v>
      </c>
      <c r="I2148" s="34" t="s">
        <v>854</v>
      </c>
      <c r="J2148" s="34" t="s">
        <v>855</v>
      </c>
      <c r="K2148" s="34" t="s">
        <v>788</v>
      </c>
      <c r="L2148" s="34" t="s">
        <v>793</v>
      </c>
      <c r="M2148" s="247">
        <v>16.8</v>
      </c>
      <c r="N2148" s="288" t="s">
        <v>722</v>
      </c>
    </row>
    <row r="2149" spans="1:1095" s="36" customFormat="1" ht="14.25" customHeight="1">
      <c r="A2149" s="3" t="s">
        <v>1722</v>
      </c>
      <c r="B2149" s="36" t="s">
        <v>2586</v>
      </c>
      <c r="C2149" s="10">
        <v>4099854091117</v>
      </c>
      <c r="D2149" s="224">
        <v>4058075091979</v>
      </c>
      <c r="E2149" s="245" t="s">
        <v>2587</v>
      </c>
      <c r="F2149" s="246"/>
      <c r="G2149" s="66" t="str">
        <f>HYPERLINK("https://ledvance.com/pt/product-datasheet/275551/246905","Ficha de Produto")</f>
        <v>Ficha de Produto</v>
      </c>
      <c r="H2149" s="217">
        <v>4</v>
      </c>
      <c r="I2149" s="34" t="s">
        <v>6354</v>
      </c>
      <c r="J2149" s="34" t="s">
        <v>855</v>
      </c>
      <c r="K2149" s="34" t="s">
        <v>788</v>
      </c>
      <c r="L2149" s="34" t="s">
        <v>793</v>
      </c>
      <c r="M2149" s="247">
        <v>25.700000000000003</v>
      </c>
      <c r="N2149" s="288" t="s">
        <v>722</v>
      </c>
    </row>
    <row r="2150" spans="1:1095" s="39" customFormat="1" ht="14.25" customHeight="1">
      <c r="A2150" s="8" t="s">
        <v>1722</v>
      </c>
      <c r="B2150" s="39" t="s">
        <v>714</v>
      </c>
      <c r="C2150" s="8"/>
      <c r="D2150" s="7"/>
      <c r="E2150" s="230"/>
      <c r="F2150" s="7"/>
      <c r="G2150" s="68"/>
      <c r="H2150" s="230"/>
      <c r="I2150" s="230"/>
      <c r="J2150" s="230"/>
      <c r="K2150" s="230"/>
      <c r="L2150" s="230"/>
      <c r="M2150" s="248"/>
      <c r="N2150" s="284"/>
      <c r="O2150" s="38"/>
      <c r="P2150" s="38"/>
      <c r="Q2150" s="38"/>
      <c r="R2150" s="38"/>
      <c r="S2150" s="38"/>
      <c r="T2150" s="38"/>
      <c r="U2150" s="38"/>
      <c r="V2150" s="38"/>
      <c r="W2150" s="38"/>
      <c r="X2150" s="38"/>
      <c r="Y2150" s="38"/>
      <c r="Z2150" s="38"/>
      <c r="AA2150" s="38"/>
      <c r="AB2150" s="38"/>
      <c r="AC2150" s="38"/>
      <c r="AD2150" s="38"/>
      <c r="AE2150" s="38"/>
      <c r="AF2150" s="38"/>
      <c r="AG2150" s="38"/>
      <c r="AH2150" s="38"/>
      <c r="AI2150" s="38"/>
      <c r="AJ2150" s="38"/>
      <c r="AK2150" s="38"/>
      <c r="AL2150" s="38"/>
      <c r="AM2150" s="38"/>
      <c r="AN2150" s="38"/>
      <c r="AO2150" s="38"/>
      <c r="AP2150" s="38"/>
      <c r="AQ2150" s="38"/>
      <c r="AR2150" s="38"/>
      <c r="AS2150" s="38"/>
      <c r="AT2150" s="38"/>
      <c r="AU2150" s="38"/>
      <c r="AV2150" s="38"/>
      <c r="AW2150" s="38"/>
      <c r="AX2150" s="38"/>
      <c r="AY2150" s="38"/>
      <c r="AZ2150" s="38"/>
      <c r="BA2150" s="38"/>
      <c r="BB2150" s="38"/>
      <c r="BC2150" s="38"/>
      <c r="BD2150" s="38"/>
      <c r="BE2150" s="38"/>
      <c r="BF2150" s="38"/>
      <c r="BG2150" s="38"/>
      <c r="BH2150" s="38"/>
      <c r="BI2150" s="38"/>
      <c r="BJ2150" s="38"/>
      <c r="BK2150" s="38"/>
      <c r="BL2150" s="38"/>
      <c r="BM2150" s="38"/>
      <c r="BN2150" s="38"/>
      <c r="BO2150" s="38"/>
      <c r="BP2150" s="38"/>
      <c r="BQ2150" s="38"/>
      <c r="BR2150" s="38"/>
      <c r="BS2150" s="38"/>
      <c r="BT2150" s="38"/>
      <c r="BU2150" s="38"/>
      <c r="BV2150" s="38"/>
      <c r="BW2150" s="38"/>
      <c r="BX2150" s="38"/>
      <c r="BY2150" s="38"/>
      <c r="BZ2150" s="38"/>
      <c r="CA2150" s="38"/>
      <c r="CB2150" s="38"/>
      <c r="CC2150" s="38"/>
      <c r="CD2150" s="38"/>
      <c r="CE2150" s="38"/>
      <c r="CF2150" s="38"/>
      <c r="CG2150" s="38"/>
      <c r="CH2150" s="38"/>
      <c r="CI2150" s="38"/>
      <c r="CJ2150" s="38"/>
      <c r="CK2150" s="38"/>
      <c r="CL2150" s="38"/>
      <c r="CM2150" s="38"/>
      <c r="CN2150" s="38"/>
      <c r="CO2150" s="38"/>
      <c r="CP2150" s="38"/>
      <c r="CQ2150" s="38"/>
      <c r="CR2150" s="38"/>
      <c r="CS2150" s="38"/>
      <c r="CT2150" s="38"/>
      <c r="CU2150" s="38"/>
      <c r="CV2150" s="38"/>
      <c r="CW2150" s="38"/>
      <c r="CX2150" s="38"/>
      <c r="CY2150" s="38"/>
      <c r="CZ2150" s="38"/>
      <c r="DA2150" s="38"/>
      <c r="DB2150" s="38"/>
      <c r="DC2150" s="38"/>
      <c r="DD2150" s="38"/>
      <c r="DE2150" s="38"/>
      <c r="DF2150" s="38"/>
      <c r="DG2150" s="38"/>
      <c r="DH2150" s="38"/>
      <c r="DI2150" s="38"/>
      <c r="DJ2150" s="38"/>
      <c r="DK2150" s="38"/>
      <c r="DL2150" s="38"/>
      <c r="DM2150" s="38"/>
      <c r="DN2150" s="38"/>
      <c r="DO2150" s="38"/>
      <c r="DP2150" s="38"/>
      <c r="DQ2150" s="38"/>
      <c r="DR2150" s="38"/>
      <c r="DS2150" s="38"/>
      <c r="DT2150" s="38"/>
      <c r="DU2150" s="38"/>
      <c r="DV2150" s="38"/>
      <c r="DW2150" s="38"/>
      <c r="DX2150" s="38"/>
      <c r="DY2150" s="38"/>
      <c r="DZ2150" s="38"/>
      <c r="EA2150" s="38"/>
      <c r="EB2150" s="38"/>
      <c r="EC2150" s="38"/>
      <c r="ED2150" s="38"/>
      <c r="EE2150" s="38"/>
      <c r="EF2150" s="38"/>
      <c r="EG2150" s="38"/>
      <c r="EH2150" s="38"/>
      <c r="EI2150" s="38"/>
      <c r="EJ2150" s="38"/>
      <c r="EK2150" s="38"/>
      <c r="EL2150" s="38"/>
      <c r="EM2150" s="38"/>
      <c r="EN2150" s="38"/>
      <c r="EO2150" s="38"/>
      <c r="EP2150" s="38"/>
      <c r="EQ2150" s="38"/>
      <c r="ER2150" s="38"/>
      <c r="ES2150" s="38"/>
      <c r="ET2150" s="38"/>
      <c r="EU2150" s="38"/>
      <c r="EV2150" s="38"/>
      <c r="EW2150" s="38"/>
      <c r="EX2150" s="38"/>
      <c r="EY2150" s="38"/>
      <c r="EZ2150" s="38"/>
      <c r="FA2150" s="38"/>
      <c r="FB2150" s="38"/>
      <c r="FC2150" s="38"/>
      <c r="FD2150" s="38"/>
      <c r="FE2150" s="38"/>
      <c r="FF2150" s="38"/>
      <c r="FG2150" s="38"/>
      <c r="FH2150" s="38"/>
      <c r="FI2150" s="38"/>
      <c r="FJ2150" s="38"/>
      <c r="FK2150" s="38"/>
      <c r="FL2150" s="38"/>
      <c r="FM2150" s="38"/>
      <c r="FN2150" s="38"/>
      <c r="FO2150" s="38"/>
      <c r="FP2150" s="38"/>
      <c r="FQ2150" s="38"/>
      <c r="FR2150" s="38"/>
      <c r="FS2150" s="38"/>
      <c r="FT2150" s="38"/>
      <c r="FU2150" s="38"/>
      <c r="FV2150" s="38"/>
      <c r="FW2150" s="38"/>
      <c r="FX2150" s="38"/>
      <c r="FY2150" s="38"/>
      <c r="FZ2150" s="38"/>
      <c r="GA2150" s="38"/>
      <c r="GB2150" s="38"/>
      <c r="GC2150" s="38"/>
      <c r="GD2150" s="38"/>
      <c r="GE2150" s="38"/>
      <c r="GF2150" s="38"/>
      <c r="GG2150" s="38"/>
      <c r="GH2150" s="38"/>
      <c r="GI2150" s="38"/>
      <c r="GJ2150" s="38"/>
      <c r="GK2150" s="38"/>
      <c r="GL2150" s="38"/>
      <c r="GM2150" s="38"/>
      <c r="GN2150" s="38"/>
      <c r="GO2150" s="38"/>
      <c r="GP2150" s="38"/>
      <c r="GQ2150" s="38"/>
      <c r="GR2150" s="38"/>
      <c r="GS2150" s="38"/>
      <c r="GT2150" s="38"/>
      <c r="GU2150" s="38"/>
      <c r="GV2150" s="38"/>
      <c r="GW2150" s="38"/>
      <c r="GX2150" s="38"/>
      <c r="GY2150" s="38"/>
      <c r="GZ2150" s="38"/>
      <c r="HA2150" s="38"/>
      <c r="HB2150" s="38"/>
      <c r="HC2150" s="38"/>
      <c r="HD2150" s="38"/>
      <c r="HE2150" s="38"/>
      <c r="HF2150" s="38"/>
      <c r="HG2150" s="38"/>
      <c r="HH2150" s="38"/>
      <c r="HI2150" s="38"/>
      <c r="HJ2150" s="38"/>
      <c r="HK2150" s="38"/>
      <c r="HL2150" s="38"/>
      <c r="HM2150" s="38"/>
      <c r="HN2150" s="38"/>
      <c r="HO2150" s="38"/>
      <c r="HP2150" s="38"/>
      <c r="HQ2150" s="38"/>
      <c r="HR2150" s="38"/>
      <c r="HS2150" s="38"/>
      <c r="HT2150" s="38"/>
      <c r="HU2150" s="38"/>
      <c r="HV2150" s="38"/>
      <c r="HW2150" s="38"/>
      <c r="HX2150" s="38"/>
      <c r="HY2150" s="38"/>
      <c r="HZ2150" s="38"/>
      <c r="IA2150" s="38"/>
      <c r="IB2150" s="38"/>
      <c r="IC2150" s="38"/>
      <c r="ID2150" s="38"/>
      <c r="IE2150" s="38"/>
      <c r="IF2150" s="38"/>
      <c r="IG2150" s="38"/>
      <c r="IH2150" s="38"/>
      <c r="II2150" s="38"/>
      <c r="IJ2150" s="38"/>
      <c r="IK2150" s="38"/>
      <c r="IL2150" s="38"/>
      <c r="IM2150" s="38"/>
      <c r="IN2150" s="38"/>
      <c r="IO2150" s="38"/>
      <c r="IP2150" s="38"/>
      <c r="IQ2150" s="38"/>
      <c r="IR2150" s="38"/>
      <c r="IS2150" s="38"/>
      <c r="IT2150" s="38"/>
      <c r="IU2150" s="38"/>
      <c r="IV2150" s="38"/>
      <c r="IW2150" s="38"/>
      <c r="IX2150" s="38"/>
      <c r="IY2150" s="38"/>
      <c r="IZ2150" s="38"/>
      <c r="JA2150" s="38"/>
      <c r="JB2150" s="38"/>
      <c r="JC2150" s="38"/>
      <c r="JD2150" s="38"/>
      <c r="JE2150" s="38"/>
      <c r="JF2150" s="38"/>
      <c r="JG2150" s="38"/>
      <c r="JH2150" s="38"/>
      <c r="JI2150" s="38"/>
      <c r="JJ2150" s="38"/>
      <c r="JK2150" s="38"/>
      <c r="JL2150" s="38"/>
      <c r="JM2150" s="38"/>
      <c r="JN2150" s="38"/>
      <c r="JO2150" s="38"/>
      <c r="JP2150" s="38"/>
      <c r="JQ2150" s="38"/>
      <c r="JR2150" s="38"/>
      <c r="JS2150" s="38"/>
      <c r="JT2150" s="38"/>
      <c r="JU2150" s="38"/>
      <c r="JV2150" s="38"/>
      <c r="JW2150" s="38"/>
      <c r="JX2150" s="38"/>
      <c r="JY2150" s="38"/>
      <c r="JZ2150" s="38"/>
      <c r="KA2150" s="38"/>
      <c r="KB2150" s="38"/>
      <c r="KC2150" s="38"/>
      <c r="KD2150" s="38"/>
      <c r="KE2150" s="38"/>
      <c r="KF2150" s="38"/>
      <c r="KG2150" s="38"/>
      <c r="KH2150" s="38"/>
      <c r="KI2150" s="38"/>
      <c r="KJ2150" s="38"/>
      <c r="KK2150" s="38"/>
      <c r="KL2150" s="38"/>
      <c r="KM2150" s="38"/>
      <c r="KN2150" s="38"/>
      <c r="KO2150" s="38"/>
      <c r="KP2150" s="38"/>
      <c r="KQ2150" s="38"/>
      <c r="KR2150" s="38"/>
      <c r="KS2150" s="38"/>
      <c r="KT2150" s="38"/>
      <c r="KU2150" s="38"/>
      <c r="KV2150" s="38"/>
      <c r="KW2150" s="38"/>
      <c r="KX2150" s="38"/>
      <c r="KY2150" s="38"/>
      <c r="KZ2150" s="38"/>
      <c r="LA2150" s="38"/>
      <c r="LB2150" s="38"/>
      <c r="LC2150" s="38"/>
      <c r="LD2150" s="38"/>
      <c r="LE2150" s="38"/>
      <c r="LF2150" s="38"/>
      <c r="LG2150" s="38"/>
      <c r="LH2150" s="38"/>
      <c r="LI2150" s="38"/>
      <c r="LJ2150" s="38"/>
      <c r="LK2150" s="38"/>
      <c r="LL2150" s="38"/>
      <c r="LM2150" s="38"/>
      <c r="LN2150" s="38"/>
      <c r="LO2150" s="38"/>
      <c r="LP2150" s="38"/>
      <c r="LQ2150" s="38"/>
      <c r="LR2150" s="38"/>
      <c r="LS2150" s="38"/>
      <c r="LT2150" s="38"/>
      <c r="LU2150" s="38"/>
      <c r="LV2150" s="38"/>
      <c r="LW2150" s="38"/>
      <c r="LX2150" s="38"/>
      <c r="LY2150" s="38"/>
      <c r="LZ2150" s="38"/>
      <c r="MA2150" s="38"/>
      <c r="MB2150" s="38"/>
      <c r="MC2150" s="38"/>
      <c r="MD2150" s="38"/>
      <c r="ME2150" s="38"/>
      <c r="MF2150" s="38"/>
      <c r="MG2150" s="38"/>
      <c r="MH2150" s="38"/>
      <c r="MI2150" s="38"/>
      <c r="MJ2150" s="38"/>
      <c r="MK2150" s="38"/>
      <c r="ML2150" s="38"/>
      <c r="MM2150" s="38"/>
      <c r="MN2150" s="38"/>
      <c r="MO2150" s="38"/>
      <c r="MP2150" s="38"/>
      <c r="MQ2150" s="38"/>
      <c r="MR2150" s="38"/>
      <c r="MS2150" s="38"/>
      <c r="MT2150" s="38"/>
      <c r="MU2150" s="38"/>
      <c r="MV2150" s="38"/>
      <c r="MW2150" s="38"/>
      <c r="MX2150" s="38"/>
      <c r="MY2150" s="38"/>
      <c r="MZ2150" s="38"/>
      <c r="NA2150" s="38"/>
      <c r="NB2150" s="38"/>
      <c r="NC2150" s="38"/>
      <c r="ND2150" s="38"/>
      <c r="NE2150" s="38"/>
      <c r="NF2150" s="38"/>
      <c r="NG2150" s="38"/>
      <c r="NH2150" s="38"/>
      <c r="NI2150" s="38"/>
      <c r="NJ2150" s="38"/>
      <c r="NK2150" s="38"/>
      <c r="NL2150" s="38"/>
      <c r="NM2150" s="38"/>
      <c r="NN2150" s="38"/>
      <c r="NO2150" s="38"/>
      <c r="NP2150" s="38"/>
      <c r="NQ2150" s="38"/>
      <c r="NR2150" s="38"/>
      <c r="NS2150" s="38"/>
      <c r="NT2150" s="38"/>
      <c r="NU2150" s="38"/>
      <c r="NV2150" s="38"/>
      <c r="NW2150" s="38"/>
      <c r="NX2150" s="38"/>
      <c r="NY2150" s="38"/>
      <c r="NZ2150" s="38"/>
      <c r="OA2150" s="38"/>
      <c r="OB2150" s="38"/>
      <c r="OC2150" s="38"/>
      <c r="OD2150" s="38"/>
      <c r="OE2150" s="38"/>
      <c r="OF2150" s="38"/>
      <c r="OG2150" s="38"/>
      <c r="OH2150" s="38"/>
      <c r="OI2150" s="38"/>
      <c r="OJ2150" s="38"/>
      <c r="OK2150" s="38"/>
      <c r="OL2150" s="38"/>
      <c r="OM2150" s="38"/>
      <c r="ON2150" s="38"/>
      <c r="OO2150" s="38"/>
      <c r="OP2150" s="38"/>
      <c r="OQ2150" s="38"/>
      <c r="OR2150" s="38"/>
      <c r="OS2150" s="38"/>
      <c r="OT2150" s="38"/>
      <c r="OU2150" s="38"/>
      <c r="OV2150" s="38"/>
      <c r="OW2150" s="38"/>
      <c r="OX2150" s="38"/>
      <c r="OY2150" s="38"/>
      <c r="OZ2150" s="38"/>
      <c r="PA2150" s="38"/>
      <c r="PB2150" s="38"/>
      <c r="PC2150" s="38"/>
      <c r="PD2150" s="38"/>
      <c r="PE2150" s="38"/>
      <c r="PF2150" s="38"/>
      <c r="PG2150" s="38"/>
      <c r="PH2150" s="38"/>
      <c r="PI2150" s="38"/>
      <c r="PJ2150" s="38"/>
      <c r="PK2150" s="38"/>
      <c r="PL2150" s="38"/>
      <c r="PM2150" s="38"/>
      <c r="PN2150" s="38"/>
      <c r="PO2150" s="38"/>
      <c r="PP2150" s="38"/>
      <c r="PQ2150" s="38"/>
      <c r="PR2150" s="38"/>
      <c r="PS2150" s="38"/>
      <c r="PT2150" s="38"/>
      <c r="PU2150" s="38"/>
      <c r="PV2150" s="38"/>
      <c r="PW2150" s="38"/>
      <c r="PX2150" s="38"/>
      <c r="PY2150" s="38"/>
      <c r="PZ2150" s="38"/>
      <c r="QA2150" s="38"/>
      <c r="QB2150" s="38"/>
      <c r="QC2150" s="38"/>
      <c r="QD2150" s="38"/>
      <c r="QE2150" s="38"/>
      <c r="QF2150" s="38"/>
      <c r="QG2150" s="38"/>
      <c r="QH2150" s="38"/>
      <c r="QI2150" s="38"/>
      <c r="QJ2150" s="38"/>
      <c r="QK2150" s="38"/>
      <c r="QL2150" s="38"/>
      <c r="QM2150" s="38"/>
      <c r="QN2150" s="38"/>
      <c r="QO2150" s="38"/>
      <c r="QP2150" s="38"/>
      <c r="QQ2150" s="38"/>
      <c r="QR2150" s="38"/>
      <c r="QS2150" s="38"/>
      <c r="QT2150" s="38"/>
      <c r="QU2150" s="38"/>
      <c r="QV2150" s="38"/>
      <c r="QW2150" s="38"/>
      <c r="QX2150" s="38"/>
      <c r="QY2150" s="38"/>
      <c r="QZ2150" s="38"/>
      <c r="RA2150" s="38"/>
      <c r="RB2150" s="38"/>
      <c r="RC2150" s="38"/>
      <c r="RD2150" s="38"/>
      <c r="RE2150" s="38"/>
      <c r="RF2150" s="38"/>
      <c r="RG2150" s="38"/>
      <c r="RH2150" s="38"/>
      <c r="RI2150" s="38"/>
      <c r="RJ2150" s="38"/>
      <c r="RK2150" s="38"/>
      <c r="RL2150" s="38"/>
      <c r="RM2150" s="38"/>
      <c r="RN2150" s="38"/>
      <c r="RO2150" s="38"/>
      <c r="RP2150" s="38"/>
      <c r="RQ2150" s="38"/>
      <c r="RR2150" s="38"/>
      <c r="RS2150" s="38"/>
      <c r="RT2150" s="38"/>
      <c r="RU2150" s="38"/>
      <c r="RV2150" s="38"/>
      <c r="RW2150" s="38"/>
      <c r="RX2150" s="38"/>
      <c r="RY2150" s="38"/>
      <c r="RZ2150" s="38"/>
      <c r="SA2150" s="38"/>
      <c r="SB2150" s="38"/>
      <c r="SC2150" s="38"/>
      <c r="SD2150" s="38"/>
      <c r="SE2150" s="38"/>
      <c r="SF2150" s="38"/>
      <c r="SG2150" s="38"/>
      <c r="SH2150" s="38"/>
      <c r="SI2150" s="38"/>
      <c r="SJ2150" s="38"/>
      <c r="SK2150" s="38"/>
      <c r="SL2150" s="38"/>
      <c r="SM2150" s="38"/>
      <c r="SN2150" s="38"/>
      <c r="SO2150" s="38"/>
      <c r="SP2150" s="38"/>
      <c r="SQ2150" s="38"/>
      <c r="SR2150" s="38"/>
      <c r="SS2150" s="38"/>
      <c r="ST2150" s="38"/>
      <c r="SU2150" s="38"/>
      <c r="SV2150" s="38"/>
      <c r="SW2150" s="38"/>
      <c r="SX2150" s="38"/>
      <c r="SY2150" s="38"/>
      <c r="SZ2150" s="38"/>
      <c r="TA2150" s="38"/>
      <c r="TB2150" s="38"/>
      <c r="TC2150" s="38"/>
      <c r="TD2150" s="38"/>
      <c r="TE2150" s="38"/>
      <c r="TF2150" s="38"/>
      <c r="TG2150" s="38"/>
      <c r="TH2150" s="38"/>
      <c r="TI2150" s="38"/>
      <c r="TJ2150" s="38"/>
      <c r="TK2150" s="38"/>
      <c r="TL2150" s="38"/>
      <c r="TM2150" s="38"/>
      <c r="TN2150" s="38"/>
      <c r="TO2150" s="38"/>
      <c r="TP2150" s="38"/>
      <c r="TQ2150" s="38"/>
      <c r="TR2150" s="38"/>
      <c r="TS2150" s="38"/>
      <c r="TT2150" s="38"/>
      <c r="TU2150" s="38"/>
      <c r="TV2150" s="38"/>
      <c r="TW2150" s="38"/>
      <c r="TX2150" s="38"/>
      <c r="TY2150" s="38"/>
      <c r="TZ2150" s="38"/>
      <c r="UA2150" s="38"/>
      <c r="UB2150" s="38"/>
      <c r="UC2150" s="38"/>
      <c r="UD2150" s="38"/>
      <c r="UE2150" s="38"/>
      <c r="UF2150" s="38"/>
      <c r="UG2150" s="38"/>
      <c r="UH2150" s="38"/>
      <c r="UI2150" s="38"/>
      <c r="UJ2150" s="38"/>
      <c r="UK2150" s="38"/>
      <c r="UL2150" s="38"/>
      <c r="UM2150" s="38"/>
      <c r="UN2150" s="38"/>
      <c r="UO2150" s="38"/>
      <c r="UP2150" s="38"/>
      <c r="UQ2150" s="38"/>
      <c r="UR2150" s="38"/>
      <c r="US2150" s="38"/>
      <c r="UT2150" s="38"/>
      <c r="UU2150" s="38"/>
      <c r="UV2150" s="38"/>
      <c r="UW2150" s="38"/>
      <c r="UX2150" s="38"/>
      <c r="UY2150" s="38"/>
      <c r="UZ2150" s="38"/>
      <c r="VA2150" s="38"/>
      <c r="VB2150" s="38"/>
      <c r="VC2150" s="38"/>
      <c r="VD2150" s="38"/>
      <c r="VE2150" s="38"/>
      <c r="VF2150" s="38"/>
      <c r="VG2150" s="38"/>
      <c r="VH2150" s="38"/>
      <c r="VI2150" s="38"/>
      <c r="VJ2150" s="38"/>
      <c r="VK2150" s="38"/>
      <c r="VL2150" s="38"/>
      <c r="VM2150" s="38"/>
      <c r="VN2150" s="38"/>
      <c r="VO2150" s="38"/>
      <c r="VP2150" s="38"/>
      <c r="VQ2150" s="38"/>
      <c r="VR2150" s="38"/>
      <c r="VS2150" s="38"/>
      <c r="VT2150" s="38"/>
      <c r="VU2150" s="38"/>
      <c r="VV2150" s="38"/>
      <c r="VW2150" s="38"/>
      <c r="VX2150" s="38"/>
      <c r="VY2150" s="38"/>
      <c r="VZ2150" s="38"/>
      <c r="WA2150" s="38"/>
      <c r="WB2150" s="38"/>
      <c r="WC2150" s="38"/>
      <c r="WD2150" s="38"/>
      <c r="WE2150" s="38"/>
      <c r="WF2150" s="38"/>
      <c r="WG2150" s="38"/>
      <c r="WH2150" s="38"/>
      <c r="WI2150" s="38"/>
      <c r="WJ2150" s="38"/>
      <c r="WK2150" s="38"/>
      <c r="WL2150" s="38"/>
      <c r="WM2150" s="38"/>
      <c r="WN2150" s="38"/>
      <c r="WO2150" s="38"/>
      <c r="WP2150" s="38"/>
      <c r="WQ2150" s="38"/>
      <c r="WR2150" s="38"/>
      <c r="WS2150" s="38"/>
      <c r="WT2150" s="38"/>
      <c r="WU2150" s="38"/>
      <c r="WV2150" s="38"/>
      <c r="WW2150" s="38"/>
      <c r="WX2150" s="38"/>
      <c r="WY2150" s="38"/>
      <c r="WZ2150" s="38"/>
      <c r="XA2150" s="38"/>
      <c r="XB2150" s="38"/>
      <c r="XC2150" s="38"/>
      <c r="XD2150" s="38"/>
      <c r="XE2150" s="38"/>
      <c r="XF2150" s="38"/>
      <c r="XG2150" s="38"/>
      <c r="XH2150" s="38"/>
      <c r="XI2150" s="38"/>
      <c r="XJ2150" s="38"/>
      <c r="XK2150" s="38"/>
      <c r="XL2150" s="38"/>
      <c r="XM2150" s="38"/>
      <c r="XN2150" s="38"/>
      <c r="XO2150" s="38"/>
      <c r="XP2150" s="38"/>
      <c r="XQ2150" s="38"/>
      <c r="XR2150" s="38"/>
      <c r="XS2150" s="38"/>
      <c r="XT2150" s="38"/>
      <c r="XU2150" s="38"/>
      <c r="XV2150" s="38"/>
      <c r="XW2150" s="38"/>
      <c r="XX2150" s="38"/>
      <c r="XY2150" s="38"/>
      <c r="XZ2150" s="38"/>
      <c r="YA2150" s="38"/>
      <c r="YB2150" s="38"/>
      <c r="YC2150" s="38"/>
      <c r="YD2150" s="38"/>
      <c r="YE2150" s="38"/>
      <c r="YF2150" s="38"/>
      <c r="YG2150" s="38"/>
      <c r="YH2150" s="38"/>
      <c r="YI2150" s="38"/>
      <c r="YJ2150" s="38"/>
      <c r="YK2150" s="38"/>
      <c r="YL2150" s="38"/>
      <c r="YM2150" s="38"/>
      <c r="YN2150" s="38"/>
      <c r="YO2150" s="38"/>
      <c r="YP2150" s="38"/>
      <c r="YQ2150" s="38"/>
      <c r="YR2150" s="38"/>
      <c r="YS2150" s="38"/>
      <c r="YT2150" s="38"/>
      <c r="YU2150" s="38"/>
      <c r="YV2150" s="38"/>
      <c r="YW2150" s="38"/>
      <c r="YX2150" s="38"/>
      <c r="YY2150" s="38"/>
      <c r="YZ2150" s="38"/>
      <c r="ZA2150" s="38"/>
      <c r="ZB2150" s="38"/>
      <c r="ZC2150" s="38"/>
      <c r="ZD2150" s="38"/>
      <c r="ZE2150" s="38"/>
      <c r="ZF2150" s="38"/>
      <c r="ZG2150" s="38"/>
      <c r="ZH2150" s="38"/>
      <c r="ZI2150" s="38"/>
      <c r="ZJ2150" s="38"/>
      <c r="ZK2150" s="38"/>
      <c r="ZL2150" s="38"/>
      <c r="ZM2150" s="38"/>
      <c r="ZN2150" s="38"/>
      <c r="ZO2150" s="38"/>
      <c r="ZP2150" s="38"/>
      <c r="ZQ2150" s="38"/>
      <c r="ZR2150" s="38"/>
      <c r="ZS2150" s="38"/>
      <c r="ZT2150" s="38"/>
      <c r="ZU2150" s="38"/>
      <c r="ZV2150" s="38"/>
      <c r="ZW2150" s="38"/>
      <c r="ZX2150" s="38"/>
      <c r="ZY2150" s="38"/>
      <c r="ZZ2150" s="38"/>
      <c r="AAA2150" s="38"/>
      <c r="AAB2150" s="38"/>
      <c r="AAC2150" s="38"/>
      <c r="AAD2150" s="38"/>
      <c r="AAE2150" s="38"/>
      <c r="AAF2150" s="38"/>
      <c r="AAG2150" s="38"/>
      <c r="AAH2150" s="38"/>
      <c r="AAI2150" s="38"/>
      <c r="AAJ2150" s="38"/>
      <c r="AAK2150" s="38"/>
      <c r="AAL2150" s="38"/>
      <c r="AAM2150" s="38"/>
      <c r="AAN2150" s="38"/>
      <c r="AAO2150" s="38"/>
      <c r="AAP2150" s="38"/>
      <c r="AAQ2150" s="38"/>
      <c r="AAR2150" s="38"/>
      <c r="AAS2150" s="38"/>
      <c r="AAT2150" s="38"/>
      <c r="AAU2150" s="38"/>
      <c r="AAV2150" s="38"/>
      <c r="AAW2150" s="38"/>
      <c r="AAX2150" s="38"/>
      <c r="AAY2150" s="38"/>
      <c r="AAZ2150" s="38"/>
      <c r="ABA2150" s="38"/>
      <c r="ABB2150" s="38"/>
      <c r="ABC2150" s="38"/>
      <c r="ABD2150" s="38"/>
      <c r="ABE2150" s="38"/>
      <c r="ABF2150" s="38"/>
      <c r="ABG2150" s="38"/>
      <c r="ABH2150" s="38"/>
      <c r="ABI2150" s="38"/>
      <c r="ABJ2150" s="38"/>
      <c r="ABK2150" s="38"/>
      <c r="ABL2150" s="38"/>
      <c r="ABM2150" s="38"/>
      <c r="ABN2150" s="38"/>
      <c r="ABO2150" s="38"/>
      <c r="ABP2150" s="38"/>
      <c r="ABQ2150" s="38"/>
      <c r="ABR2150" s="38"/>
      <c r="ABS2150" s="38"/>
      <c r="ABT2150" s="38"/>
      <c r="ABU2150" s="38"/>
      <c r="ABV2150" s="38"/>
      <c r="ABW2150" s="38"/>
      <c r="ABX2150" s="38"/>
      <c r="ABY2150" s="38"/>
      <c r="ABZ2150" s="38"/>
      <c r="ACA2150" s="38"/>
      <c r="ACB2150" s="38"/>
      <c r="ACC2150" s="38"/>
      <c r="ACD2150" s="38"/>
      <c r="ACE2150" s="38"/>
      <c r="ACF2150" s="38"/>
      <c r="ACG2150" s="38"/>
      <c r="ACH2150" s="38"/>
      <c r="ACI2150" s="38"/>
      <c r="ACJ2150" s="38"/>
      <c r="ACK2150" s="38"/>
      <c r="ACL2150" s="38"/>
      <c r="ACM2150" s="38"/>
      <c r="ACN2150" s="38"/>
      <c r="ACO2150" s="38"/>
      <c r="ACP2150" s="38"/>
      <c r="ACQ2150" s="38"/>
      <c r="ACR2150" s="38"/>
      <c r="ACS2150" s="38"/>
      <c r="ACT2150" s="38"/>
      <c r="ACU2150" s="38"/>
      <c r="ACV2150" s="38"/>
      <c r="ACW2150" s="38"/>
      <c r="ACX2150" s="38"/>
      <c r="ACY2150" s="38"/>
      <c r="ACZ2150" s="38"/>
      <c r="ADA2150" s="38"/>
      <c r="ADB2150" s="38"/>
      <c r="ADC2150" s="38"/>
      <c r="ADD2150" s="38"/>
      <c r="ADE2150" s="38"/>
      <c r="ADF2150" s="38"/>
      <c r="ADG2150" s="38"/>
      <c r="ADH2150" s="38"/>
      <c r="ADI2150" s="38"/>
      <c r="ADJ2150" s="38"/>
      <c r="ADK2150" s="38"/>
      <c r="ADL2150" s="38"/>
      <c r="ADM2150" s="38"/>
      <c r="ADN2150" s="38"/>
      <c r="ADO2150" s="38"/>
      <c r="ADP2150" s="38"/>
      <c r="ADQ2150" s="38"/>
      <c r="ADR2150" s="38"/>
      <c r="ADS2150" s="38"/>
      <c r="ADT2150" s="38"/>
      <c r="ADU2150" s="38"/>
      <c r="ADV2150" s="38"/>
      <c r="ADW2150" s="38"/>
      <c r="ADX2150" s="38"/>
      <c r="ADY2150" s="38"/>
      <c r="ADZ2150" s="38"/>
      <c r="AEA2150" s="38"/>
      <c r="AEB2150" s="38"/>
      <c r="AEC2150" s="38"/>
      <c r="AED2150" s="38"/>
      <c r="AEE2150" s="38"/>
      <c r="AEF2150" s="38"/>
      <c r="AEG2150" s="38"/>
      <c r="AEH2150" s="38"/>
      <c r="AEI2150" s="38"/>
      <c r="AEJ2150" s="38"/>
      <c r="AEK2150" s="38"/>
      <c r="AEL2150" s="38"/>
      <c r="AEM2150" s="38"/>
      <c r="AEN2150" s="38"/>
      <c r="AEO2150" s="38"/>
      <c r="AEP2150" s="38"/>
      <c r="AEQ2150" s="38"/>
      <c r="AER2150" s="38"/>
      <c r="AES2150" s="38"/>
      <c r="AET2150" s="38"/>
      <c r="AEU2150" s="38"/>
      <c r="AEV2150" s="38"/>
      <c r="AEW2150" s="38"/>
      <c r="AEX2150" s="38"/>
      <c r="AEY2150" s="38"/>
      <c r="AEZ2150" s="38"/>
      <c r="AFA2150" s="38"/>
      <c r="AFB2150" s="38"/>
      <c r="AFC2150" s="38"/>
      <c r="AFD2150" s="38"/>
      <c r="AFE2150" s="38"/>
      <c r="AFF2150" s="38"/>
      <c r="AFG2150" s="38"/>
      <c r="AFH2150" s="38"/>
      <c r="AFI2150" s="38"/>
      <c r="AFJ2150" s="38"/>
      <c r="AFK2150" s="38"/>
      <c r="AFL2150" s="38"/>
      <c r="AFM2150" s="38"/>
      <c r="AFN2150" s="38"/>
      <c r="AFO2150" s="38"/>
      <c r="AFP2150" s="38"/>
      <c r="AFQ2150" s="38"/>
      <c r="AFR2150" s="38"/>
      <c r="AFS2150" s="38"/>
      <c r="AFT2150" s="38"/>
      <c r="AFU2150" s="38"/>
      <c r="AFV2150" s="38"/>
      <c r="AFW2150" s="38"/>
      <c r="AFX2150" s="38"/>
      <c r="AFY2150" s="38"/>
      <c r="AFZ2150" s="38"/>
      <c r="AGA2150" s="38"/>
      <c r="AGB2150" s="38"/>
      <c r="AGC2150" s="38"/>
      <c r="AGD2150" s="38"/>
      <c r="AGE2150" s="38"/>
      <c r="AGF2150" s="38"/>
      <c r="AGG2150" s="38"/>
      <c r="AGH2150" s="38"/>
      <c r="AGI2150" s="38"/>
      <c r="AGJ2150" s="38"/>
      <c r="AGK2150" s="38"/>
      <c r="AGL2150" s="38"/>
      <c r="AGM2150" s="38"/>
      <c r="AGN2150" s="38"/>
      <c r="AGO2150" s="38"/>
      <c r="AGP2150" s="38"/>
      <c r="AGQ2150" s="38"/>
      <c r="AGR2150" s="38"/>
      <c r="AGS2150" s="38"/>
      <c r="AGT2150" s="38"/>
      <c r="AGU2150" s="38"/>
      <c r="AGV2150" s="38"/>
      <c r="AGW2150" s="38"/>
      <c r="AGX2150" s="38"/>
      <c r="AGY2150" s="38"/>
      <c r="AGZ2150" s="38"/>
      <c r="AHA2150" s="38"/>
      <c r="AHB2150" s="38"/>
      <c r="AHC2150" s="38"/>
      <c r="AHD2150" s="38"/>
      <c r="AHE2150" s="38"/>
      <c r="AHF2150" s="38"/>
      <c r="AHG2150" s="38"/>
      <c r="AHH2150" s="38"/>
      <c r="AHI2150" s="38"/>
      <c r="AHJ2150" s="38"/>
      <c r="AHK2150" s="38"/>
      <c r="AHL2150" s="38"/>
      <c r="AHM2150" s="38"/>
      <c r="AHN2150" s="38"/>
      <c r="AHO2150" s="38"/>
      <c r="AHP2150" s="38"/>
      <c r="AHQ2150" s="38"/>
      <c r="AHR2150" s="38"/>
      <c r="AHS2150" s="38"/>
      <c r="AHT2150" s="38"/>
      <c r="AHU2150" s="38"/>
      <c r="AHV2150" s="38"/>
      <c r="AHW2150" s="38"/>
      <c r="AHX2150" s="38"/>
      <c r="AHY2150" s="38"/>
      <c r="AHZ2150" s="38"/>
      <c r="AIA2150" s="38"/>
      <c r="AIB2150" s="38"/>
      <c r="AIC2150" s="38"/>
      <c r="AID2150" s="38"/>
      <c r="AIE2150" s="38"/>
      <c r="AIF2150" s="38"/>
      <c r="AIG2150" s="38"/>
      <c r="AIH2150" s="38"/>
      <c r="AII2150" s="38"/>
      <c r="AIJ2150" s="38"/>
      <c r="AIK2150" s="38"/>
      <c r="AIL2150" s="38"/>
      <c r="AIM2150" s="38"/>
      <c r="AIN2150" s="38"/>
      <c r="AIO2150" s="38"/>
      <c r="AIP2150" s="38"/>
      <c r="AIQ2150" s="38"/>
      <c r="AIR2150" s="38"/>
      <c r="AIS2150" s="38"/>
      <c r="AIT2150" s="38"/>
      <c r="AIU2150" s="38"/>
      <c r="AIV2150" s="38"/>
      <c r="AIW2150" s="38"/>
      <c r="AIX2150" s="38"/>
      <c r="AIY2150" s="38"/>
      <c r="AIZ2150" s="38"/>
      <c r="AJA2150" s="38"/>
      <c r="AJB2150" s="38"/>
      <c r="AJC2150" s="38"/>
      <c r="AJD2150" s="38"/>
      <c r="AJE2150" s="38"/>
      <c r="AJF2150" s="38"/>
      <c r="AJG2150" s="38"/>
      <c r="AJH2150" s="38"/>
      <c r="AJI2150" s="38"/>
      <c r="AJJ2150" s="38"/>
      <c r="AJK2150" s="38"/>
      <c r="AJL2150" s="38"/>
      <c r="AJM2150" s="38"/>
      <c r="AJN2150" s="38"/>
      <c r="AJO2150" s="38"/>
      <c r="AJP2150" s="38"/>
      <c r="AJQ2150" s="38"/>
      <c r="AJR2150" s="38"/>
      <c r="AJS2150" s="38"/>
      <c r="AJT2150" s="38"/>
      <c r="AJU2150" s="38"/>
      <c r="AJV2150" s="38"/>
      <c r="AJW2150" s="38"/>
      <c r="AJX2150" s="38"/>
      <c r="AJY2150" s="38"/>
      <c r="AJZ2150" s="38"/>
      <c r="AKA2150" s="38"/>
      <c r="AKB2150" s="38"/>
      <c r="AKC2150" s="38"/>
      <c r="AKD2150" s="38"/>
      <c r="AKE2150" s="38"/>
      <c r="AKF2150" s="38"/>
      <c r="AKG2150" s="38"/>
      <c r="AKH2150" s="38"/>
      <c r="AKI2150" s="38"/>
      <c r="AKJ2150" s="38"/>
      <c r="AKK2150" s="38"/>
      <c r="AKL2150" s="38"/>
      <c r="AKM2150" s="38"/>
      <c r="AKN2150" s="38"/>
      <c r="AKO2150" s="38"/>
      <c r="AKP2150" s="38"/>
      <c r="AKQ2150" s="38"/>
      <c r="AKR2150" s="38"/>
      <c r="AKS2150" s="38"/>
      <c r="AKT2150" s="38"/>
      <c r="AKU2150" s="38"/>
      <c r="AKV2150" s="38"/>
      <c r="AKW2150" s="38"/>
      <c r="AKX2150" s="38"/>
      <c r="AKY2150" s="38"/>
      <c r="AKZ2150" s="38"/>
      <c r="ALA2150" s="38"/>
      <c r="ALB2150" s="38"/>
      <c r="ALC2150" s="38"/>
      <c r="ALD2150" s="38"/>
      <c r="ALE2150" s="38"/>
      <c r="ALF2150" s="38"/>
      <c r="ALG2150" s="38"/>
      <c r="ALH2150" s="38"/>
      <c r="ALI2150" s="38"/>
      <c r="ALJ2150" s="38"/>
      <c r="ALK2150" s="38"/>
      <c r="ALL2150" s="38"/>
      <c r="ALM2150" s="38"/>
      <c r="ALN2150" s="38"/>
      <c r="ALO2150" s="38"/>
      <c r="ALP2150" s="38"/>
      <c r="ALQ2150" s="38"/>
      <c r="ALR2150" s="38"/>
      <c r="ALS2150" s="38"/>
      <c r="ALT2150" s="38"/>
      <c r="ALU2150" s="38"/>
      <c r="ALV2150" s="38"/>
      <c r="ALW2150" s="38"/>
      <c r="ALX2150" s="38"/>
      <c r="ALY2150" s="38"/>
      <c r="ALZ2150" s="38"/>
      <c r="AMA2150" s="38"/>
      <c r="AMB2150" s="38"/>
      <c r="AMC2150" s="38"/>
      <c r="AMD2150" s="38"/>
      <c r="AME2150" s="38"/>
      <c r="AMF2150" s="38"/>
      <c r="AMG2150" s="38"/>
      <c r="AMH2150" s="38"/>
      <c r="AMI2150" s="38"/>
      <c r="AMJ2150" s="38"/>
      <c r="AMK2150" s="38"/>
      <c r="AML2150" s="38"/>
      <c r="AMM2150" s="38"/>
      <c r="AMN2150" s="38"/>
      <c r="AMO2150" s="38"/>
      <c r="AMP2150" s="38"/>
      <c r="AMQ2150" s="38"/>
      <c r="AMR2150" s="38"/>
      <c r="AMS2150" s="38"/>
      <c r="AMT2150" s="38"/>
      <c r="AMU2150" s="38"/>
      <c r="AMV2150" s="38"/>
      <c r="AMW2150" s="38"/>
      <c r="AMX2150" s="38"/>
      <c r="AMY2150" s="38"/>
      <c r="AMZ2150" s="38"/>
      <c r="ANA2150" s="38"/>
      <c r="ANB2150" s="38"/>
      <c r="ANC2150" s="38"/>
      <c r="AND2150" s="38"/>
      <c r="ANE2150" s="38"/>
      <c r="ANF2150" s="38"/>
      <c r="ANG2150" s="38"/>
      <c r="ANH2150" s="38"/>
      <c r="ANI2150" s="38"/>
      <c r="ANJ2150" s="38"/>
      <c r="ANK2150" s="38"/>
      <c r="ANL2150" s="38"/>
      <c r="ANM2150" s="38"/>
      <c r="ANN2150" s="38"/>
      <c r="ANO2150" s="38"/>
      <c r="ANP2150" s="38"/>
      <c r="ANQ2150" s="38"/>
      <c r="ANR2150" s="38"/>
      <c r="ANS2150" s="38"/>
      <c r="ANT2150" s="38"/>
      <c r="ANU2150" s="38"/>
      <c r="ANV2150" s="38"/>
      <c r="ANW2150" s="38"/>
      <c r="ANX2150" s="38"/>
      <c r="ANY2150" s="38"/>
      <c r="ANZ2150" s="38"/>
      <c r="AOA2150" s="38"/>
      <c r="AOB2150" s="38"/>
      <c r="AOC2150" s="38"/>
      <c r="AOD2150" s="38"/>
      <c r="AOE2150" s="38"/>
      <c r="AOF2150" s="38"/>
      <c r="AOG2150" s="38"/>
      <c r="AOH2150" s="38"/>
      <c r="AOI2150" s="38"/>
      <c r="AOJ2150" s="38"/>
      <c r="AOK2150" s="38"/>
      <c r="AOL2150" s="38"/>
      <c r="AOM2150" s="38"/>
      <c r="AON2150" s="38"/>
      <c r="AOO2150" s="38"/>
      <c r="AOP2150" s="38"/>
      <c r="AOQ2150" s="38"/>
      <c r="AOR2150" s="38"/>
      <c r="AOS2150" s="38"/>
      <c r="AOT2150" s="38"/>
      <c r="AOU2150" s="38"/>
      <c r="AOV2150" s="38"/>
      <c r="AOW2150" s="38"/>
      <c r="AOX2150" s="38"/>
      <c r="AOY2150" s="38"/>
      <c r="AOZ2150" s="38"/>
      <c r="APA2150" s="38"/>
      <c r="APB2150" s="38"/>
      <c r="APC2150" s="38"/>
    </row>
    <row r="2151" spans="1:1095" s="36" customFormat="1" ht="14.25" customHeight="1">
      <c r="A2151" s="3" t="s">
        <v>1722</v>
      </c>
      <c r="B2151" s="36" t="s">
        <v>2588</v>
      </c>
      <c r="C2151" s="10">
        <v>4058075092037</v>
      </c>
      <c r="D2151" s="224">
        <v>4058075092037</v>
      </c>
      <c r="E2151" s="245" t="s">
        <v>2589</v>
      </c>
      <c r="F2151" s="246"/>
      <c r="G2151" s="66" t="str">
        <f>HYPERLINK("https://ledvance.com/pt/product-datasheet/275551/59564","Ficha de Produto")</f>
        <v>Ficha de Produto</v>
      </c>
      <c r="H2151" s="217">
        <v>4</v>
      </c>
      <c r="I2151" s="34" t="s">
        <v>6354</v>
      </c>
      <c r="J2151" s="34" t="s">
        <v>855</v>
      </c>
      <c r="K2151" s="34" t="s">
        <v>788</v>
      </c>
      <c r="L2151" s="34" t="s">
        <v>793</v>
      </c>
      <c r="M2151" s="247">
        <v>26.3</v>
      </c>
      <c r="N2151" s="288" t="s">
        <v>722</v>
      </c>
    </row>
    <row r="2152" spans="1:1095" s="36" customFormat="1" ht="14.25" customHeight="1">
      <c r="A2152" s="3" t="s">
        <v>1722</v>
      </c>
      <c r="B2152" s="36" t="s">
        <v>2590</v>
      </c>
      <c r="C2152" s="10">
        <v>4058075091955</v>
      </c>
      <c r="D2152" s="224">
        <v>4058075091955</v>
      </c>
      <c r="E2152" s="245" t="s">
        <v>2591</v>
      </c>
      <c r="F2152" s="246"/>
      <c r="G2152" s="66" t="str">
        <f>HYPERLINK("https://ledvance.com/pt/product-datasheet/275551/77109","Ficha de Produto")</f>
        <v>Ficha de Produto</v>
      </c>
      <c r="H2152" s="217">
        <v>4</v>
      </c>
      <c r="I2152" s="34" t="s">
        <v>6354</v>
      </c>
      <c r="J2152" s="34" t="s">
        <v>855</v>
      </c>
      <c r="K2152" s="34" t="s">
        <v>788</v>
      </c>
      <c r="L2152" s="34" t="s">
        <v>793</v>
      </c>
      <c r="M2152" s="247">
        <v>26.3</v>
      </c>
      <c r="N2152" s="288" t="s">
        <v>722</v>
      </c>
    </row>
    <row r="2153" spans="1:1095" s="39" customFormat="1" ht="14.25" customHeight="1">
      <c r="A2153" s="8" t="s">
        <v>1722</v>
      </c>
      <c r="B2153" s="39" t="s">
        <v>2592</v>
      </c>
      <c r="C2153" s="8"/>
      <c r="D2153" s="7"/>
      <c r="E2153" s="230"/>
      <c r="F2153" s="7"/>
      <c r="G2153" s="68" t="s">
        <v>6505</v>
      </c>
      <c r="H2153" s="230"/>
      <c r="I2153" s="230"/>
      <c r="J2153" s="230"/>
      <c r="K2153" s="230"/>
      <c r="L2153" s="230"/>
      <c r="M2153" s="248"/>
      <c r="N2153" s="284"/>
      <c r="O2153" s="38"/>
      <c r="P2153" s="38"/>
      <c r="Q2153" s="38"/>
      <c r="R2153" s="38"/>
      <c r="S2153" s="38"/>
      <c r="T2153" s="38"/>
      <c r="U2153" s="38"/>
      <c r="V2153" s="38"/>
      <c r="W2153" s="38"/>
      <c r="X2153" s="38"/>
      <c r="Y2153" s="38"/>
      <c r="Z2153" s="38"/>
      <c r="AA2153" s="38"/>
      <c r="AB2153" s="38"/>
      <c r="AC2153" s="38"/>
      <c r="AD2153" s="38"/>
      <c r="AE2153" s="38"/>
      <c r="AF2153" s="38"/>
      <c r="AG2153" s="38"/>
      <c r="AH2153" s="38"/>
      <c r="AI2153" s="38"/>
      <c r="AJ2153" s="38"/>
      <c r="AK2153" s="38"/>
      <c r="AL2153" s="38"/>
      <c r="AM2153" s="38"/>
      <c r="AN2153" s="38"/>
      <c r="AO2153" s="38"/>
      <c r="AP2153" s="38"/>
      <c r="AQ2153" s="38"/>
      <c r="AR2153" s="38"/>
      <c r="AS2153" s="38"/>
      <c r="AT2153" s="38"/>
      <c r="AU2153" s="38"/>
      <c r="AV2153" s="38"/>
      <c r="AW2153" s="38"/>
      <c r="AX2153" s="38"/>
      <c r="AY2153" s="38"/>
      <c r="AZ2153" s="38"/>
      <c r="BA2153" s="38"/>
      <c r="BB2153" s="38"/>
      <c r="BC2153" s="38"/>
      <c r="BD2153" s="38"/>
      <c r="BE2153" s="38"/>
      <c r="BF2153" s="38"/>
      <c r="BG2153" s="38"/>
      <c r="BH2153" s="38"/>
      <c r="BI2153" s="38"/>
      <c r="BJ2153" s="38"/>
      <c r="BK2153" s="38"/>
      <c r="BL2153" s="38"/>
      <c r="BM2153" s="38"/>
      <c r="BN2153" s="38"/>
      <c r="BO2153" s="38"/>
      <c r="BP2153" s="38"/>
      <c r="BQ2153" s="38"/>
      <c r="BR2153" s="38"/>
      <c r="BS2153" s="38"/>
      <c r="BT2153" s="38"/>
      <c r="BU2153" s="38"/>
      <c r="BV2153" s="38"/>
      <c r="BW2153" s="38"/>
      <c r="BX2153" s="38"/>
      <c r="BY2153" s="38"/>
      <c r="BZ2153" s="38"/>
      <c r="CA2153" s="38"/>
      <c r="CB2153" s="38"/>
      <c r="CC2153" s="38"/>
      <c r="CD2153" s="38"/>
      <c r="CE2153" s="38"/>
      <c r="CF2153" s="38"/>
      <c r="CG2153" s="38"/>
      <c r="CH2153" s="38"/>
      <c r="CI2153" s="38"/>
      <c r="CJ2153" s="38"/>
      <c r="CK2153" s="38"/>
      <c r="CL2153" s="38"/>
      <c r="CM2153" s="38"/>
      <c r="CN2153" s="38"/>
      <c r="CO2153" s="38"/>
      <c r="CP2153" s="38"/>
      <c r="CQ2153" s="38"/>
      <c r="CR2153" s="38"/>
      <c r="CS2153" s="38"/>
      <c r="CT2153" s="38"/>
      <c r="CU2153" s="38"/>
      <c r="CV2153" s="38"/>
      <c r="CW2153" s="38"/>
      <c r="CX2153" s="38"/>
      <c r="CY2153" s="38"/>
      <c r="CZ2153" s="38"/>
      <c r="DA2153" s="38"/>
      <c r="DB2153" s="38"/>
      <c r="DC2153" s="38"/>
      <c r="DD2153" s="38"/>
      <c r="DE2153" s="38"/>
      <c r="DF2153" s="38"/>
      <c r="DG2153" s="38"/>
      <c r="DH2153" s="38"/>
      <c r="DI2153" s="38"/>
      <c r="DJ2153" s="38"/>
      <c r="DK2153" s="38"/>
      <c r="DL2153" s="38"/>
      <c r="DM2153" s="38"/>
      <c r="DN2153" s="38"/>
      <c r="DO2153" s="38"/>
      <c r="DP2153" s="38"/>
      <c r="DQ2153" s="38"/>
      <c r="DR2153" s="38"/>
      <c r="DS2153" s="38"/>
      <c r="DT2153" s="38"/>
      <c r="DU2153" s="38"/>
      <c r="DV2153" s="38"/>
      <c r="DW2153" s="38"/>
      <c r="DX2153" s="38"/>
      <c r="DY2153" s="38"/>
      <c r="DZ2153" s="38"/>
      <c r="EA2153" s="38"/>
      <c r="EB2153" s="38"/>
      <c r="EC2153" s="38"/>
      <c r="ED2153" s="38"/>
      <c r="EE2153" s="38"/>
      <c r="EF2153" s="38"/>
      <c r="EG2153" s="38"/>
      <c r="EH2153" s="38"/>
      <c r="EI2153" s="38"/>
      <c r="EJ2153" s="38"/>
      <c r="EK2153" s="38"/>
      <c r="EL2153" s="38"/>
      <c r="EM2153" s="38"/>
      <c r="EN2153" s="38"/>
      <c r="EO2153" s="38"/>
      <c r="EP2153" s="38"/>
      <c r="EQ2153" s="38"/>
      <c r="ER2153" s="38"/>
      <c r="ES2153" s="38"/>
      <c r="ET2153" s="38"/>
      <c r="EU2153" s="38"/>
      <c r="EV2153" s="38"/>
      <c r="EW2153" s="38"/>
      <c r="EX2153" s="38"/>
      <c r="EY2153" s="38"/>
      <c r="EZ2153" s="38"/>
      <c r="FA2153" s="38"/>
      <c r="FB2153" s="38"/>
      <c r="FC2153" s="38"/>
      <c r="FD2153" s="38"/>
      <c r="FE2153" s="38"/>
      <c r="FF2153" s="38"/>
      <c r="FG2153" s="38"/>
      <c r="FH2153" s="38"/>
      <c r="FI2153" s="38"/>
      <c r="FJ2153" s="38"/>
      <c r="FK2153" s="38"/>
      <c r="FL2153" s="38"/>
      <c r="FM2153" s="38"/>
      <c r="FN2153" s="38"/>
      <c r="FO2153" s="38"/>
      <c r="FP2153" s="38"/>
      <c r="FQ2153" s="38"/>
      <c r="FR2153" s="38"/>
      <c r="FS2153" s="38"/>
      <c r="FT2153" s="38"/>
      <c r="FU2153" s="38"/>
      <c r="FV2153" s="38"/>
      <c r="FW2153" s="38"/>
      <c r="FX2153" s="38"/>
      <c r="FY2153" s="38"/>
      <c r="FZ2153" s="38"/>
      <c r="GA2153" s="38"/>
      <c r="GB2153" s="38"/>
      <c r="GC2153" s="38"/>
      <c r="GD2153" s="38"/>
      <c r="GE2153" s="38"/>
      <c r="GF2153" s="38"/>
      <c r="GG2153" s="38"/>
      <c r="GH2153" s="38"/>
      <c r="GI2153" s="38"/>
      <c r="GJ2153" s="38"/>
      <c r="GK2153" s="38"/>
      <c r="GL2153" s="38"/>
      <c r="GM2153" s="38"/>
      <c r="GN2153" s="38"/>
      <c r="GO2153" s="38"/>
      <c r="GP2153" s="38"/>
      <c r="GQ2153" s="38"/>
      <c r="GR2153" s="38"/>
      <c r="GS2153" s="38"/>
      <c r="GT2153" s="38"/>
      <c r="GU2153" s="38"/>
      <c r="GV2153" s="38"/>
      <c r="GW2153" s="38"/>
      <c r="GX2153" s="38"/>
      <c r="GY2153" s="38"/>
      <c r="GZ2153" s="38"/>
      <c r="HA2153" s="38"/>
      <c r="HB2153" s="38"/>
      <c r="HC2153" s="38"/>
      <c r="HD2153" s="38"/>
      <c r="HE2153" s="38"/>
      <c r="HF2153" s="38"/>
      <c r="HG2153" s="38"/>
      <c r="HH2153" s="38"/>
      <c r="HI2153" s="38"/>
      <c r="HJ2153" s="38"/>
      <c r="HK2153" s="38"/>
      <c r="HL2153" s="38"/>
      <c r="HM2153" s="38"/>
      <c r="HN2153" s="38"/>
      <c r="HO2153" s="38"/>
      <c r="HP2153" s="38"/>
      <c r="HQ2153" s="38"/>
      <c r="HR2153" s="38"/>
      <c r="HS2153" s="38"/>
      <c r="HT2153" s="38"/>
      <c r="HU2153" s="38"/>
      <c r="HV2153" s="38"/>
      <c r="HW2153" s="38"/>
      <c r="HX2153" s="38"/>
      <c r="HY2153" s="38"/>
      <c r="HZ2153" s="38"/>
      <c r="IA2153" s="38"/>
      <c r="IB2153" s="38"/>
      <c r="IC2153" s="38"/>
      <c r="ID2153" s="38"/>
      <c r="IE2153" s="38"/>
      <c r="IF2153" s="38"/>
      <c r="IG2153" s="38"/>
      <c r="IH2153" s="38"/>
      <c r="II2153" s="38"/>
      <c r="IJ2153" s="38"/>
      <c r="IK2153" s="38"/>
      <c r="IL2153" s="38"/>
      <c r="IM2153" s="38"/>
      <c r="IN2153" s="38"/>
      <c r="IO2153" s="38"/>
      <c r="IP2153" s="38"/>
      <c r="IQ2153" s="38"/>
      <c r="IR2153" s="38"/>
      <c r="IS2153" s="38"/>
      <c r="IT2153" s="38"/>
      <c r="IU2153" s="38"/>
      <c r="IV2153" s="38"/>
      <c r="IW2153" s="38"/>
      <c r="IX2153" s="38"/>
      <c r="IY2153" s="38"/>
      <c r="IZ2153" s="38"/>
      <c r="JA2153" s="38"/>
      <c r="JB2153" s="38"/>
      <c r="JC2153" s="38"/>
      <c r="JD2153" s="38"/>
      <c r="JE2153" s="38"/>
      <c r="JF2153" s="38"/>
      <c r="JG2153" s="38"/>
      <c r="JH2153" s="38"/>
      <c r="JI2153" s="38"/>
      <c r="JJ2153" s="38"/>
      <c r="JK2153" s="38"/>
      <c r="JL2153" s="38"/>
      <c r="JM2153" s="38"/>
      <c r="JN2153" s="38"/>
      <c r="JO2153" s="38"/>
      <c r="JP2153" s="38"/>
      <c r="JQ2153" s="38"/>
      <c r="JR2153" s="38"/>
      <c r="JS2153" s="38"/>
      <c r="JT2153" s="38"/>
      <c r="JU2153" s="38"/>
      <c r="JV2153" s="38"/>
      <c r="JW2153" s="38"/>
      <c r="JX2153" s="38"/>
      <c r="JY2153" s="38"/>
      <c r="JZ2153" s="38"/>
      <c r="KA2153" s="38"/>
      <c r="KB2153" s="38"/>
      <c r="KC2153" s="38"/>
      <c r="KD2153" s="38"/>
      <c r="KE2153" s="38"/>
      <c r="KF2153" s="38"/>
      <c r="KG2153" s="38"/>
      <c r="KH2153" s="38"/>
      <c r="KI2153" s="38"/>
      <c r="KJ2153" s="38"/>
      <c r="KK2153" s="38"/>
      <c r="KL2153" s="38"/>
      <c r="KM2153" s="38"/>
      <c r="KN2153" s="38"/>
      <c r="KO2153" s="38"/>
      <c r="KP2153" s="38"/>
      <c r="KQ2153" s="38"/>
      <c r="KR2153" s="38"/>
      <c r="KS2153" s="38"/>
      <c r="KT2153" s="38"/>
      <c r="KU2153" s="38"/>
      <c r="KV2153" s="38"/>
      <c r="KW2153" s="38"/>
      <c r="KX2153" s="38"/>
      <c r="KY2153" s="38"/>
      <c r="KZ2153" s="38"/>
      <c r="LA2153" s="38"/>
      <c r="LB2153" s="38"/>
      <c r="LC2153" s="38"/>
      <c r="LD2153" s="38"/>
      <c r="LE2153" s="38"/>
      <c r="LF2153" s="38"/>
      <c r="LG2153" s="38"/>
      <c r="LH2153" s="38"/>
      <c r="LI2153" s="38"/>
      <c r="LJ2153" s="38"/>
      <c r="LK2153" s="38"/>
      <c r="LL2153" s="38"/>
      <c r="LM2153" s="38"/>
      <c r="LN2153" s="38"/>
      <c r="LO2153" s="38"/>
      <c r="LP2153" s="38"/>
      <c r="LQ2153" s="38"/>
      <c r="LR2153" s="38"/>
      <c r="LS2153" s="38"/>
      <c r="LT2153" s="38"/>
      <c r="LU2153" s="38"/>
      <c r="LV2153" s="38"/>
      <c r="LW2153" s="38"/>
      <c r="LX2153" s="38"/>
      <c r="LY2153" s="38"/>
      <c r="LZ2153" s="38"/>
      <c r="MA2153" s="38"/>
      <c r="MB2153" s="38"/>
      <c r="MC2153" s="38"/>
      <c r="MD2153" s="38"/>
      <c r="ME2153" s="38"/>
      <c r="MF2153" s="38"/>
      <c r="MG2153" s="38"/>
      <c r="MH2153" s="38"/>
      <c r="MI2153" s="38"/>
      <c r="MJ2153" s="38"/>
      <c r="MK2153" s="38"/>
      <c r="ML2153" s="38"/>
      <c r="MM2153" s="38"/>
      <c r="MN2153" s="38"/>
      <c r="MO2153" s="38"/>
      <c r="MP2153" s="38"/>
      <c r="MQ2153" s="38"/>
      <c r="MR2153" s="38"/>
      <c r="MS2153" s="38"/>
      <c r="MT2153" s="38"/>
      <c r="MU2153" s="38"/>
      <c r="MV2153" s="38"/>
      <c r="MW2153" s="38"/>
      <c r="MX2153" s="38"/>
      <c r="MY2153" s="38"/>
      <c r="MZ2153" s="38"/>
      <c r="NA2153" s="38"/>
      <c r="NB2153" s="38"/>
      <c r="NC2153" s="38"/>
      <c r="ND2153" s="38"/>
      <c r="NE2153" s="38"/>
      <c r="NF2153" s="38"/>
      <c r="NG2153" s="38"/>
      <c r="NH2153" s="38"/>
      <c r="NI2153" s="38"/>
      <c r="NJ2153" s="38"/>
      <c r="NK2153" s="38"/>
      <c r="NL2153" s="38"/>
      <c r="NM2153" s="38"/>
      <c r="NN2153" s="38"/>
      <c r="NO2153" s="38"/>
      <c r="NP2153" s="38"/>
      <c r="NQ2153" s="38"/>
      <c r="NR2153" s="38"/>
      <c r="NS2153" s="38"/>
      <c r="NT2153" s="38"/>
      <c r="NU2153" s="38"/>
      <c r="NV2153" s="38"/>
      <c r="NW2153" s="38"/>
      <c r="NX2153" s="38"/>
      <c r="NY2153" s="38"/>
      <c r="NZ2153" s="38"/>
      <c r="OA2153" s="38"/>
      <c r="OB2153" s="38"/>
      <c r="OC2153" s="38"/>
      <c r="OD2153" s="38"/>
      <c r="OE2153" s="38"/>
      <c r="OF2153" s="38"/>
      <c r="OG2153" s="38"/>
      <c r="OH2153" s="38"/>
      <c r="OI2153" s="38"/>
      <c r="OJ2153" s="38"/>
      <c r="OK2153" s="38"/>
      <c r="OL2153" s="38"/>
      <c r="OM2153" s="38"/>
      <c r="ON2153" s="38"/>
      <c r="OO2153" s="38"/>
      <c r="OP2153" s="38"/>
      <c r="OQ2153" s="38"/>
      <c r="OR2153" s="38"/>
      <c r="OS2153" s="38"/>
      <c r="OT2153" s="38"/>
      <c r="OU2153" s="38"/>
      <c r="OV2153" s="38"/>
      <c r="OW2153" s="38"/>
      <c r="OX2153" s="38"/>
      <c r="OY2153" s="38"/>
      <c r="OZ2153" s="38"/>
      <c r="PA2153" s="38"/>
      <c r="PB2153" s="38"/>
      <c r="PC2153" s="38"/>
      <c r="PD2153" s="38"/>
      <c r="PE2153" s="38"/>
      <c r="PF2153" s="38"/>
      <c r="PG2153" s="38"/>
      <c r="PH2153" s="38"/>
      <c r="PI2153" s="38"/>
      <c r="PJ2153" s="38"/>
      <c r="PK2153" s="38"/>
      <c r="PL2153" s="38"/>
      <c r="PM2153" s="38"/>
      <c r="PN2153" s="38"/>
      <c r="PO2153" s="38"/>
      <c r="PP2153" s="38"/>
      <c r="PQ2153" s="38"/>
      <c r="PR2153" s="38"/>
      <c r="PS2153" s="38"/>
      <c r="PT2153" s="38"/>
      <c r="PU2153" s="38"/>
      <c r="PV2153" s="38"/>
      <c r="PW2153" s="38"/>
      <c r="PX2153" s="38"/>
      <c r="PY2153" s="38"/>
      <c r="PZ2153" s="38"/>
      <c r="QA2153" s="38"/>
      <c r="QB2153" s="38"/>
      <c r="QC2153" s="38"/>
      <c r="QD2153" s="38"/>
      <c r="QE2153" s="38"/>
      <c r="QF2153" s="38"/>
      <c r="QG2153" s="38"/>
      <c r="QH2153" s="38"/>
      <c r="QI2153" s="38"/>
      <c r="QJ2153" s="38"/>
      <c r="QK2153" s="38"/>
      <c r="QL2153" s="38"/>
      <c r="QM2153" s="38"/>
      <c r="QN2153" s="38"/>
      <c r="QO2153" s="38"/>
      <c r="QP2153" s="38"/>
      <c r="QQ2153" s="38"/>
      <c r="QR2153" s="38"/>
      <c r="QS2153" s="38"/>
      <c r="QT2153" s="38"/>
      <c r="QU2153" s="38"/>
      <c r="QV2153" s="38"/>
      <c r="QW2153" s="38"/>
      <c r="QX2153" s="38"/>
      <c r="QY2153" s="38"/>
      <c r="QZ2153" s="38"/>
      <c r="RA2153" s="38"/>
      <c r="RB2153" s="38"/>
      <c r="RC2153" s="38"/>
      <c r="RD2153" s="38"/>
      <c r="RE2153" s="38"/>
      <c r="RF2153" s="38"/>
      <c r="RG2153" s="38"/>
      <c r="RH2153" s="38"/>
      <c r="RI2153" s="38"/>
      <c r="RJ2153" s="38"/>
      <c r="RK2153" s="38"/>
      <c r="RL2153" s="38"/>
      <c r="RM2153" s="38"/>
      <c r="RN2153" s="38"/>
      <c r="RO2153" s="38"/>
      <c r="RP2153" s="38"/>
      <c r="RQ2153" s="38"/>
      <c r="RR2153" s="38"/>
      <c r="RS2153" s="38"/>
      <c r="RT2153" s="38"/>
      <c r="RU2153" s="38"/>
      <c r="RV2153" s="38"/>
      <c r="RW2153" s="38"/>
      <c r="RX2153" s="38"/>
      <c r="RY2153" s="38"/>
      <c r="RZ2153" s="38"/>
      <c r="SA2153" s="38"/>
      <c r="SB2153" s="38"/>
      <c r="SC2153" s="38"/>
      <c r="SD2153" s="38"/>
      <c r="SE2153" s="38"/>
      <c r="SF2153" s="38"/>
      <c r="SG2153" s="38"/>
      <c r="SH2153" s="38"/>
      <c r="SI2153" s="38"/>
      <c r="SJ2153" s="38"/>
      <c r="SK2153" s="38"/>
      <c r="SL2153" s="38"/>
      <c r="SM2153" s="38"/>
      <c r="SN2153" s="38"/>
      <c r="SO2153" s="38"/>
      <c r="SP2153" s="38"/>
      <c r="SQ2153" s="38"/>
      <c r="SR2153" s="38"/>
      <c r="SS2153" s="38"/>
      <c r="ST2153" s="38"/>
      <c r="SU2153" s="38"/>
      <c r="SV2153" s="38"/>
      <c r="SW2153" s="38"/>
      <c r="SX2153" s="38"/>
      <c r="SY2153" s="38"/>
      <c r="SZ2153" s="38"/>
      <c r="TA2153" s="38"/>
      <c r="TB2153" s="38"/>
      <c r="TC2153" s="38"/>
      <c r="TD2153" s="38"/>
      <c r="TE2153" s="38"/>
      <c r="TF2153" s="38"/>
      <c r="TG2153" s="38"/>
      <c r="TH2153" s="38"/>
      <c r="TI2153" s="38"/>
      <c r="TJ2153" s="38"/>
      <c r="TK2153" s="38"/>
      <c r="TL2153" s="38"/>
      <c r="TM2153" s="38"/>
      <c r="TN2153" s="38"/>
      <c r="TO2153" s="38"/>
      <c r="TP2153" s="38"/>
      <c r="TQ2153" s="38"/>
      <c r="TR2153" s="38"/>
      <c r="TS2153" s="38"/>
      <c r="TT2153" s="38"/>
      <c r="TU2153" s="38"/>
      <c r="TV2153" s="38"/>
      <c r="TW2153" s="38"/>
      <c r="TX2153" s="38"/>
      <c r="TY2153" s="38"/>
      <c r="TZ2153" s="38"/>
      <c r="UA2153" s="38"/>
      <c r="UB2153" s="38"/>
      <c r="UC2153" s="38"/>
      <c r="UD2153" s="38"/>
      <c r="UE2153" s="38"/>
      <c r="UF2153" s="38"/>
      <c r="UG2153" s="38"/>
      <c r="UH2153" s="38"/>
      <c r="UI2153" s="38"/>
      <c r="UJ2153" s="38"/>
      <c r="UK2153" s="38"/>
      <c r="UL2153" s="38"/>
      <c r="UM2153" s="38"/>
      <c r="UN2153" s="38"/>
      <c r="UO2153" s="38"/>
      <c r="UP2153" s="38"/>
      <c r="UQ2153" s="38"/>
      <c r="UR2153" s="38"/>
      <c r="US2153" s="38"/>
      <c r="UT2153" s="38"/>
      <c r="UU2153" s="38"/>
      <c r="UV2153" s="38"/>
      <c r="UW2153" s="38"/>
      <c r="UX2153" s="38"/>
      <c r="UY2153" s="38"/>
      <c r="UZ2153" s="38"/>
      <c r="VA2153" s="38"/>
      <c r="VB2153" s="38"/>
      <c r="VC2153" s="38"/>
      <c r="VD2153" s="38"/>
      <c r="VE2153" s="38"/>
      <c r="VF2153" s="38"/>
      <c r="VG2153" s="38"/>
      <c r="VH2153" s="38"/>
      <c r="VI2153" s="38"/>
      <c r="VJ2153" s="38"/>
      <c r="VK2153" s="38"/>
      <c r="VL2153" s="38"/>
      <c r="VM2153" s="38"/>
      <c r="VN2153" s="38"/>
      <c r="VO2153" s="38"/>
      <c r="VP2153" s="38"/>
      <c r="VQ2153" s="38"/>
      <c r="VR2153" s="38"/>
      <c r="VS2153" s="38"/>
      <c r="VT2153" s="38"/>
      <c r="VU2153" s="38"/>
      <c r="VV2153" s="38"/>
      <c r="VW2153" s="38"/>
      <c r="VX2153" s="38"/>
      <c r="VY2153" s="38"/>
      <c r="VZ2153" s="38"/>
      <c r="WA2153" s="38"/>
      <c r="WB2153" s="38"/>
      <c r="WC2153" s="38"/>
      <c r="WD2153" s="38"/>
      <c r="WE2153" s="38"/>
      <c r="WF2153" s="38"/>
      <c r="WG2153" s="38"/>
      <c r="WH2153" s="38"/>
      <c r="WI2153" s="38"/>
      <c r="WJ2153" s="38"/>
      <c r="WK2153" s="38"/>
      <c r="WL2153" s="38"/>
      <c r="WM2153" s="38"/>
      <c r="WN2153" s="38"/>
      <c r="WO2153" s="38"/>
      <c r="WP2153" s="38"/>
      <c r="WQ2153" s="38"/>
      <c r="WR2153" s="38"/>
      <c r="WS2153" s="38"/>
      <c r="WT2153" s="38"/>
      <c r="WU2153" s="38"/>
      <c r="WV2153" s="38"/>
      <c r="WW2153" s="38"/>
      <c r="WX2153" s="38"/>
      <c r="WY2153" s="38"/>
      <c r="WZ2153" s="38"/>
      <c r="XA2153" s="38"/>
      <c r="XB2153" s="38"/>
      <c r="XC2153" s="38"/>
      <c r="XD2153" s="38"/>
      <c r="XE2153" s="38"/>
      <c r="XF2153" s="38"/>
      <c r="XG2153" s="38"/>
      <c r="XH2153" s="38"/>
      <c r="XI2153" s="38"/>
      <c r="XJ2153" s="38"/>
      <c r="XK2153" s="38"/>
      <c r="XL2153" s="38"/>
      <c r="XM2153" s="38"/>
      <c r="XN2153" s="38"/>
      <c r="XO2153" s="38"/>
      <c r="XP2153" s="38"/>
      <c r="XQ2153" s="38"/>
      <c r="XR2153" s="38"/>
      <c r="XS2153" s="38"/>
      <c r="XT2153" s="38"/>
      <c r="XU2153" s="38"/>
      <c r="XV2153" s="38"/>
      <c r="XW2153" s="38"/>
      <c r="XX2153" s="38"/>
      <c r="XY2153" s="38"/>
      <c r="XZ2153" s="38"/>
      <c r="YA2153" s="38"/>
      <c r="YB2153" s="38"/>
      <c r="YC2153" s="38"/>
      <c r="YD2153" s="38"/>
      <c r="YE2153" s="38"/>
      <c r="YF2153" s="38"/>
      <c r="YG2153" s="38"/>
      <c r="YH2153" s="38"/>
      <c r="YI2153" s="38"/>
      <c r="YJ2153" s="38"/>
      <c r="YK2153" s="38"/>
      <c r="YL2153" s="38"/>
      <c r="YM2153" s="38"/>
      <c r="YN2153" s="38"/>
      <c r="YO2153" s="38"/>
      <c r="YP2153" s="38"/>
      <c r="YQ2153" s="38"/>
      <c r="YR2153" s="38"/>
      <c r="YS2153" s="38"/>
      <c r="YT2153" s="38"/>
      <c r="YU2153" s="38"/>
      <c r="YV2153" s="38"/>
      <c r="YW2153" s="38"/>
      <c r="YX2153" s="38"/>
      <c r="YY2153" s="38"/>
      <c r="YZ2153" s="38"/>
      <c r="ZA2153" s="38"/>
      <c r="ZB2153" s="38"/>
      <c r="ZC2153" s="38"/>
      <c r="ZD2153" s="38"/>
      <c r="ZE2153" s="38"/>
      <c r="ZF2153" s="38"/>
      <c r="ZG2153" s="38"/>
      <c r="ZH2153" s="38"/>
      <c r="ZI2153" s="38"/>
      <c r="ZJ2153" s="38"/>
      <c r="ZK2153" s="38"/>
      <c r="ZL2153" s="38"/>
      <c r="ZM2153" s="38"/>
      <c r="ZN2153" s="38"/>
      <c r="ZO2153" s="38"/>
      <c r="ZP2153" s="38"/>
      <c r="ZQ2153" s="38"/>
      <c r="ZR2153" s="38"/>
      <c r="ZS2153" s="38"/>
      <c r="ZT2153" s="38"/>
      <c r="ZU2153" s="38"/>
      <c r="ZV2153" s="38"/>
      <c r="ZW2153" s="38"/>
      <c r="ZX2153" s="38"/>
      <c r="ZY2153" s="38"/>
      <c r="ZZ2153" s="38"/>
      <c r="AAA2153" s="38"/>
      <c r="AAB2153" s="38"/>
      <c r="AAC2153" s="38"/>
      <c r="AAD2153" s="38"/>
      <c r="AAE2153" s="38"/>
      <c r="AAF2153" s="38"/>
      <c r="AAG2153" s="38"/>
      <c r="AAH2153" s="38"/>
      <c r="AAI2153" s="38"/>
      <c r="AAJ2153" s="38"/>
      <c r="AAK2153" s="38"/>
      <c r="AAL2153" s="38"/>
      <c r="AAM2153" s="38"/>
      <c r="AAN2153" s="38"/>
      <c r="AAO2153" s="38"/>
      <c r="AAP2153" s="38"/>
      <c r="AAQ2153" s="38"/>
      <c r="AAR2153" s="38"/>
      <c r="AAS2153" s="38"/>
      <c r="AAT2153" s="38"/>
      <c r="AAU2153" s="38"/>
      <c r="AAV2153" s="38"/>
      <c r="AAW2153" s="38"/>
      <c r="AAX2153" s="38"/>
      <c r="AAY2153" s="38"/>
      <c r="AAZ2153" s="38"/>
      <c r="ABA2153" s="38"/>
      <c r="ABB2153" s="38"/>
      <c r="ABC2153" s="38"/>
      <c r="ABD2153" s="38"/>
      <c r="ABE2153" s="38"/>
      <c r="ABF2153" s="38"/>
      <c r="ABG2153" s="38"/>
      <c r="ABH2153" s="38"/>
      <c r="ABI2153" s="38"/>
      <c r="ABJ2153" s="38"/>
      <c r="ABK2153" s="38"/>
      <c r="ABL2153" s="38"/>
      <c r="ABM2153" s="38"/>
      <c r="ABN2153" s="38"/>
      <c r="ABO2153" s="38"/>
      <c r="ABP2153" s="38"/>
      <c r="ABQ2153" s="38"/>
      <c r="ABR2153" s="38"/>
      <c r="ABS2153" s="38"/>
      <c r="ABT2153" s="38"/>
      <c r="ABU2153" s="38"/>
      <c r="ABV2153" s="38"/>
      <c r="ABW2153" s="38"/>
      <c r="ABX2153" s="38"/>
      <c r="ABY2153" s="38"/>
      <c r="ABZ2153" s="38"/>
      <c r="ACA2153" s="38"/>
      <c r="ACB2153" s="38"/>
      <c r="ACC2153" s="38"/>
      <c r="ACD2153" s="38"/>
      <c r="ACE2153" s="38"/>
      <c r="ACF2153" s="38"/>
      <c r="ACG2153" s="38"/>
      <c r="ACH2153" s="38"/>
      <c r="ACI2153" s="38"/>
      <c r="ACJ2153" s="38"/>
      <c r="ACK2153" s="38"/>
      <c r="ACL2153" s="38"/>
      <c r="ACM2153" s="38"/>
      <c r="ACN2153" s="38"/>
      <c r="ACO2153" s="38"/>
      <c r="ACP2153" s="38"/>
      <c r="ACQ2153" s="38"/>
      <c r="ACR2153" s="38"/>
      <c r="ACS2153" s="38"/>
      <c r="ACT2153" s="38"/>
      <c r="ACU2153" s="38"/>
      <c r="ACV2153" s="38"/>
      <c r="ACW2153" s="38"/>
      <c r="ACX2153" s="38"/>
      <c r="ACY2153" s="38"/>
      <c r="ACZ2153" s="38"/>
      <c r="ADA2153" s="38"/>
      <c r="ADB2153" s="38"/>
      <c r="ADC2153" s="38"/>
      <c r="ADD2153" s="38"/>
      <c r="ADE2153" s="38"/>
      <c r="ADF2153" s="38"/>
      <c r="ADG2153" s="38"/>
      <c r="ADH2153" s="38"/>
      <c r="ADI2153" s="38"/>
      <c r="ADJ2153" s="38"/>
      <c r="ADK2153" s="38"/>
      <c r="ADL2153" s="38"/>
      <c r="ADM2153" s="38"/>
      <c r="ADN2153" s="38"/>
      <c r="ADO2153" s="38"/>
      <c r="ADP2153" s="38"/>
      <c r="ADQ2153" s="38"/>
      <c r="ADR2153" s="38"/>
      <c r="ADS2153" s="38"/>
      <c r="ADT2153" s="38"/>
      <c r="ADU2153" s="38"/>
      <c r="ADV2153" s="38"/>
      <c r="ADW2153" s="38"/>
      <c r="ADX2153" s="38"/>
      <c r="ADY2153" s="38"/>
      <c r="ADZ2153" s="38"/>
      <c r="AEA2153" s="38"/>
      <c r="AEB2153" s="38"/>
      <c r="AEC2153" s="38"/>
      <c r="AED2153" s="38"/>
      <c r="AEE2153" s="38"/>
      <c r="AEF2153" s="38"/>
      <c r="AEG2153" s="38"/>
      <c r="AEH2153" s="38"/>
      <c r="AEI2153" s="38"/>
      <c r="AEJ2153" s="38"/>
      <c r="AEK2153" s="38"/>
      <c r="AEL2153" s="38"/>
      <c r="AEM2153" s="38"/>
      <c r="AEN2153" s="38"/>
      <c r="AEO2153" s="38"/>
      <c r="AEP2153" s="38"/>
      <c r="AEQ2153" s="38"/>
      <c r="AER2153" s="38"/>
      <c r="AES2153" s="38"/>
      <c r="AET2153" s="38"/>
      <c r="AEU2153" s="38"/>
      <c r="AEV2153" s="38"/>
      <c r="AEW2153" s="38"/>
      <c r="AEX2153" s="38"/>
      <c r="AEY2153" s="38"/>
      <c r="AEZ2153" s="38"/>
      <c r="AFA2153" s="38"/>
      <c r="AFB2153" s="38"/>
      <c r="AFC2153" s="38"/>
      <c r="AFD2153" s="38"/>
      <c r="AFE2153" s="38"/>
      <c r="AFF2153" s="38"/>
      <c r="AFG2153" s="38"/>
      <c r="AFH2153" s="38"/>
      <c r="AFI2153" s="38"/>
      <c r="AFJ2153" s="38"/>
      <c r="AFK2153" s="38"/>
      <c r="AFL2153" s="38"/>
      <c r="AFM2153" s="38"/>
      <c r="AFN2153" s="38"/>
      <c r="AFO2153" s="38"/>
      <c r="AFP2153" s="38"/>
      <c r="AFQ2153" s="38"/>
      <c r="AFR2153" s="38"/>
      <c r="AFS2153" s="38"/>
      <c r="AFT2153" s="38"/>
      <c r="AFU2153" s="38"/>
      <c r="AFV2153" s="38"/>
      <c r="AFW2153" s="38"/>
      <c r="AFX2153" s="38"/>
      <c r="AFY2153" s="38"/>
      <c r="AFZ2153" s="38"/>
      <c r="AGA2153" s="38"/>
      <c r="AGB2153" s="38"/>
      <c r="AGC2153" s="38"/>
      <c r="AGD2153" s="38"/>
      <c r="AGE2153" s="38"/>
      <c r="AGF2153" s="38"/>
      <c r="AGG2153" s="38"/>
      <c r="AGH2153" s="38"/>
      <c r="AGI2153" s="38"/>
      <c r="AGJ2153" s="38"/>
      <c r="AGK2153" s="38"/>
      <c r="AGL2153" s="38"/>
      <c r="AGM2153" s="38"/>
      <c r="AGN2153" s="38"/>
      <c r="AGO2153" s="38"/>
      <c r="AGP2153" s="38"/>
      <c r="AGQ2153" s="38"/>
      <c r="AGR2153" s="38"/>
      <c r="AGS2153" s="38"/>
      <c r="AGT2153" s="38"/>
      <c r="AGU2153" s="38"/>
      <c r="AGV2153" s="38"/>
      <c r="AGW2153" s="38"/>
      <c r="AGX2153" s="38"/>
      <c r="AGY2153" s="38"/>
      <c r="AGZ2153" s="38"/>
      <c r="AHA2153" s="38"/>
      <c r="AHB2153" s="38"/>
      <c r="AHC2153" s="38"/>
      <c r="AHD2153" s="38"/>
      <c r="AHE2153" s="38"/>
      <c r="AHF2153" s="38"/>
      <c r="AHG2153" s="38"/>
      <c r="AHH2153" s="38"/>
      <c r="AHI2153" s="38"/>
      <c r="AHJ2153" s="38"/>
      <c r="AHK2153" s="38"/>
      <c r="AHL2153" s="38"/>
      <c r="AHM2153" s="38"/>
      <c r="AHN2153" s="38"/>
      <c r="AHO2153" s="38"/>
      <c r="AHP2153" s="38"/>
      <c r="AHQ2153" s="38"/>
      <c r="AHR2153" s="38"/>
      <c r="AHS2153" s="38"/>
      <c r="AHT2153" s="38"/>
      <c r="AHU2153" s="38"/>
      <c r="AHV2153" s="38"/>
      <c r="AHW2153" s="38"/>
      <c r="AHX2153" s="38"/>
      <c r="AHY2153" s="38"/>
      <c r="AHZ2153" s="38"/>
      <c r="AIA2153" s="38"/>
      <c r="AIB2153" s="38"/>
      <c r="AIC2153" s="38"/>
      <c r="AID2153" s="38"/>
      <c r="AIE2153" s="38"/>
      <c r="AIF2153" s="38"/>
      <c r="AIG2153" s="38"/>
      <c r="AIH2153" s="38"/>
      <c r="AII2153" s="38"/>
      <c r="AIJ2153" s="38"/>
      <c r="AIK2153" s="38"/>
      <c r="AIL2153" s="38"/>
      <c r="AIM2153" s="38"/>
      <c r="AIN2153" s="38"/>
      <c r="AIO2153" s="38"/>
      <c r="AIP2153" s="38"/>
      <c r="AIQ2153" s="38"/>
      <c r="AIR2153" s="38"/>
      <c r="AIS2153" s="38"/>
      <c r="AIT2153" s="38"/>
      <c r="AIU2153" s="38"/>
      <c r="AIV2153" s="38"/>
      <c r="AIW2153" s="38"/>
      <c r="AIX2153" s="38"/>
      <c r="AIY2153" s="38"/>
      <c r="AIZ2153" s="38"/>
      <c r="AJA2153" s="38"/>
      <c r="AJB2153" s="38"/>
      <c r="AJC2153" s="38"/>
      <c r="AJD2153" s="38"/>
      <c r="AJE2153" s="38"/>
      <c r="AJF2153" s="38"/>
      <c r="AJG2153" s="38"/>
      <c r="AJH2153" s="38"/>
      <c r="AJI2153" s="38"/>
      <c r="AJJ2153" s="38"/>
      <c r="AJK2153" s="38"/>
      <c r="AJL2153" s="38"/>
      <c r="AJM2153" s="38"/>
      <c r="AJN2153" s="38"/>
      <c r="AJO2153" s="38"/>
      <c r="AJP2153" s="38"/>
      <c r="AJQ2153" s="38"/>
      <c r="AJR2153" s="38"/>
      <c r="AJS2153" s="38"/>
      <c r="AJT2153" s="38"/>
      <c r="AJU2153" s="38"/>
      <c r="AJV2153" s="38"/>
      <c r="AJW2153" s="38"/>
      <c r="AJX2153" s="38"/>
      <c r="AJY2153" s="38"/>
      <c r="AJZ2153" s="38"/>
      <c r="AKA2153" s="38"/>
      <c r="AKB2153" s="38"/>
      <c r="AKC2153" s="38"/>
      <c r="AKD2153" s="38"/>
      <c r="AKE2153" s="38"/>
      <c r="AKF2153" s="38"/>
      <c r="AKG2153" s="38"/>
      <c r="AKH2153" s="38"/>
      <c r="AKI2153" s="38"/>
      <c r="AKJ2153" s="38"/>
      <c r="AKK2153" s="38"/>
      <c r="AKL2153" s="38"/>
      <c r="AKM2153" s="38"/>
      <c r="AKN2153" s="38"/>
      <c r="AKO2153" s="38"/>
      <c r="AKP2153" s="38"/>
      <c r="AKQ2153" s="38"/>
      <c r="AKR2153" s="38"/>
      <c r="AKS2153" s="38"/>
      <c r="AKT2153" s="38"/>
      <c r="AKU2153" s="38"/>
      <c r="AKV2153" s="38"/>
      <c r="AKW2153" s="38"/>
      <c r="AKX2153" s="38"/>
      <c r="AKY2153" s="38"/>
      <c r="AKZ2153" s="38"/>
      <c r="ALA2153" s="38"/>
      <c r="ALB2153" s="38"/>
      <c r="ALC2153" s="38"/>
      <c r="ALD2153" s="38"/>
      <c r="ALE2153" s="38"/>
      <c r="ALF2153" s="38"/>
      <c r="ALG2153" s="38"/>
      <c r="ALH2153" s="38"/>
      <c r="ALI2153" s="38"/>
      <c r="ALJ2153" s="38"/>
      <c r="ALK2153" s="38"/>
      <c r="ALL2153" s="38"/>
      <c r="ALM2153" s="38"/>
      <c r="ALN2153" s="38"/>
      <c r="ALO2153" s="38"/>
      <c r="ALP2153" s="38"/>
      <c r="ALQ2153" s="38"/>
      <c r="ALR2153" s="38"/>
      <c r="ALS2153" s="38"/>
      <c r="ALT2153" s="38"/>
      <c r="ALU2153" s="38"/>
      <c r="ALV2153" s="38"/>
      <c r="ALW2153" s="38"/>
      <c r="ALX2153" s="38"/>
      <c r="ALY2153" s="38"/>
      <c r="ALZ2153" s="38"/>
      <c r="AMA2153" s="38"/>
      <c r="AMB2153" s="38"/>
      <c r="AMC2153" s="38"/>
      <c r="AMD2153" s="38"/>
      <c r="AME2153" s="38"/>
      <c r="AMF2153" s="38"/>
      <c r="AMG2153" s="38"/>
      <c r="AMH2153" s="38"/>
      <c r="AMI2153" s="38"/>
      <c r="AMJ2153" s="38"/>
      <c r="AMK2153" s="38"/>
      <c r="AML2153" s="38"/>
      <c r="AMM2153" s="38"/>
      <c r="AMN2153" s="38"/>
      <c r="AMO2153" s="38"/>
      <c r="AMP2153" s="38"/>
      <c r="AMQ2153" s="38"/>
      <c r="AMR2153" s="38"/>
      <c r="AMS2153" s="38"/>
      <c r="AMT2153" s="38"/>
      <c r="AMU2153" s="38"/>
      <c r="AMV2153" s="38"/>
      <c r="AMW2153" s="38"/>
      <c r="AMX2153" s="38"/>
      <c r="AMY2153" s="38"/>
      <c r="AMZ2153" s="38"/>
      <c r="ANA2153" s="38"/>
      <c r="ANB2153" s="38"/>
      <c r="ANC2153" s="38"/>
      <c r="AND2153" s="38"/>
      <c r="ANE2153" s="38"/>
      <c r="ANF2153" s="38"/>
      <c r="ANG2153" s="38"/>
      <c r="ANH2153" s="38"/>
      <c r="ANI2153" s="38"/>
      <c r="ANJ2153" s="38"/>
      <c r="ANK2153" s="38"/>
      <c r="ANL2153" s="38"/>
      <c r="ANM2153" s="38"/>
      <c r="ANN2153" s="38"/>
      <c r="ANO2153" s="38"/>
      <c r="ANP2153" s="38"/>
      <c r="ANQ2153" s="38"/>
      <c r="ANR2153" s="38"/>
      <c r="ANS2153" s="38"/>
      <c r="ANT2153" s="38"/>
      <c r="ANU2153" s="38"/>
      <c r="ANV2153" s="38"/>
      <c r="ANW2153" s="38"/>
      <c r="ANX2153" s="38"/>
      <c r="ANY2153" s="38"/>
      <c r="ANZ2153" s="38"/>
      <c r="AOA2153" s="38"/>
      <c r="AOB2153" s="38"/>
      <c r="AOC2153" s="38"/>
      <c r="AOD2153" s="38"/>
      <c r="AOE2153" s="38"/>
      <c r="AOF2153" s="38"/>
      <c r="AOG2153" s="38"/>
      <c r="AOH2153" s="38"/>
      <c r="AOI2153" s="38"/>
      <c r="AOJ2153" s="38"/>
      <c r="AOK2153" s="38"/>
      <c r="AOL2153" s="38"/>
      <c r="AOM2153" s="38"/>
      <c r="AON2153" s="38"/>
      <c r="AOO2153" s="38"/>
      <c r="AOP2153" s="38"/>
      <c r="AOQ2153" s="38"/>
      <c r="AOR2153" s="38"/>
      <c r="AOS2153" s="38"/>
      <c r="AOT2153" s="38"/>
      <c r="AOU2153" s="38"/>
      <c r="AOV2153" s="38"/>
      <c r="AOW2153" s="38"/>
      <c r="AOX2153" s="38"/>
      <c r="AOY2153" s="38"/>
      <c r="AOZ2153" s="38"/>
      <c r="APA2153" s="38"/>
      <c r="APB2153" s="38"/>
      <c r="APC2153" s="38"/>
    </row>
    <row r="2154" spans="1:1095" s="36" customFormat="1" ht="14.25" customHeight="1">
      <c r="A2154" s="3" t="s">
        <v>1722</v>
      </c>
      <c r="B2154" s="36" t="s">
        <v>2593</v>
      </c>
      <c r="C2154" s="10">
        <v>4099854091292</v>
      </c>
      <c r="D2154" s="224">
        <v>4058075092112</v>
      </c>
      <c r="E2154" s="245" t="s">
        <v>2594</v>
      </c>
      <c r="F2154" s="246"/>
      <c r="G2154" s="66" t="str">
        <f>HYPERLINK("https://ledvance.com/pt/product-datasheet/275550/246933","Ficha de Produto")</f>
        <v>Ficha de Produto</v>
      </c>
      <c r="H2154" s="217">
        <v>4</v>
      </c>
      <c r="I2154" s="34" t="s">
        <v>1033</v>
      </c>
      <c r="J2154" s="34" t="s">
        <v>855</v>
      </c>
      <c r="K2154" s="34" t="s">
        <v>788</v>
      </c>
      <c r="L2154" s="34" t="s">
        <v>793</v>
      </c>
      <c r="M2154" s="247">
        <v>12.5</v>
      </c>
      <c r="N2154" s="288" t="s">
        <v>722</v>
      </c>
    </row>
    <row r="2155" spans="1:1095" s="36" customFormat="1" ht="14.25" customHeight="1">
      <c r="A2155" s="3" t="s">
        <v>1722</v>
      </c>
      <c r="B2155" s="36" t="s">
        <v>2595</v>
      </c>
      <c r="C2155" s="10">
        <v>4058075092136</v>
      </c>
      <c r="D2155" s="224">
        <v>4058075092136</v>
      </c>
      <c r="E2155" s="245" t="s">
        <v>2596</v>
      </c>
      <c r="F2155" s="246"/>
      <c r="G2155" s="66" t="str">
        <f>HYPERLINK("https://ledvance.com/pt/product-datasheet/275548/59560","Ficha de Produto")</f>
        <v>Ficha de Produto</v>
      </c>
      <c r="H2155" s="217">
        <v>4</v>
      </c>
      <c r="I2155" s="34" t="s">
        <v>1033</v>
      </c>
      <c r="J2155" s="34" t="s">
        <v>855</v>
      </c>
      <c r="K2155" s="34" t="s">
        <v>788</v>
      </c>
      <c r="L2155" s="34" t="s">
        <v>793</v>
      </c>
      <c r="M2155" s="247">
        <v>17.600000000000001</v>
      </c>
      <c r="N2155" s="288" t="s">
        <v>722</v>
      </c>
    </row>
    <row r="2156" spans="1:1095" s="36" customFormat="1" ht="14.25" customHeight="1">
      <c r="A2156" s="3" t="s">
        <v>1722</v>
      </c>
      <c r="B2156" s="36" t="s">
        <v>2597</v>
      </c>
      <c r="C2156" s="10">
        <v>4058075091993</v>
      </c>
      <c r="D2156" s="224">
        <v>4058075091993</v>
      </c>
      <c r="E2156" s="245" t="s">
        <v>2598</v>
      </c>
      <c r="F2156" s="246"/>
      <c r="G2156" s="66" t="str">
        <f>HYPERLINK("https://ledvance.com/pt/product-datasheet/275113/45521","Ficha de Produto")</f>
        <v>Ficha de Produto</v>
      </c>
      <c r="H2156" s="217">
        <v>4</v>
      </c>
      <c r="I2156" s="34" t="s">
        <v>1033</v>
      </c>
      <c r="J2156" s="34" t="s">
        <v>855</v>
      </c>
      <c r="K2156" s="34" t="s">
        <v>788</v>
      </c>
      <c r="L2156" s="34" t="s">
        <v>793</v>
      </c>
      <c r="M2156" s="247">
        <v>52.7</v>
      </c>
      <c r="N2156" s="288" t="s">
        <v>722</v>
      </c>
    </row>
    <row r="2157" spans="1:1095" s="36" customFormat="1" ht="14.25" customHeight="1">
      <c r="A2157" s="3" t="s">
        <v>1722</v>
      </c>
      <c r="B2157" s="36" t="s">
        <v>2599</v>
      </c>
      <c r="C2157" s="10">
        <v>4058075092013</v>
      </c>
      <c r="D2157" s="224">
        <v>4058075092013</v>
      </c>
      <c r="E2157" s="245" t="s">
        <v>2600</v>
      </c>
      <c r="F2157" s="246"/>
      <c r="G2157" s="66" t="str">
        <f>HYPERLINK("https://ledvance.com/pt/product-datasheet/275548/44553","Ficha de Produto")</f>
        <v>Ficha de Produto</v>
      </c>
      <c r="H2157" s="217">
        <v>4</v>
      </c>
      <c r="I2157" s="34" t="s">
        <v>1033</v>
      </c>
      <c r="J2157" s="34" t="s">
        <v>855</v>
      </c>
      <c r="K2157" s="34" t="s">
        <v>788</v>
      </c>
      <c r="L2157" s="34" t="s">
        <v>793</v>
      </c>
      <c r="M2157" s="247">
        <v>52.7</v>
      </c>
      <c r="N2157" s="288" t="s">
        <v>722</v>
      </c>
    </row>
    <row r="2158" spans="1:1095" s="36" customFormat="1" ht="14.25" customHeight="1">
      <c r="A2158" s="3" t="s">
        <v>1722</v>
      </c>
      <c r="B2158" s="36" t="s">
        <v>2601</v>
      </c>
      <c r="C2158" s="10">
        <v>4099854091315</v>
      </c>
      <c r="D2158" s="224">
        <v>4058075269941</v>
      </c>
      <c r="E2158" s="245" t="s">
        <v>2602</v>
      </c>
      <c r="F2158" s="246"/>
      <c r="G2158" s="66" t="str">
        <f>HYPERLINK("https://ledvance.com/pt/product-datasheet/275550/246894","Ficha de Produto")</f>
        <v>Ficha de Produto</v>
      </c>
      <c r="H2158" s="217">
        <v>4</v>
      </c>
      <c r="I2158" s="34" t="s">
        <v>1035</v>
      </c>
      <c r="J2158" s="34" t="s">
        <v>855</v>
      </c>
      <c r="K2158" s="34" t="s">
        <v>788</v>
      </c>
      <c r="L2158" s="34" t="s">
        <v>793</v>
      </c>
      <c r="M2158" s="247">
        <v>22.700000000000003</v>
      </c>
      <c r="N2158" s="288" t="s">
        <v>722</v>
      </c>
    </row>
    <row r="2159" spans="1:1095" s="36" customFormat="1" ht="14.25" customHeight="1">
      <c r="A2159" s="3" t="s">
        <v>1722</v>
      </c>
      <c r="B2159" s="36" t="s">
        <v>2603</v>
      </c>
      <c r="C2159" s="10">
        <v>4058075269989</v>
      </c>
      <c r="D2159" s="224">
        <v>4058075269989</v>
      </c>
      <c r="E2159" s="245" t="s">
        <v>2604</v>
      </c>
      <c r="F2159" s="246"/>
      <c r="G2159" s="66" t="str">
        <f>HYPERLINK("https://ledvance.com/pt/product-datasheet/275548/32837","Ficha de Produto")</f>
        <v>Ficha de Produto</v>
      </c>
      <c r="H2159" s="217">
        <v>4</v>
      </c>
      <c r="I2159" s="34" t="s">
        <v>1035</v>
      </c>
      <c r="J2159" s="34" t="s">
        <v>855</v>
      </c>
      <c r="K2159" s="34" t="s">
        <v>788</v>
      </c>
      <c r="L2159" s="34" t="s">
        <v>793</v>
      </c>
      <c r="M2159" s="247">
        <v>23.400000000000002</v>
      </c>
      <c r="N2159" s="288" t="s">
        <v>722</v>
      </c>
    </row>
    <row r="2160" spans="1:1095" s="36" customFormat="1" ht="14.25" customHeight="1">
      <c r="A2160" s="3" t="s">
        <v>1722</v>
      </c>
      <c r="B2160" s="36" t="s">
        <v>2605</v>
      </c>
      <c r="C2160" s="10">
        <v>4058075269927</v>
      </c>
      <c r="D2160" s="224">
        <v>4058075269927</v>
      </c>
      <c r="E2160" s="245" t="s">
        <v>2606</v>
      </c>
      <c r="F2160" s="246"/>
      <c r="G2160" s="66" t="str">
        <f>HYPERLINK("https://ledvance.com/pt/product-datasheet/275548/75130","Ficha de Produto")</f>
        <v>Ficha de Produto</v>
      </c>
      <c r="H2160" s="217">
        <v>4</v>
      </c>
      <c r="I2160" s="34" t="s">
        <v>1035</v>
      </c>
      <c r="J2160" s="34" t="s">
        <v>855</v>
      </c>
      <c r="K2160" s="34" t="s">
        <v>788</v>
      </c>
      <c r="L2160" s="34" t="s">
        <v>793</v>
      </c>
      <c r="M2160" s="247">
        <v>52.7</v>
      </c>
      <c r="N2160" s="288" t="s">
        <v>722</v>
      </c>
    </row>
    <row r="2161" spans="1:1095" s="36" customFormat="1" ht="14.25" customHeight="1">
      <c r="A2161" s="3" t="s">
        <v>1722</v>
      </c>
      <c r="B2161" s="36" t="s">
        <v>2607</v>
      </c>
      <c r="C2161" s="10">
        <v>4058075269903</v>
      </c>
      <c r="D2161" s="224">
        <v>4058075269903</v>
      </c>
      <c r="E2161" s="245" t="s">
        <v>2608</v>
      </c>
      <c r="F2161" s="246"/>
      <c r="G2161" s="66" t="str">
        <f>HYPERLINK("https://ledvance.com/pt/product-datasheet/275113/47657","Ficha de Produto")</f>
        <v>Ficha de Produto</v>
      </c>
      <c r="H2161" s="217">
        <v>4</v>
      </c>
      <c r="I2161" s="34" t="s">
        <v>1035</v>
      </c>
      <c r="J2161" s="34" t="s">
        <v>855</v>
      </c>
      <c r="K2161" s="34" t="s">
        <v>788</v>
      </c>
      <c r="L2161" s="34" t="s">
        <v>793</v>
      </c>
      <c r="M2161" s="247">
        <v>52.7</v>
      </c>
      <c r="N2161" s="288" t="s">
        <v>722</v>
      </c>
    </row>
    <row r="2162" spans="1:1095" s="39" customFormat="1" ht="14.25" customHeight="1">
      <c r="A2162" s="8"/>
      <c r="B2162" s="244" t="s">
        <v>2609</v>
      </c>
      <c r="C2162" s="8"/>
      <c r="D2162" s="7"/>
      <c r="E2162" s="230"/>
      <c r="F2162" s="7"/>
      <c r="G2162" s="68"/>
      <c r="H2162" s="230"/>
      <c r="I2162" s="230"/>
      <c r="J2162" s="230"/>
      <c r="K2162" s="230"/>
      <c r="L2162" s="230"/>
      <c r="M2162" s="248"/>
      <c r="N2162" s="292"/>
      <c r="O2162" s="38"/>
      <c r="P2162" s="38"/>
      <c r="Q2162" s="38"/>
      <c r="R2162" s="38"/>
      <c r="S2162" s="38"/>
      <c r="T2162" s="38"/>
      <c r="U2162" s="38"/>
      <c r="V2162" s="38"/>
      <c r="W2162" s="38"/>
      <c r="X2162" s="38"/>
      <c r="Y2162" s="38"/>
      <c r="Z2162" s="38"/>
      <c r="AA2162" s="38"/>
      <c r="AB2162" s="38"/>
      <c r="AC2162" s="38"/>
      <c r="AD2162" s="38"/>
      <c r="AE2162" s="38"/>
      <c r="AF2162" s="38"/>
      <c r="AG2162" s="38"/>
      <c r="AH2162" s="38"/>
      <c r="AI2162" s="38"/>
      <c r="AJ2162" s="38"/>
      <c r="AK2162" s="38"/>
      <c r="AL2162" s="38"/>
      <c r="AM2162" s="38"/>
      <c r="AN2162" s="38"/>
      <c r="AO2162" s="38"/>
      <c r="AP2162" s="38"/>
      <c r="AQ2162" s="38"/>
      <c r="AR2162" s="38"/>
      <c r="AS2162" s="38"/>
      <c r="AT2162" s="38"/>
      <c r="AU2162" s="38"/>
      <c r="AV2162" s="38"/>
      <c r="AW2162" s="38"/>
      <c r="AX2162" s="38"/>
      <c r="AY2162" s="38"/>
      <c r="AZ2162" s="38"/>
      <c r="BA2162" s="38"/>
      <c r="BB2162" s="38"/>
      <c r="BC2162" s="38"/>
      <c r="BD2162" s="38"/>
      <c r="BE2162" s="38"/>
      <c r="BF2162" s="38"/>
      <c r="BG2162" s="38"/>
      <c r="BH2162" s="38"/>
      <c r="BI2162" s="38"/>
      <c r="BJ2162" s="38"/>
      <c r="BK2162" s="38"/>
      <c r="BL2162" s="38"/>
      <c r="BM2162" s="38"/>
      <c r="BN2162" s="38"/>
      <c r="BO2162" s="38"/>
      <c r="BP2162" s="38"/>
      <c r="BQ2162" s="38"/>
      <c r="BR2162" s="38"/>
      <c r="BS2162" s="38"/>
      <c r="BT2162" s="38"/>
      <c r="BU2162" s="38"/>
      <c r="BV2162" s="38"/>
      <c r="BW2162" s="38"/>
      <c r="BX2162" s="38"/>
      <c r="BY2162" s="38"/>
      <c r="BZ2162" s="38"/>
      <c r="CA2162" s="38"/>
      <c r="CB2162" s="38"/>
      <c r="CC2162" s="38"/>
      <c r="CD2162" s="38"/>
      <c r="CE2162" s="38"/>
      <c r="CF2162" s="38"/>
      <c r="CG2162" s="38"/>
      <c r="CH2162" s="38"/>
      <c r="CI2162" s="38"/>
      <c r="CJ2162" s="38"/>
      <c r="CK2162" s="38"/>
      <c r="CL2162" s="38"/>
      <c r="CM2162" s="38"/>
      <c r="CN2162" s="38"/>
      <c r="CO2162" s="38"/>
      <c r="CP2162" s="38"/>
      <c r="CQ2162" s="38"/>
      <c r="CR2162" s="38"/>
      <c r="CS2162" s="38"/>
      <c r="CT2162" s="38"/>
      <c r="CU2162" s="38"/>
      <c r="CV2162" s="38"/>
      <c r="CW2162" s="38"/>
      <c r="CX2162" s="38"/>
      <c r="CY2162" s="38"/>
      <c r="CZ2162" s="38"/>
      <c r="DA2162" s="38"/>
      <c r="DB2162" s="38"/>
      <c r="DC2162" s="38"/>
      <c r="DD2162" s="38"/>
      <c r="DE2162" s="38"/>
      <c r="DF2162" s="38"/>
      <c r="DG2162" s="38"/>
      <c r="DH2162" s="38"/>
      <c r="DI2162" s="38"/>
      <c r="DJ2162" s="38"/>
      <c r="DK2162" s="38"/>
      <c r="DL2162" s="38"/>
      <c r="DM2162" s="38"/>
      <c r="DN2162" s="38"/>
      <c r="DO2162" s="38"/>
      <c r="DP2162" s="38"/>
      <c r="DQ2162" s="38"/>
      <c r="DR2162" s="38"/>
      <c r="DS2162" s="38"/>
      <c r="DT2162" s="38"/>
      <c r="DU2162" s="38"/>
      <c r="DV2162" s="38"/>
      <c r="DW2162" s="38"/>
      <c r="DX2162" s="38"/>
      <c r="DY2162" s="38"/>
      <c r="DZ2162" s="38"/>
      <c r="EA2162" s="38"/>
      <c r="EB2162" s="38"/>
      <c r="EC2162" s="38"/>
      <c r="ED2162" s="38"/>
      <c r="EE2162" s="38"/>
      <c r="EF2162" s="38"/>
      <c r="EG2162" s="38"/>
      <c r="EH2162" s="38"/>
      <c r="EI2162" s="38"/>
      <c r="EJ2162" s="38"/>
      <c r="EK2162" s="38"/>
      <c r="EL2162" s="38"/>
      <c r="EM2162" s="38"/>
      <c r="EN2162" s="38"/>
      <c r="EO2162" s="38"/>
      <c r="EP2162" s="38"/>
      <c r="EQ2162" s="38"/>
      <c r="ER2162" s="38"/>
      <c r="ES2162" s="38"/>
      <c r="ET2162" s="38"/>
      <c r="EU2162" s="38"/>
      <c r="EV2162" s="38"/>
      <c r="EW2162" s="38"/>
      <c r="EX2162" s="38"/>
      <c r="EY2162" s="38"/>
      <c r="EZ2162" s="38"/>
      <c r="FA2162" s="38"/>
      <c r="FB2162" s="38"/>
      <c r="FC2162" s="38"/>
      <c r="FD2162" s="38"/>
      <c r="FE2162" s="38"/>
      <c r="FF2162" s="38"/>
      <c r="FG2162" s="38"/>
      <c r="FH2162" s="38"/>
      <c r="FI2162" s="38"/>
      <c r="FJ2162" s="38"/>
      <c r="FK2162" s="38"/>
      <c r="FL2162" s="38"/>
      <c r="FM2162" s="38"/>
      <c r="FN2162" s="38"/>
      <c r="FO2162" s="38"/>
      <c r="FP2162" s="38"/>
      <c r="FQ2162" s="38"/>
      <c r="FR2162" s="38"/>
      <c r="FS2162" s="38"/>
      <c r="FT2162" s="38"/>
      <c r="FU2162" s="38"/>
      <c r="FV2162" s="38"/>
      <c r="FW2162" s="38"/>
      <c r="FX2162" s="38"/>
      <c r="FY2162" s="38"/>
      <c r="FZ2162" s="38"/>
      <c r="GA2162" s="38"/>
      <c r="GB2162" s="38"/>
      <c r="GC2162" s="38"/>
      <c r="GD2162" s="38"/>
      <c r="GE2162" s="38"/>
      <c r="GF2162" s="38"/>
      <c r="GG2162" s="38"/>
      <c r="GH2162" s="38"/>
      <c r="GI2162" s="38"/>
      <c r="GJ2162" s="38"/>
      <c r="GK2162" s="38"/>
      <c r="GL2162" s="38"/>
      <c r="GM2162" s="38"/>
      <c r="GN2162" s="38"/>
      <c r="GO2162" s="38"/>
      <c r="GP2162" s="38"/>
      <c r="GQ2162" s="38"/>
      <c r="GR2162" s="38"/>
      <c r="GS2162" s="38"/>
      <c r="GT2162" s="38"/>
      <c r="GU2162" s="38"/>
      <c r="GV2162" s="38"/>
      <c r="GW2162" s="38"/>
      <c r="GX2162" s="38"/>
      <c r="GY2162" s="38"/>
      <c r="GZ2162" s="38"/>
      <c r="HA2162" s="38"/>
      <c r="HB2162" s="38"/>
      <c r="HC2162" s="38"/>
      <c r="HD2162" s="38"/>
      <c r="HE2162" s="38"/>
      <c r="HF2162" s="38"/>
      <c r="HG2162" s="38"/>
      <c r="HH2162" s="38"/>
      <c r="HI2162" s="38"/>
      <c r="HJ2162" s="38"/>
      <c r="HK2162" s="38"/>
      <c r="HL2162" s="38"/>
      <c r="HM2162" s="38"/>
      <c r="HN2162" s="38"/>
      <c r="HO2162" s="38"/>
      <c r="HP2162" s="38"/>
      <c r="HQ2162" s="38"/>
      <c r="HR2162" s="38"/>
      <c r="HS2162" s="38"/>
      <c r="HT2162" s="38"/>
      <c r="HU2162" s="38"/>
      <c r="HV2162" s="38"/>
      <c r="HW2162" s="38"/>
      <c r="HX2162" s="38"/>
      <c r="HY2162" s="38"/>
      <c r="HZ2162" s="38"/>
      <c r="IA2162" s="38"/>
      <c r="IB2162" s="38"/>
      <c r="IC2162" s="38"/>
      <c r="ID2162" s="38"/>
      <c r="IE2162" s="38"/>
      <c r="IF2162" s="38"/>
      <c r="IG2162" s="38"/>
      <c r="IH2162" s="38"/>
      <c r="II2162" s="38"/>
      <c r="IJ2162" s="38"/>
      <c r="IK2162" s="38"/>
      <c r="IL2162" s="38"/>
      <c r="IM2162" s="38"/>
      <c r="IN2162" s="38"/>
      <c r="IO2162" s="38"/>
      <c r="IP2162" s="38"/>
      <c r="IQ2162" s="38"/>
      <c r="IR2162" s="38"/>
      <c r="IS2162" s="38"/>
      <c r="IT2162" s="38"/>
      <c r="IU2162" s="38"/>
      <c r="IV2162" s="38"/>
      <c r="IW2162" s="38"/>
      <c r="IX2162" s="38"/>
      <c r="IY2162" s="38"/>
      <c r="IZ2162" s="38"/>
      <c r="JA2162" s="38"/>
      <c r="JB2162" s="38"/>
      <c r="JC2162" s="38"/>
      <c r="JD2162" s="38"/>
      <c r="JE2162" s="38"/>
      <c r="JF2162" s="38"/>
      <c r="JG2162" s="38"/>
      <c r="JH2162" s="38"/>
      <c r="JI2162" s="38"/>
      <c r="JJ2162" s="38"/>
      <c r="JK2162" s="38"/>
      <c r="JL2162" s="38"/>
      <c r="JM2162" s="38"/>
      <c r="JN2162" s="38"/>
      <c r="JO2162" s="38"/>
      <c r="JP2162" s="38"/>
      <c r="JQ2162" s="38"/>
      <c r="JR2162" s="38"/>
      <c r="JS2162" s="38"/>
      <c r="JT2162" s="38"/>
      <c r="JU2162" s="38"/>
      <c r="JV2162" s="38"/>
      <c r="JW2162" s="38"/>
      <c r="JX2162" s="38"/>
      <c r="JY2162" s="38"/>
      <c r="JZ2162" s="38"/>
      <c r="KA2162" s="38"/>
      <c r="KB2162" s="38"/>
      <c r="KC2162" s="38"/>
      <c r="KD2162" s="38"/>
      <c r="KE2162" s="38"/>
      <c r="KF2162" s="38"/>
      <c r="KG2162" s="38"/>
      <c r="KH2162" s="38"/>
      <c r="KI2162" s="38"/>
      <c r="KJ2162" s="38"/>
      <c r="KK2162" s="38"/>
      <c r="KL2162" s="38"/>
      <c r="KM2162" s="38"/>
      <c r="KN2162" s="38"/>
      <c r="KO2162" s="38"/>
      <c r="KP2162" s="38"/>
      <c r="KQ2162" s="38"/>
      <c r="KR2162" s="38"/>
      <c r="KS2162" s="38"/>
      <c r="KT2162" s="38"/>
      <c r="KU2162" s="38"/>
      <c r="KV2162" s="38"/>
      <c r="KW2162" s="38"/>
      <c r="KX2162" s="38"/>
      <c r="KY2162" s="38"/>
      <c r="KZ2162" s="38"/>
      <c r="LA2162" s="38"/>
      <c r="LB2162" s="38"/>
      <c r="LC2162" s="38"/>
      <c r="LD2162" s="38"/>
      <c r="LE2162" s="38"/>
      <c r="LF2162" s="38"/>
      <c r="LG2162" s="38"/>
      <c r="LH2162" s="38"/>
      <c r="LI2162" s="38"/>
      <c r="LJ2162" s="38"/>
      <c r="LK2162" s="38"/>
      <c r="LL2162" s="38"/>
      <c r="LM2162" s="38"/>
      <c r="LN2162" s="38"/>
      <c r="LO2162" s="38"/>
      <c r="LP2162" s="38"/>
      <c r="LQ2162" s="38"/>
      <c r="LR2162" s="38"/>
      <c r="LS2162" s="38"/>
      <c r="LT2162" s="38"/>
      <c r="LU2162" s="38"/>
      <c r="LV2162" s="38"/>
      <c r="LW2162" s="38"/>
      <c r="LX2162" s="38"/>
      <c r="LY2162" s="38"/>
      <c r="LZ2162" s="38"/>
      <c r="MA2162" s="38"/>
      <c r="MB2162" s="38"/>
      <c r="MC2162" s="38"/>
      <c r="MD2162" s="38"/>
      <c r="ME2162" s="38"/>
      <c r="MF2162" s="38"/>
      <c r="MG2162" s="38"/>
      <c r="MH2162" s="38"/>
      <c r="MI2162" s="38"/>
      <c r="MJ2162" s="38"/>
      <c r="MK2162" s="38"/>
      <c r="ML2162" s="38"/>
      <c r="MM2162" s="38"/>
      <c r="MN2162" s="38"/>
      <c r="MO2162" s="38"/>
      <c r="MP2162" s="38"/>
      <c r="MQ2162" s="38"/>
      <c r="MR2162" s="38"/>
      <c r="MS2162" s="38"/>
      <c r="MT2162" s="38"/>
      <c r="MU2162" s="38"/>
      <c r="MV2162" s="38"/>
      <c r="MW2162" s="38"/>
      <c r="MX2162" s="38"/>
      <c r="MY2162" s="38"/>
      <c r="MZ2162" s="38"/>
      <c r="NA2162" s="38"/>
      <c r="NB2162" s="38"/>
      <c r="NC2162" s="38"/>
      <c r="ND2162" s="38"/>
      <c r="NE2162" s="38"/>
      <c r="NF2162" s="38"/>
      <c r="NG2162" s="38"/>
      <c r="NH2162" s="38"/>
      <c r="NI2162" s="38"/>
      <c r="NJ2162" s="38"/>
      <c r="NK2162" s="38"/>
      <c r="NL2162" s="38"/>
      <c r="NM2162" s="38"/>
      <c r="NN2162" s="38"/>
      <c r="NO2162" s="38"/>
      <c r="NP2162" s="38"/>
      <c r="NQ2162" s="38"/>
      <c r="NR2162" s="38"/>
      <c r="NS2162" s="38"/>
      <c r="NT2162" s="38"/>
      <c r="NU2162" s="38"/>
      <c r="NV2162" s="38"/>
      <c r="NW2162" s="38"/>
      <c r="NX2162" s="38"/>
      <c r="NY2162" s="38"/>
      <c r="NZ2162" s="38"/>
      <c r="OA2162" s="38"/>
      <c r="OB2162" s="38"/>
      <c r="OC2162" s="38"/>
      <c r="OD2162" s="38"/>
      <c r="OE2162" s="38"/>
      <c r="OF2162" s="38"/>
      <c r="OG2162" s="38"/>
      <c r="OH2162" s="38"/>
      <c r="OI2162" s="38"/>
      <c r="OJ2162" s="38"/>
      <c r="OK2162" s="38"/>
      <c r="OL2162" s="38"/>
      <c r="OM2162" s="38"/>
      <c r="ON2162" s="38"/>
      <c r="OO2162" s="38"/>
      <c r="OP2162" s="38"/>
      <c r="OQ2162" s="38"/>
      <c r="OR2162" s="38"/>
      <c r="OS2162" s="38"/>
      <c r="OT2162" s="38"/>
      <c r="OU2162" s="38"/>
      <c r="OV2162" s="38"/>
      <c r="OW2162" s="38"/>
      <c r="OX2162" s="38"/>
      <c r="OY2162" s="38"/>
      <c r="OZ2162" s="38"/>
      <c r="PA2162" s="38"/>
      <c r="PB2162" s="38"/>
      <c r="PC2162" s="38"/>
      <c r="PD2162" s="38"/>
      <c r="PE2162" s="38"/>
      <c r="PF2162" s="38"/>
      <c r="PG2162" s="38"/>
      <c r="PH2162" s="38"/>
      <c r="PI2162" s="38"/>
      <c r="PJ2162" s="38"/>
      <c r="PK2162" s="38"/>
      <c r="PL2162" s="38"/>
      <c r="PM2162" s="38"/>
      <c r="PN2162" s="38"/>
      <c r="PO2162" s="38"/>
      <c r="PP2162" s="38"/>
      <c r="PQ2162" s="38"/>
      <c r="PR2162" s="38"/>
      <c r="PS2162" s="38"/>
      <c r="PT2162" s="38"/>
      <c r="PU2162" s="38"/>
      <c r="PV2162" s="38"/>
      <c r="PW2162" s="38"/>
      <c r="PX2162" s="38"/>
      <c r="PY2162" s="38"/>
      <c r="PZ2162" s="38"/>
      <c r="QA2162" s="38"/>
      <c r="QB2162" s="38"/>
      <c r="QC2162" s="38"/>
      <c r="QD2162" s="38"/>
      <c r="QE2162" s="38"/>
      <c r="QF2162" s="38"/>
      <c r="QG2162" s="38"/>
      <c r="QH2162" s="38"/>
      <c r="QI2162" s="38"/>
      <c r="QJ2162" s="38"/>
      <c r="QK2162" s="38"/>
      <c r="QL2162" s="38"/>
      <c r="QM2162" s="38"/>
      <c r="QN2162" s="38"/>
      <c r="QO2162" s="38"/>
      <c r="QP2162" s="38"/>
      <c r="QQ2162" s="38"/>
      <c r="QR2162" s="38"/>
      <c r="QS2162" s="38"/>
      <c r="QT2162" s="38"/>
      <c r="QU2162" s="38"/>
      <c r="QV2162" s="38"/>
      <c r="QW2162" s="38"/>
      <c r="QX2162" s="38"/>
      <c r="QY2162" s="38"/>
      <c r="QZ2162" s="38"/>
      <c r="RA2162" s="38"/>
      <c r="RB2162" s="38"/>
      <c r="RC2162" s="38"/>
      <c r="RD2162" s="38"/>
      <c r="RE2162" s="38"/>
      <c r="RF2162" s="38"/>
      <c r="RG2162" s="38"/>
      <c r="RH2162" s="38"/>
      <c r="RI2162" s="38"/>
      <c r="RJ2162" s="38"/>
      <c r="RK2162" s="38"/>
      <c r="RL2162" s="38"/>
      <c r="RM2162" s="38"/>
      <c r="RN2162" s="38"/>
      <c r="RO2162" s="38"/>
      <c r="RP2162" s="38"/>
      <c r="RQ2162" s="38"/>
      <c r="RR2162" s="38"/>
      <c r="RS2162" s="38"/>
      <c r="RT2162" s="38"/>
      <c r="RU2162" s="38"/>
      <c r="RV2162" s="38"/>
      <c r="RW2162" s="38"/>
      <c r="RX2162" s="38"/>
      <c r="RY2162" s="38"/>
      <c r="RZ2162" s="38"/>
      <c r="SA2162" s="38"/>
      <c r="SB2162" s="38"/>
      <c r="SC2162" s="38"/>
      <c r="SD2162" s="38"/>
      <c r="SE2162" s="38"/>
      <c r="SF2162" s="38"/>
      <c r="SG2162" s="38"/>
      <c r="SH2162" s="38"/>
      <c r="SI2162" s="38"/>
      <c r="SJ2162" s="38"/>
      <c r="SK2162" s="38"/>
      <c r="SL2162" s="38"/>
      <c r="SM2162" s="38"/>
      <c r="SN2162" s="38"/>
      <c r="SO2162" s="38"/>
      <c r="SP2162" s="38"/>
      <c r="SQ2162" s="38"/>
      <c r="SR2162" s="38"/>
      <c r="SS2162" s="38"/>
      <c r="ST2162" s="38"/>
      <c r="SU2162" s="38"/>
      <c r="SV2162" s="38"/>
      <c r="SW2162" s="38"/>
      <c r="SX2162" s="38"/>
      <c r="SY2162" s="38"/>
      <c r="SZ2162" s="38"/>
      <c r="TA2162" s="38"/>
      <c r="TB2162" s="38"/>
      <c r="TC2162" s="38"/>
      <c r="TD2162" s="38"/>
      <c r="TE2162" s="38"/>
      <c r="TF2162" s="38"/>
      <c r="TG2162" s="38"/>
      <c r="TH2162" s="38"/>
      <c r="TI2162" s="38"/>
      <c r="TJ2162" s="38"/>
      <c r="TK2162" s="38"/>
      <c r="TL2162" s="38"/>
      <c r="TM2162" s="38"/>
      <c r="TN2162" s="38"/>
      <c r="TO2162" s="38"/>
      <c r="TP2162" s="38"/>
      <c r="TQ2162" s="38"/>
      <c r="TR2162" s="38"/>
      <c r="TS2162" s="38"/>
      <c r="TT2162" s="38"/>
      <c r="TU2162" s="38"/>
      <c r="TV2162" s="38"/>
      <c r="TW2162" s="38"/>
      <c r="TX2162" s="38"/>
      <c r="TY2162" s="38"/>
      <c r="TZ2162" s="38"/>
      <c r="UA2162" s="38"/>
      <c r="UB2162" s="38"/>
      <c r="UC2162" s="38"/>
      <c r="UD2162" s="38"/>
      <c r="UE2162" s="38"/>
      <c r="UF2162" s="38"/>
      <c r="UG2162" s="38"/>
      <c r="UH2162" s="38"/>
      <c r="UI2162" s="38"/>
      <c r="UJ2162" s="38"/>
      <c r="UK2162" s="38"/>
      <c r="UL2162" s="38"/>
      <c r="UM2162" s="38"/>
      <c r="UN2162" s="38"/>
      <c r="UO2162" s="38"/>
      <c r="UP2162" s="38"/>
      <c r="UQ2162" s="38"/>
      <c r="UR2162" s="38"/>
      <c r="US2162" s="38"/>
      <c r="UT2162" s="38"/>
      <c r="UU2162" s="38"/>
      <c r="UV2162" s="38"/>
      <c r="UW2162" s="38"/>
      <c r="UX2162" s="38"/>
      <c r="UY2162" s="38"/>
      <c r="UZ2162" s="38"/>
      <c r="VA2162" s="38"/>
      <c r="VB2162" s="38"/>
      <c r="VC2162" s="38"/>
      <c r="VD2162" s="38"/>
      <c r="VE2162" s="38"/>
      <c r="VF2162" s="38"/>
      <c r="VG2162" s="38"/>
      <c r="VH2162" s="38"/>
      <c r="VI2162" s="38"/>
      <c r="VJ2162" s="38"/>
      <c r="VK2162" s="38"/>
      <c r="VL2162" s="38"/>
      <c r="VM2162" s="38"/>
      <c r="VN2162" s="38"/>
      <c r="VO2162" s="38"/>
      <c r="VP2162" s="38"/>
      <c r="VQ2162" s="38"/>
      <c r="VR2162" s="38"/>
      <c r="VS2162" s="38"/>
      <c r="VT2162" s="38"/>
      <c r="VU2162" s="38"/>
      <c r="VV2162" s="38"/>
      <c r="VW2162" s="38"/>
      <c r="VX2162" s="38"/>
      <c r="VY2162" s="38"/>
      <c r="VZ2162" s="38"/>
      <c r="WA2162" s="38"/>
      <c r="WB2162" s="38"/>
      <c r="WC2162" s="38"/>
      <c r="WD2162" s="38"/>
      <c r="WE2162" s="38"/>
      <c r="WF2162" s="38"/>
      <c r="WG2162" s="38"/>
      <c r="WH2162" s="38"/>
      <c r="WI2162" s="38"/>
      <c r="WJ2162" s="38"/>
      <c r="WK2162" s="38"/>
      <c r="WL2162" s="38"/>
      <c r="WM2162" s="38"/>
      <c r="WN2162" s="38"/>
      <c r="WO2162" s="38"/>
      <c r="WP2162" s="38"/>
      <c r="WQ2162" s="38"/>
      <c r="WR2162" s="38"/>
      <c r="WS2162" s="38"/>
      <c r="WT2162" s="38"/>
      <c r="WU2162" s="38"/>
      <c r="WV2162" s="38"/>
      <c r="WW2162" s="38"/>
      <c r="WX2162" s="38"/>
      <c r="WY2162" s="38"/>
      <c r="WZ2162" s="38"/>
      <c r="XA2162" s="38"/>
      <c r="XB2162" s="38"/>
      <c r="XC2162" s="38"/>
      <c r="XD2162" s="38"/>
      <c r="XE2162" s="38"/>
      <c r="XF2162" s="38"/>
      <c r="XG2162" s="38"/>
      <c r="XH2162" s="38"/>
      <c r="XI2162" s="38"/>
      <c r="XJ2162" s="38"/>
      <c r="XK2162" s="38"/>
      <c r="XL2162" s="38"/>
      <c r="XM2162" s="38"/>
      <c r="XN2162" s="38"/>
      <c r="XO2162" s="38"/>
      <c r="XP2162" s="38"/>
      <c r="XQ2162" s="38"/>
      <c r="XR2162" s="38"/>
      <c r="XS2162" s="38"/>
      <c r="XT2162" s="38"/>
      <c r="XU2162" s="38"/>
      <c r="XV2162" s="38"/>
      <c r="XW2162" s="38"/>
      <c r="XX2162" s="38"/>
      <c r="XY2162" s="38"/>
      <c r="XZ2162" s="38"/>
      <c r="YA2162" s="38"/>
      <c r="YB2162" s="38"/>
      <c r="YC2162" s="38"/>
      <c r="YD2162" s="38"/>
      <c r="YE2162" s="38"/>
      <c r="YF2162" s="38"/>
      <c r="YG2162" s="38"/>
      <c r="YH2162" s="38"/>
      <c r="YI2162" s="38"/>
      <c r="YJ2162" s="38"/>
      <c r="YK2162" s="38"/>
      <c r="YL2162" s="38"/>
      <c r="YM2162" s="38"/>
      <c r="YN2162" s="38"/>
      <c r="YO2162" s="38"/>
      <c r="YP2162" s="38"/>
      <c r="YQ2162" s="38"/>
      <c r="YR2162" s="38"/>
      <c r="YS2162" s="38"/>
      <c r="YT2162" s="38"/>
      <c r="YU2162" s="38"/>
      <c r="YV2162" s="38"/>
      <c r="YW2162" s="38"/>
      <c r="YX2162" s="38"/>
      <c r="YY2162" s="38"/>
      <c r="YZ2162" s="38"/>
      <c r="ZA2162" s="38"/>
      <c r="ZB2162" s="38"/>
      <c r="ZC2162" s="38"/>
      <c r="ZD2162" s="38"/>
      <c r="ZE2162" s="38"/>
      <c r="ZF2162" s="38"/>
      <c r="ZG2162" s="38"/>
      <c r="ZH2162" s="38"/>
      <c r="ZI2162" s="38"/>
      <c r="ZJ2162" s="38"/>
      <c r="ZK2162" s="38"/>
      <c r="ZL2162" s="38"/>
      <c r="ZM2162" s="38"/>
      <c r="ZN2162" s="38"/>
      <c r="ZO2162" s="38"/>
      <c r="ZP2162" s="38"/>
      <c r="ZQ2162" s="38"/>
      <c r="ZR2162" s="38"/>
      <c r="ZS2162" s="38"/>
      <c r="ZT2162" s="38"/>
      <c r="ZU2162" s="38"/>
      <c r="ZV2162" s="38"/>
      <c r="ZW2162" s="38"/>
      <c r="ZX2162" s="38"/>
      <c r="ZY2162" s="38"/>
      <c r="ZZ2162" s="38"/>
      <c r="AAA2162" s="38"/>
      <c r="AAB2162" s="38"/>
      <c r="AAC2162" s="38"/>
      <c r="AAD2162" s="38"/>
      <c r="AAE2162" s="38"/>
      <c r="AAF2162" s="38"/>
      <c r="AAG2162" s="38"/>
      <c r="AAH2162" s="38"/>
      <c r="AAI2162" s="38"/>
      <c r="AAJ2162" s="38"/>
      <c r="AAK2162" s="38"/>
      <c r="AAL2162" s="38"/>
      <c r="AAM2162" s="38"/>
      <c r="AAN2162" s="38"/>
      <c r="AAO2162" s="38"/>
      <c r="AAP2162" s="38"/>
      <c r="AAQ2162" s="38"/>
      <c r="AAR2162" s="38"/>
      <c r="AAS2162" s="38"/>
      <c r="AAT2162" s="38"/>
      <c r="AAU2162" s="38"/>
      <c r="AAV2162" s="38"/>
      <c r="AAW2162" s="38"/>
      <c r="AAX2162" s="38"/>
      <c r="AAY2162" s="38"/>
      <c r="AAZ2162" s="38"/>
      <c r="ABA2162" s="38"/>
      <c r="ABB2162" s="38"/>
      <c r="ABC2162" s="38"/>
      <c r="ABD2162" s="38"/>
      <c r="ABE2162" s="38"/>
      <c r="ABF2162" s="38"/>
      <c r="ABG2162" s="38"/>
      <c r="ABH2162" s="38"/>
      <c r="ABI2162" s="38"/>
      <c r="ABJ2162" s="38"/>
      <c r="ABK2162" s="38"/>
      <c r="ABL2162" s="38"/>
      <c r="ABM2162" s="38"/>
      <c r="ABN2162" s="38"/>
      <c r="ABO2162" s="38"/>
      <c r="ABP2162" s="38"/>
      <c r="ABQ2162" s="38"/>
      <c r="ABR2162" s="38"/>
      <c r="ABS2162" s="38"/>
      <c r="ABT2162" s="38"/>
      <c r="ABU2162" s="38"/>
      <c r="ABV2162" s="38"/>
      <c r="ABW2162" s="38"/>
      <c r="ABX2162" s="38"/>
      <c r="ABY2162" s="38"/>
      <c r="ABZ2162" s="38"/>
      <c r="ACA2162" s="38"/>
      <c r="ACB2162" s="38"/>
      <c r="ACC2162" s="38"/>
      <c r="ACD2162" s="38"/>
      <c r="ACE2162" s="38"/>
      <c r="ACF2162" s="38"/>
      <c r="ACG2162" s="38"/>
      <c r="ACH2162" s="38"/>
      <c r="ACI2162" s="38"/>
      <c r="ACJ2162" s="38"/>
      <c r="ACK2162" s="38"/>
      <c r="ACL2162" s="38"/>
      <c r="ACM2162" s="38"/>
      <c r="ACN2162" s="38"/>
      <c r="ACO2162" s="38"/>
      <c r="ACP2162" s="38"/>
      <c r="ACQ2162" s="38"/>
      <c r="ACR2162" s="38"/>
      <c r="ACS2162" s="38"/>
      <c r="ACT2162" s="38"/>
      <c r="ACU2162" s="38"/>
      <c r="ACV2162" s="38"/>
      <c r="ACW2162" s="38"/>
      <c r="ACX2162" s="38"/>
      <c r="ACY2162" s="38"/>
      <c r="ACZ2162" s="38"/>
      <c r="ADA2162" s="38"/>
      <c r="ADB2162" s="38"/>
      <c r="ADC2162" s="38"/>
      <c r="ADD2162" s="38"/>
      <c r="ADE2162" s="38"/>
      <c r="ADF2162" s="38"/>
      <c r="ADG2162" s="38"/>
      <c r="ADH2162" s="38"/>
      <c r="ADI2162" s="38"/>
      <c r="ADJ2162" s="38"/>
      <c r="ADK2162" s="38"/>
      <c r="ADL2162" s="38"/>
      <c r="ADM2162" s="38"/>
      <c r="ADN2162" s="38"/>
      <c r="ADO2162" s="38"/>
      <c r="ADP2162" s="38"/>
      <c r="ADQ2162" s="38"/>
      <c r="ADR2162" s="38"/>
      <c r="ADS2162" s="38"/>
      <c r="ADT2162" s="38"/>
      <c r="ADU2162" s="38"/>
      <c r="ADV2162" s="38"/>
      <c r="ADW2162" s="38"/>
      <c r="ADX2162" s="38"/>
      <c r="ADY2162" s="38"/>
      <c r="ADZ2162" s="38"/>
      <c r="AEA2162" s="38"/>
      <c r="AEB2162" s="38"/>
      <c r="AEC2162" s="38"/>
      <c r="AED2162" s="38"/>
      <c r="AEE2162" s="38"/>
      <c r="AEF2162" s="38"/>
      <c r="AEG2162" s="38"/>
      <c r="AEH2162" s="38"/>
      <c r="AEI2162" s="38"/>
      <c r="AEJ2162" s="38"/>
      <c r="AEK2162" s="38"/>
      <c r="AEL2162" s="38"/>
      <c r="AEM2162" s="38"/>
      <c r="AEN2162" s="38"/>
      <c r="AEO2162" s="38"/>
      <c r="AEP2162" s="38"/>
      <c r="AEQ2162" s="38"/>
      <c r="AER2162" s="38"/>
      <c r="AES2162" s="38"/>
      <c r="AET2162" s="38"/>
      <c r="AEU2162" s="38"/>
      <c r="AEV2162" s="38"/>
      <c r="AEW2162" s="38"/>
      <c r="AEX2162" s="38"/>
      <c r="AEY2162" s="38"/>
      <c r="AEZ2162" s="38"/>
      <c r="AFA2162" s="38"/>
      <c r="AFB2162" s="38"/>
      <c r="AFC2162" s="38"/>
      <c r="AFD2162" s="38"/>
      <c r="AFE2162" s="38"/>
      <c r="AFF2162" s="38"/>
      <c r="AFG2162" s="38"/>
      <c r="AFH2162" s="38"/>
      <c r="AFI2162" s="38"/>
      <c r="AFJ2162" s="38"/>
      <c r="AFK2162" s="38"/>
      <c r="AFL2162" s="38"/>
      <c r="AFM2162" s="38"/>
      <c r="AFN2162" s="38"/>
      <c r="AFO2162" s="38"/>
      <c r="AFP2162" s="38"/>
      <c r="AFQ2162" s="38"/>
      <c r="AFR2162" s="38"/>
      <c r="AFS2162" s="38"/>
      <c r="AFT2162" s="38"/>
      <c r="AFU2162" s="38"/>
      <c r="AFV2162" s="38"/>
      <c r="AFW2162" s="38"/>
      <c r="AFX2162" s="38"/>
      <c r="AFY2162" s="38"/>
      <c r="AFZ2162" s="38"/>
      <c r="AGA2162" s="38"/>
      <c r="AGB2162" s="38"/>
      <c r="AGC2162" s="38"/>
      <c r="AGD2162" s="38"/>
      <c r="AGE2162" s="38"/>
      <c r="AGF2162" s="38"/>
      <c r="AGG2162" s="38"/>
      <c r="AGH2162" s="38"/>
      <c r="AGI2162" s="38"/>
      <c r="AGJ2162" s="38"/>
      <c r="AGK2162" s="38"/>
      <c r="AGL2162" s="38"/>
      <c r="AGM2162" s="38"/>
      <c r="AGN2162" s="38"/>
      <c r="AGO2162" s="38"/>
      <c r="AGP2162" s="38"/>
      <c r="AGQ2162" s="38"/>
      <c r="AGR2162" s="38"/>
      <c r="AGS2162" s="38"/>
      <c r="AGT2162" s="38"/>
      <c r="AGU2162" s="38"/>
      <c r="AGV2162" s="38"/>
      <c r="AGW2162" s="38"/>
      <c r="AGX2162" s="38"/>
      <c r="AGY2162" s="38"/>
      <c r="AGZ2162" s="38"/>
      <c r="AHA2162" s="38"/>
      <c r="AHB2162" s="38"/>
      <c r="AHC2162" s="38"/>
      <c r="AHD2162" s="38"/>
      <c r="AHE2162" s="38"/>
      <c r="AHF2162" s="38"/>
      <c r="AHG2162" s="38"/>
      <c r="AHH2162" s="38"/>
      <c r="AHI2162" s="38"/>
      <c r="AHJ2162" s="38"/>
      <c r="AHK2162" s="38"/>
      <c r="AHL2162" s="38"/>
      <c r="AHM2162" s="38"/>
      <c r="AHN2162" s="38"/>
      <c r="AHO2162" s="38"/>
      <c r="AHP2162" s="38"/>
      <c r="AHQ2162" s="38"/>
      <c r="AHR2162" s="38"/>
      <c r="AHS2162" s="38"/>
      <c r="AHT2162" s="38"/>
      <c r="AHU2162" s="38"/>
      <c r="AHV2162" s="38"/>
      <c r="AHW2162" s="38"/>
      <c r="AHX2162" s="38"/>
      <c r="AHY2162" s="38"/>
      <c r="AHZ2162" s="38"/>
      <c r="AIA2162" s="38"/>
      <c r="AIB2162" s="38"/>
      <c r="AIC2162" s="38"/>
      <c r="AID2162" s="38"/>
      <c r="AIE2162" s="38"/>
      <c r="AIF2162" s="38"/>
      <c r="AIG2162" s="38"/>
      <c r="AIH2162" s="38"/>
      <c r="AII2162" s="38"/>
      <c r="AIJ2162" s="38"/>
      <c r="AIK2162" s="38"/>
      <c r="AIL2162" s="38"/>
      <c r="AIM2162" s="38"/>
      <c r="AIN2162" s="38"/>
      <c r="AIO2162" s="38"/>
      <c r="AIP2162" s="38"/>
      <c r="AIQ2162" s="38"/>
      <c r="AIR2162" s="38"/>
      <c r="AIS2162" s="38"/>
      <c r="AIT2162" s="38"/>
      <c r="AIU2162" s="38"/>
      <c r="AIV2162" s="38"/>
      <c r="AIW2162" s="38"/>
      <c r="AIX2162" s="38"/>
      <c r="AIY2162" s="38"/>
      <c r="AIZ2162" s="38"/>
      <c r="AJA2162" s="38"/>
      <c r="AJB2162" s="38"/>
      <c r="AJC2162" s="38"/>
      <c r="AJD2162" s="38"/>
      <c r="AJE2162" s="38"/>
      <c r="AJF2162" s="38"/>
      <c r="AJG2162" s="38"/>
      <c r="AJH2162" s="38"/>
      <c r="AJI2162" s="38"/>
      <c r="AJJ2162" s="38"/>
      <c r="AJK2162" s="38"/>
      <c r="AJL2162" s="38"/>
      <c r="AJM2162" s="38"/>
      <c r="AJN2162" s="38"/>
      <c r="AJO2162" s="38"/>
      <c r="AJP2162" s="38"/>
      <c r="AJQ2162" s="38"/>
      <c r="AJR2162" s="38"/>
      <c r="AJS2162" s="38"/>
      <c r="AJT2162" s="38"/>
      <c r="AJU2162" s="38"/>
      <c r="AJV2162" s="38"/>
      <c r="AJW2162" s="38"/>
      <c r="AJX2162" s="38"/>
      <c r="AJY2162" s="38"/>
      <c r="AJZ2162" s="38"/>
      <c r="AKA2162" s="38"/>
      <c r="AKB2162" s="38"/>
      <c r="AKC2162" s="38"/>
      <c r="AKD2162" s="38"/>
      <c r="AKE2162" s="38"/>
      <c r="AKF2162" s="38"/>
      <c r="AKG2162" s="38"/>
      <c r="AKH2162" s="38"/>
      <c r="AKI2162" s="38"/>
      <c r="AKJ2162" s="38"/>
      <c r="AKK2162" s="38"/>
      <c r="AKL2162" s="38"/>
      <c r="AKM2162" s="38"/>
      <c r="AKN2162" s="38"/>
      <c r="AKO2162" s="38"/>
      <c r="AKP2162" s="38"/>
      <c r="AKQ2162" s="38"/>
      <c r="AKR2162" s="38"/>
      <c r="AKS2162" s="38"/>
      <c r="AKT2162" s="38"/>
      <c r="AKU2162" s="38"/>
      <c r="AKV2162" s="38"/>
      <c r="AKW2162" s="38"/>
      <c r="AKX2162" s="38"/>
      <c r="AKY2162" s="38"/>
      <c r="AKZ2162" s="38"/>
      <c r="ALA2162" s="38"/>
      <c r="ALB2162" s="38"/>
      <c r="ALC2162" s="38"/>
      <c r="ALD2162" s="38"/>
      <c r="ALE2162" s="38"/>
      <c r="ALF2162" s="38"/>
      <c r="ALG2162" s="38"/>
      <c r="ALH2162" s="38"/>
      <c r="ALI2162" s="38"/>
      <c r="ALJ2162" s="38"/>
      <c r="ALK2162" s="38"/>
      <c r="ALL2162" s="38"/>
      <c r="ALM2162" s="38"/>
      <c r="ALN2162" s="38"/>
      <c r="ALO2162" s="38"/>
      <c r="ALP2162" s="38"/>
      <c r="ALQ2162" s="38"/>
      <c r="ALR2162" s="38"/>
      <c r="ALS2162" s="38"/>
      <c r="ALT2162" s="38"/>
      <c r="ALU2162" s="38"/>
      <c r="ALV2162" s="38"/>
      <c r="ALW2162" s="38"/>
      <c r="ALX2162" s="38"/>
      <c r="ALY2162" s="38"/>
      <c r="ALZ2162" s="38"/>
      <c r="AMA2162" s="38"/>
      <c r="AMB2162" s="38"/>
      <c r="AMC2162" s="38"/>
      <c r="AMD2162" s="38"/>
      <c r="AME2162" s="38"/>
      <c r="AMF2162" s="38"/>
      <c r="AMG2162" s="38"/>
      <c r="AMH2162" s="38"/>
      <c r="AMI2162" s="38"/>
      <c r="AMJ2162" s="38"/>
      <c r="AMK2162" s="38"/>
      <c r="AML2162" s="38"/>
      <c r="AMM2162" s="38"/>
      <c r="AMN2162" s="38"/>
      <c r="AMO2162" s="38"/>
      <c r="AMP2162" s="38"/>
      <c r="AMQ2162" s="38"/>
      <c r="AMR2162" s="38"/>
      <c r="AMS2162" s="38"/>
      <c r="AMT2162" s="38"/>
      <c r="AMU2162" s="38"/>
      <c r="AMV2162" s="38"/>
      <c r="AMW2162" s="38"/>
      <c r="AMX2162" s="38"/>
      <c r="AMY2162" s="38"/>
      <c r="AMZ2162" s="38"/>
      <c r="ANA2162" s="38"/>
      <c r="ANB2162" s="38"/>
      <c r="ANC2162" s="38"/>
      <c r="AND2162" s="38"/>
      <c r="ANE2162" s="38"/>
      <c r="ANF2162" s="38"/>
      <c r="ANG2162" s="38"/>
      <c r="ANH2162" s="38"/>
      <c r="ANI2162" s="38"/>
      <c r="ANJ2162" s="38"/>
      <c r="ANK2162" s="38"/>
      <c r="ANL2162" s="38"/>
      <c r="ANM2162" s="38"/>
      <c r="ANN2162" s="38"/>
      <c r="ANO2162" s="38"/>
      <c r="ANP2162" s="38"/>
      <c r="ANQ2162" s="38"/>
      <c r="ANR2162" s="38"/>
      <c r="ANS2162" s="38"/>
      <c r="ANT2162" s="38"/>
      <c r="ANU2162" s="38"/>
      <c r="ANV2162" s="38"/>
      <c r="ANW2162" s="38"/>
      <c r="ANX2162" s="38"/>
      <c r="ANY2162" s="38"/>
      <c r="ANZ2162" s="38"/>
      <c r="AOA2162" s="38"/>
      <c r="AOB2162" s="38"/>
      <c r="AOC2162" s="38"/>
      <c r="AOD2162" s="38"/>
      <c r="AOE2162" s="38"/>
      <c r="AOF2162" s="38"/>
      <c r="AOG2162" s="38"/>
      <c r="AOH2162" s="38"/>
      <c r="AOI2162" s="38"/>
      <c r="AOJ2162" s="38"/>
      <c r="AOK2162" s="38"/>
      <c r="AOL2162" s="38"/>
      <c r="AOM2162" s="38"/>
      <c r="AON2162" s="38"/>
      <c r="AOO2162" s="38"/>
      <c r="AOP2162" s="38"/>
      <c r="AOQ2162" s="38"/>
      <c r="AOR2162" s="38"/>
      <c r="AOS2162" s="38"/>
      <c r="AOT2162" s="38"/>
      <c r="AOU2162" s="38"/>
      <c r="AOV2162" s="38"/>
      <c r="AOW2162" s="38"/>
      <c r="AOX2162" s="38"/>
      <c r="AOY2162" s="38"/>
      <c r="AOZ2162" s="38"/>
      <c r="APA2162" s="38"/>
      <c r="APB2162" s="38"/>
      <c r="APC2162" s="38"/>
    </row>
    <row r="2163" spans="1:1095" s="36" customFormat="1" ht="14.25" customHeight="1">
      <c r="A2163" s="3" t="s">
        <v>1722</v>
      </c>
      <c r="B2163" s="36" t="s">
        <v>2610</v>
      </c>
      <c r="C2163" s="10">
        <v>4099854059810</v>
      </c>
      <c r="D2163" s="224">
        <v>4058075797475</v>
      </c>
      <c r="E2163" s="245" t="s">
        <v>2611</v>
      </c>
      <c r="F2163" s="246"/>
      <c r="G2163" s="66" t="str">
        <f>HYPERLINK("https://ledvance.com/pt/product-datasheet/251346/236831","Ficha de Produto")</f>
        <v>Ficha de Produto</v>
      </c>
      <c r="H2163" s="217">
        <v>10</v>
      </c>
      <c r="I2163" s="34" t="s">
        <v>6389</v>
      </c>
      <c r="J2163" s="34" t="s">
        <v>6364</v>
      </c>
      <c r="K2163" s="34" t="s">
        <v>788</v>
      </c>
      <c r="L2163" s="34" t="s">
        <v>765</v>
      </c>
      <c r="M2163" s="247">
        <v>10.200000000000001</v>
      </c>
      <c r="N2163" s="288" t="s">
        <v>722</v>
      </c>
    </row>
    <row r="2164" spans="1:1095" s="36" customFormat="1" ht="14.25" customHeight="1">
      <c r="A2164" s="3" t="s">
        <v>1722</v>
      </c>
      <c r="B2164" s="36" t="s">
        <v>2612</v>
      </c>
      <c r="C2164" s="10">
        <v>4099854059834</v>
      </c>
      <c r="D2164" s="224">
        <v>4058075797499</v>
      </c>
      <c r="E2164" s="245" t="s">
        <v>2613</v>
      </c>
      <c r="F2164" s="246"/>
      <c r="G2164" s="66" t="str">
        <f>HYPERLINK("https://ledvance.com/pt/product-datasheet/251346/236834","Ficha de Produto")</f>
        <v>Ficha de Produto</v>
      </c>
      <c r="H2164" s="217">
        <v>10</v>
      </c>
      <c r="I2164" s="34" t="s">
        <v>6389</v>
      </c>
      <c r="J2164" s="34" t="s">
        <v>6364</v>
      </c>
      <c r="K2164" s="34" t="s">
        <v>788</v>
      </c>
      <c r="L2164" s="34" t="s">
        <v>765</v>
      </c>
      <c r="M2164" s="247">
        <v>10.200000000000001</v>
      </c>
      <c r="N2164" s="288" t="s">
        <v>722</v>
      </c>
    </row>
    <row r="2165" spans="1:1095" s="36" customFormat="1" ht="14.25" customHeight="1">
      <c r="A2165" s="3" t="s">
        <v>1722</v>
      </c>
      <c r="B2165" s="36" t="s">
        <v>2614</v>
      </c>
      <c r="C2165" s="10">
        <v>4099854059858</v>
      </c>
      <c r="D2165" s="224">
        <v>4058075797512</v>
      </c>
      <c r="E2165" s="245" t="s">
        <v>2615</v>
      </c>
      <c r="F2165" s="246"/>
      <c r="G2165" s="66" t="str">
        <f>HYPERLINK("https://ledvance.com/pt/product-datasheet/251346/236837","Ficha de Produto")</f>
        <v>Ficha de Produto</v>
      </c>
      <c r="H2165" s="217">
        <v>10</v>
      </c>
      <c r="I2165" s="34" t="s">
        <v>6389</v>
      </c>
      <c r="J2165" s="34" t="s">
        <v>6364</v>
      </c>
      <c r="K2165" s="34" t="s">
        <v>788</v>
      </c>
      <c r="L2165" s="34" t="s">
        <v>765</v>
      </c>
      <c r="M2165" s="247">
        <v>10.200000000000001</v>
      </c>
      <c r="N2165" s="288" t="s">
        <v>722</v>
      </c>
    </row>
    <row r="2166" spans="1:1095" s="36" customFormat="1" ht="14.25" customHeight="1">
      <c r="A2166" s="3" t="s">
        <v>1722</v>
      </c>
      <c r="B2166" s="36" t="s">
        <v>2616</v>
      </c>
      <c r="C2166" s="10">
        <v>4099854058998</v>
      </c>
      <c r="D2166" s="224">
        <v>4058075608450</v>
      </c>
      <c r="E2166" s="245" t="s">
        <v>2617</v>
      </c>
      <c r="F2166" s="246"/>
      <c r="G2166" s="66" t="str">
        <f>HYPERLINK("https://ledvance.com/pt/product-datasheet/251346/236819","Ficha de Produto")</f>
        <v>Ficha de Produto</v>
      </c>
      <c r="H2166" s="217">
        <v>10</v>
      </c>
      <c r="I2166" s="34" t="s">
        <v>6390</v>
      </c>
      <c r="J2166" s="34" t="s">
        <v>795</v>
      </c>
      <c r="K2166" s="34" t="s">
        <v>788</v>
      </c>
      <c r="L2166" s="34" t="s">
        <v>765</v>
      </c>
      <c r="M2166" s="247">
        <v>12</v>
      </c>
      <c r="N2166" s="288" t="s">
        <v>722</v>
      </c>
    </row>
    <row r="2167" spans="1:1095" s="36" customFormat="1" ht="14.25" customHeight="1">
      <c r="A2167" s="3" t="s">
        <v>1722</v>
      </c>
      <c r="B2167" s="36" t="s">
        <v>2618</v>
      </c>
      <c r="C2167" s="10">
        <v>4099854059032</v>
      </c>
      <c r="D2167" s="224">
        <v>4058075608436</v>
      </c>
      <c r="E2167" s="245" t="s">
        <v>2619</v>
      </c>
      <c r="F2167" s="246"/>
      <c r="G2167" s="66" t="str">
        <f>HYPERLINK("https://ledvance.com/pt/product-datasheet/251346/236822","Ficha de Produto")</f>
        <v>Ficha de Produto</v>
      </c>
      <c r="H2167" s="217">
        <v>10</v>
      </c>
      <c r="I2167" s="34" t="s">
        <v>6390</v>
      </c>
      <c r="J2167" s="34" t="s">
        <v>795</v>
      </c>
      <c r="K2167" s="34" t="s">
        <v>788</v>
      </c>
      <c r="L2167" s="34" t="s">
        <v>765</v>
      </c>
      <c r="M2167" s="247">
        <v>12</v>
      </c>
      <c r="N2167" s="288" t="s">
        <v>722</v>
      </c>
    </row>
    <row r="2168" spans="1:1095" s="36" customFormat="1" ht="14.25" customHeight="1">
      <c r="A2168" s="3" t="s">
        <v>1722</v>
      </c>
      <c r="B2168" s="36" t="s">
        <v>2620</v>
      </c>
      <c r="C2168" s="10">
        <v>4099854059070</v>
      </c>
      <c r="D2168" s="224">
        <v>4058075608412</v>
      </c>
      <c r="E2168" s="245" t="s">
        <v>2621</v>
      </c>
      <c r="F2168" s="246"/>
      <c r="G2168" s="66" t="str">
        <f>HYPERLINK("https://ledvance.com/pt/product-datasheet/251346/236828","Ficha de Produto")</f>
        <v>Ficha de Produto</v>
      </c>
      <c r="H2168" s="217">
        <v>10</v>
      </c>
      <c r="I2168" s="34" t="s">
        <v>6390</v>
      </c>
      <c r="J2168" s="34" t="s">
        <v>795</v>
      </c>
      <c r="K2168" s="34" t="s">
        <v>788</v>
      </c>
      <c r="L2168" s="34" t="s">
        <v>765</v>
      </c>
      <c r="M2168" s="247">
        <v>12</v>
      </c>
      <c r="N2168" s="288" t="s">
        <v>722</v>
      </c>
    </row>
    <row r="2169" spans="1:1095" s="36" customFormat="1" ht="14.25" customHeight="1">
      <c r="A2169" s="3" t="s">
        <v>1722</v>
      </c>
      <c r="B2169" s="36" t="s">
        <v>2622</v>
      </c>
      <c r="C2169" s="10">
        <v>4099854070792</v>
      </c>
      <c r="D2169" s="224">
        <v>4058075608955</v>
      </c>
      <c r="E2169" s="245" t="s">
        <v>2623</v>
      </c>
      <c r="F2169" s="246"/>
      <c r="G2169" s="66" t="str">
        <f>HYPERLINK("https://ledvance.com/pt/product-datasheet/251346/239236","Ficha de Produto")</f>
        <v>Ficha de Produto</v>
      </c>
      <c r="H2169" s="217">
        <v>10</v>
      </c>
      <c r="I2169" s="34" t="s">
        <v>6133</v>
      </c>
      <c r="J2169" s="34" t="s">
        <v>6337</v>
      </c>
      <c r="K2169" s="34" t="s">
        <v>788</v>
      </c>
      <c r="L2169" s="34" t="s">
        <v>765</v>
      </c>
      <c r="M2169" s="247">
        <v>19.400000000000002</v>
      </c>
      <c r="N2169" s="288" t="s">
        <v>722</v>
      </c>
    </row>
    <row r="2170" spans="1:1095" s="36" customFormat="1" ht="14.25" customHeight="1">
      <c r="A2170" s="3" t="s">
        <v>1722</v>
      </c>
      <c r="B2170" s="36" t="s">
        <v>2624</v>
      </c>
      <c r="C2170" s="10">
        <v>4099854070815</v>
      </c>
      <c r="D2170" s="224">
        <v>4058075608931</v>
      </c>
      <c r="E2170" s="245" t="s">
        <v>2625</v>
      </c>
      <c r="F2170" s="246"/>
      <c r="G2170" s="66" t="str">
        <f>HYPERLINK("https://ledvance.com/pt/product-datasheet/251346/239239","Ficha de Produto")</f>
        <v>Ficha de Produto</v>
      </c>
      <c r="H2170" s="217">
        <v>10</v>
      </c>
      <c r="I2170" s="34" t="s">
        <v>6133</v>
      </c>
      <c r="J2170" s="34" t="s">
        <v>6337</v>
      </c>
      <c r="K2170" s="34" t="s">
        <v>788</v>
      </c>
      <c r="L2170" s="34" t="s">
        <v>765</v>
      </c>
      <c r="M2170" s="247">
        <v>19.400000000000002</v>
      </c>
      <c r="N2170" s="288" t="s">
        <v>722</v>
      </c>
    </row>
    <row r="2171" spans="1:1095" s="36" customFormat="1" ht="14.25" customHeight="1">
      <c r="A2171" s="3" t="s">
        <v>1722</v>
      </c>
      <c r="B2171" s="36" t="s">
        <v>2626</v>
      </c>
      <c r="C2171" s="10">
        <v>4099854070839</v>
      </c>
      <c r="D2171" s="224">
        <v>4058075608917</v>
      </c>
      <c r="E2171" s="245" t="s">
        <v>2627</v>
      </c>
      <c r="F2171" s="246"/>
      <c r="G2171" s="66" t="str">
        <f>HYPERLINK("https://ledvance.com/pt/product-datasheet/251346/239242","Ficha de Produto")</f>
        <v>Ficha de Produto</v>
      </c>
      <c r="H2171" s="217">
        <v>10</v>
      </c>
      <c r="I2171" s="34" t="s">
        <v>6133</v>
      </c>
      <c r="J2171" s="34" t="s">
        <v>6337</v>
      </c>
      <c r="K2171" s="34" t="s">
        <v>788</v>
      </c>
      <c r="L2171" s="34" t="s">
        <v>765</v>
      </c>
      <c r="M2171" s="247">
        <v>19.400000000000002</v>
      </c>
      <c r="N2171" s="288" t="s">
        <v>722</v>
      </c>
    </row>
    <row r="2172" spans="1:1095" s="39" customFormat="1" ht="14.25" customHeight="1">
      <c r="A2172" s="8" t="s">
        <v>1722</v>
      </c>
      <c r="B2172" s="244" t="s">
        <v>1690</v>
      </c>
      <c r="C2172" s="8"/>
      <c r="D2172" s="7"/>
      <c r="E2172" s="230"/>
      <c r="F2172" s="7"/>
      <c r="G2172" s="68"/>
      <c r="H2172" s="230"/>
      <c r="I2172" s="230"/>
      <c r="J2172" s="230"/>
      <c r="K2172" s="230"/>
      <c r="L2172" s="230"/>
      <c r="M2172" s="248"/>
      <c r="N2172" s="284"/>
      <c r="O2172" s="38"/>
      <c r="P2172" s="38"/>
      <c r="Q2172" s="38"/>
      <c r="R2172" s="38"/>
      <c r="S2172" s="38"/>
      <c r="T2172" s="38"/>
      <c r="U2172" s="38"/>
      <c r="V2172" s="38"/>
      <c r="W2172" s="38"/>
      <c r="X2172" s="38"/>
      <c r="Y2172" s="38"/>
      <c r="Z2172" s="38"/>
      <c r="AA2172" s="38"/>
      <c r="AB2172" s="38"/>
      <c r="AC2172" s="38"/>
      <c r="AD2172" s="38"/>
      <c r="AE2172" s="38"/>
      <c r="AF2172" s="38"/>
      <c r="AG2172" s="38"/>
      <c r="AH2172" s="38"/>
      <c r="AI2172" s="38"/>
      <c r="AJ2172" s="38"/>
      <c r="AK2172" s="38"/>
      <c r="AL2172" s="38"/>
      <c r="AM2172" s="38"/>
      <c r="AN2172" s="38"/>
      <c r="AO2172" s="38"/>
      <c r="AP2172" s="38"/>
      <c r="AQ2172" s="38"/>
      <c r="AR2172" s="38"/>
      <c r="AS2172" s="38"/>
      <c r="AT2172" s="38"/>
      <c r="AU2172" s="38"/>
      <c r="AV2172" s="38"/>
      <c r="AW2172" s="38"/>
      <c r="AX2172" s="38"/>
      <c r="AY2172" s="38"/>
      <c r="AZ2172" s="38"/>
      <c r="BA2172" s="38"/>
      <c r="BB2172" s="38"/>
      <c r="BC2172" s="38"/>
      <c r="BD2172" s="38"/>
      <c r="BE2172" s="38"/>
      <c r="BF2172" s="38"/>
      <c r="BG2172" s="38"/>
      <c r="BH2172" s="38"/>
      <c r="BI2172" s="38"/>
      <c r="BJ2172" s="38"/>
      <c r="BK2172" s="38"/>
      <c r="BL2172" s="38"/>
      <c r="BM2172" s="38"/>
      <c r="BN2172" s="38"/>
      <c r="BO2172" s="38"/>
      <c r="BP2172" s="38"/>
      <c r="BQ2172" s="38"/>
      <c r="BR2172" s="38"/>
      <c r="BS2172" s="38"/>
      <c r="BT2172" s="38"/>
      <c r="BU2172" s="38"/>
      <c r="BV2172" s="38"/>
      <c r="BW2172" s="38"/>
      <c r="BX2172" s="38"/>
      <c r="BY2172" s="38"/>
      <c r="BZ2172" s="38"/>
      <c r="CA2172" s="38"/>
      <c r="CB2172" s="38"/>
      <c r="CC2172" s="38"/>
      <c r="CD2172" s="38"/>
      <c r="CE2172" s="38"/>
      <c r="CF2172" s="38"/>
      <c r="CG2172" s="38"/>
      <c r="CH2172" s="38"/>
      <c r="CI2172" s="38"/>
      <c r="CJ2172" s="38"/>
      <c r="CK2172" s="38"/>
      <c r="CL2172" s="38"/>
      <c r="CM2172" s="38"/>
      <c r="CN2172" s="38"/>
      <c r="CO2172" s="38"/>
      <c r="CP2172" s="38"/>
      <c r="CQ2172" s="38"/>
      <c r="CR2172" s="38"/>
      <c r="CS2172" s="38"/>
      <c r="CT2172" s="38"/>
      <c r="CU2172" s="38"/>
      <c r="CV2172" s="38"/>
      <c r="CW2172" s="38"/>
      <c r="CX2172" s="38"/>
      <c r="CY2172" s="38"/>
      <c r="CZ2172" s="38"/>
      <c r="DA2172" s="38"/>
      <c r="DB2172" s="38"/>
      <c r="DC2172" s="38"/>
      <c r="DD2172" s="38"/>
      <c r="DE2172" s="38"/>
      <c r="DF2172" s="38"/>
      <c r="DG2172" s="38"/>
      <c r="DH2172" s="38"/>
      <c r="DI2172" s="38"/>
      <c r="DJ2172" s="38"/>
      <c r="DK2172" s="38"/>
      <c r="DL2172" s="38"/>
      <c r="DM2172" s="38"/>
      <c r="DN2172" s="38"/>
      <c r="DO2172" s="38"/>
      <c r="DP2172" s="38"/>
      <c r="DQ2172" s="38"/>
      <c r="DR2172" s="38"/>
      <c r="DS2172" s="38"/>
      <c r="DT2172" s="38"/>
      <c r="DU2172" s="38"/>
      <c r="DV2172" s="38"/>
      <c r="DW2172" s="38"/>
      <c r="DX2172" s="38"/>
      <c r="DY2172" s="38"/>
      <c r="DZ2172" s="38"/>
      <c r="EA2172" s="38"/>
      <c r="EB2172" s="38"/>
      <c r="EC2172" s="38"/>
      <c r="ED2172" s="38"/>
      <c r="EE2172" s="38"/>
      <c r="EF2172" s="38"/>
      <c r="EG2172" s="38"/>
      <c r="EH2172" s="38"/>
      <c r="EI2172" s="38"/>
      <c r="EJ2172" s="38"/>
      <c r="EK2172" s="38"/>
      <c r="EL2172" s="38"/>
      <c r="EM2172" s="38"/>
      <c r="EN2172" s="38"/>
      <c r="EO2172" s="38"/>
      <c r="EP2172" s="38"/>
      <c r="EQ2172" s="38"/>
      <c r="ER2172" s="38"/>
      <c r="ES2172" s="38"/>
      <c r="ET2172" s="38"/>
      <c r="EU2172" s="38"/>
      <c r="EV2172" s="38"/>
      <c r="EW2172" s="38"/>
      <c r="EX2172" s="38"/>
      <c r="EY2172" s="38"/>
      <c r="EZ2172" s="38"/>
      <c r="FA2172" s="38"/>
      <c r="FB2172" s="38"/>
      <c r="FC2172" s="38"/>
      <c r="FD2172" s="38"/>
      <c r="FE2172" s="38"/>
      <c r="FF2172" s="38"/>
      <c r="FG2172" s="38"/>
      <c r="FH2172" s="38"/>
      <c r="FI2172" s="38"/>
      <c r="FJ2172" s="38"/>
      <c r="FK2172" s="38"/>
      <c r="FL2172" s="38"/>
      <c r="FM2172" s="38"/>
      <c r="FN2172" s="38"/>
      <c r="FO2172" s="38"/>
      <c r="FP2172" s="38"/>
      <c r="FQ2172" s="38"/>
      <c r="FR2172" s="38"/>
      <c r="FS2172" s="38"/>
      <c r="FT2172" s="38"/>
      <c r="FU2172" s="38"/>
      <c r="FV2172" s="38"/>
      <c r="FW2172" s="38"/>
      <c r="FX2172" s="38"/>
      <c r="FY2172" s="38"/>
      <c r="FZ2172" s="38"/>
      <c r="GA2172" s="38"/>
      <c r="GB2172" s="38"/>
      <c r="GC2172" s="38"/>
      <c r="GD2172" s="38"/>
      <c r="GE2172" s="38"/>
      <c r="GF2172" s="38"/>
      <c r="GG2172" s="38"/>
      <c r="GH2172" s="38"/>
      <c r="GI2172" s="38"/>
      <c r="GJ2172" s="38"/>
      <c r="GK2172" s="38"/>
      <c r="GL2172" s="38"/>
      <c r="GM2172" s="38"/>
      <c r="GN2172" s="38"/>
      <c r="GO2172" s="38"/>
      <c r="GP2172" s="38"/>
      <c r="GQ2172" s="38"/>
      <c r="GR2172" s="38"/>
      <c r="GS2172" s="38"/>
      <c r="GT2172" s="38"/>
      <c r="GU2172" s="38"/>
      <c r="GV2172" s="38"/>
      <c r="GW2172" s="38"/>
      <c r="GX2172" s="38"/>
      <c r="GY2172" s="38"/>
      <c r="GZ2172" s="38"/>
      <c r="HA2172" s="38"/>
      <c r="HB2172" s="38"/>
      <c r="HC2172" s="38"/>
      <c r="HD2172" s="38"/>
      <c r="HE2172" s="38"/>
      <c r="HF2172" s="38"/>
      <c r="HG2172" s="38"/>
      <c r="HH2172" s="38"/>
      <c r="HI2172" s="38"/>
      <c r="HJ2172" s="38"/>
      <c r="HK2172" s="38"/>
      <c r="HL2172" s="38"/>
      <c r="HM2172" s="38"/>
      <c r="HN2172" s="38"/>
      <c r="HO2172" s="38"/>
      <c r="HP2172" s="38"/>
      <c r="HQ2172" s="38"/>
      <c r="HR2172" s="38"/>
      <c r="HS2172" s="38"/>
      <c r="HT2172" s="38"/>
      <c r="HU2172" s="38"/>
      <c r="HV2172" s="38"/>
      <c r="HW2172" s="38"/>
      <c r="HX2172" s="38"/>
      <c r="HY2172" s="38"/>
      <c r="HZ2172" s="38"/>
      <c r="IA2172" s="38"/>
      <c r="IB2172" s="38"/>
      <c r="IC2172" s="38"/>
      <c r="ID2172" s="38"/>
      <c r="IE2172" s="38"/>
      <c r="IF2172" s="38"/>
      <c r="IG2172" s="38"/>
      <c r="IH2172" s="38"/>
      <c r="II2172" s="38"/>
      <c r="IJ2172" s="38"/>
      <c r="IK2172" s="38"/>
      <c r="IL2172" s="38"/>
      <c r="IM2172" s="38"/>
      <c r="IN2172" s="38"/>
      <c r="IO2172" s="38"/>
      <c r="IP2172" s="38"/>
      <c r="IQ2172" s="38"/>
      <c r="IR2172" s="38"/>
      <c r="IS2172" s="38"/>
      <c r="IT2172" s="38"/>
      <c r="IU2172" s="38"/>
      <c r="IV2172" s="38"/>
      <c r="IW2172" s="38"/>
      <c r="IX2172" s="38"/>
      <c r="IY2172" s="38"/>
      <c r="IZ2172" s="38"/>
      <c r="JA2172" s="38"/>
      <c r="JB2172" s="38"/>
      <c r="JC2172" s="38"/>
      <c r="JD2172" s="38"/>
      <c r="JE2172" s="38"/>
      <c r="JF2172" s="38"/>
      <c r="JG2172" s="38"/>
      <c r="JH2172" s="38"/>
      <c r="JI2172" s="38"/>
      <c r="JJ2172" s="38"/>
      <c r="JK2172" s="38"/>
      <c r="JL2172" s="38"/>
      <c r="JM2172" s="38"/>
      <c r="JN2172" s="38"/>
      <c r="JO2172" s="38"/>
      <c r="JP2172" s="38"/>
      <c r="JQ2172" s="38"/>
      <c r="JR2172" s="38"/>
      <c r="JS2172" s="38"/>
      <c r="JT2172" s="38"/>
      <c r="JU2172" s="38"/>
      <c r="JV2172" s="38"/>
      <c r="JW2172" s="38"/>
      <c r="JX2172" s="38"/>
      <c r="JY2172" s="38"/>
      <c r="JZ2172" s="38"/>
      <c r="KA2172" s="38"/>
      <c r="KB2172" s="38"/>
      <c r="KC2172" s="38"/>
      <c r="KD2172" s="38"/>
      <c r="KE2172" s="38"/>
      <c r="KF2172" s="38"/>
      <c r="KG2172" s="38"/>
      <c r="KH2172" s="38"/>
      <c r="KI2172" s="38"/>
      <c r="KJ2172" s="38"/>
      <c r="KK2172" s="38"/>
      <c r="KL2172" s="38"/>
      <c r="KM2172" s="38"/>
      <c r="KN2172" s="38"/>
      <c r="KO2172" s="38"/>
      <c r="KP2172" s="38"/>
      <c r="KQ2172" s="38"/>
      <c r="KR2172" s="38"/>
      <c r="KS2172" s="38"/>
      <c r="KT2172" s="38"/>
      <c r="KU2172" s="38"/>
      <c r="KV2172" s="38"/>
      <c r="KW2172" s="38"/>
      <c r="KX2172" s="38"/>
      <c r="KY2172" s="38"/>
      <c r="KZ2172" s="38"/>
      <c r="LA2172" s="38"/>
      <c r="LB2172" s="38"/>
      <c r="LC2172" s="38"/>
      <c r="LD2172" s="38"/>
      <c r="LE2172" s="38"/>
      <c r="LF2172" s="38"/>
      <c r="LG2172" s="38"/>
      <c r="LH2172" s="38"/>
      <c r="LI2172" s="38"/>
      <c r="LJ2172" s="38"/>
      <c r="LK2172" s="38"/>
      <c r="LL2172" s="38"/>
      <c r="LM2172" s="38"/>
      <c r="LN2172" s="38"/>
      <c r="LO2172" s="38"/>
      <c r="LP2172" s="38"/>
      <c r="LQ2172" s="38"/>
      <c r="LR2172" s="38"/>
      <c r="LS2172" s="38"/>
      <c r="LT2172" s="38"/>
      <c r="LU2172" s="38"/>
      <c r="LV2172" s="38"/>
      <c r="LW2172" s="38"/>
      <c r="LX2172" s="38"/>
      <c r="LY2172" s="38"/>
      <c r="LZ2172" s="38"/>
      <c r="MA2172" s="38"/>
      <c r="MB2172" s="38"/>
      <c r="MC2172" s="38"/>
      <c r="MD2172" s="38"/>
      <c r="ME2172" s="38"/>
      <c r="MF2172" s="38"/>
      <c r="MG2172" s="38"/>
      <c r="MH2172" s="38"/>
      <c r="MI2172" s="38"/>
      <c r="MJ2172" s="38"/>
      <c r="MK2172" s="38"/>
      <c r="ML2172" s="38"/>
      <c r="MM2172" s="38"/>
      <c r="MN2172" s="38"/>
      <c r="MO2172" s="38"/>
      <c r="MP2172" s="38"/>
      <c r="MQ2172" s="38"/>
      <c r="MR2172" s="38"/>
      <c r="MS2172" s="38"/>
      <c r="MT2172" s="38"/>
      <c r="MU2172" s="38"/>
      <c r="MV2172" s="38"/>
      <c r="MW2172" s="38"/>
      <c r="MX2172" s="38"/>
      <c r="MY2172" s="38"/>
      <c r="MZ2172" s="38"/>
      <c r="NA2172" s="38"/>
      <c r="NB2172" s="38"/>
      <c r="NC2172" s="38"/>
      <c r="ND2172" s="38"/>
      <c r="NE2172" s="38"/>
      <c r="NF2172" s="38"/>
      <c r="NG2172" s="38"/>
      <c r="NH2172" s="38"/>
      <c r="NI2172" s="38"/>
      <c r="NJ2172" s="38"/>
      <c r="NK2172" s="38"/>
      <c r="NL2172" s="38"/>
      <c r="NM2172" s="38"/>
      <c r="NN2172" s="38"/>
      <c r="NO2172" s="38"/>
      <c r="NP2172" s="38"/>
      <c r="NQ2172" s="38"/>
      <c r="NR2172" s="38"/>
      <c r="NS2172" s="38"/>
      <c r="NT2172" s="38"/>
      <c r="NU2172" s="38"/>
      <c r="NV2172" s="38"/>
      <c r="NW2172" s="38"/>
      <c r="NX2172" s="38"/>
      <c r="NY2172" s="38"/>
      <c r="NZ2172" s="38"/>
      <c r="OA2172" s="38"/>
      <c r="OB2172" s="38"/>
      <c r="OC2172" s="38"/>
      <c r="OD2172" s="38"/>
      <c r="OE2172" s="38"/>
      <c r="OF2172" s="38"/>
      <c r="OG2172" s="38"/>
      <c r="OH2172" s="38"/>
      <c r="OI2172" s="38"/>
      <c r="OJ2172" s="38"/>
      <c r="OK2172" s="38"/>
      <c r="OL2172" s="38"/>
      <c r="OM2172" s="38"/>
      <c r="ON2172" s="38"/>
      <c r="OO2172" s="38"/>
      <c r="OP2172" s="38"/>
      <c r="OQ2172" s="38"/>
      <c r="OR2172" s="38"/>
      <c r="OS2172" s="38"/>
      <c r="OT2172" s="38"/>
      <c r="OU2172" s="38"/>
      <c r="OV2172" s="38"/>
      <c r="OW2172" s="38"/>
      <c r="OX2172" s="38"/>
      <c r="OY2172" s="38"/>
      <c r="OZ2172" s="38"/>
      <c r="PA2172" s="38"/>
      <c r="PB2172" s="38"/>
      <c r="PC2172" s="38"/>
      <c r="PD2172" s="38"/>
      <c r="PE2172" s="38"/>
      <c r="PF2172" s="38"/>
      <c r="PG2172" s="38"/>
      <c r="PH2172" s="38"/>
      <c r="PI2172" s="38"/>
      <c r="PJ2172" s="38"/>
      <c r="PK2172" s="38"/>
      <c r="PL2172" s="38"/>
      <c r="PM2172" s="38"/>
      <c r="PN2172" s="38"/>
      <c r="PO2172" s="38"/>
      <c r="PP2172" s="38"/>
      <c r="PQ2172" s="38"/>
      <c r="PR2172" s="38"/>
      <c r="PS2172" s="38"/>
      <c r="PT2172" s="38"/>
      <c r="PU2172" s="38"/>
      <c r="PV2172" s="38"/>
      <c r="PW2172" s="38"/>
      <c r="PX2172" s="38"/>
      <c r="PY2172" s="38"/>
      <c r="PZ2172" s="38"/>
      <c r="QA2172" s="38"/>
      <c r="QB2172" s="38"/>
      <c r="QC2172" s="38"/>
      <c r="QD2172" s="38"/>
      <c r="QE2172" s="38"/>
      <c r="QF2172" s="38"/>
      <c r="QG2172" s="38"/>
      <c r="QH2172" s="38"/>
      <c r="QI2172" s="38"/>
      <c r="QJ2172" s="38"/>
      <c r="QK2172" s="38"/>
      <c r="QL2172" s="38"/>
      <c r="QM2172" s="38"/>
      <c r="QN2172" s="38"/>
      <c r="QO2172" s="38"/>
      <c r="QP2172" s="38"/>
      <c r="QQ2172" s="38"/>
      <c r="QR2172" s="38"/>
      <c r="QS2172" s="38"/>
      <c r="QT2172" s="38"/>
      <c r="QU2172" s="38"/>
      <c r="QV2172" s="38"/>
      <c r="QW2172" s="38"/>
      <c r="QX2172" s="38"/>
      <c r="QY2172" s="38"/>
      <c r="QZ2172" s="38"/>
      <c r="RA2172" s="38"/>
      <c r="RB2172" s="38"/>
      <c r="RC2172" s="38"/>
      <c r="RD2172" s="38"/>
      <c r="RE2172" s="38"/>
      <c r="RF2172" s="38"/>
      <c r="RG2172" s="38"/>
      <c r="RH2172" s="38"/>
      <c r="RI2172" s="38"/>
      <c r="RJ2172" s="38"/>
      <c r="RK2172" s="38"/>
      <c r="RL2172" s="38"/>
      <c r="RM2172" s="38"/>
      <c r="RN2172" s="38"/>
      <c r="RO2172" s="38"/>
      <c r="RP2172" s="38"/>
      <c r="RQ2172" s="38"/>
      <c r="RR2172" s="38"/>
      <c r="RS2172" s="38"/>
      <c r="RT2172" s="38"/>
      <c r="RU2172" s="38"/>
      <c r="RV2172" s="38"/>
      <c r="RW2172" s="38"/>
      <c r="RX2172" s="38"/>
      <c r="RY2172" s="38"/>
      <c r="RZ2172" s="38"/>
      <c r="SA2172" s="38"/>
      <c r="SB2172" s="38"/>
      <c r="SC2172" s="38"/>
      <c r="SD2172" s="38"/>
      <c r="SE2172" s="38"/>
      <c r="SF2172" s="38"/>
      <c r="SG2172" s="38"/>
      <c r="SH2172" s="38"/>
      <c r="SI2172" s="38"/>
      <c r="SJ2172" s="38"/>
      <c r="SK2172" s="38"/>
      <c r="SL2172" s="38"/>
      <c r="SM2172" s="38"/>
      <c r="SN2172" s="38"/>
      <c r="SO2172" s="38"/>
      <c r="SP2172" s="38"/>
      <c r="SQ2172" s="38"/>
      <c r="SR2172" s="38"/>
      <c r="SS2172" s="38"/>
      <c r="ST2172" s="38"/>
      <c r="SU2172" s="38"/>
      <c r="SV2172" s="38"/>
      <c r="SW2172" s="38"/>
      <c r="SX2172" s="38"/>
      <c r="SY2172" s="38"/>
      <c r="SZ2172" s="38"/>
      <c r="TA2172" s="38"/>
      <c r="TB2172" s="38"/>
      <c r="TC2172" s="38"/>
      <c r="TD2172" s="38"/>
      <c r="TE2172" s="38"/>
      <c r="TF2172" s="38"/>
      <c r="TG2172" s="38"/>
      <c r="TH2172" s="38"/>
      <c r="TI2172" s="38"/>
      <c r="TJ2172" s="38"/>
      <c r="TK2172" s="38"/>
      <c r="TL2172" s="38"/>
      <c r="TM2172" s="38"/>
      <c r="TN2172" s="38"/>
      <c r="TO2172" s="38"/>
      <c r="TP2172" s="38"/>
      <c r="TQ2172" s="38"/>
      <c r="TR2172" s="38"/>
      <c r="TS2172" s="38"/>
      <c r="TT2172" s="38"/>
      <c r="TU2172" s="38"/>
      <c r="TV2172" s="38"/>
      <c r="TW2172" s="38"/>
      <c r="TX2172" s="38"/>
      <c r="TY2172" s="38"/>
      <c r="TZ2172" s="38"/>
      <c r="UA2172" s="38"/>
      <c r="UB2172" s="38"/>
      <c r="UC2172" s="38"/>
      <c r="UD2172" s="38"/>
      <c r="UE2172" s="38"/>
      <c r="UF2172" s="38"/>
      <c r="UG2172" s="38"/>
      <c r="UH2172" s="38"/>
      <c r="UI2172" s="38"/>
      <c r="UJ2172" s="38"/>
      <c r="UK2172" s="38"/>
      <c r="UL2172" s="38"/>
      <c r="UM2172" s="38"/>
      <c r="UN2172" s="38"/>
      <c r="UO2172" s="38"/>
      <c r="UP2172" s="38"/>
      <c r="UQ2172" s="38"/>
      <c r="UR2172" s="38"/>
      <c r="US2172" s="38"/>
      <c r="UT2172" s="38"/>
      <c r="UU2172" s="38"/>
      <c r="UV2172" s="38"/>
      <c r="UW2172" s="38"/>
      <c r="UX2172" s="38"/>
      <c r="UY2172" s="38"/>
      <c r="UZ2172" s="38"/>
      <c r="VA2172" s="38"/>
      <c r="VB2172" s="38"/>
      <c r="VC2172" s="38"/>
      <c r="VD2172" s="38"/>
      <c r="VE2172" s="38"/>
      <c r="VF2172" s="38"/>
      <c r="VG2172" s="38"/>
      <c r="VH2172" s="38"/>
      <c r="VI2172" s="38"/>
      <c r="VJ2172" s="38"/>
      <c r="VK2172" s="38"/>
      <c r="VL2172" s="38"/>
      <c r="VM2172" s="38"/>
      <c r="VN2172" s="38"/>
      <c r="VO2172" s="38"/>
      <c r="VP2172" s="38"/>
      <c r="VQ2172" s="38"/>
      <c r="VR2172" s="38"/>
      <c r="VS2172" s="38"/>
      <c r="VT2172" s="38"/>
      <c r="VU2172" s="38"/>
      <c r="VV2172" s="38"/>
      <c r="VW2172" s="38"/>
      <c r="VX2172" s="38"/>
      <c r="VY2172" s="38"/>
      <c r="VZ2172" s="38"/>
      <c r="WA2172" s="38"/>
      <c r="WB2172" s="38"/>
      <c r="WC2172" s="38"/>
      <c r="WD2172" s="38"/>
      <c r="WE2172" s="38"/>
      <c r="WF2172" s="38"/>
      <c r="WG2172" s="38"/>
      <c r="WH2172" s="38"/>
      <c r="WI2172" s="38"/>
      <c r="WJ2172" s="38"/>
      <c r="WK2172" s="38"/>
      <c r="WL2172" s="38"/>
      <c r="WM2172" s="38"/>
      <c r="WN2172" s="38"/>
      <c r="WO2172" s="38"/>
      <c r="WP2172" s="38"/>
      <c r="WQ2172" s="38"/>
      <c r="WR2172" s="38"/>
      <c r="WS2172" s="38"/>
      <c r="WT2172" s="38"/>
      <c r="WU2172" s="38"/>
      <c r="WV2172" s="38"/>
      <c r="WW2172" s="38"/>
      <c r="WX2172" s="38"/>
      <c r="WY2172" s="38"/>
      <c r="WZ2172" s="38"/>
      <c r="XA2172" s="38"/>
      <c r="XB2172" s="38"/>
      <c r="XC2172" s="38"/>
      <c r="XD2172" s="38"/>
      <c r="XE2172" s="38"/>
      <c r="XF2172" s="38"/>
      <c r="XG2172" s="38"/>
      <c r="XH2172" s="38"/>
      <c r="XI2172" s="38"/>
      <c r="XJ2172" s="38"/>
      <c r="XK2172" s="38"/>
      <c r="XL2172" s="38"/>
      <c r="XM2172" s="38"/>
      <c r="XN2172" s="38"/>
      <c r="XO2172" s="38"/>
      <c r="XP2172" s="38"/>
      <c r="XQ2172" s="38"/>
      <c r="XR2172" s="38"/>
      <c r="XS2172" s="38"/>
      <c r="XT2172" s="38"/>
      <c r="XU2172" s="38"/>
      <c r="XV2172" s="38"/>
      <c r="XW2172" s="38"/>
      <c r="XX2172" s="38"/>
      <c r="XY2172" s="38"/>
      <c r="XZ2172" s="38"/>
      <c r="YA2172" s="38"/>
      <c r="YB2172" s="38"/>
      <c r="YC2172" s="38"/>
      <c r="YD2172" s="38"/>
      <c r="YE2172" s="38"/>
      <c r="YF2172" s="38"/>
      <c r="YG2172" s="38"/>
      <c r="YH2172" s="38"/>
      <c r="YI2172" s="38"/>
      <c r="YJ2172" s="38"/>
      <c r="YK2172" s="38"/>
      <c r="YL2172" s="38"/>
      <c r="YM2172" s="38"/>
      <c r="YN2172" s="38"/>
      <c r="YO2172" s="38"/>
      <c r="YP2172" s="38"/>
      <c r="YQ2172" s="38"/>
      <c r="YR2172" s="38"/>
      <c r="YS2172" s="38"/>
      <c r="YT2172" s="38"/>
      <c r="YU2172" s="38"/>
      <c r="YV2172" s="38"/>
      <c r="YW2172" s="38"/>
      <c r="YX2172" s="38"/>
      <c r="YY2172" s="38"/>
      <c r="YZ2172" s="38"/>
      <c r="ZA2172" s="38"/>
      <c r="ZB2172" s="38"/>
      <c r="ZC2172" s="38"/>
      <c r="ZD2172" s="38"/>
      <c r="ZE2172" s="38"/>
      <c r="ZF2172" s="38"/>
      <c r="ZG2172" s="38"/>
      <c r="ZH2172" s="38"/>
      <c r="ZI2172" s="38"/>
      <c r="ZJ2172" s="38"/>
      <c r="ZK2172" s="38"/>
      <c r="ZL2172" s="38"/>
      <c r="ZM2172" s="38"/>
      <c r="ZN2172" s="38"/>
      <c r="ZO2172" s="38"/>
      <c r="ZP2172" s="38"/>
      <c r="ZQ2172" s="38"/>
      <c r="ZR2172" s="38"/>
      <c r="ZS2172" s="38"/>
      <c r="ZT2172" s="38"/>
      <c r="ZU2172" s="38"/>
      <c r="ZV2172" s="38"/>
      <c r="ZW2172" s="38"/>
      <c r="ZX2172" s="38"/>
      <c r="ZY2172" s="38"/>
      <c r="ZZ2172" s="38"/>
      <c r="AAA2172" s="38"/>
      <c r="AAB2172" s="38"/>
      <c r="AAC2172" s="38"/>
      <c r="AAD2172" s="38"/>
      <c r="AAE2172" s="38"/>
      <c r="AAF2172" s="38"/>
      <c r="AAG2172" s="38"/>
      <c r="AAH2172" s="38"/>
      <c r="AAI2172" s="38"/>
      <c r="AAJ2172" s="38"/>
      <c r="AAK2172" s="38"/>
      <c r="AAL2172" s="38"/>
      <c r="AAM2172" s="38"/>
      <c r="AAN2172" s="38"/>
      <c r="AAO2172" s="38"/>
      <c r="AAP2172" s="38"/>
      <c r="AAQ2172" s="38"/>
      <c r="AAR2172" s="38"/>
      <c r="AAS2172" s="38"/>
      <c r="AAT2172" s="38"/>
      <c r="AAU2172" s="38"/>
      <c r="AAV2172" s="38"/>
      <c r="AAW2172" s="38"/>
      <c r="AAX2172" s="38"/>
      <c r="AAY2172" s="38"/>
      <c r="AAZ2172" s="38"/>
      <c r="ABA2172" s="38"/>
      <c r="ABB2172" s="38"/>
      <c r="ABC2172" s="38"/>
      <c r="ABD2172" s="38"/>
      <c r="ABE2172" s="38"/>
      <c r="ABF2172" s="38"/>
      <c r="ABG2172" s="38"/>
      <c r="ABH2172" s="38"/>
      <c r="ABI2172" s="38"/>
      <c r="ABJ2172" s="38"/>
      <c r="ABK2172" s="38"/>
      <c r="ABL2172" s="38"/>
      <c r="ABM2172" s="38"/>
      <c r="ABN2172" s="38"/>
      <c r="ABO2172" s="38"/>
      <c r="ABP2172" s="38"/>
      <c r="ABQ2172" s="38"/>
      <c r="ABR2172" s="38"/>
      <c r="ABS2172" s="38"/>
      <c r="ABT2172" s="38"/>
      <c r="ABU2172" s="38"/>
      <c r="ABV2172" s="38"/>
      <c r="ABW2172" s="38"/>
      <c r="ABX2172" s="38"/>
      <c r="ABY2172" s="38"/>
      <c r="ABZ2172" s="38"/>
      <c r="ACA2172" s="38"/>
      <c r="ACB2172" s="38"/>
      <c r="ACC2172" s="38"/>
      <c r="ACD2172" s="38"/>
      <c r="ACE2172" s="38"/>
      <c r="ACF2172" s="38"/>
      <c r="ACG2172" s="38"/>
      <c r="ACH2172" s="38"/>
      <c r="ACI2172" s="38"/>
      <c r="ACJ2172" s="38"/>
      <c r="ACK2172" s="38"/>
      <c r="ACL2172" s="38"/>
      <c r="ACM2172" s="38"/>
      <c r="ACN2172" s="38"/>
      <c r="ACO2172" s="38"/>
      <c r="ACP2172" s="38"/>
      <c r="ACQ2172" s="38"/>
      <c r="ACR2172" s="38"/>
      <c r="ACS2172" s="38"/>
      <c r="ACT2172" s="38"/>
      <c r="ACU2172" s="38"/>
      <c r="ACV2172" s="38"/>
      <c r="ACW2172" s="38"/>
      <c r="ACX2172" s="38"/>
      <c r="ACY2172" s="38"/>
      <c r="ACZ2172" s="38"/>
      <c r="ADA2172" s="38"/>
      <c r="ADB2172" s="38"/>
      <c r="ADC2172" s="38"/>
      <c r="ADD2172" s="38"/>
      <c r="ADE2172" s="38"/>
      <c r="ADF2172" s="38"/>
      <c r="ADG2172" s="38"/>
      <c r="ADH2172" s="38"/>
      <c r="ADI2172" s="38"/>
      <c r="ADJ2172" s="38"/>
      <c r="ADK2172" s="38"/>
      <c r="ADL2172" s="38"/>
      <c r="ADM2172" s="38"/>
      <c r="ADN2172" s="38"/>
      <c r="ADO2172" s="38"/>
      <c r="ADP2172" s="38"/>
      <c r="ADQ2172" s="38"/>
      <c r="ADR2172" s="38"/>
      <c r="ADS2172" s="38"/>
      <c r="ADT2172" s="38"/>
      <c r="ADU2172" s="38"/>
      <c r="ADV2172" s="38"/>
      <c r="ADW2172" s="38"/>
      <c r="ADX2172" s="38"/>
      <c r="ADY2172" s="38"/>
      <c r="ADZ2172" s="38"/>
      <c r="AEA2172" s="38"/>
      <c r="AEB2172" s="38"/>
      <c r="AEC2172" s="38"/>
      <c r="AED2172" s="38"/>
      <c r="AEE2172" s="38"/>
      <c r="AEF2172" s="38"/>
      <c r="AEG2172" s="38"/>
      <c r="AEH2172" s="38"/>
      <c r="AEI2172" s="38"/>
      <c r="AEJ2172" s="38"/>
      <c r="AEK2172" s="38"/>
      <c r="AEL2172" s="38"/>
      <c r="AEM2172" s="38"/>
      <c r="AEN2172" s="38"/>
      <c r="AEO2172" s="38"/>
      <c r="AEP2172" s="38"/>
      <c r="AEQ2172" s="38"/>
      <c r="AER2172" s="38"/>
      <c r="AES2172" s="38"/>
      <c r="AET2172" s="38"/>
      <c r="AEU2172" s="38"/>
      <c r="AEV2172" s="38"/>
      <c r="AEW2172" s="38"/>
      <c r="AEX2172" s="38"/>
      <c r="AEY2172" s="38"/>
      <c r="AEZ2172" s="38"/>
      <c r="AFA2172" s="38"/>
      <c r="AFB2172" s="38"/>
      <c r="AFC2172" s="38"/>
      <c r="AFD2172" s="38"/>
      <c r="AFE2172" s="38"/>
      <c r="AFF2172" s="38"/>
      <c r="AFG2172" s="38"/>
      <c r="AFH2172" s="38"/>
      <c r="AFI2172" s="38"/>
      <c r="AFJ2172" s="38"/>
      <c r="AFK2172" s="38"/>
      <c r="AFL2172" s="38"/>
      <c r="AFM2172" s="38"/>
      <c r="AFN2172" s="38"/>
      <c r="AFO2172" s="38"/>
      <c r="AFP2172" s="38"/>
      <c r="AFQ2172" s="38"/>
      <c r="AFR2172" s="38"/>
      <c r="AFS2172" s="38"/>
      <c r="AFT2172" s="38"/>
      <c r="AFU2172" s="38"/>
      <c r="AFV2172" s="38"/>
      <c r="AFW2172" s="38"/>
      <c r="AFX2172" s="38"/>
      <c r="AFY2172" s="38"/>
      <c r="AFZ2172" s="38"/>
      <c r="AGA2172" s="38"/>
      <c r="AGB2172" s="38"/>
      <c r="AGC2172" s="38"/>
      <c r="AGD2172" s="38"/>
      <c r="AGE2172" s="38"/>
      <c r="AGF2172" s="38"/>
      <c r="AGG2172" s="38"/>
      <c r="AGH2172" s="38"/>
      <c r="AGI2172" s="38"/>
      <c r="AGJ2172" s="38"/>
      <c r="AGK2172" s="38"/>
      <c r="AGL2172" s="38"/>
      <c r="AGM2172" s="38"/>
      <c r="AGN2172" s="38"/>
      <c r="AGO2172" s="38"/>
      <c r="AGP2172" s="38"/>
      <c r="AGQ2172" s="38"/>
      <c r="AGR2172" s="38"/>
      <c r="AGS2172" s="38"/>
      <c r="AGT2172" s="38"/>
      <c r="AGU2172" s="38"/>
      <c r="AGV2172" s="38"/>
      <c r="AGW2172" s="38"/>
      <c r="AGX2172" s="38"/>
      <c r="AGY2172" s="38"/>
      <c r="AGZ2172" s="38"/>
      <c r="AHA2172" s="38"/>
      <c r="AHB2172" s="38"/>
      <c r="AHC2172" s="38"/>
      <c r="AHD2172" s="38"/>
      <c r="AHE2172" s="38"/>
      <c r="AHF2172" s="38"/>
      <c r="AHG2172" s="38"/>
      <c r="AHH2172" s="38"/>
      <c r="AHI2172" s="38"/>
      <c r="AHJ2172" s="38"/>
      <c r="AHK2172" s="38"/>
      <c r="AHL2172" s="38"/>
      <c r="AHM2172" s="38"/>
      <c r="AHN2172" s="38"/>
      <c r="AHO2172" s="38"/>
      <c r="AHP2172" s="38"/>
      <c r="AHQ2172" s="38"/>
      <c r="AHR2172" s="38"/>
      <c r="AHS2172" s="38"/>
      <c r="AHT2172" s="38"/>
      <c r="AHU2172" s="38"/>
      <c r="AHV2172" s="38"/>
      <c r="AHW2172" s="38"/>
      <c r="AHX2172" s="38"/>
      <c r="AHY2172" s="38"/>
      <c r="AHZ2172" s="38"/>
      <c r="AIA2172" s="38"/>
      <c r="AIB2172" s="38"/>
      <c r="AIC2172" s="38"/>
      <c r="AID2172" s="38"/>
      <c r="AIE2172" s="38"/>
      <c r="AIF2172" s="38"/>
      <c r="AIG2172" s="38"/>
      <c r="AIH2172" s="38"/>
      <c r="AII2172" s="38"/>
      <c r="AIJ2172" s="38"/>
      <c r="AIK2172" s="38"/>
      <c r="AIL2172" s="38"/>
      <c r="AIM2172" s="38"/>
      <c r="AIN2172" s="38"/>
      <c r="AIO2172" s="38"/>
      <c r="AIP2172" s="38"/>
      <c r="AIQ2172" s="38"/>
      <c r="AIR2172" s="38"/>
      <c r="AIS2172" s="38"/>
      <c r="AIT2172" s="38"/>
      <c r="AIU2172" s="38"/>
      <c r="AIV2172" s="38"/>
      <c r="AIW2172" s="38"/>
      <c r="AIX2172" s="38"/>
      <c r="AIY2172" s="38"/>
      <c r="AIZ2172" s="38"/>
      <c r="AJA2172" s="38"/>
      <c r="AJB2172" s="38"/>
      <c r="AJC2172" s="38"/>
      <c r="AJD2172" s="38"/>
      <c r="AJE2172" s="38"/>
      <c r="AJF2172" s="38"/>
      <c r="AJG2172" s="38"/>
      <c r="AJH2172" s="38"/>
      <c r="AJI2172" s="38"/>
      <c r="AJJ2172" s="38"/>
      <c r="AJK2172" s="38"/>
      <c r="AJL2172" s="38"/>
      <c r="AJM2172" s="38"/>
      <c r="AJN2172" s="38"/>
      <c r="AJO2172" s="38"/>
      <c r="AJP2172" s="38"/>
      <c r="AJQ2172" s="38"/>
      <c r="AJR2172" s="38"/>
      <c r="AJS2172" s="38"/>
      <c r="AJT2172" s="38"/>
      <c r="AJU2172" s="38"/>
      <c r="AJV2172" s="38"/>
      <c r="AJW2172" s="38"/>
      <c r="AJX2172" s="38"/>
      <c r="AJY2172" s="38"/>
      <c r="AJZ2172" s="38"/>
      <c r="AKA2172" s="38"/>
      <c r="AKB2172" s="38"/>
      <c r="AKC2172" s="38"/>
      <c r="AKD2172" s="38"/>
      <c r="AKE2172" s="38"/>
      <c r="AKF2172" s="38"/>
      <c r="AKG2172" s="38"/>
      <c r="AKH2172" s="38"/>
      <c r="AKI2172" s="38"/>
      <c r="AKJ2172" s="38"/>
      <c r="AKK2172" s="38"/>
      <c r="AKL2172" s="38"/>
      <c r="AKM2172" s="38"/>
      <c r="AKN2172" s="38"/>
      <c r="AKO2172" s="38"/>
      <c r="AKP2172" s="38"/>
      <c r="AKQ2172" s="38"/>
      <c r="AKR2172" s="38"/>
      <c r="AKS2172" s="38"/>
      <c r="AKT2172" s="38"/>
      <c r="AKU2172" s="38"/>
      <c r="AKV2172" s="38"/>
      <c r="AKW2172" s="38"/>
      <c r="AKX2172" s="38"/>
      <c r="AKY2172" s="38"/>
      <c r="AKZ2172" s="38"/>
      <c r="ALA2172" s="38"/>
      <c r="ALB2172" s="38"/>
      <c r="ALC2172" s="38"/>
      <c r="ALD2172" s="38"/>
      <c r="ALE2172" s="38"/>
      <c r="ALF2172" s="38"/>
      <c r="ALG2172" s="38"/>
      <c r="ALH2172" s="38"/>
      <c r="ALI2172" s="38"/>
      <c r="ALJ2172" s="38"/>
      <c r="ALK2172" s="38"/>
      <c r="ALL2172" s="38"/>
      <c r="ALM2172" s="38"/>
      <c r="ALN2172" s="38"/>
      <c r="ALO2172" s="38"/>
      <c r="ALP2172" s="38"/>
      <c r="ALQ2172" s="38"/>
      <c r="ALR2172" s="38"/>
      <c r="ALS2172" s="38"/>
      <c r="ALT2172" s="38"/>
      <c r="ALU2172" s="38"/>
      <c r="ALV2172" s="38"/>
      <c r="ALW2172" s="38"/>
      <c r="ALX2172" s="38"/>
      <c r="ALY2172" s="38"/>
      <c r="ALZ2172" s="38"/>
      <c r="AMA2172" s="38"/>
      <c r="AMB2172" s="38"/>
      <c r="AMC2172" s="38"/>
      <c r="AMD2172" s="38"/>
      <c r="AME2172" s="38"/>
      <c r="AMF2172" s="38"/>
      <c r="AMG2172" s="38"/>
      <c r="AMH2172" s="38"/>
      <c r="AMI2172" s="38"/>
      <c r="AMJ2172" s="38"/>
      <c r="AMK2172" s="38"/>
      <c r="AML2172" s="38"/>
      <c r="AMM2172" s="38"/>
      <c r="AMN2172" s="38"/>
      <c r="AMO2172" s="38"/>
      <c r="AMP2172" s="38"/>
      <c r="AMQ2172" s="38"/>
      <c r="AMR2172" s="38"/>
      <c r="AMS2172" s="38"/>
      <c r="AMT2172" s="38"/>
      <c r="AMU2172" s="38"/>
      <c r="AMV2172" s="38"/>
      <c r="AMW2172" s="38"/>
      <c r="AMX2172" s="38"/>
      <c r="AMY2172" s="38"/>
      <c r="AMZ2172" s="38"/>
      <c r="ANA2172" s="38"/>
      <c r="ANB2172" s="38"/>
      <c r="ANC2172" s="38"/>
      <c r="AND2172" s="38"/>
      <c r="ANE2172" s="38"/>
      <c r="ANF2172" s="38"/>
      <c r="ANG2172" s="38"/>
      <c r="ANH2172" s="38"/>
      <c r="ANI2172" s="38"/>
      <c r="ANJ2172" s="38"/>
      <c r="ANK2172" s="38"/>
      <c r="ANL2172" s="38"/>
      <c r="ANM2172" s="38"/>
      <c r="ANN2172" s="38"/>
      <c r="ANO2172" s="38"/>
      <c r="ANP2172" s="38"/>
      <c r="ANQ2172" s="38"/>
      <c r="ANR2172" s="38"/>
      <c r="ANS2172" s="38"/>
      <c r="ANT2172" s="38"/>
      <c r="ANU2172" s="38"/>
      <c r="ANV2172" s="38"/>
      <c r="ANW2172" s="38"/>
      <c r="ANX2172" s="38"/>
      <c r="ANY2172" s="38"/>
      <c r="ANZ2172" s="38"/>
      <c r="AOA2172" s="38"/>
      <c r="AOB2172" s="38"/>
      <c r="AOC2172" s="38"/>
      <c r="AOD2172" s="38"/>
      <c r="AOE2172" s="38"/>
      <c r="AOF2172" s="38"/>
      <c r="AOG2172" s="38"/>
      <c r="AOH2172" s="38"/>
      <c r="AOI2172" s="38"/>
      <c r="AOJ2172" s="38"/>
      <c r="AOK2172" s="38"/>
      <c r="AOL2172" s="38"/>
      <c r="AOM2172" s="38"/>
      <c r="AON2172" s="38"/>
      <c r="AOO2172" s="38"/>
      <c r="AOP2172" s="38"/>
      <c r="AOQ2172" s="38"/>
      <c r="AOR2172" s="38"/>
      <c r="AOS2172" s="38"/>
      <c r="AOT2172" s="38"/>
      <c r="AOU2172" s="38"/>
      <c r="AOV2172" s="38"/>
      <c r="AOW2172" s="38"/>
      <c r="AOX2172" s="38"/>
      <c r="AOY2172" s="38"/>
      <c r="AOZ2172" s="38"/>
      <c r="APA2172" s="38"/>
      <c r="APB2172" s="38"/>
      <c r="APC2172" s="38"/>
    </row>
    <row r="2173" spans="1:1095" s="36" customFormat="1" ht="14.25" customHeight="1">
      <c r="A2173" s="3" t="s">
        <v>1722</v>
      </c>
      <c r="B2173" s="36" t="s">
        <v>2628</v>
      </c>
      <c r="C2173" s="10">
        <v>4058075757783</v>
      </c>
      <c r="D2173" s="224">
        <v>4058075757783</v>
      </c>
      <c r="E2173" s="245" t="s">
        <v>2629</v>
      </c>
      <c r="F2173" s="246"/>
      <c r="G2173" s="66" t="str">
        <f>HYPERLINK("https://ledvance.com/pt/product-datasheet/219176/202916","Ficha de Produto")</f>
        <v>Ficha de Produto</v>
      </c>
      <c r="H2173" s="217">
        <v>10</v>
      </c>
      <c r="I2173" s="34" t="s">
        <v>6389</v>
      </c>
      <c r="J2173" s="34" t="s">
        <v>6391</v>
      </c>
      <c r="K2173" s="34" t="s">
        <v>788</v>
      </c>
      <c r="L2173" s="34" t="s">
        <v>793</v>
      </c>
      <c r="M2173" s="247">
        <v>7.4</v>
      </c>
      <c r="N2173" s="288" t="s">
        <v>722</v>
      </c>
    </row>
    <row r="2174" spans="1:1095" s="36" customFormat="1" ht="14.25" customHeight="1">
      <c r="A2174" s="3" t="s">
        <v>1722</v>
      </c>
      <c r="B2174" s="36" t="s">
        <v>2630</v>
      </c>
      <c r="C2174" s="10">
        <v>4058075757806</v>
      </c>
      <c r="D2174" s="224">
        <v>4058075757806</v>
      </c>
      <c r="E2174" s="245" t="s">
        <v>2631</v>
      </c>
      <c r="F2174" s="246"/>
      <c r="G2174" s="66" t="str">
        <f>HYPERLINK("https://ledvance.com/pt/product-datasheet/219176/202919","Ficha de Produto")</f>
        <v>Ficha de Produto</v>
      </c>
      <c r="H2174" s="217">
        <v>10</v>
      </c>
      <c r="I2174" s="34" t="s">
        <v>6389</v>
      </c>
      <c r="J2174" s="34" t="s">
        <v>6391</v>
      </c>
      <c r="K2174" s="34" t="s">
        <v>788</v>
      </c>
      <c r="L2174" s="34" t="s">
        <v>793</v>
      </c>
      <c r="M2174" s="247">
        <v>7.4</v>
      </c>
      <c r="N2174" s="288" t="s">
        <v>722</v>
      </c>
    </row>
    <row r="2175" spans="1:1095" s="36" customFormat="1" ht="14.25" customHeight="1">
      <c r="A2175" s="3" t="s">
        <v>1722</v>
      </c>
      <c r="B2175" s="36" t="s">
        <v>2632</v>
      </c>
      <c r="C2175" s="10">
        <v>4058075757868</v>
      </c>
      <c r="D2175" s="224">
        <v>4058075757868</v>
      </c>
      <c r="E2175" s="245" t="s">
        <v>2633</v>
      </c>
      <c r="F2175" s="246"/>
      <c r="G2175" s="66" t="str">
        <f>HYPERLINK("https://ledvance.com/pt/product-datasheet/219176/202922","Ficha de Produto")</f>
        <v>Ficha de Produto</v>
      </c>
      <c r="H2175" s="217">
        <v>10</v>
      </c>
      <c r="I2175" s="34" t="s">
        <v>6390</v>
      </c>
      <c r="J2175" s="34" t="s">
        <v>6392</v>
      </c>
      <c r="K2175" s="34" t="s">
        <v>788</v>
      </c>
      <c r="L2175" s="34" t="s">
        <v>793</v>
      </c>
      <c r="M2175" s="247">
        <v>7.8000000000000007</v>
      </c>
      <c r="N2175" s="288" t="s">
        <v>722</v>
      </c>
    </row>
    <row r="2176" spans="1:1095" s="36" customFormat="1" ht="14.25" customHeight="1">
      <c r="A2176" s="3" t="s">
        <v>1722</v>
      </c>
      <c r="B2176" s="36" t="s">
        <v>2634</v>
      </c>
      <c r="C2176" s="10">
        <v>4058075757882</v>
      </c>
      <c r="D2176" s="224">
        <v>4058075757882</v>
      </c>
      <c r="E2176" s="245" t="s">
        <v>2635</v>
      </c>
      <c r="F2176" s="246"/>
      <c r="G2176" s="66" t="str">
        <f>HYPERLINK("https://ledvance.com/pt/product-datasheet/219176/202925","Ficha de Produto")</f>
        <v>Ficha de Produto</v>
      </c>
      <c r="H2176" s="217">
        <v>10</v>
      </c>
      <c r="I2176" s="34" t="s">
        <v>6390</v>
      </c>
      <c r="J2176" s="34" t="s">
        <v>6392</v>
      </c>
      <c r="K2176" s="34" t="s">
        <v>788</v>
      </c>
      <c r="L2176" s="34" t="s">
        <v>793</v>
      </c>
      <c r="M2176" s="247">
        <v>7.8000000000000007</v>
      </c>
      <c r="N2176" s="288" t="s">
        <v>722</v>
      </c>
    </row>
    <row r="2177" spans="1:1095" s="36" customFormat="1" ht="14.25" customHeight="1">
      <c r="A2177" s="3" t="s">
        <v>1722</v>
      </c>
      <c r="B2177" s="36" t="s">
        <v>2636</v>
      </c>
      <c r="C2177" s="10">
        <v>4058075757820</v>
      </c>
      <c r="D2177" s="224">
        <v>4058075757820</v>
      </c>
      <c r="E2177" s="245" t="s">
        <v>2637</v>
      </c>
      <c r="F2177" s="246"/>
      <c r="G2177" s="66" t="str">
        <f>HYPERLINK("https://ledvance.com/pt/product-datasheet/219176/202928","Ficha de Produto")</f>
        <v>Ficha de Produto</v>
      </c>
      <c r="H2177" s="217">
        <v>10</v>
      </c>
      <c r="I2177" s="34" t="s">
        <v>6390</v>
      </c>
      <c r="J2177" s="34" t="s">
        <v>6393</v>
      </c>
      <c r="K2177" s="34" t="s">
        <v>788</v>
      </c>
      <c r="L2177" s="34" t="s">
        <v>793</v>
      </c>
      <c r="M2177" s="247">
        <v>7.8000000000000007</v>
      </c>
      <c r="N2177" s="288" t="s">
        <v>722</v>
      </c>
    </row>
    <row r="2178" spans="1:1095" s="36" customFormat="1" ht="14.25" customHeight="1">
      <c r="A2178" s="3" t="s">
        <v>1722</v>
      </c>
      <c r="B2178" s="36" t="s">
        <v>2638</v>
      </c>
      <c r="C2178" s="10">
        <v>4058075757844</v>
      </c>
      <c r="D2178" s="224">
        <v>4058075757844</v>
      </c>
      <c r="E2178" s="245" t="s">
        <v>2639</v>
      </c>
      <c r="F2178" s="246"/>
      <c r="G2178" s="66" t="str">
        <f>HYPERLINK("https://ledvance.com/pt/product-datasheet/219176/202931","Ficha de Produto")</f>
        <v>Ficha de Produto</v>
      </c>
      <c r="H2178" s="217">
        <v>10</v>
      </c>
      <c r="I2178" s="34" t="s">
        <v>6390</v>
      </c>
      <c r="J2178" s="34" t="s">
        <v>6393</v>
      </c>
      <c r="K2178" s="34" t="s">
        <v>788</v>
      </c>
      <c r="L2178" s="34" t="s">
        <v>793</v>
      </c>
      <c r="M2178" s="247">
        <v>7.8000000000000007</v>
      </c>
      <c r="N2178" s="288" t="s">
        <v>722</v>
      </c>
    </row>
    <row r="2179" spans="1:1095" s="36" customFormat="1" ht="14.25" customHeight="1">
      <c r="A2179" s="3" t="s">
        <v>1722</v>
      </c>
      <c r="B2179" s="36" t="s">
        <v>2640</v>
      </c>
      <c r="C2179" s="10">
        <v>4099854048296</v>
      </c>
      <c r="D2179" s="224">
        <v>4058075757905</v>
      </c>
      <c r="E2179" s="245" t="s">
        <v>2641</v>
      </c>
      <c r="F2179" s="246"/>
      <c r="G2179" s="66" t="str">
        <f>HYPERLINK("https://ledvance.com/pt/product-datasheet/219176/235891","Ficha de Produto")</f>
        <v>Ficha de Produto</v>
      </c>
      <c r="H2179" s="217"/>
      <c r="I2179" s="34" t="s">
        <v>6133</v>
      </c>
      <c r="J2179" s="34" t="s">
        <v>795</v>
      </c>
      <c r="K2179" s="34" t="s">
        <v>788</v>
      </c>
      <c r="L2179" s="34" t="s">
        <v>793</v>
      </c>
      <c r="M2179" s="247">
        <v>10.8</v>
      </c>
      <c r="N2179" s="288" t="s">
        <v>722</v>
      </c>
    </row>
    <row r="2180" spans="1:1095" s="36" customFormat="1" ht="14.25" customHeight="1">
      <c r="A2180" s="3" t="s">
        <v>1722</v>
      </c>
      <c r="B2180" s="36" t="s">
        <v>2642</v>
      </c>
      <c r="C2180" s="10">
        <v>4099854048319</v>
      </c>
      <c r="D2180" s="224">
        <v>4058075757929</v>
      </c>
      <c r="E2180" s="245" t="s">
        <v>2643</v>
      </c>
      <c r="F2180" s="246"/>
      <c r="G2180" s="66" t="str">
        <f>HYPERLINK("https://ledvance.com/pt/product-datasheet/219176/235904","Ficha de Produto")</f>
        <v>Ficha de Produto</v>
      </c>
      <c r="H2180" s="217">
        <v>10</v>
      </c>
      <c r="I2180" s="34" t="s">
        <v>6133</v>
      </c>
      <c r="J2180" s="34" t="s">
        <v>795</v>
      </c>
      <c r="K2180" s="34" t="s">
        <v>788</v>
      </c>
      <c r="L2180" s="34" t="s">
        <v>793</v>
      </c>
      <c r="M2180" s="247">
        <v>10.8</v>
      </c>
      <c r="N2180" s="288" t="s">
        <v>722</v>
      </c>
    </row>
    <row r="2181" spans="1:1095" s="39" customFormat="1" ht="14.25" customHeight="1">
      <c r="A2181" s="8" t="s">
        <v>1722</v>
      </c>
      <c r="B2181" s="244" t="s">
        <v>2644</v>
      </c>
      <c r="C2181" s="8"/>
      <c r="D2181" s="7"/>
      <c r="E2181" s="230"/>
      <c r="F2181" s="7"/>
      <c r="G2181" s="68"/>
      <c r="H2181" s="230"/>
      <c r="I2181" s="230"/>
      <c r="J2181" s="230"/>
      <c r="K2181" s="230"/>
      <c r="L2181" s="230"/>
      <c r="M2181" s="248"/>
      <c r="N2181" s="284"/>
      <c r="O2181" s="38"/>
      <c r="P2181" s="38"/>
      <c r="Q2181" s="38"/>
      <c r="R2181" s="38"/>
      <c r="S2181" s="38"/>
      <c r="T2181" s="38"/>
      <c r="U2181" s="38"/>
      <c r="V2181" s="38"/>
      <c r="W2181" s="38"/>
      <c r="X2181" s="38"/>
      <c r="Y2181" s="38"/>
      <c r="Z2181" s="38"/>
      <c r="AA2181" s="38"/>
      <c r="AB2181" s="38"/>
      <c r="AC2181" s="38"/>
      <c r="AD2181" s="38"/>
      <c r="AE2181" s="38"/>
      <c r="AF2181" s="38"/>
      <c r="AG2181" s="38"/>
      <c r="AH2181" s="38"/>
      <c r="AI2181" s="38"/>
      <c r="AJ2181" s="38"/>
      <c r="AK2181" s="38"/>
      <c r="AL2181" s="38"/>
      <c r="AM2181" s="38"/>
      <c r="AN2181" s="38"/>
      <c r="AO2181" s="38"/>
      <c r="AP2181" s="38"/>
      <c r="AQ2181" s="38"/>
      <c r="AR2181" s="38"/>
      <c r="AS2181" s="38"/>
      <c r="AT2181" s="38"/>
      <c r="AU2181" s="38"/>
      <c r="AV2181" s="38"/>
      <c r="AW2181" s="38"/>
      <c r="AX2181" s="38"/>
      <c r="AY2181" s="38"/>
      <c r="AZ2181" s="38"/>
      <c r="BA2181" s="38"/>
      <c r="BB2181" s="38"/>
      <c r="BC2181" s="38"/>
      <c r="BD2181" s="38"/>
      <c r="BE2181" s="38"/>
      <c r="BF2181" s="38"/>
      <c r="BG2181" s="38"/>
      <c r="BH2181" s="38"/>
      <c r="BI2181" s="38"/>
      <c r="BJ2181" s="38"/>
      <c r="BK2181" s="38"/>
      <c r="BL2181" s="38"/>
      <c r="BM2181" s="38"/>
      <c r="BN2181" s="38"/>
      <c r="BO2181" s="38"/>
      <c r="BP2181" s="38"/>
      <c r="BQ2181" s="38"/>
      <c r="BR2181" s="38"/>
      <c r="BS2181" s="38"/>
      <c r="BT2181" s="38"/>
      <c r="BU2181" s="38"/>
      <c r="BV2181" s="38"/>
      <c r="BW2181" s="38"/>
      <c r="BX2181" s="38"/>
      <c r="BY2181" s="38"/>
      <c r="BZ2181" s="38"/>
      <c r="CA2181" s="38"/>
      <c r="CB2181" s="38"/>
      <c r="CC2181" s="38"/>
      <c r="CD2181" s="38"/>
      <c r="CE2181" s="38"/>
      <c r="CF2181" s="38"/>
      <c r="CG2181" s="38"/>
      <c r="CH2181" s="38"/>
      <c r="CI2181" s="38"/>
      <c r="CJ2181" s="38"/>
      <c r="CK2181" s="38"/>
      <c r="CL2181" s="38"/>
      <c r="CM2181" s="38"/>
      <c r="CN2181" s="38"/>
      <c r="CO2181" s="38"/>
      <c r="CP2181" s="38"/>
      <c r="CQ2181" s="38"/>
      <c r="CR2181" s="38"/>
      <c r="CS2181" s="38"/>
      <c r="CT2181" s="38"/>
      <c r="CU2181" s="38"/>
      <c r="CV2181" s="38"/>
      <c r="CW2181" s="38"/>
      <c r="CX2181" s="38"/>
      <c r="CY2181" s="38"/>
      <c r="CZ2181" s="38"/>
      <c r="DA2181" s="38"/>
      <c r="DB2181" s="38"/>
      <c r="DC2181" s="38"/>
      <c r="DD2181" s="38"/>
      <c r="DE2181" s="38"/>
      <c r="DF2181" s="38"/>
      <c r="DG2181" s="38"/>
      <c r="DH2181" s="38"/>
      <c r="DI2181" s="38"/>
      <c r="DJ2181" s="38"/>
      <c r="DK2181" s="38"/>
      <c r="DL2181" s="38"/>
      <c r="DM2181" s="38"/>
      <c r="DN2181" s="38"/>
      <c r="DO2181" s="38"/>
      <c r="DP2181" s="38"/>
      <c r="DQ2181" s="38"/>
      <c r="DR2181" s="38"/>
      <c r="DS2181" s="38"/>
      <c r="DT2181" s="38"/>
      <c r="DU2181" s="38"/>
      <c r="DV2181" s="38"/>
      <c r="DW2181" s="38"/>
      <c r="DX2181" s="38"/>
      <c r="DY2181" s="38"/>
      <c r="DZ2181" s="38"/>
      <c r="EA2181" s="38"/>
      <c r="EB2181" s="38"/>
      <c r="EC2181" s="38"/>
      <c r="ED2181" s="38"/>
      <c r="EE2181" s="38"/>
      <c r="EF2181" s="38"/>
      <c r="EG2181" s="38"/>
      <c r="EH2181" s="38"/>
      <c r="EI2181" s="38"/>
      <c r="EJ2181" s="38"/>
      <c r="EK2181" s="38"/>
      <c r="EL2181" s="38"/>
      <c r="EM2181" s="38"/>
      <c r="EN2181" s="38"/>
      <c r="EO2181" s="38"/>
      <c r="EP2181" s="38"/>
      <c r="EQ2181" s="38"/>
      <c r="ER2181" s="38"/>
      <c r="ES2181" s="38"/>
      <c r="ET2181" s="38"/>
      <c r="EU2181" s="38"/>
      <c r="EV2181" s="38"/>
      <c r="EW2181" s="38"/>
      <c r="EX2181" s="38"/>
      <c r="EY2181" s="38"/>
      <c r="EZ2181" s="38"/>
      <c r="FA2181" s="38"/>
      <c r="FB2181" s="38"/>
      <c r="FC2181" s="38"/>
      <c r="FD2181" s="38"/>
      <c r="FE2181" s="38"/>
      <c r="FF2181" s="38"/>
      <c r="FG2181" s="38"/>
      <c r="FH2181" s="38"/>
      <c r="FI2181" s="38"/>
      <c r="FJ2181" s="38"/>
      <c r="FK2181" s="38"/>
      <c r="FL2181" s="38"/>
      <c r="FM2181" s="38"/>
      <c r="FN2181" s="38"/>
      <c r="FO2181" s="38"/>
      <c r="FP2181" s="38"/>
      <c r="FQ2181" s="38"/>
      <c r="FR2181" s="38"/>
      <c r="FS2181" s="38"/>
      <c r="FT2181" s="38"/>
      <c r="FU2181" s="38"/>
      <c r="FV2181" s="38"/>
      <c r="FW2181" s="38"/>
      <c r="FX2181" s="38"/>
      <c r="FY2181" s="38"/>
      <c r="FZ2181" s="38"/>
      <c r="GA2181" s="38"/>
      <c r="GB2181" s="38"/>
      <c r="GC2181" s="38"/>
      <c r="GD2181" s="38"/>
      <c r="GE2181" s="38"/>
      <c r="GF2181" s="38"/>
      <c r="GG2181" s="38"/>
      <c r="GH2181" s="38"/>
      <c r="GI2181" s="38"/>
      <c r="GJ2181" s="38"/>
      <c r="GK2181" s="38"/>
      <c r="GL2181" s="38"/>
      <c r="GM2181" s="38"/>
      <c r="GN2181" s="38"/>
      <c r="GO2181" s="38"/>
      <c r="GP2181" s="38"/>
      <c r="GQ2181" s="38"/>
      <c r="GR2181" s="38"/>
      <c r="GS2181" s="38"/>
      <c r="GT2181" s="38"/>
      <c r="GU2181" s="38"/>
      <c r="GV2181" s="38"/>
      <c r="GW2181" s="38"/>
      <c r="GX2181" s="38"/>
      <c r="GY2181" s="38"/>
      <c r="GZ2181" s="38"/>
      <c r="HA2181" s="38"/>
      <c r="HB2181" s="38"/>
      <c r="HC2181" s="38"/>
      <c r="HD2181" s="38"/>
      <c r="HE2181" s="38"/>
      <c r="HF2181" s="38"/>
      <c r="HG2181" s="38"/>
      <c r="HH2181" s="38"/>
      <c r="HI2181" s="38"/>
      <c r="HJ2181" s="38"/>
      <c r="HK2181" s="38"/>
      <c r="HL2181" s="38"/>
      <c r="HM2181" s="38"/>
      <c r="HN2181" s="38"/>
      <c r="HO2181" s="38"/>
      <c r="HP2181" s="38"/>
      <c r="HQ2181" s="38"/>
      <c r="HR2181" s="38"/>
      <c r="HS2181" s="38"/>
      <c r="HT2181" s="38"/>
      <c r="HU2181" s="38"/>
      <c r="HV2181" s="38"/>
      <c r="HW2181" s="38"/>
      <c r="HX2181" s="38"/>
      <c r="HY2181" s="38"/>
      <c r="HZ2181" s="38"/>
      <c r="IA2181" s="38"/>
      <c r="IB2181" s="38"/>
      <c r="IC2181" s="38"/>
      <c r="ID2181" s="38"/>
      <c r="IE2181" s="38"/>
      <c r="IF2181" s="38"/>
      <c r="IG2181" s="38"/>
      <c r="IH2181" s="38"/>
      <c r="II2181" s="38"/>
      <c r="IJ2181" s="38"/>
      <c r="IK2181" s="38"/>
      <c r="IL2181" s="38"/>
      <c r="IM2181" s="38"/>
      <c r="IN2181" s="38"/>
      <c r="IO2181" s="38"/>
      <c r="IP2181" s="38"/>
      <c r="IQ2181" s="38"/>
      <c r="IR2181" s="38"/>
      <c r="IS2181" s="38"/>
      <c r="IT2181" s="38"/>
      <c r="IU2181" s="38"/>
      <c r="IV2181" s="38"/>
      <c r="IW2181" s="38"/>
      <c r="IX2181" s="38"/>
      <c r="IY2181" s="38"/>
      <c r="IZ2181" s="38"/>
      <c r="JA2181" s="38"/>
      <c r="JB2181" s="38"/>
      <c r="JC2181" s="38"/>
      <c r="JD2181" s="38"/>
      <c r="JE2181" s="38"/>
      <c r="JF2181" s="38"/>
      <c r="JG2181" s="38"/>
      <c r="JH2181" s="38"/>
      <c r="JI2181" s="38"/>
      <c r="JJ2181" s="38"/>
      <c r="JK2181" s="38"/>
      <c r="JL2181" s="38"/>
      <c r="JM2181" s="38"/>
      <c r="JN2181" s="38"/>
      <c r="JO2181" s="38"/>
      <c r="JP2181" s="38"/>
      <c r="JQ2181" s="38"/>
      <c r="JR2181" s="38"/>
      <c r="JS2181" s="38"/>
      <c r="JT2181" s="38"/>
      <c r="JU2181" s="38"/>
      <c r="JV2181" s="38"/>
      <c r="JW2181" s="38"/>
      <c r="JX2181" s="38"/>
      <c r="JY2181" s="38"/>
      <c r="JZ2181" s="38"/>
      <c r="KA2181" s="38"/>
      <c r="KB2181" s="38"/>
      <c r="KC2181" s="38"/>
      <c r="KD2181" s="38"/>
      <c r="KE2181" s="38"/>
      <c r="KF2181" s="38"/>
      <c r="KG2181" s="38"/>
      <c r="KH2181" s="38"/>
      <c r="KI2181" s="38"/>
      <c r="KJ2181" s="38"/>
      <c r="KK2181" s="38"/>
      <c r="KL2181" s="38"/>
      <c r="KM2181" s="38"/>
      <c r="KN2181" s="38"/>
      <c r="KO2181" s="38"/>
      <c r="KP2181" s="38"/>
      <c r="KQ2181" s="38"/>
      <c r="KR2181" s="38"/>
      <c r="KS2181" s="38"/>
      <c r="KT2181" s="38"/>
      <c r="KU2181" s="38"/>
      <c r="KV2181" s="38"/>
      <c r="KW2181" s="38"/>
      <c r="KX2181" s="38"/>
      <c r="KY2181" s="38"/>
      <c r="KZ2181" s="38"/>
      <c r="LA2181" s="38"/>
      <c r="LB2181" s="38"/>
      <c r="LC2181" s="38"/>
      <c r="LD2181" s="38"/>
      <c r="LE2181" s="38"/>
      <c r="LF2181" s="38"/>
      <c r="LG2181" s="38"/>
      <c r="LH2181" s="38"/>
      <c r="LI2181" s="38"/>
      <c r="LJ2181" s="38"/>
      <c r="LK2181" s="38"/>
      <c r="LL2181" s="38"/>
      <c r="LM2181" s="38"/>
      <c r="LN2181" s="38"/>
      <c r="LO2181" s="38"/>
      <c r="LP2181" s="38"/>
      <c r="LQ2181" s="38"/>
      <c r="LR2181" s="38"/>
      <c r="LS2181" s="38"/>
      <c r="LT2181" s="38"/>
      <c r="LU2181" s="38"/>
      <c r="LV2181" s="38"/>
      <c r="LW2181" s="38"/>
      <c r="LX2181" s="38"/>
      <c r="LY2181" s="38"/>
      <c r="LZ2181" s="38"/>
      <c r="MA2181" s="38"/>
      <c r="MB2181" s="38"/>
      <c r="MC2181" s="38"/>
      <c r="MD2181" s="38"/>
      <c r="ME2181" s="38"/>
      <c r="MF2181" s="38"/>
      <c r="MG2181" s="38"/>
      <c r="MH2181" s="38"/>
      <c r="MI2181" s="38"/>
      <c r="MJ2181" s="38"/>
      <c r="MK2181" s="38"/>
      <c r="ML2181" s="38"/>
      <c r="MM2181" s="38"/>
      <c r="MN2181" s="38"/>
      <c r="MO2181" s="38"/>
      <c r="MP2181" s="38"/>
      <c r="MQ2181" s="38"/>
      <c r="MR2181" s="38"/>
      <c r="MS2181" s="38"/>
      <c r="MT2181" s="38"/>
      <c r="MU2181" s="38"/>
      <c r="MV2181" s="38"/>
      <c r="MW2181" s="38"/>
      <c r="MX2181" s="38"/>
      <c r="MY2181" s="38"/>
      <c r="MZ2181" s="38"/>
      <c r="NA2181" s="38"/>
      <c r="NB2181" s="38"/>
      <c r="NC2181" s="38"/>
      <c r="ND2181" s="38"/>
      <c r="NE2181" s="38"/>
      <c r="NF2181" s="38"/>
      <c r="NG2181" s="38"/>
      <c r="NH2181" s="38"/>
      <c r="NI2181" s="38"/>
      <c r="NJ2181" s="38"/>
      <c r="NK2181" s="38"/>
      <c r="NL2181" s="38"/>
      <c r="NM2181" s="38"/>
      <c r="NN2181" s="38"/>
      <c r="NO2181" s="38"/>
      <c r="NP2181" s="38"/>
      <c r="NQ2181" s="38"/>
      <c r="NR2181" s="38"/>
      <c r="NS2181" s="38"/>
      <c r="NT2181" s="38"/>
      <c r="NU2181" s="38"/>
      <c r="NV2181" s="38"/>
      <c r="NW2181" s="38"/>
      <c r="NX2181" s="38"/>
      <c r="NY2181" s="38"/>
      <c r="NZ2181" s="38"/>
      <c r="OA2181" s="38"/>
      <c r="OB2181" s="38"/>
      <c r="OC2181" s="38"/>
      <c r="OD2181" s="38"/>
      <c r="OE2181" s="38"/>
      <c r="OF2181" s="38"/>
      <c r="OG2181" s="38"/>
      <c r="OH2181" s="38"/>
      <c r="OI2181" s="38"/>
      <c r="OJ2181" s="38"/>
      <c r="OK2181" s="38"/>
      <c r="OL2181" s="38"/>
      <c r="OM2181" s="38"/>
      <c r="ON2181" s="38"/>
      <c r="OO2181" s="38"/>
      <c r="OP2181" s="38"/>
      <c r="OQ2181" s="38"/>
      <c r="OR2181" s="38"/>
      <c r="OS2181" s="38"/>
      <c r="OT2181" s="38"/>
      <c r="OU2181" s="38"/>
      <c r="OV2181" s="38"/>
      <c r="OW2181" s="38"/>
      <c r="OX2181" s="38"/>
      <c r="OY2181" s="38"/>
      <c r="OZ2181" s="38"/>
      <c r="PA2181" s="38"/>
      <c r="PB2181" s="38"/>
      <c r="PC2181" s="38"/>
      <c r="PD2181" s="38"/>
      <c r="PE2181" s="38"/>
      <c r="PF2181" s="38"/>
      <c r="PG2181" s="38"/>
      <c r="PH2181" s="38"/>
      <c r="PI2181" s="38"/>
      <c r="PJ2181" s="38"/>
      <c r="PK2181" s="38"/>
      <c r="PL2181" s="38"/>
      <c r="PM2181" s="38"/>
      <c r="PN2181" s="38"/>
      <c r="PO2181" s="38"/>
      <c r="PP2181" s="38"/>
      <c r="PQ2181" s="38"/>
      <c r="PR2181" s="38"/>
      <c r="PS2181" s="38"/>
      <c r="PT2181" s="38"/>
      <c r="PU2181" s="38"/>
      <c r="PV2181" s="38"/>
      <c r="PW2181" s="38"/>
      <c r="PX2181" s="38"/>
      <c r="PY2181" s="38"/>
      <c r="PZ2181" s="38"/>
      <c r="QA2181" s="38"/>
      <c r="QB2181" s="38"/>
      <c r="QC2181" s="38"/>
      <c r="QD2181" s="38"/>
      <c r="QE2181" s="38"/>
      <c r="QF2181" s="38"/>
      <c r="QG2181" s="38"/>
      <c r="QH2181" s="38"/>
      <c r="QI2181" s="38"/>
      <c r="QJ2181" s="38"/>
      <c r="QK2181" s="38"/>
      <c r="QL2181" s="38"/>
      <c r="QM2181" s="38"/>
      <c r="QN2181" s="38"/>
      <c r="QO2181" s="38"/>
      <c r="QP2181" s="38"/>
      <c r="QQ2181" s="38"/>
      <c r="QR2181" s="38"/>
      <c r="QS2181" s="38"/>
      <c r="QT2181" s="38"/>
      <c r="QU2181" s="38"/>
      <c r="QV2181" s="38"/>
      <c r="QW2181" s="38"/>
      <c r="QX2181" s="38"/>
      <c r="QY2181" s="38"/>
      <c r="QZ2181" s="38"/>
      <c r="RA2181" s="38"/>
      <c r="RB2181" s="38"/>
      <c r="RC2181" s="38"/>
      <c r="RD2181" s="38"/>
      <c r="RE2181" s="38"/>
      <c r="RF2181" s="38"/>
      <c r="RG2181" s="38"/>
      <c r="RH2181" s="38"/>
      <c r="RI2181" s="38"/>
      <c r="RJ2181" s="38"/>
      <c r="RK2181" s="38"/>
      <c r="RL2181" s="38"/>
      <c r="RM2181" s="38"/>
      <c r="RN2181" s="38"/>
      <c r="RO2181" s="38"/>
      <c r="RP2181" s="38"/>
      <c r="RQ2181" s="38"/>
      <c r="RR2181" s="38"/>
      <c r="RS2181" s="38"/>
      <c r="RT2181" s="38"/>
      <c r="RU2181" s="38"/>
      <c r="RV2181" s="38"/>
      <c r="RW2181" s="38"/>
      <c r="RX2181" s="38"/>
      <c r="RY2181" s="38"/>
      <c r="RZ2181" s="38"/>
      <c r="SA2181" s="38"/>
      <c r="SB2181" s="38"/>
      <c r="SC2181" s="38"/>
      <c r="SD2181" s="38"/>
      <c r="SE2181" s="38"/>
      <c r="SF2181" s="38"/>
      <c r="SG2181" s="38"/>
      <c r="SH2181" s="38"/>
      <c r="SI2181" s="38"/>
      <c r="SJ2181" s="38"/>
      <c r="SK2181" s="38"/>
      <c r="SL2181" s="38"/>
      <c r="SM2181" s="38"/>
      <c r="SN2181" s="38"/>
      <c r="SO2181" s="38"/>
      <c r="SP2181" s="38"/>
      <c r="SQ2181" s="38"/>
      <c r="SR2181" s="38"/>
      <c r="SS2181" s="38"/>
      <c r="ST2181" s="38"/>
      <c r="SU2181" s="38"/>
      <c r="SV2181" s="38"/>
      <c r="SW2181" s="38"/>
      <c r="SX2181" s="38"/>
      <c r="SY2181" s="38"/>
      <c r="SZ2181" s="38"/>
      <c r="TA2181" s="38"/>
      <c r="TB2181" s="38"/>
      <c r="TC2181" s="38"/>
      <c r="TD2181" s="38"/>
      <c r="TE2181" s="38"/>
      <c r="TF2181" s="38"/>
      <c r="TG2181" s="38"/>
      <c r="TH2181" s="38"/>
      <c r="TI2181" s="38"/>
      <c r="TJ2181" s="38"/>
      <c r="TK2181" s="38"/>
      <c r="TL2181" s="38"/>
      <c r="TM2181" s="38"/>
      <c r="TN2181" s="38"/>
      <c r="TO2181" s="38"/>
      <c r="TP2181" s="38"/>
      <c r="TQ2181" s="38"/>
      <c r="TR2181" s="38"/>
      <c r="TS2181" s="38"/>
      <c r="TT2181" s="38"/>
      <c r="TU2181" s="38"/>
      <c r="TV2181" s="38"/>
      <c r="TW2181" s="38"/>
      <c r="TX2181" s="38"/>
      <c r="TY2181" s="38"/>
      <c r="TZ2181" s="38"/>
      <c r="UA2181" s="38"/>
      <c r="UB2181" s="38"/>
      <c r="UC2181" s="38"/>
      <c r="UD2181" s="38"/>
      <c r="UE2181" s="38"/>
      <c r="UF2181" s="38"/>
      <c r="UG2181" s="38"/>
      <c r="UH2181" s="38"/>
      <c r="UI2181" s="38"/>
      <c r="UJ2181" s="38"/>
      <c r="UK2181" s="38"/>
      <c r="UL2181" s="38"/>
      <c r="UM2181" s="38"/>
      <c r="UN2181" s="38"/>
      <c r="UO2181" s="38"/>
      <c r="UP2181" s="38"/>
      <c r="UQ2181" s="38"/>
      <c r="UR2181" s="38"/>
      <c r="US2181" s="38"/>
      <c r="UT2181" s="38"/>
      <c r="UU2181" s="38"/>
      <c r="UV2181" s="38"/>
      <c r="UW2181" s="38"/>
      <c r="UX2181" s="38"/>
      <c r="UY2181" s="38"/>
      <c r="UZ2181" s="38"/>
      <c r="VA2181" s="38"/>
      <c r="VB2181" s="38"/>
      <c r="VC2181" s="38"/>
      <c r="VD2181" s="38"/>
      <c r="VE2181" s="38"/>
      <c r="VF2181" s="38"/>
      <c r="VG2181" s="38"/>
      <c r="VH2181" s="38"/>
      <c r="VI2181" s="38"/>
      <c r="VJ2181" s="38"/>
      <c r="VK2181" s="38"/>
      <c r="VL2181" s="38"/>
      <c r="VM2181" s="38"/>
      <c r="VN2181" s="38"/>
      <c r="VO2181" s="38"/>
      <c r="VP2181" s="38"/>
      <c r="VQ2181" s="38"/>
      <c r="VR2181" s="38"/>
      <c r="VS2181" s="38"/>
      <c r="VT2181" s="38"/>
      <c r="VU2181" s="38"/>
      <c r="VV2181" s="38"/>
      <c r="VW2181" s="38"/>
      <c r="VX2181" s="38"/>
      <c r="VY2181" s="38"/>
      <c r="VZ2181" s="38"/>
      <c r="WA2181" s="38"/>
      <c r="WB2181" s="38"/>
      <c r="WC2181" s="38"/>
      <c r="WD2181" s="38"/>
      <c r="WE2181" s="38"/>
      <c r="WF2181" s="38"/>
      <c r="WG2181" s="38"/>
      <c r="WH2181" s="38"/>
      <c r="WI2181" s="38"/>
      <c r="WJ2181" s="38"/>
      <c r="WK2181" s="38"/>
      <c r="WL2181" s="38"/>
      <c r="WM2181" s="38"/>
      <c r="WN2181" s="38"/>
      <c r="WO2181" s="38"/>
      <c r="WP2181" s="38"/>
      <c r="WQ2181" s="38"/>
      <c r="WR2181" s="38"/>
      <c r="WS2181" s="38"/>
      <c r="WT2181" s="38"/>
      <c r="WU2181" s="38"/>
      <c r="WV2181" s="38"/>
      <c r="WW2181" s="38"/>
      <c r="WX2181" s="38"/>
      <c r="WY2181" s="38"/>
      <c r="WZ2181" s="38"/>
      <c r="XA2181" s="38"/>
      <c r="XB2181" s="38"/>
      <c r="XC2181" s="38"/>
      <c r="XD2181" s="38"/>
      <c r="XE2181" s="38"/>
      <c r="XF2181" s="38"/>
      <c r="XG2181" s="38"/>
      <c r="XH2181" s="38"/>
      <c r="XI2181" s="38"/>
      <c r="XJ2181" s="38"/>
      <c r="XK2181" s="38"/>
      <c r="XL2181" s="38"/>
      <c r="XM2181" s="38"/>
      <c r="XN2181" s="38"/>
      <c r="XO2181" s="38"/>
      <c r="XP2181" s="38"/>
      <c r="XQ2181" s="38"/>
      <c r="XR2181" s="38"/>
      <c r="XS2181" s="38"/>
      <c r="XT2181" s="38"/>
      <c r="XU2181" s="38"/>
      <c r="XV2181" s="38"/>
      <c r="XW2181" s="38"/>
      <c r="XX2181" s="38"/>
      <c r="XY2181" s="38"/>
      <c r="XZ2181" s="38"/>
      <c r="YA2181" s="38"/>
      <c r="YB2181" s="38"/>
      <c r="YC2181" s="38"/>
      <c r="YD2181" s="38"/>
      <c r="YE2181" s="38"/>
      <c r="YF2181" s="38"/>
      <c r="YG2181" s="38"/>
      <c r="YH2181" s="38"/>
      <c r="YI2181" s="38"/>
      <c r="YJ2181" s="38"/>
      <c r="YK2181" s="38"/>
      <c r="YL2181" s="38"/>
      <c r="YM2181" s="38"/>
      <c r="YN2181" s="38"/>
      <c r="YO2181" s="38"/>
      <c r="YP2181" s="38"/>
      <c r="YQ2181" s="38"/>
      <c r="YR2181" s="38"/>
      <c r="YS2181" s="38"/>
      <c r="YT2181" s="38"/>
      <c r="YU2181" s="38"/>
      <c r="YV2181" s="38"/>
      <c r="YW2181" s="38"/>
      <c r="YX2181" s="38"/>
      <c r="YY2181" s="38"/>
      <c r="YZ2181" s="38"/>
      <c r="ZA2181" s="38"/>
      <c r="ZB2181" s="38"/>
      <c r="ZC2181" s="38"/>
      <c r="ZD2181" s="38"/>
      <c r="ZE2181" s="38"/>
      <c r="ZF2181" s="38"/>
      <c r="ZG2181" s="38"/>
      <c r="ZH2181" s="38"/>
      <c r="ZI2181" s="38"/>
      <c r="ZJ2181" s="38"/>
      <c r="ZK2181" s="38"/>
      <c r="ZL2181" s="38"/>
      <c r="ZM2181" s="38"/>
      <c r="ZN2181" s="38"/>
      <c r="ZO2181" s="38"/>
      <c r="ZP2181" s="38"/>
      <c r="ZQ2181" s="38"/>
      <c r="ZR2181" s="38"/>
      <c r="ZS2181" s="38"/>
      <c r="ZT2181" s="38"/>
      <c r="ZU2181" s="38"/>
      <c r="ZV2181" s="38"/>
      <c r="ZW2181" s="38"/>
      <c r="ZX2181" s="38"/>
      <c r="ZY2181" s="38"/>
      <c r="ZZ2181" s="38"/>
      <c r="AAA2181" s="38"/>
      <c r="AAB2181" s="38"/>
      <c r="AAC2181" s="38"/>
      <c r="AAD2181" s="38"/>
      <c r="AAE2181" s="38"/>
      <c r="AAF2181" s="38"/>
      <c r="AAG2181" s="38"/>
      <c r="AAH2181" s="38"/>
      <c r="AAI2181" s="38"/>
      <c r="AAJ2181" s="38"/>
      <c r="AAK2181" s="38"/>
      <c r="AAL2181" s="38"/>
      <c r="AAM2181" s="38"/>
      <c r="AAN2181" s="38"/>
      <c r="AAO2181" s="38"/>
      <c r="AAP2181" s="38"/>
      <c r="AAQ2181" s="38"/>
      <c r="AAR2181" s="38"/>
      <c r="AAS2181" s="38"/>
      <c r="AAT2181" s="38"/>
      <c r="AAU2181" s="38"/>
      <c r="AAV2181" s="38"/>
      <c r="AAW2181" s="38"/>
      <c r="AAX2181" s="38"/>
      <c r="AAY2181" s="38"/>
      <c r="AAZ2181" s="38"/>
      <c r="ABA2181" s="38"/>
      <c r="ABB2181" s="38"/>
      <c r="ABC2181" s="38"/>
      <c r="ABD2181" s="38"/>
      <c r="ABE2181" s="38"/>
      <c r="ABF2181" s="38"/>
      <c r="ABG2181" s="38"/>
      <c r="ABH2181" s="38"/>
      <c r="ABI2181" s="38"/>
      <c r="ABJ2181" s="38"/>
      <c r="ABK2181" s="38"/>
      <c r="ABL2181" s="38"/>
      <c r="ABM2181" s="38"/>
      <c r="ABN2181" s="38"/>
      <c r="ABO2181" s="38"/>
      <c r="ABP2181" s="38"/>
      <c r="ABQ2181" s="38"/>
      <c r="ABR2181" s="38"/>
      <c r="ABS2181" s="38"/>
      <c r="ABT2181" s="38"/>
      <c r="ABU2181" s="38"/>
      <c r="ABV2181" s="38"/>
      <c r="ABW2181" s="38"/>
      <c r="ABX2181" s="38"/>
      <c r="ABY2181" s="38"/>
      <c r="ABZ2181" s="38"/>
      <c r="ACA2181" s="38"/>
      <c r="ACB2181" s="38"/>
      <c r="ACC2181" s="38"/>
      <c r="ACD2181" s="38"/>
      <c r="ACE2181" s="38"/>
      <c r="ACF2181" s="38"/>
      <c r="ACG2181" s="38"/>
      <c r="ACH2181" s="38"/>
      <c r="ACI2181" s="38"/>
      <c r="ACJ2181" s="38"/>
      <c r="ACK2181" s="38"/>
      <c r="ACL2181" s="38"/>
      <c r="ACM2181" s="38"/>
      <c r="ACN2181" s="38"/>
      <c r="ACO2181" s="38"/>
      <c r="ACP2181" s="38"/>
      <c r="ACQ2181" s="38"/>
      <c r="ACR2181" s="38"/>
      <c r="ACS2181" s="38"/>
      <c r="ACT2181" s="38"/>
      <c r="ACU2181" s="38"/>
      <c r="ACV2181" s="38"/>
      <c r="ACW2181" s="38"/>
      <c r="ACX2181" s="38"/>
      <c r="ACY2181" s="38"/>
      <c r="ACZ2181" s="38"/>
      <c r="ADA2181" s="38"/>
      <c r="ADB2181" s="38"/>
      <c r="ADC2181" s="38"/>
      <c r="ADD2181" s="38"/>
      <c r="ADE2181" s="38"/>
      <c r="ADF2181" s="38"/>
      <c r="ADG2181" s="38"/>
      <c r="ADH2181" s="38"/>
      <c r="ADI2181" s="38"/>
      <c r="ADJ2181" s="38"/>
      <c r="ADK2181" s="38"/>
      <c r="ADL2181" s="38"/>
      <c r="ADM2181" s="38"/>
      <c r="ADN2181" s="38"/>
      <c r="ADO2181" s="38"/>
      <c r="ADP2181" s="38"/>
      <c r="ADQ2181" s="38"/>
      <c r="ADR2181" s="38"/>
      <c r="ADS2181" s="38"/>
      <c r="ADT2181" s="38"/>
      <c r="ADU2181" s="38"/>
      <c r="ADV2181" s="38"/>
      <c r="ADW2181" s="38"/>
      <c r="ADX2181" s="38"/>
      <c r="ADY2181" s="38"/>
      <c r="ADZ2181" s="38"/>
      <c r="AEA2181" s="38"/>
      <c r="AEB2181" s="38"/>
      <c r="AEC2181" s="38"/>
      <c r="AED2181" s="38"/>
      <c r="AEE2181" s="38"/>
      <c r="AEF2181" s="38"/>
      <c r="AEG2181" s="38"/>
      <c r="AEH2181" s="38"/>
      <c r="AEI2181" s="38"/>
      <c r="AEJ2181" s="38"/>
      <c r="AEK2181" s="38"/>
      <c r="AEL2181" s="38"/>
      <c r="AEM2181" s="38"/>
      <c r="AEN2181" s="38"/>
      <c r="AEO2181" s="38"/>
      <c r="AEP2181" s="38"/>
      <c r="AEQ2181" s="38"/>
      <c r="AER2181" s="38"/>
      <c r="AES2181" s="38"/>
      <c r="AET2181" s="38"/>
      <c r="AEU2181" s="38"/>
      <c r="AEV2181" s="38"/>
      <c r="AEW2181" s="38"/>
      <c r="AEX2181" s="38"/>
      <c r="AEY2181" s="38"/>
      <c r="AEZ2181" s="38"/>
      <c r="AFA2181" s="38"/>
      <c r="AFB2181" s="38"/>
      <c r="AFC2181" s="38"/>
      <c r="AFD2181" s="38"/>
      <c r="AFE2181" s="38"/>
      <c r="AFF2181" s="38"/>
      <c r="AFG2181" s="38"/>
      <c r="AFH2181" s="38"/>
      <c r="AFI2181" s="38"/>
      <c r="AFJ2181" s="38"/>
      <c r="AFK2181" s="38"/>
      <c r="AFL2181" s="38"/>
      <c r="AFM2181" s="38"/>
      <c r="AFN2181" s="38"/>
      <c r="AFO2181" s="38"/>
      <c r="AFP2181" s="38"/>
      <c r="AFQ2181" s="38"/>
      <c r="AFR2181" s="38"/>
      <c r="AFS2181" s="38"/>
      <c r="AFT2181" s="38"/>
      <c r="AFU2181" s="38"/>
      <c r="AFV2181" s="38"/>
      <c r="AFW2181" s="38"/>
      <c r="AFX2181" s="38"/>
      <c r="AFY2181" s="38"/>
      <c r="AFZ2181" s="38"/>
      <c r="AGA2181" s="38"/>
      <c r="AGB2181" s="38"/>
      <c r="AGC2181" s="38"/>
      <c r="AGD2181" s="38"/>
      <c r="AGE2181" s="38"/>
      <c r="AGF2181" s="38"/>
      <c r="AGG2181" s="38"/>
      <c r="AGH2181" s="38"/>
      <c r="AGI2181" s="38"/>
      <c r="AGJ2181" s="38"/>
      <c r="AGK2181" s="38"/>
      <c r="AGL2181" s="38"/>
      <c r="AGM2181" s="38"/>
      <c r="AGN2181" s="38"/>
      <c r="AGO2181" s="38"/>
      <c r="AGP2181" s="38"/>
      <c r="AGQ2181" s="38"/>
      <c r="AGR2181" s="38"/>
      <c r="AGS2181" s="38"/>
      <c r="AGT2181" s="38"/>
      <c r="AGU2181" s="38"/>
      <c r="AGV2181" s="38"/>
      <c r="AGW2181" s="38"/>
      <c r="AGX2181" s="38"/>
      <c r="AGY2181" s="38"/>
      <c r="AGZ2181" s="38"/>
      <c r="AHA2181" s="38"/>
      <c r="AHB2181" s="38"/>
      <c r="AHC2181" s="38"/>
      <c r="AHD2181" s="38"/>
      <c r="AHE2181" s="38"/>
      <c r="AHF2181" s="38"/>
      <c r="AHG2181" s="38"/>
      <c r="AHH2181" s="38"/>
      <c r="AHI2181" s="38"/>
      <c r="AHJ2181" s="38"/>
      <c r="AHK2181" s="38"/>
      <c r="AHL2181" s="38"/>
      <c r="AHM2181" s="38"/>
      <c r="AHN2181" s="38"/>
      <c r="AHO2181" s="38"/>
      <c r="AHP2181" s="38"/>
      <c r="AHQ2181" s="38"/>
      <c r="AHR2181" s="38"/>
      <c r="AHS2181" s="38"/>
      <c r="AHT2181" s="38"/>
      <c r="AHU2181" s="38"/>
      <c r="AHV2181" s="38"/>
      <c r="AHW2181" s="38"/>
      <c r="AHX2181" s="38"/>
      <c r="AHY2181" s="38"/>
      <c r="AHZ2181" s="38"/>
      <c r="AIA2181" s="38"/>
      <c r="AIB2181" s="38"/>
      <c r="AIC2181" s="38"/>
      <c r="AID2181" s="38"/>
      <c r="AIE2181" s="38"/>
      <c r="AIF2181" s="38"/>
      <c r="AIG2181" s="38"/>
      <c r="AIH2181" s="38"/>
      <c r="AII2181" s="38"/>
      <c r="AIJ2181" s="38"/>
      <c r="AIK2181" s="38"/>
      <c r="AIL2181" s="38"/>
      <c r="AIM2181" s="38"/>
      <c r="AIN2181" s="38"/>
      <c r="AIO2181" s="38"/>
      <c r="AIP2181" s="38"/>
      <c r="AIQ2181" s="38"/>
      <c r="AIR2181" s="38"/>
      <c r="AIS2181" s="38"/>
      <c r="AIT2181" s="38"/>
      <c r="AIU2181" s="38"/>
      <c r="AIV2181" s="38"/>
      <c r="AIW2181" s="38"/>
      <c r="AIX2181" s="38"/>
      <c r="AIY2181" s="38"/>
      <c r="AIZ2181" s="38"/>
      <c r="AJA2181" s="38"/>
      <c r="AJB2181" s="38"/>
      <c r="AJC2181" s="38"/>
      <c r="AJD2181" s="38"/>
      <c r="AJE2181" s="38"/>
      <c r="AJF2181" s="38"/>
      <c r="AJG2181" s="38"/>
      <c r="AJH2181" s="38"/>
      <c r="AJI2181" s="38"/>
      <c r="AJJ2181" s="38"/>
      <c r="AJK2181" s="38"/>
      <c r="AJL2181" s="38"/>
      <c r="AJM2181" s="38"/>
      <c r="AJN2181" s="38"/>
      <c r="AJO2181" s="38"/>
      <c r="AJP2181" s="38"/>
      <c r="AJQ2181" s="38"/>
      <c r="AJR2181" s="38"/>
      <c r="AJS2181" s="38"/>
      <c r="AJT2181" s="38"/>
      <c r="AJU2181" s="38"/>
      <c r="AJV2181" s="38"/>
      <c r="AJW2181" s="38"/>
      <c r="AJX2181" s="38"/>
      <c r="AJY2181" s="38"/>
      <c r="AJZ2181" s="38"/>
      <c r="AKA2181" s="38"/>
      <c r="AKB2181" s="38"/>
      <c r="AKC2181" s="38"/>
      <c r="AKD2181" s="38"/>
      <c r="AKE2181" s="38"/>
      <c r="AKF2181" s="38"/>
      <c r="AKG2181" s="38"/>
      <c r="AKH2181" s="38"/>
      <c r="AKI2181" s="38"/>
      <c r="AKJ2181" s="38"/>
      <c r="AKK2181" s="38"/>
      <c r="AKL2181" s="38"/>
      <c r="AKM2181" s="38"/>
      <c r="AKN2181" s="38"/>
      <c r="AKO2181" s="38"/>
      <c r="AKP2181" s="38"/>
      <c r="AKQ2181" s="38"/>
      <c r="AKR2181" s="38"/>
      <c r="AKS2181" s="38"/>
      <c r="AKT2181" s="38"/>
      <c r="AKU2181" s="38"/>
      <c r="AKV2181" s="38"/>
      <c r="AKW2181" s="38"/>
      <c r="AKX2181" s="38"/>
      <c r="AKY2181" s="38"/>
      <c r="AKZ2181" s="38"/>
      <c r="ALA2181" s="38"/>
      <c r="ALB2181" s="38"/>
      <c r="ALC2181" s="38"/>
      <c r="ALD2181" s="38"/>
      <c r="ALE2181" s="38"/>
      <c r="ALF2181" s="38"/>
      <c r="ALG2181" s="38"/>
      <c r="ALH2181" s="38"/>
      <c r="ALI2181" s="38"/>
      <c r="ALJ2181" s="38"/>
      <c r="ALK2181" s="38"/>
      <c r="ALL2181" s="38"/>
      <c r="ALM2181" s="38"/>
      <c r="ALN2181" s="38"/>
      <c r="ALO2181" s="38"/>
      <c r="ALP2181" s="38"/>
      <c r="ALQ2181" s="38"/>
      <c r="ALR2181" s="38"/>
      <c r="ALS2181" s="38"/>
      <c r="ALT2181" s="38"/>
      <c r="ALU2181" s="38"/>
      <c r="ALV2181" s="38"/>
      <c r="ALW2181" s="38"/>
      <c r="ALX2181" s="38"/>
      <c r="ALY2181" s="38"/>
      <c r="ALZ2181" s="38"/>
      <c r="AMA2181" s="38"/>
      <c r="AMB2181" s="38"/>
      <c r="AMC2181" s="38"/>
      <c r="AMD2181" s="38"/>
      <c r="AME2181" s="38"/>
      <c r="AMF2181" s="38"/>
      <c r="AMG2181" s="38"/>
      <c r="AMH2181" s="38"/>
      <c r="AMI2181" s="38"/>
      <c r="AMJ2181" s="38"/>
      <c r="AMK2181" s="38"/>
      <c r="AML2181" s="38"/>
      <c r="AMM2181" s="38"/>
      <c r="AMN2181" s="38"/>
      <c r="AMO2181" s="38"/>
      <c r="AMP2181" s="38"/>
      <c r="AMQ2181" s="38"/>
      <c r="AMR2181" s="38"/>
      <c r="AMS2181" s="38"/>
      <c r="AMT2181" s="38"/>
      <c r="AMU2181" s="38"/>
      <c r="AMV2181" s="38"/>
      <c r="AMW2181" s="38"/>
      <c r="AMX2181" s="38"/>
      <c r="AMY2181" s="38"/>
      <c r="AMZ2181" s="38"/>
      <c r="ANA2181" s="38"/>
      <c r="ANB2181" s="38"/>
      <c r="ANC2181" s="38"/>
      <c r="AND2181" s="38"/>
      <c r="ANE2181" s="38"/>
      <c r="ANF2181" s="38"/>
      <c r="ANG2181" s="38"/>
      <c r="ANH2181" s="38"/>
      <c r="ANI2181" s="38"/>
      <c r="ANJ2181" s="38"/>
      <c r="ANK2181" s="38"/>
      <c r="ANL2181" s="38"/>
      <c r="ANM2181" s="38"/>
      <c r="ANN2181" s="38"/>
      <c r="ANO2181" s="38"/>
      <c r="ANP2181" s="38"/>
      <c r="ANQ2181" s="38"/>
      <c r="ANR2181" s="38"/>
      <c r="ANS2181" s="38"/>
      <c r="ANT2181" s="38"/>
      <c r="ANU2181" s="38"/>
      <c r="ANV2181" s="38"/>
      <c r="ANW2181" s="38"/>
      <c r="ANX2181" s="38"/>
      <c r="ANY2181" s="38"/>
      <c r="ANZ2181" s="38"/>
      <c r="AOA2181" s="38"/>
      <c r="AOB2181" s="38"/>
      <c r="AOC2181" s="38"/>
      <c r="AOD2181" s="38"/>
      <c r="AOE2181" s="38"/>
      <c r="AOF2181" s="38"/>
      <c r="AOG2181" s="38"/>
      <c r="AOH2181" s="38"/>
      <c r="AOI2181" s="38"/>
      <c r="AOJ2181" s="38"/>
      <c r="AOK2181" s="38"/>
      <c r="AOL2181" s="38"/>
      <c r="AOM2181" s="38"/>
      <c r="AON2181" s="38"/>
      <c r="AOO2181" s="38"/>
      <c r="AOP2181" s="38"/>
      <c r="AOQ2181" s="38"/>
      <c r="AOR2181" s="38"/>
      <c r="AOS2181" s="38"/>
      <c r="AOT2181" s="38"/>
      <c r="AOU2181" s="38"/>
      <c r="AOV2181" s="38"/>
      <c r="AOW2181" s="38"/>
      <c r="AOX2181" s="38"/>
      <c r="AOY2181" s="38"/>
      <c r="AOZ2181" s="38"/>
      <c r="APA2181" s="38"/>
      <c r="APB2181" s="38"/>
      <c r="APC2181" s="38"/>
    </row>
    <row r="2182" spans="1:1095" s="36" customFormat="1" ht="14.25" customHeight="1">
      <c r="A2182" s="3" t="s">
        <v>1722</v>
      </c>
      <c r="B2182" s="36" t="s">
        <v>2645</v>
      </c>
      <c r="C2182" s="10">
        <v>4099854059872</v>
      </c>
      <c r="D2182" s="224">
        <v>4058075797536</v>
      </c>
      <c r="E2182" s="245" t="s">
        <v>2646</v>
      </c>
      <c r="F2182" s="246"/>
      <c r="G2182" s="66" t="str">
        <f>HYPERLINK("https://ledvance.com/pt/product-datasheet/250861/236946","Ficha de Produto")</f>
        <v>Ficha de Produto</v>
      </c>
      <c r="H2182" s="217">
        <v>10</v>
      </c>
      <c r="I2182" s="34" t="s">
        <v>6389</v>
      </c>
      <c r="J2182" s="34" t="s">
        <v>6364</v>
      </c>
      <c r="K2182" s="34" t="s">
        <v>788</v>
      </c>
      <c r="L2182" s="34" t="s">
        <v>765</v>
      </c>
      <c r="M2182" s="247">
        <v>7.2</v>
      </c>
      <c r="N2182" s="288" t="s">
        <v>722</v>
      </c>
    </row>
    <row r="2183" spans="1:1095" s="36" customFormat="1" ht="14.25" customHeight="1">
      <c r="A2183" s="3" t="s">
        <v>1722</v>
      </c>
      <c r="B2183" s="36" t="s">
        <v>2647</v>
      </c>
      <c r="C2183" s="10">
        <v>4099854059896</v>
      </c>
      <c r="D2183" s="224">
        <v>4058075797598</v>
      </c>
      <c r="E2183" s="245" t="s">
        <v>2648</v>
      </c>
      <c r="F2183" s="246"/>
      <c r="G2183" s="66" t="str">
        <f>HYPERLINK("https://ledvance.com/pt/product-datasheet/250861/236955","Ficha de Produto")</f>
        <v>Ficha de Produto</v>
      </c>
      <c r="H2183" s="217">
        <v>10</v>
      </c>
      <c r="I2183" s="34" t="s">
        <v>6389</v>
      </c>
      <c r="J2183" s="34" t="s">
        <v>6364</v>
      </c>
      <c r="K2183" s="34" t="s">
        <v>788</v>
      </c>
      <c r="L2183" s="34" t="s">
        <v>765</v>
      </c>
      <c r="M2183" s="247">
        <v>7.2</v>
      </c>
      <c r="N2183" s="288" t="s">
        <v>722</v>
      </c>
    </row>
    <row r="2184" spans="1:1095" s="36" customFormat="1" ht="14.25" customHeight="1">
      <c r="A2184" s="3" t="s">
        <v>1722</v>
      </c>
      <c r="B2184" s="36" t="s">
        <v>2649</v>
      </c>
      <c r="C2184" s="10">
        <v>4099854059919</v>
      </c>
      <c r="D2184" s="224">
        <v>4058075797611</v>
      </c>
      <c r="E2184" s="245" t="s">
        <v>2650</v>
      </c>
      <c r="F2184" s="246"/>
      <c r="G2184" s="66" t="str">
        <f>HYPERLINK("https://ledvance.com/pt/product-datasheet/250861/236958","Ficha de Produto")</f>
        <v>Ficha de Produto</v>
      </c>
      <c r="H2184" s="217">
        <v>10</v>
      </c>
      <c r="I2184" s="34" t="s">
        <v>6389</v>
      </c>
      <c r="J2184" s="34" t="s">
        <v>6364</v>
      </c>
      <c r="K2184" s="34" t="s">
        <v>788</v>
      </c>
      <c r="L2184" s="34" t="s">
        <v>765</v>
      </c>
      <c r="M2184" s="247">
        <v>7.2</v>
      </c>
      <c r="N2184" s="288" t="s">
        <v>722</v>
      </c>
    </row>
    <row r="2185" spans="1:1095" s="36" customFormat="1" ht="14.25" customHeight="1">
      <c r="A2185" s="3" t="s">
        <v>1722</v>
      </c>
      <c r="B2185" s="36" t="s">
        <v>2651</v>
      </c>
      <c r="C2185" s="10">
        <v>4099854044984</v>
      </c>
      <c r="D2185" s="224">
        <v>4058075797857</v>
      </c>
      <c r="E2185" s="245" t="s">
        <v>2652</v>
      </c>
      <c r="F2185" s="246"/>
      <c r="G2185" s="66" t="str">
        <f>HYPERLINK("https://ledvance.com/pt/product-datasheet/250861/235151","Ficha de Produto")</f>
        <v>Ficha de Produto</v>
      </c>
      <c r="H2185" s="217">
        <v>10</v>
      </c>
      <c r="I2185" s="34" t="s">
        <v>6390</v>
      </c>
      <c r="J2185" s="34" t="s">
        <v>6383</v>
      </c>
      <c r="K2185" s="34" t="s">
        <v>788</v>
      </c>
      <c r="L2185" s="34" t="s">
        <v>765</v>
      </c>
      <c r="M2185" s="247">
        <v>8</v>
      </c>
      <c r="N2185" s="288" t="s">
        <v>722</v>
      </c>
    </row>
    <row r="2186" spans="1:1095" s="36" customFormat="1" ht="14.25" customHeight="1">
      <c r="A2186" s="3" t="s">
        <v>1722</v>
      </c>
      <c r="B2186" s="36" t="s">
        <v>2653</v>
      </c>
      <c r="C2186" s="10">
        <v>4099854045462</v>
      </c>
      <c r="D2186" s="224">
        <v>4058075797963</v>
      </c>
      <c r="E2186" s="245" t="s">
        <v>2654</v>
      </c>
      <c r="F2186" s="246"/>
      <c r="G2186" s="66" t="str">
        <f>HYPERLINK("https://ledvance.com/pt/product-datasheet/250861/235163","Ficha de Produto")</f>
        <v>Ficha de Produto</v>
      </c>
      <c r="H2186" s="217">
        <v>10</v>
      </c>
      <c r="I2186" s="34" t="s">
        <v>6390</v>
      </c>
      <c r="J2186" s="34" t="s">
        <v>6383</v>
      </c>
      <c r="K2186" s="34" t="s">
        <v>788</v>
      </c>
      <c r="L2186" s="34" t="s">
        <v>765</v>
      </c>
      <c r="M2186" s="247">
        <v>8</v>
      </c>
      <c r="N2186" s="288" t="s">
        <v>722</v>
      </c>
    </row>
    <row r="2187" spans="1:1095" s="36" customFormat="1" ht="14.25" customHeight="1">
      <c r="A2187" s="3" t="s">
        <v>1722</v>
      </c>
      <c r="B2187" s="36" t="s">
        <v>2655</v>
      </c>
      <c r="C2187" s="10">
        <v>4099854045509</v>
      </c>
      <c r="D2187" s="224">
        <v>4058075798045</v>
      </c>
      <c r="E2187" s="245" t="s">
        <v>2656</v>
      </c>
      <c r="F2187" s="246"/>
      <c r="G2187" s="66" t="str">
        <f>HYPERLINK("https://ledvance.com/pt/product-datasheet/250861/235169","Ficha de Produto")</f>
        <v>Ficha de Produto</v>
      </c>
      <c r="H2187" s="217">
        <v>10</v>
      </c>
      <c r="I2187" s="34" t="s">
        <v>6390</v>
      </c>
      <c r="J2187" s="34" t="s">
        <v>6383</v>
      </c>
      <c r="K2187" s="34" t="s">
        <v>788</v>
      </c>
      <c r="L2187" s="34" t="s">
        <v>765</v>
      </c>
      <c r="M2187" s="247">
        <v>8</v>
      </c>
      <c r="N2187" s="288" t="s">
        <v>722</v>
      </c>
    </row>
    <row r="2188" spans="1:1095" s="36" customFormat="1" ht="14.25" customHeight="1">
      <c r="A2188" s="3" t="s">
        <v>1722</v>
      </c>
      <c r="B2188" s="36" t="s">
        <v>2657</v>
      </c>
      <c r="C2188" s="10">
        <v>4099854059117</v>
      </c>
      <c r="D2188" s="224">
        <v>4058075609136</v>
      </c>
      <c r="E2188" s="245" t="s">
        <v>2658</v>
      </c>
      <c r="F2188" s="246"/>
      <c r="G2188" s="66" t="str">
        <f>HYPERLINK("https://ledvance.com/pt/product-datasheet/250861/236846","Ficha de Produto")</f>
        <v>Ficha de Produto</v>
      </c>
      <c r="H2188" s="217">
        <v>10</v>
      </c>
      <c r="I2188" s="34" t="s">
        <v>6133</v>
      </c>
      <c r="J2188" s="34" t="s">
        <v>6394</v>
      </c>
      <c r="K2188" s="34" t="s">
        <v>788</v>
      </c>
      <c r="L2188" s="34" t="s">
        <v>765</v>
      </c>
      <c r="M2188" s="247">
        <v>12.4</v>
      </c>
      <c r="N2188" s="288" t="s">
        <v>722</v>
      </c>
    </row>
    <row r="2189" spans="1:1095" s="36" customFormat="1" ht="14.25" customHeight="1">
      <c r="A2189" s="3" t="s">
        <v>1722</v>
      </c>
      <c r="B2189" s="36" t="s">
        <v>2659</v>
      </c>
      <c r="C2189" s="10">
        <v>4099854058578</v>
      </c>
      <c r="D2189" s="224">
        <v>4058075609112</v>
      </c>
      <c r="E2189" s="245" t="s">
        <v>2660</v>
      </c>
      <c r="F2189" s="246"/>
      <c r="G2189" s="66" t="str">
        <f>HYPERLINK("https://ledvance.com/pt/product-datasheet/250861/236855","Ficha de Produto")</f>
        <v>Ficha de Produto</v>
      </c>
      <c r="H2189" s="217">
        <v>10</v>
      </c>
      <c r="I2189" s="34" t="s">
        <v>6133</v>
      </c>
      <c r="J2189" s="34" t="s">
        <v>6394</v>
      </c>
      <c r="K2189" s="34" t="s">
        <v>788</v>
      </c>
      <c r="L2189" s="34" t="s">
        <v>765</v>
      </c>
      <c r="M2189" s="247">
        <v>12.4</v>
      </c>
      <c r="N2189" s="288" t="s">
        <v>722</v>
      </c>
    </row>
    <row r="2190" spans="1:1095" s="36" customFormat="1" ht="14.25" customHeight="1">
      <c r="A2190" s="3" t="s">
        <v>1722</v>
      </c>
      <c r="B2190" s="36" t="s">
        <v>2661</v>
      </c>
      <c r="C2190" s="10">
        <v>4099854058738</v>
      </c>
      <c r="D2190" s="224">
        <v>4058075609099</v>
      </c>
      <c r="E2190" s="245" t="s">
        <v>2662</v>
      </c>
      <c r="F2190" s="246"/>
      <c r="G2190" s="66" t="str">
        <f>HYPERLINK("https://ledvance.com/pt/product-datasheet/250861/236861","Ficha de Produto")</f>
        <v>Ficha de Produto</v>
      </c>
      <c r="H2190" s="217">
        <v>10</v>
      </c>
      <c r="I2190" s="34" t="s">
        <v>6133</v>
      </c>
      <c r="J2190" s="34" t="s">
        <v>6394</v>
      </c>
      <c r="K2190" s="34" t="s">
        <v>788</v>
      </c>
      <c r="L2190" s="34" t="s">
        <v>765</v>
      </c>
      <c r="M2190" s="247">
        <v>12.4</v>
      </c>
      <c r="N2190" s="288" t="s">
        <v>722</v>
      </c>
    </row>
    <row r="2191" spans="1:1095" s="36" customFormat="1" ht="14.25" customHeight="1">
      <c r="A2191" s="3" t="s">
        <v>1722</v>
      </c>
      <c r="B2191" s="36" t="s">
        <v>2663</v>
      </c>
      <c r="C2191" s="10">
        <v>4099854059018</v>
      </c>
      <c r="D2191" s="224">
        <v>4058075609013</v>
      </c>
      <c r="E2191" s="245" t="s">
        <v>2664</v>
      </c>
      <c r="F2191" s="246"/>
      <c r="G2191" s="66" t="str">
        <f>HYPERLINK("https://ledvance.com/pt/product-datasheet/250861/236910","Ficha de Produto")</f>
        <v>Ficha de Produto</v>
      </c>
      <c r="H2191" s="217">
        <v>10</v>
      </c>
      <c r="I2191" s="34" t="s">
        <v>6314</v>
      </c>
      <c r="J2191" s="34" t="s">
        <v>6324</v>
      </c>
      <c r="K2191" s="34" t="s">
        <v>788</v>
      </c>
      <c r="L2191" s="34" t="s">
        <v>765</v>
      </c>
      <c r="M2191" s="247">
        <v>12.4</v>
      </c>
      <c r="N2191" s="288" t="s">
        <v>722</v>
      </c>
    </row>
    <row r="2192" spans="1:1095" s="36" customFormat="1" ht="14.25" customHeight="1">
      <c r="A2192" s="3" t="s">
        <v>1722</v>
      </c>
      <c r="B2192" s="36" t="s">
        <v>2665</v>
      </c>
      <c r="C2192" s="10">
        <v>4099854059094</v>
      </c>
      <c r="D2192" s="224">
        <v>4058075608993</v>
      </c>
      <c r="E2192" s="245" t="s">
        <v>2666</v>
      </c>
      <c r="F2192" s="246"/>
      <c r="G2192" s="66" t="str">
        <f>HYPERLINK("https://ledvance.com/pt/product-datasheet/250861/236919","Ficha de Produto")</f>
        <v>Ficha de Produto</v>
      </c>
      <c r="H2192" s="217">
        <v>10</v>
      </c>
      <c r="I2192" s="34" t="s">
        <v>6314</v>
      </c>
      <c r="J2192" s="34" t="s">
        <v>6324</v>
      </c>
      <c r="K2192" s="34" t="s">
        <v>788</v>
      </c>
      <c r="L2192" s="34" t="s">
        <v>765</v>
      </c>
      <c r="M2192" s="247">
        <v>12.4</v>
      </c>
      <c r="N2192" s="288" t="s">
        <v>722</v>
      </c>
    </row>
    <row r="2193" spans="1:1095" s="36" customFormat="1" ht="14.25" customHeight="1">
      <c r="A2193" s="3" t="s">
        <v>1722</v>
      </c>
      <c r="B2193" s="36" t="s">
        <v>2667</v>
      </c>
      <c r="C2193" s="10">
        <v>4099854059131</v>
      </c>
      <c r="D2193" s="224">
        <v>4058075608979</v>
      </c>
      <c r="E2193" s="245" t="s">
        <v>2668</v>
      </c>
      <c r="F2193" s="246"/>
      <c r="G2193" s="66" t="str">
        <f>HYPERLINK("https://ledvance.com/pt/product-datasheet/250861/236922","Ficha de Produto")</f>
        <v>Ficha de Produto</v>
      </c>
      <c r="H2193" s="217">
        <v>10</v>
      </c>
      <c r="I2193" s="34" t="s">
        <v>6314</v>
      </c>
      <c r="J2193" s="34" t="s">
        <v>6324</v>
      </c>
      <c r="K2193" s="34" t="s">
        <v>788</v>
      </c>
      <c r="L2193" s="34" t="s">
        <v>765</v>
      </c>
      <c r="M2193" s="247">
        <v>12.4</v>
      </c>
      <c r="N2193" s="288" t="s">
        <v>722</v>
      </c>
    </row>
    <row r="2194" spans="1:1095" s="36" customFormat="1" ht="14.25" customHeight="1">
      <c r="A2194" s="3" t="s">
        <v>1722</v>
      </c>
      <c r="B2194" s="36" t="s">
        <v>2657</v>
      </c>
      <c r="C2194" s="10">
        <v>4099854058752</v>
      </c>
      <c r="D2194" s="224">
        <v>4058075609075</v>
      </c>
      <c r="E2194" s="245" t="s">
        <v>2658</v>
      </c>
      <c r="F2194" s="246"/>
      <c r="G2194" s="66" t="str">
        <f>HYPERLINK("https://ledvance.com/pt/product-datasheet/250861/236876","Ficha de Produto")</f>
        <v>Ficha de Produto</v>
      </c>
      <c r="H2194" s="217">
        <v>10</v>
      </c>
      <c r="I2194" s="34" t="s">
        <v>6133</v>
      </c>
      <c r="J2194" s="34" t="s">
        <v>6394</v>
      </c>
      <c r="K2194" s="34" t="s">
        <v>788</v>
      </c>
      <c r="L2194" s="34" t="s">
        <v>765</v>
      </c>
      <c r="M2194" s="247">
        <v>12.4</v>
      </c>
      <c r="N2194" s="288" t="s">
        <v>722</v>
      </c>
    </row>
    <row r="2195" spans="1:1095" s="36" customFormat="1" ht="14.25" customHeight="1">
      <c r="A2195" s="3" t="s">
        <v>1722</v>
      </c>
      <c r="B2195" s="36" t="s">
        <v>2661</v>
      </c>
      <c r="C2195" s="10">
        <v>4099854058943</v>
      </c>
      <c r="D2195" s="224">
        <v>4058075609037</v>
      </c>
      <c r="E2195" s="245" t="s">
        <v>2662</v>
      </c>
      <c r="F2195" s="246"/>
      <c r="G2195" s="66" t="str">
        <f>HYPERLINK("https://ledvance.com/pt/product-datasheet/250861/236901","Ficha de Produto")</f>
        <v>Ficha de Produto</v>
      </c>
      <c r="H2195" s="217">
        <v>10</v>
      </c>
      <c r="I2195" s="34" t="s">
        <v>6133</v>
      </c>
      <c r="J2195" s="34" t="s">
        <v>6394</v>
      </c>
      <c r="K2195" s="34" t="s">
        <v>788</v>
      </c>
      <c r="L2195" s="34" t="s">
        <v>765</v>
      </c>
      <c r="M2195" s="247">
        <v>12.4</v>
      </c>
      <c r="N2195" s="288" t="s">
        <v>722</v>
      </c>
    </row>
    <row r="2196" spans="1:1095" s="36" customFormat="1" ht="14.25" customHeight="1">
      <c r="A2196" s="3" t="s">
        <v>1722</v>
      </c>
      <c r="B2196" s="36" t="s">
        <v>2659</v>
      </c>
      <c r="C2196" s="10">
        <v>4099854058868</v>
      </c>
      <c r="D2196" s="224">
        <v>4058075609051</v>
      </c>
      <c r="E2196" s="245" t="s">
        <v>2660</v>
      </c>
      <c r="F2196" s="246"/>
      <c r="G2196" s="66" t="str">
        <f>HYPERLINK("https://ledvance.com/pt/product-datasheet/250861/236888","Ficha de Produto")</f>
        <v>Ficha de Produto</v>
      </c>
      <c r="H2196" s="217">
        <v>10</v>
      </c>
      <c r="I2196" s="34" t="s">
        <v>6133</v>
      </c>
      <c r="J2196" s="34" t="s">
        <v>6394</v>
      </c>
      <c r="K2196" s="34" t="s">
        <v>788</v>
      </c>
      <c r="L2196" s="34" t="s">
        <v>765</v>
      </c>
      <c r="M2196" s="247">
        <v>12.4</v>
      </c>
      <c r="N2196" s="288" t="s">
        <v>722</v>
      </c>
    </row>
    <row r="2197" spans="1:1095" s="36" customFormat="1" ht="14.25" customHeight="1">
      <c r="A2197" s="3" t="s">
        <v>1722</v>
      </c>
      <c r="B2197" s="36" t="s">
        <v>2669</v>
      </c>
      <c r="C2197" s="10">
        <v>4099854070853</v>
      </c>
      <c r="D2197" s="224">
        <v>4058075609198</v>
      </c>
      <c r="E2197" s="245" t="s">
        <v>2670</v>
      </c>
      <c r="F2197" s="246"/>
      <c r="G2197" s="66" t="str">
        <f>HYPERLINK("https://ledvance.com/pt/product-datasheet/250995/239170","Ficha de Produto")</f>
        <v>Ficha de Produto</v>
      </c>
      <c r="H2197" s="217">
        <v>10</v>
      </c>
      <c r="I2197" s="34" t="s">
        <v>1048</v>
      </c>
      <c r="J2197" s="34" t="s">
        <v>6395</v>
      </c>
      <c r="K2197" s="34" t="s">
        <v>788</v>
      </c>
      <c r="L2197" s="34" t="s">
        <v>765</v>
      </c>
      <c r="M2197" s="247">
        <v>19.5</v>
      </c>
      <c r="N2197" s="288" t="s">
        <v>722</v>
      </c>
    </row>
    <row r="2198" spans="1:1095" s="36" customFormat="1" ht="14.25" customHeight="1">
      <c r="A2198" s="3" t="s">
        <v>1722</v>
      </c>
      <c r="B2198" s="36" t="s">
        <v>2671</v>
      </c>
      <c r="C2198" s="10">
        <v>4099854070877</v>
      </c>
      <c r="D2198" s="224">
        <v>4058075609174</v>
      </c>
      <c r="E2198" s="245" t="s">
        <v>2672</v>
      </c>
      <c r="F2198" s="246"/>
      <c r="G2198" s="66" t="str">
        <f>HYPERLINK("https://ledvance.com/pt/product-datasheet/250995/239173","Ficha de Produto")</f>
        <v>Ficha de Produto</v>
      </c>
      <c r="H2198" s="217">
        <v>10</v>
      </c>
      <c r="I2198" s="34" t="s">
        <v>1048</v>
      </c>
      <c r="J2198" s="34" t="s">
        <v>6395</v>
      </c>
      <c r="K2198" s="34" t="s">
        <v>788</v>
      </c>
      <c r="L2198" s="34" t="s">
        <v>765</v>
      </c>
      <c r="M2198" s="247">
        <v>19.5</v>
      </c>
      <c r="N2198" s="288" t="s">
        <v>722</v>
      </c>
    </row>
    <row r="2199" spans="1:1095" s="36" customFormat="1" ht="14.25" customHeight="1">
      <c r="A2199" s="3" t="s">
        <v>1722</v>
      </c>
      <c r="B2199" s="36" t="s">
        <v>2673</v>
      </c>
      <c r="C2199" s="10">
        <v>4099854070891</v>
      </c>
      <c r="D2199" s="224">
        <v>4058075609150</v>
      </c>
      <c r="E2199" s="245" t="s">
        <v>2674</v>
      </c>
      <c r="F2199" s="246"/>
      <c r="G2199" s="66" t="str">
        <f>HYPERLINK("https://ledvance.com/pt/product-datasheet/250995/239176","Ficha de Produto")</f>
        <v>Ficha de Produto</v>
      </c>
      <c r="H2199" s="217">
        <v>10</v>
      </c>
      <c r="I2199" s="34" t="s">
        <v>1048</v>
      </c>
      <c r="J2199" s="34" t="s">
        <v>6395</v>
      </c>
      <c r="K2199" s="34" t="s">
        <v>788</v>
      </c>
      <c r="L2199" s="34" t="s">
        <v>765</v>
      </c>
      <c r="M2199" s="247">
        <v>19.5</v>
      </c>
      <c r="N2199" s="288" t="s">
        <v>722</v>
      </c>
    </row>
    <row r="2200" spans="1:1095" s="39" customFormat="1" ht="14.25" customHeight="1">
      <c r="A2200" s="8" t="s">
        <v>1722</v>
      </c>
      <c r="B2200" s="244" t="s">
        <v>2675</v>
      </c>
      <c r="C2200" s="8"/>
      <c r="D2200" s="7"/>
      <c r="E2200" s="230"/>
      <c r="F2200" s="7"/>
      <c r="G2200" s="68"/>
      <c r="H2200" s="230"/>
      <c r="I2200" s="230"/>
      <c r="J2200" s="230"/>
      <c r="K2200" s="230"/>
      <c r="L2200" s="230"/>
      <c r="M2200" s="248"/>
      <c r="N2200" s="284"/>
      <c r="O2200" s="38"/>
      <c r="P2200" s="38"/>
      <c r="Q2200" s="38"/>
      <c r="R2200" s="38"/>
      <c r="S2200" s="38"/>
      <c r="T2200" s="38"/>
      <c r="U2200" s="38"/>
      <c r="V2200" s="38"/>
      <c r="W2200" s="38"/>
      <c r="X2200" s="38"/>
      <c r="Y2200" s="38"/>
      <c r="Z2200" s="38"/>
      <c r="AA2200" s="38"/>
      <c r="AB2200" s="38"/>
      <c r="AC2200" s="38"/>
      <c r="AD2200" s="38"/>
      <c r="AE2200" s="38"/>
      <c r="AF2200" s="38"/>
      <c r="AG2200" s="38"/>
      <c r="AH2200" s="38"/>
      <c r="AI2200" s="38"/>
      <c r="AJ2200" s="38"/>
      <c r="AK2200" s="38"/>
      <c r="AL2200" s="38"/>
      <c r="AM2200" s="38"/>
      <c r="AN2200" s="38"/>
      <c r="AO2200" s="38"/>
      <c r="AP2200" s="38"/>
      <c r="AQ2200" s="38"/>
      <c r="AR2200" s="38"/>
      <c r="AS2200" s="38"/>
      <c r="AT2200" s="38"/>
      <c r="AU2200" s="38"/>
      <c r="AV2200" s="38"/>
      <c r="AW2200" s="38"/>
      <c r="AX2200" s="38"/>
      <c r="AY2200" s="38"/>
      <c r="AZ2200" s="38"/>
      <c r="BA2200" s="38"/>
      <c r="BB2200" s="38"/>
      <c r="BC2200" s="38"/>
      <c r="BD2200" s="38"/>
      <c r="BE2200" s="38"/>
      <c r="BF2200" s="38"/>
      <c r="BG2200" s="38"/>
      <c r="BH2200" s="38"/>
      <c r="BI2200" s="38"/>
      <c r="BJ2200" s="38"/>
      <c r="BK2200" s="38"/>
      <c r="BL2200" s="38"/>
      <c r="BM2200" s="38"/>
      <c r="BN2200" s="38"/>
      <c r="BO2200" s="38"/>
      <c r="BP2200" s="38"/>
      <c r="BQ2200" s="38"/>
      <c r="BR2200" s="38"/>
      <c r="BS2200" s="38"/>
      <c r="BT2200" s="38"/>
      <c r="BU2200" s="38"/>
      <c r="BV2200" s="38"/>
      <c r="BW2200" s="38"/>
      <c r="BX2200" s="38"/>
      <c r="BY2200" s="38"/>
      <c r="BZ2200" s="38"/>
      <c r="CA2200" s="38"/>
      <c r="CB2200" s="38"/>
      <c r="CC2200" s="38"/>
      <c r="CD2200" s="38"/>
      <c r="CE2200" s="38"/>
      <c r="CF2200" s="38"/>
      <c r="CG2200" s="38"/>
      <c r="CH2200" s="38"/>
      <c r="CI2200" s="38"/>
      <c r="CJ2200" s="38"/>
      <c r="CK2200" s="38"/>
      <c r="CL2200" s="38"/>
      <c r="CM2200" s="38"/>
      <c r="CN2200" s="38"/>
      <c r="CO2200" s="38"/>
      <c r="CP2200" s="38"/>
      <c r="CQ2200" s="38"/>
      <c r="CR2200" s="38"/>
      <c r="CS2200" s="38"/>
      <c r="CT2200" s="38"/>
      <c r="CU2200" s="38"/>
      <c r="CV2200" s="38"/>
      <c r="CW2200" s="38"/>
      <c r="CX2200" s="38"/>
      <c r="CY2200" s="38"/>
      <c r="CZ2200" s="38"/>
      <c r="DA2200" s="38"/>
      <c r="DB2200" s="38"/>
      <c r="DC2200" s="38"/>
      <c r="DD2200" s="38"/>
      <c r="DE2200" s="38"/>
      <c r="DF2200" s="38"/>
      <c r="DG2200" s="38"/>
      <c r="DH2200" s="38"/>
      <c r="DI2200" s="38"/>
      <c r="DJ2200" s="38"/>
      <c r="DK2200" s="38"/>
      <c r="DL2200" s="38"/>
      <c r="DM2200" s="38"/>
      <c r="DN2200" s="38"/>
      <c r="DO2200" s="38"/>
      <c r="DP2200" s="38"/>
      <c r="DQ2200" s="38"/>
      <c r="DR2200" s="38"/>
      <c r="DS2200" s="38"/>
      <c r="DT2200" s="38"/>
      <c r="DU2200" s="38"/>
      <c r="DV2200" s="38"/>
      <c r="DW2200" s="38"/>
      <c r="DX2200" s="38"/>
      <c r="DY2200" s="38"/>
      <c r="DZ2200" s="38"/>
      <c r="EA2200" s="38"/>
      <c r="EB2200" s="38"/>
      <c r="EC2200" s="38"/>
      <c r="ED2200" s="38"/>
      <c r="EE2200" s="38"/>
      <c r="EF2200" s="38"/>
      <c r="EG2200" s="38"/>
      <c r="EH2200" s="38"/>
      <c r="EI2200" s="38"/>
      <c r="EJ2200" s="38"/>
      <c r="EK2200" s="38"/>
      <c r="EL2200" s="38"/>
      <c r="EM2200" s="38"/>
      <c r="EN2200" s="38"/>
      <c r="EO2200" s="38"/>
      <c r="EP2200" s="38"/>
      <c r="EQ2200" s="38"/>
      <c r="ER2200" s="38"/>
      <c r="ES2200" s="38"/>
      <c r="ET2200" s="38"/>
      <c r="EU2200" s="38"/>
      <c r="EV2200" s="38"/>
      <c r="EW2200" s="38"/>
      <c r="EX2200" s="38"/>
      <c r="EY2200" s="38"/>
      <c r="EZ2200" s="38"/>
      <c r="FA2200" s="38"/>
      <c r="FB2200" s="38"/>
      <c r="FC2200" s="38"/>
      <c r="FD2200" s="38"/>
      <c r="FE2200" s="38"/>
      <c r="FF2200" s="38"/>
      <c r="FG2200" s="38"/>
      <c r="FH2200" s="38"/>
      <c r="FI2200" s="38"/>
      <c r="FJ2200" s="38"/>
      <c r="FK2200" s="38"/>
      <c r="FL2200" s="38"/>
      <c r="FM2200" s="38"/>
      <c r="FN2200" s="38"/>
      <c r="FO2200" s="38"/>
      <c r="FP2200" s="38"/>
      <c r="FQ2200" s="38"/>
      <c r="FR2200" s="38"/>
      <c r="FS2200" s="38"/>
      <c r="FT2200" s="38"/>
      <c r="FU2200" s="38"/>
      <c r="FV2200" s="38"/>
      <c r="FW2200" s="38"/>
      <c r="FX2200" s="38"/>
      <c r="FY2200" s="38"/>
      <c r="FZ2200" s="38"/>
      <c r="GA2200" s="38"/>
      <c r="GB2200" s="38"/>
      <c r="GC2200" s="38"/>
      <c r="GD2200" s="38"/>
      <c r="GE2200" s="38"/>
      <c r="GF2200" s="38"/>
      <c r="GG2200" s="38"/>
      <c r="GH2200" s="38"/>
      <c r="GI2200" s="38"/>
      <c r="GJ2200" s="38"/>
      <c r="GK2200" s="38"/>
      <c r="GL2200" s="38"/>
      <c r="GM2200" s="38"/>
      <c r="GN2200" s="38"/>
      <c r="GO2200" s="38"/>
      <c r="GP2200" s="38"/>
      <c r="GQ2200" s="38"/>
      <c r="GR2200" s="38"/>
      <c r="GS2200" s="38"/>
      <c r="GT2200" s="38"/>
      <c r="GU2200" s="38"/>
      <c r="GV2200" s="38"/>
      <c r="GW2200" s="38"/>
      <c r="GX2200" s="38"/>
      <c r="GY2200" s="38"/>
      <c r="GZ2200" s="38"/>
      <c r="HA2200" s="38"/>
      <c r="HB2200" s="38"/>
      <c r="HC2200" s="38"/>
      <c r="HD2200" s="38"/>
      <c r="HE2200" s="38"/>
      <c r="HF2200" s="38"/>
      <c r="HG2200" s="38"/>
      <c r="HH2200" s="38"/>
      <c r="HI2200" s="38"/>
      <c r="HJ2200" s="38"/>
      <c r="HK2200" s="38"/>
      <c r="HL2200" s="38"/>
      <c r="HM2200" s="38"/>
      <c r="HN2200" s="38"/>
      <c r="HO2200" s="38"/>
      <c r="HP2200" s="38"/>
      <c r="HQ2200" s="38"/>
      <c r="HR2200" s="38"/>
      <c r="HS2200" s="38"/>
      <c r="HT2200" s="38"/>
      <c r="HU2200" s="38"/>
      <c r="HV2200" s="38"/>
      <c r="HW2200" s="38"/>
      <c r="HX2200" s="38"/>
      <c r="HY2200" s="38"/>
      <c r="HZ2200" s="38"/>
      <c r="IA2200" s="38"/>
      <c r="IB2200" s="38"/>
      <c r="IC2200" s="38"/>
      <c r="ID2200" s="38"/>
      <c r="IE2200" s="38"/>
      <c r="IF2200" s="38"/>
      <c r="IG2200" s="38"/>
      <c r="IH2200" s="38"/>
      <c r="II2200" s="38"/>
      <c r="IJ2200" s="38"/>
      <c r="IK2200" s="38"/>
      <c r="IL2200" s="38"/>
      <c r="IM2200" s="38"/>
      <c r="IN2200" s="38"/>
      <c r="IO2200" s="38"/>
      <c r="IP2200" s="38"/>
      <c r="IQ2200" s="38"/>
      <c r="IR2200" s="38"/>
      <c r="IS2200" s="38"/>
      <c r="IT2200" s="38"/>
      <c r="IU2200" s="38"/>
      <c r="IV2200" s="38"/>
      <c r="IW2200" s="38"/>
      <c r="IX2200" s="38"/>
      <c r="IY2200" s="38"/>
      <c r="IZ2200" s="38"/>
      <c r="JA2200" s="38"/>
      <c r="JB2200" s="38"/>
      <c r="JC2200" s="38"/>
      <c r="JD2200" s="38"/>
      <c r="JE2200" s="38"/>
      <c r="JF2200" s="38"/>
      <c r="JG2200" s="38"/>
      <c r="JH2200" s="38"/>
      <c r="JI2200" s="38"/>
      <c r="JJ2200" s="38"/>
      <c r="JK2200" s="38"/>
      <c r="JL2200" s="38"/>
      <c r="JM2200" s="38"/>
      <c r="JN2200" s="38"/>
      <c r="JO2200" s="38"/>
      <c r="JP2200" s="38"/>
      <c r="JQ2200" s="38"/>
      <c r="JR2200" s="38"/>
      <c r="JS2200" s="38"/>
      <c r="JT2200" s="38"/>
      <c r="JU2200" s="38"/>
      <c r="JV2200" s="38"/>
      <c r="JW2200" s="38"/>
      <c r="JX2200" s="38"/>
      <c r="JY2200" s="38"/>
      <c r="JZ2200" s="38"/>
      <c r="KA2200" s="38"/>
      <c r="KB2200" s="38"/>
      <c r="KC2200" s="38"/>
      <c r="KD2200" s="38"/>
      <c r="KE2200" s="38"/>
      <c r="KF2200" s="38"/>
      <c r="KG2200" s="38"/>
      <c r="KH2200" s="38"/>
      <c r="KI2200" s="38"/>
      <c r="KJ2200" s="38"/>
      <c r="KK2200" s="38"/>
      <c r="KL2200" s="38"/>
      <c r="KM2200" s="38"/>
      <c r="KN2200" s="38"/>
      <c r="KO2200" s="38"/>
      <c r="KP2200" s="38"/>
      <c r="KQ2200" s="38"/>
      <c r="KR2200" s="38"/>
      <c r="KS2200" s="38"/>
      <c r="KT2200" s="38"/>
      <c r="KU2200" s="38"/>
      <c r="KV2200" s="38"/>
      <c r="KW2200" s="38"/>
      <c r="KX2200" s="38"/>
      <c r="KY2200" s="38"/>
      <c r="KZ2200" s="38"/>
      <c r="LA2200" s="38"/>
      <c r="LB2200" s="38"/>
      <c r="LC2200" s="38"/>
      <c r="LD2200" s="38"/>
      <c r="LE2200" s="38"/>
      <c r="LF2200" s="38"/>
      <c r="LG2200" s="38"/>
      <c r="LH2200" s="38"/>
      <c r="LI2200" s="38"/>
      <c r="LJ2200" s="38"/>
      <c r="LK2200" s="38"/>
      <c r="LL2200" s="38"/>
      <c r="LM2200" s="38"/>
      <c r="LN2200" s="38"/>
      <c r="LO2200" s="38"/>
      <c r="LP2200" s="38"/>
      <c r="LQ2200" s="38"/>
      <c r="LR2200" s="38"/>
      <c r="LS2200" s="38"/>
      <c r="LT2200" s="38"/>
      <c r="LU2200" s="38"/>
      <c r="LV2200" s="38"/>
      <c r="LW2200" s="38"/>
      <c r="LX2200" s="38"/>
      <c r="LY2200" s="38"/>
      <c r="LZ2200" s="38"/>
      <c r="MA2200" s="38"/>
      <c r="MB2200" s="38"/>
      <c r="MC2200" s="38"/>
      <c r="MD2200" s="38"/>
      <c r="ME2200" s="38"/>
      <c r="MF2200" s="38"/>
      <c r="MG2200" s="38"/>
      <c r="MH2200" s="38"/>
      <c r="MI2200" s="38"/>
      <c r="MJ2200" s="38"/>
      <c r="MK2200" s="38"/>
      <c r="ML2200" s="38"/>
      <c r="MM2200" s="38"/>
      <c r="MN2200" s="38"/>
      <c r="MO2200" s="38"/>
      <c r="MP2200" s="38"/>
      <c r="MQ2200" s="38"/>
      <c r="MR2200" s="38"/>
      <c r="MS2200" s="38"/>
      <c r="MT2200" s="38"/>
      <c r="MU2200" s="38"/>
      <c r="MV2200" s="38"/>
      <c r="MW2200" s="38"/>
      <c r="MX2200" s="38"/>
      <c r="MY2200" s="38"/>
      <c r="MZ2200" s="38"/>
      <c r="NA2200" s="38"/>
      <c r="NB2200" s="38"/>
      <c r="NC2200" s="38"/>
      <c r="ND2200" s="38"/>
      <c r="NE2200" s="38"/>
      <c r="NF2200" s="38"/>
      <c r="NG2200" s="38"/>
      <c r="NH2200" s="38"/>
      <c r="NI2200" s="38"/>
      <c r="NJ2200" s="38"/>
      <c r="NK2200" s="38"/>
      <c r="NL2200" s="38"/>
      <c r="NM2200" s="38"/>
      <c r="NN2200" s="38"/>
      <c r="NO2200" s="38"/>
      <c r="NP2200" s="38"/>
      <c r="NQ2200" s="38"/>
      <c r="NR2200" s="38"/>
      <c r="NS2200" s="38"/>
      <c r="NT2200" s="38"/>
      <c r="NU2200" s="38"/>
      <c r="NV2200" s="38"/>
      <c r="NW2200" s="38"/>
      <c r="NX2200" s="38"/>
      <c r="NY2200" s="38"/>
      <c r="NZ2200" s="38"/>
      <c r="OA2200" s="38"/>
      <c r="OB2200" s="38"/>
      <c r="OC2200" s="38"/>
      <c r="OD2200" s="38"/>
      <c r="OE2200" s="38"/>
      <c r="OF2200" s="38"/>
      <c r="OG2200" s="38"/>
      <c r="OH2200" s="38"/>
      <c r="OI2200" s="38"/>
      <c r="OJ2200" s="38"/>
      <c r="OK2200" s="38"/>
      <c r="OL2200" s="38"/>
      <c r="OM2200" s="38"/>
      <c r="ON2200" s="38"/>
      <c r="OO2200" s="38"/>
      <c r="OP2200" s="38"/>
      <c r="OQ2200" s="38"/>
      <c r="OR2200" s="38"/>
      <c r="OS2200" s="38"/>
      <c r="OT2200" s="38"/>
      <c r="OU2200" s="38"/>
      <c r="OV2200" s="38"/>
      <c r="OW2200" s="38"/>
      <c r="OX2200" s="38"/>
      <c r="OY2200" s="38"/>
      <c r="OZ2200" s="38"/>
      <c r="PA2200" s="38"/>
      <c r="PB2200" s="38"/>
      <c r="PC2200" s="38"/>
      <c r="PD2200" s="38"/>
      <c r="PE2200" s="38"/>
      <c r="PF2200" s="38"/>
      <c r="PG2200" s="38"/>
      <c r="PH2200" s="38"/>
      <c r="PI2200" s="38"/>
      <c r="PJ2200" s="38"/>
      <c r="PK2200" s="38"/>
      <c r="PL2200" s="38"/>
      <c r="PM2200" s="38"/>
      <c r="PN2200" s="38"/>
      <c r="PO2200" s="38"/>
      <c r="PP2200" s="38"/>
      <c r="PQ2200" s="38"/>
      <c r="PR2200" s="38"/>
      <c r="PS2200" s="38"/>
      <c r="PT2200" s="38"/>
      <c r="PU2200" s="38"/>
      <c r="PV2200" s="38"/>
      <c r="PW2200" s="38"/>
      <c r="PX2200" s="38"/>
      <c r="PY2200" s="38"/>
      <c r="PZ2200" s="38"/>
      <c r="QA2200" s="38"/>
      <c r="QB2200" s="38"/>
      <c r="QC2200" s="38"/>
      <c r="QD2200" s="38"/>
      <c r="QE2200" s="38"/>
      <c r="QF2200" s="38"/>
      <c r="QG2200" s="38"/>
      <c r="QH2200" s="38"/>
      <c r="QI2200" s="38"/>
      <c r="QJ2200" s="38"/>
      <c r="QK2200" s="38"/>
      <c r="QL2200" s="38"/>
      <c r="QM2200" s="38"/>
      <c r="QN2200" s="38"/>
      <c r="QO2200" s="38"/>
      <c r="QP2200" s="38"/>
      <c r="QQ2200" s="38"/>
      <c r="QR2200" s="38"/>
      <c r="QS2200" s="38"/>
      <c r="QT2200" s="38"/>
      <c r="QU2200" s="38"/>
      <c r="QV2200" s="38"/>
      <c r="QW2200" s="38"/>
      <c r="QX2200" s="38"/>
      <c r="QY2200" s="38"/>
      <c r="QZ2200" s="38"/>
      <c r="RA2200" s="38"/>
      <c r="RB2200" s="38"/>
      <c r="RC2200" s="38"/>
      <c r="RD2200" s="38"/>
      <c r="RE2200" s="38"/>
      <c r="RF2200" s="38"/>
      <c r="RG2200" s="38"/>
      <c r="RH2200" s="38"/>
      <c r="RI2200" s="38"/>
      <c r="RJ2200" s="38"/>
      <c r="RK2200" s="38"/>
      <c r="RL2200" s="38"/>
      <c r="RM2200" s="38"/>
      <c r="RN2200" s="38"/>
      <c r="RO2200" s="38"/>
      <c r="RP2200" s="38"/>
      <c r="RQ2200" s="38"/>
      <c r="RR2200" s="38"/>
      <c r="RS2200" s="38"/>
      <c r="RT2200" s="38"/>
      <c r="RU2200" s="38"/>
      <c r="RV2200" s="38"/>
      <c r="RW2200" s="38"/>
      <c r="RX2200" s="38"/>
      <c r="RY2200" s="38"/>
      <c r="RZ2200" s="38"/>
      <c r="SA2200" s="38"/>
      <c r="SB2200" s="38"/>
      <c r="SC2200" s="38"/>
      <c r="SD2200" s="38"/>
      <c r="SE2200" s="38"/>
      <c r="SF2200" s="38"/>
      <c r="SG2200" s="38"/>
      <c r="SH2200" s="38"/>
      <c r="SI2200" s="38"/>
      <c r="SJ2200" s="38"/>
      <c r="SK2200" s="38"/>
      <c r="SL2200" s="38"/>
      <c r="SM2200" s="38"/>
      <c r="SN2200" s="38"/>
      <c r="SO2200" s="38"/>
      <c r="SP2200" s="38"/>
      <c r="SQ2200" s="38"/>
      <c r="SR2200" s="38"/>
      <c r="SS2200" s="38"/>
      <c r="ST2200" s="38"/>
      <c r="SU2200" s="38"/>
      <c r="SV2200" s="38"/>
      <c r="SW2200" s="38"/>
      <c r="SX2200" s="38"/>
      <c r="SY2200" s="38"/>
      <c r="SZ2200" s="38"/>
      <c r="TA2200" s="38"/>
      <c r="TB2200" s="38"/>
      <c r="TC2200" s="38"/>
      <c r="TD2200" s="38"/>
      <c r="TE2200" s="38"/>
      <c r="TF2200" s="38"/>
      <c r="TG2200" s="38"/>
      <c r="TH2200" s="38"/>
      <c r="TI2200" s="38"/>
      <c r="TJ2200" s="38"/>
      <c r="TK2200" s="38"/>
      <c r="TL2200" s="38"/>
      <c r="TM2200" s="38"/>
      <c r="TN2200" s="38"/>
      <c r="TO2200" s="38"/>
      <c r="TP2200" s="38"/>
      <c r="TQ2200" s="38"/>
      <c r="TR2200" s="38"/>
      <c r="TS2200" s="38"/>
      <c r="TT2200" s="38"/>
      <c r="TU2200" s="38"/>
      <c r="TV2200" s="38"/>
      <c r="TW2200" s="38"/>
      <c r="TX2200" s="38"/>
      <c r="TY2200" s="38"/>
      <c r="TZ2200" s="38"/>
      <c r="UA2200" s="38"/>
      <c r="UB2200" s="38"/>
      <c r="UC2200" s="38"/>
      <c r="UD2200" s="38"/>
      <c r="UE2200" s="38"/>
      <c r="UF2200" s="38"/>
      <c r="UG2200" s="38"/>
      <c r="UH2200" s="38"/>
      <c r="UI2200" s="38"/>
      <c r="UJ2200" s="38"/>
      <c r="UK2200" s="38"/>
      <c r="UL2200" s="38"/>
      <c r="UM2200" s="38"/>
      <c r="UN2200" s="38"/>
      <c r="UO2200" s="38"/>
      <c r="UP2200" s="38"/>
      <c r="UQ2200" s="38"/>
      <c r="UR2200" s="38"/>
      <c r="US2200" s="38"/>
      <c r="UT2200" s="38"/>
      <c r="UU2200" s="38"/>
      <c r="UV2200" s="38"/>
      <c r="UW2200" s="38"/>
      <c r="UX2200" s="38"/>
      <c r="UY2200" s="38"/>
      <c r="UZ2200" s="38"/>
      <c r="VA2200" s="38"/>
      <c r="VB2200" s="38"/>
      <c r="VC2200" s="38"/>
      <c r="VD2200" s="38"/>
      <c r="VE2200" s="38"/>
      <c r="VF2200" s="38"/>
      <c r="VG2200" s="38"/>
      <c r="VH2200" s="38"/>
      <c r="VI2200" s="38"/>
      <c r="VJ2200" s="38"/>
      <c r="VK2200" s="38"/>
      <c r="VL2200" s="38"/>
      <c r="VM2200" s="38"/>
      <c r="VN2200" s="38"/>
      <c r="VO2200" s="38"/>
      <c r="VP2200" s="38"/>
      <c r="VQ2200" s="38"/>
      <c r="VR2200" s="38"/>
      <c r="VS2200" s="38"/>
      <c r="VT2200" s="38"/>
      <c r="VU2200" s="38"/>
      <c r="VV2200" s="38"/>
      <c r="VW2200" s="38"/>
      <c r="VX2200" s="38"/>
      <c r="VY2200" s="38"/>
      <c r="VZ2200" s="38"/>
      <c r="WA2200" s="38"/>
      <c r="WB2200" s="38"/>
      <c r="WC2200" s="38"/>
      <c r="WD2200" s="38"/>
      <c r="WE2200" s="38"/>
      <c r="WF2200" s="38"/>
      <c r="WG2200" s="38"/>
      <c r="WH2200" s="38"/>
      <c r="WI2200" s="38"/>
      <c r="WJ2200" s="38"/>
      <c r="WK2200" s="38"/>
      <c r="WL2200" s="38"/>
      <c r="WM2200" s="38"/>
      <c r="WN2200" s="38"/>
      <c r="WO2200" s="38"/>
      <c r="WP2200" s="38"/>
      <c r="WQ2200" s="38"/>
      <c r="WR2200" s="38"/>
      <c r="WS2200" s="38"/>
      <c r="WT2200" s="38"/>
      <c r="WU2200" s="38"/>
      <c r="WV2200" s="38"/>
      <c r="WW2200" s="38"/>
      <c r="WX2200" s="38"/>
      <c r="WY2200" s="38"/>
      <c r="WZ2200" s="38"/>
      <c r="XA2200" s="38"/>
      <c r="XB2200" s="38"/>
      <c r="XC2200" s="38"/>
      <c r="XD2200" s="38"/>
      <c r="XE2200" s="38"/>
      <c r="XF2200" s="38"/>
      <c r="XG2200" s="38"/>
      <c r="XH2200" s="38"/>
      <c r="XI2200" s="38"/>
      <c r="XJ2200" s="38"/>
      <c r="XK2200" s="38"/>
      <c r="XL2200" s="38"/>
      <c r="XM2200" s="38"/>
      <c r="XN2200" s="38"/>
      <c r="XO2200" s="38"/>
      <c r="XP2200" s="38"/>
      <c r="XQ2200" s="38"/>
      <c r="XR2200" s="38"/>
      <c r="XS2200" s="38"/>
      <c r="XT2200" s="38"/>
      <c r="XU2200" s="38"/>
      <c r="XV2200" s="38"/>
      <c r="XW2200" s="38"/>
      <c r="XX2200" s="38"/>
      <c r="XY2200" s="38"/>
      <c r="XZ2200" s="38"/>
      <c r="YA2200" s="38"/>
      <c r="YB2200" s="38"/>
      <c r="YC2200" s="38"/>
      <c r="YD2200" s="38"/>
      <c r="YE2200" s="38"/>
      <c r="YF2200" s="38"/>
      <c r="YG2200" s="38"/>
      <c r="YH2200" s="38"/>
      <c r="YI2200" s="38"/>
      <c r="YJ2200" s="38"/>
      <c r="YK2200" s="38"/>
      <c r="YL2200" s="38"/>
      <c r="YM2200" s="38"/>
      <c r="YN2200" s="38"/>
      <c r="YO2200" s="38"/>
      <c r="YP2200" s="38"/>
      <c r="YQ2200" s="38"/>
      <c r="YR2200" s="38"/>
      <c r="YS2200" s="38"/>
      <c r="YT2200" s="38"/>
      <c r="YU2200" s="38"/>
      <c r="YV2200" s="38"/>
      <c r="YW2200" s="38"/>
      <c r="YX2200" s="38"/>
      <c r="YY2200" s="38"/>
      <c r="YZ2200" s="38"/>
      <c r="ZA2200" s="38"/>
      <c r="ZB2200" s="38"/>
      <c r="ZC2200" s="38"/>
      <c r="ZD2200" s="38"/>
      <c r="ZE2200" s="38"/>
      <c r="ZF2200" s="38"/>
      <c r="ZG2200" s="38"/>
      <c r="ZH2200" s="38"/>
      <c r="ZI2200" s="38"/>
      <c r="ZJ2200" s="38"/>
      <c r="ZK2200" s="38"/>
      <c r="ZL2200" s="38"/>
      <c r="ZM2200" s="38"/>
      <c r="ZN2200" s="38"/>
      <c r="ZO2200" s="38"/>
      <c r="ZP2200" s="38"/>
      <c r="ZQ2200" s="38"/>
      <c r="ZR2200" s="38"/>
      <c r="ZS2200" s="38"/>
      <c r="ZT2200" s="38"/>
      <c r="ZU2200" s="38"/>
      <c r="ZV2200" s="38"/>
      <c r="ZW2200" s="38"/>
      <c r="ZX2200" s="38"/>
      <c r="ZY2200" s="38"/>
      <c r="ZZ2200" s="38"/>
      <c r="AAA2200" s="38"/>
      <c r="AAB2200" s="38"/>
      <c r="AAC2200" s="38"/>
      <c r="AAD2200" s="38"/>
      <c r="AAE2200" s="38"/>
      <c r="AAF2200" s="38"/>
      <c r="AAG2200" s="38"/>
      <c r="AAH2200" s="38"/>
      <c r="AAI2200" s="38"/>
      <c r="AAJ2200" s="38"/>
      <c r="AAK2200" s="38"/>
      <c r="AAL2200" s="38"/>
      <c r="AAM2200" s="38"/>
      <c r="AAN2200" s="38"/>
      <c r="AAO2200" s="38"/>
      <c r="AAP2200" s="38"/>
      <c r="AAQ2200" s="38"/>
      <c r="AAR2200" s="38"/>
      <c r="AAS2200" s="38"/>
      <c r="AAT2200" s="38"/>
      <c r="AAU2200" s="38"/>
      <c r="AAV2200" s="38"/>
      <c r="AAW2200" s="38"/>
      <c r="AAX2200" s="38"/>
      <c r="AAY2200" s="38"/>
      <c r="AAZ2200" s="38"/>
      <c r="ABA2200" s="38"/>
      <c r="ABB2200" s="38"/>
      <c r="ABC2200" s="38"/>
      <c r="ABD2200" s="38"/>
      <c r="ABE2200" s="38"/>
      <c r="ABF2200" s="38"/>
      <c r="ABG2200" s="38"/>
      <c r="ABH2200" s="38"/>
      <c r="ABI2200" s="38"/>
      <c r="ABJ2200" s="38"/>
      <c r="ABK2200" s="38"/>
      <c r="ABL2200" s="38"/>
      <c r="ABM2200" s="38"/>
      <c r="ABN2200" s="38"/>
      <c r="ABO2200" s="38"/>
      <c r="ABP2200" s="38"/>
      <c r="ABQ2200" s="38"/>
      <c r="ABR2200" s="38"/>
      <c r="ABS2200" s="38"/>
      <c r="ABT2200" s="38"/>
      <c r="ABU2200" s="38"/>
      <c r="ABV2200" s="38"/>
      <c r="ABW2200" s="38"/>
      <c r="ABX2200" s="38"/>
      <c r="ABY2200" s="38"/>
      <c r="ABZ2200" s="38"/>
      <c r="ACA2200" s="38"/>
      <c r="ACB2200" s="38"/>
      <c r="ACC2200" s="38"/>
      <c r="ACD2200" s="38"/>
      <c r="ACE2200" s="38"/>
      <c r="ACF2200" s="38"/>
      <c r="ACG2200" s="38"/>
      <c r="ACH2200" s="38"/>
      <c r="ACI2200" s="38"/>
      <c r="ACJ2200" s="38"/>
      <c r="ACK2200" s="38"/>
      <c r="ACL2200" s="38"/>
      <c r="ACM2200" s="38"/>
      <c r="ACN2200" s="38"/>
      <c r="ACO2200" s="38"/>
      <c r="ACP2200" s="38"/>
      <c r="ACQ2200" s="38"/>
      <c r="ACR2200" s="38"/>
      <c r="ACS2200" s="38"/>
      <c r="ACT2200" s="38"/>
      <c r="ACU2200" s="38"/>
      <c r="ACV2200" s="38"/>
      <c r="ACW2200" s="38"/>
      <c r="ACX2200" s="38"/>
      <c r="ACY2200" s="38"/>
      <c r="ACZ2200" s="38"/>
      <c r="ADA2200" s="38"/>
      <c r="ADB2200" s="38"/>
      <c r="ADC2200" s="38"/>
      <c r="ADD2200" s="38"/>
      <c r="ADE2200" s="38"/>
      <c r="ADF2200" s="38"/>
      <c r="ADG2200" s="38"/>
      <c r="ADH2200" s="38"/>
      <c r="ADI2200" s="38"/>
      <c r="ADJ2200" s="38"/>
      <c r="ADK2200" s="38"/>
      <c r="ADL2200" s="38"/>
      <c r="ADM2200" s="38"/>
      <c r="ADN2200" s="38"/>
      <c r="ADO2200" s="38"/>
      <c r="ADP2200" s="38"/>
      <c r="ADQ2200" s="38"/>
      <c r="ADR2200" s="38"/>
      <c r="ADS2200" s="38"/>
      <c r="ADT2200" s="38"/>
      <c r="ADU2200" s="38"/>
      <c r="ADV2200" s="38"/>
      <c r="ADW2200" s="38"/>
      <c r="ADX2200" s="38"/>
      <c r="ADY2200" s="38"/>
      <c r="ADZ2200" s="38"/>
      <c r="AEA2200" s="38"/>
      <c r="AEB2200" s="38"/>
      <c r="AEC2200" s="38"/>
      <c r="AED2200" s="38"/>
      <c r="AEE2200" s="38"/>
      <c r="AEF2200" s="38"/>
      <c r="AEG2200" s="38"/>
      <c r="AEH2200" s="38"/>
      <c r="AEI2200" s="38"/>
      <c r="AEJ2200" s="38"/>
      <c r="AEK2200" s="38"/>
      <c r="AEL2200" s="38"/>
      <c r="AEM2200" s="38"/>
      <c r="AEN2200" s="38"/>
      <c r="AEO2200" s="38"/>
      <c r="AEP2200" s="38"/>
      <c r="AEQ2200" s="38"/>
      <c r="AER2200" s="38"/>
      <c r="AES2200" s="38"/>
      <c r="AET2200" s="38"/>
      <c r="AEU2200" s="38"/>
      <c r="AEV2200" s="38"/>
      <c r="AEW2200" s="38"/>
      <c r="AEX2200" s="38"/>
      <c r="AEY2200" s="38"/>
      <c r="AEZ2200" s="38"/>
      <c r="AFA2200" s="38"/>
      <c r="AFB2200" s="38"/>
      <c r="AFC2200" s="38"/>
      <c r="AFD2200" s="38"/>
      <c r="AFE2200" s="38"/>
      <c r="AFF2200" s="38"/>
      <c r="AFG2200" s="38"/>
      <c r="AFH2200" s="38"/>
      <c r="AFI2200" s="38"/>
      <c r="AFJ2200" s="38"/>
      <c r="AFK2200" s="38"/>
      <c r="AFL2200" s="38"/>
      <c r="AFM2200" s="38"/>
      <c r="AFN2200" s="38"/>
      <c r="AFO2200" s="38"/>
      <c r="AFP2200" s="38"/>
      <c r="AFQ2200" s="38"/>
      <c r="AFR2200" s="38"/>
      <c r="AFS2200" s="38"/>
      <c r="AFT2200" s="38"/>
      <c r="AFU2200" s="38"/>
      <c r="AFV2200" s="38"/>
      <c r="AFW2200" s="38"/>
      <c r="AFX2200" s="38"/>
      <c r="AFY2200" s="38"/>
      <c r="AFZ2200" s="38"/>
      <c r="AGA2200" s="38"/>
      <c r="AGB2200" s="38"/>
      <c r="AGC2200" s="38"/>
      <c r="AGD2200" s="38"/>
      <c r="AGE2200" s="38"/>
      <c r="AGF2200" s="38"/>
      <c r="AGG2200" s="38"/>
      <c r="AGH2200" s="38"/>
      <c r="AGI2200" s="38"/>
      <c r="AGJ2200" s="38"/>
      <c r="AGK2200" s="38"/>
      <c r="AGL2200" s="38"/>
      <c r="AGM2200" s="38"/>
      <c r="AGN2200" s="38"/>
      <c r="AGO2200" s="38"/>
      <c r="AGP2200" s="38"/>
      <c r="AGQ2200" s="38"/>
      <c r="AGR2200" s="38"/>
      <c r="AGS2200" s="38"/>
      <c r="AGT2200" s="38"/>
      <c r="AGU2200" s="38"/>
      <c r="AGV2200" s="38"/>
      <c r="AGW2200" s="38"/>
      <c r="AGX2200" s="38"/>
      <c r="AGY2200" s="38"/>
      <c r="AGZ2200" s="38"/>
      <c r="AHA2200" s="38"/>
      <c r="AHB2200" s="38"/>
      <c r="AHC2200" s="38"/>
      <c r="AHD2200" s="38"/>
      <c r="AHE2200" s="38"/>
      <c r="AHF2200" s="38"/>
      <c r="AHG2200" s="38"/>
      <c r="AHH2200" s="38"/>
      <c r="AHI2200" s="38"/>
      <c r="AHJ2200" s="38"/>
      <c r="AHK2200" s="38"/>
      <c r="AHL2200" s="38"/>
      <c r="AHM2200" s="38"/>
      <c r="AHN2200" s="38"/>
      <c r="AHO2200" s="38"/>
      <c r="AHP2200" s="38"/>
      <c r="AHQ2200" s="38"/>
      <c r="AHR2200" s="38"/>
      <c r="AHS2200" s="38"/>
      <c r="AHT2200" s="38"/>
      <c r="AHU2200" s="38"/>
      <c r="AHV2200" s="38"/>
      <c r="AHW2200" s="38"/>
      <c r="AHX2200" s="38"/>
      <c r="AHY2200" s="38"/>
      <c r="AHZ2200" s="38"/>
      <c r="AIA2200" s="38"/>
      <c r="AIB2200" s="38"/>
      <c r="AIC2200" s="38"/>
      <c r="AID2200" s="38"/>
      <c r="AIE2200" s="38"/>
      <c r="AIF2200" s="38"/>
      <c r="AIG2200" s="38"/>
      <c r="AIH2200" s="38"/>
      <c r="AII2200" s="38"/>
      <c r="AIJ2200" s="38"/>
      <c r="AIK2200" s="38"/>
      <c r="AIL2200" s="38"/>
      <c r="AIM2200" s="38"/>
      <c r="AIN2200" s="38"/>
      <c r="AIO2200" s="38"/>
      <c r="AIP2200" s="38"/>
      <c r="AIQ2200" s="38"/>
      <c r="AIR2200" s="38"/>
      <c r="AIS2200" s="38"/>
      <c r="AIT2200" s="38"/>
      <c r="AIU2200" s="38"/>
      <c r="AIV2200" s="38"/>
      <c r="AIW2200" s="38"/>
      <c r="AIX2200" s="38"/>
      <c r="AIY2200" s="38"/>
      <c r="AIZ2200" s="38"/>
      <c r="AJA2200" s="38"/>
      <c r="AJB2200" s="38"/>
      <c r="AJC2200" s="38"/>
      <c r="AJD2200" s="38"/>
      <c r="AJE2200" s="38"/>
      <c r="AJF2200" s="38"/>
      <c r="AJG2200" s="38"/>
      <c r="AJH2200" s="38"/>
      <c r="AJI2200" s="38"/>
      <c r="AJJ2200" s="38"/>
      <c r="AJK2200" s="38"/>
      <c r="AJL2200" s="38"/>
      <c r="AJM2200" s="38"/>
      <c r="AJN2200" s="38"/>
      <c r="AJO2200" s="38"/>
      <c r="AJP2200" s="38"/>
      <c r="AJQ2200" s="38"/>
      <c r="AJR2200" s="38"/>
      <c r="AJS2200" s="38"/>
      <c r="AJT2200" s="38"/>
      <c r="AJU2200" s="38"/>
      <c r="AJV2200" s="38"/>
      <c r="AJW2200" s="38"/>
      <c r="AJX2200" s="38"/>
      <c r="AJY2200" s="38"/>
      <c r="AJZ2200" s="38"/>
      <c r="AKA2200" s="38"/>
      <c r="AKB2200" s="38"/>
      <c r="AKC2200" s="38"/>
      <c r="AKD2200" s="38"/>
      <c r="AKE2200" s="38"/>
      <c r="AKF2200" s="38"/>
      <c r="AKG2200" s="38"/>
      <c r="AKH2200" s="38"/>
      <c r="AKI2200" s="38"/>
      <c r="AKJ2200" s="38"/>
      <c r="AKK2200" s="38"/>
      <c r="AKL2200" s="38"/>
      <c r="AKM2200" s="38"/>
      <c r="AKN2200" s="38"/>
      <c r="AKO2200" s="38"/>
      <c r="AKP2200" s="38"/>
      <c r="AKQ2200" s="38"/>
      <c r="AKR2200" s="38"/>
      <c r="AKS2200" s="38"/>
      <c r="AKT2200" s="38"/>
      <c r="AKU2200" s="38"/>
      <c r="AKV2200" s="38"/>
      <c r="AKW2200" s="38"/>
      <c r="AKX2200" s="38"/>
      <c r="AKY2200" s="38"/>
      <c r="AKZ2200" s="38"/>
      <c r="ALA2200" s="38"/>
      <c r="ALB2200" s="38"/>
      <c r="ALC2200" s="38"/>
      <c r="ALD2200" s="38"/>
      <c r="ALE2200" s="38"/>
      <c r="ALF2200" s="38"/>
      <c r="ALG2200" s="38"/>
      <c r="ALH2200" s="38"/>
      <c r="ALI2200" s="38"/>
      <c r="ALJ2200" s="38"/>
      <c r="ALK2200" s="38"/>
      <c r="ALL2200" s="38"/>
      <c r="ALM2200" s="38"/>
      <c r="ALN2200" s="38"/>
      <c r="ALO2200" s="38"/>
      <c r="ALP2200" s="38"/>
      <c r="ALQ2200" s="38"/>
      <c r="ALR2200" s="38"/>
      <c r="ALS2200" s="38"/>
      <c r="ALT2200" s="38"/>
      <c r="ALU2200" s="38"/>
      <c r="ALV2200" s="38"/>
      <c r="ALW2200" s="38"/>
      <c r="ALX2200" s="38"/>
      <c r="ALY2200" s="38"/>
      <c r="ALZ2200" s="38"/>
      <c r="AMA2200" s="38"/>
      <c r="AMB2200" s="38"/>
      <c r="AMC2200" s="38"/>
      <c r="AMD2200" s="38"/>
      <c r="AME2200" s="38"/>
      <c r="AMF2200" s="38"/>
      <c r="AMG2200" s="38"/>
      <c r="AMH2200" s="38"/>
      <c r="AMI2200" s="38"/>
      <c r="AMJ2200" s="38"/>
      <c r="AMK2200" s="38"/>
      <c r="AML2200" s="38"/>
      <c r="AMM2200" s="38"/>
      <c r="AMN2200" s="38"/>
      <c r="AMO2200" s="38"/>
      <c r="AMP2200" s="38"/>
      <c r="AMQ2200" s="38"/>
      <c r="AMR2200" s="38"/>
      <c r="AMS2200" s="38"/>
      <c r="AMT2200" s="38"/>
      <c r="AMU2200" s="38"/>
      <c r="AMV2200" s="38"/>
      <c r="AMW2200" s="38"/>
      <c r="AMX2200" s="38"/>
      <c r="AMY2200" s="38"/>
      <c r="AMZ2200" s="38"/>
      <c r="ANA2200" s="38"/>
      <c r="ANB2200" s="38"/>
      <c r="ANC2200" s="38"/>
      <c r="AND2200" s="38"/>
      <c r="ANE2200" s="38"/>
      <c r="ANF2200" s="38"/>
      <c r="ANG2200" s="38"/>
      <c r="ANH2200" s="38"/>
      <c r="ANI2200" s="38"/>
      <c r="ANJ2200" s="38"/>
      <c r="ANK2200" s="38"/>
      <c r="ANL2200" s="38"/>
      <c r="ANM2200" s="38"/>
      <c r="ANN2200" s="38"/>
      <c r="ANO2200" s="38"/>
      <c r="ANP2200" s="38"/>
      <c r="ANQ2200" s="38"/>
      <c r="ANR2200" s="38"/>
      <c r="ANS2200" s="38"/>
      <c r="ANT2200" s="38"/>
      <c r="ANU2200" s="38"/>
      <c r="ANV2200" s="38"/>
      <c r="ANW2200" s="38"/>
      <c r="ANX2200" s="38"/>
      <c r="ANY2200" s="38"/>
      <c r="ANZ2200" s="38"/>
      <c r="AOA2200" s="38"/>
      <c r="AOB2200" s="38"/>
      <c r="AOC2200" s="38"/>
      <c r="AOD2200" s="38"/>
      <c r="AOE2200" s="38"/>
      <c r="AOF2200" s="38"/>
      <c r="AOG2200" s="38"/>
      <c r="AOH2200" s="38"/>
      <c r="AOI2200" s="38"/>
      <c r="AOJ2200" s="38"/>
      <c r="AOK2200" s="38"/>
      <c r="AOL2200" s="38"/>
      <c r="AOM2200" s="38"/>
      <c r="AON2200" s="38"/>
      <c r="AOO2200" s="38"/>
      <c r="AOP2200" s="38"/>
      <c r="AOQ2200" s="38"/>
      <c r="AOR2200" s="38"/>
      <c r="AOS2200" s="38"/>
      <c r="AOT2200" s="38"/>
      <c r="AOU2200" s="38"/>
      <c r="AOV2200" s="38"/>
      <c r="AOW2200" s="38"/>
      <c r="AOX2200" s="38"/>
      <c r="AOY2200" s="38"/>
      <c r="AOZ2200" s="38"/>
      <c r="APA2200" s="38"/>
      <c r="APB2200" s="38"/>
      <c r="APC2200" s="38"/>
    </row>
    <row r="2201" spans="1:1095" s="36" customFormat="1" ht="14.25" customHeight="1">
      <c r="A2201" s="3" t="s">
        <v>1722</v>
      </c>
      <c r="B2201" s="36" t="s">
        <v>2676</v>
      </c>
      <c r="C2201" s="10">
        <v>4099854044687</v>
      </c>
      <c r="D2201" s="224">
        <v>4058075608214</v>
      </c>
      <c r="E2201" s="245" t="s">
        <v>2677</v>
      </c>
      <c r="F2201" s="246"/>
      <c r="G2201" s="66" t="str">
        <f>HYPERLINK("https://ledvance.com/pt/product-datasheet/250854/234984","Ficha de Produto")</f>
        <v>Ficha de Produto</v>
      </c>
      <c r="H2201" s="217">
        <v>10</v>
      </c>
      <c r="I2201" s="34" t="s">
        <v>6389</v>
      </c>
      <c r="J2201" s="34" t="s">
        <v>6360</v>
      </c>
      <c r="K2201" s="34" t="s">
        <v>788</v>
      </c>
      <c r="L2201" s="34" t="s">
        <v>6506</v>
      </c>
      <c r="M2201" s="247">
        <v>5.2</v>
      </c>
      <c r="N2201" s="288" t="s">
        <v>722</v>
      </c>
    </row>
    <row r="2202" spans="1:1095" s="36" customFormat="1" ht="14.25" customHeight="1">
      <c r="A2202" s="3" t="s">
        <v>1722</v>
      </c>
      <c r="B2202" s="36" t="s">
        <v>2678</v>
      </c>
      <c r="C2202" s="10">
        <v>4099854044731</v>
      </c>
      <c r="D2202" s="224">
        <v>4058075608191</v>
      </c>
      <c r="E2202" s="245" t="s">
        <v>2679</v>
      </c>
      <c r="F2202" s="246"/>
      <c r="G2202" s="66" t="str">
        <f>HYPERLINK("https://ledvance.com/pt/product-datasheet/250854/235026","Ficha de Produto")</f>
        <v>Ficha de Produto</v>
      </c>
      <c r="H2202" s="217">
        <v>10</v>
      </c>
      <c r="I2202" s="34" t="s">
        <v>6389</v>
      </c>
      <c r="J2202" s="34" t="s">
        <v>6360</v>
      </c>
      <c r="K2202" s="34" t="s">
        <v>788</v>
      </c>
      <c r="L2202" s="34" t="s">
        <v>6506</v>
      </c>
      <c r="M2202" s="247">
        <v>5.2</v>
      </c>
      <c r="N2202" s="288" t="s">
        <v>722</v>
      </c>
    </row>
    <row r="2203" spans="1:1095" s="36" customFormat="1" ht="14.25" customHeight="1">
      <c r="A2203" s="3" t="s">
        <v>1722</v>
      </c>
      <c r="B2203" s="36" t="s">
        <v>2680</v>
      </c>
      <c r="C2203" s="10">
        <v>4099854044755</v>
      </c>
      <c r="D2203" s="224">
        <v>4058075608177</v>
      </c>
      <c r="E2203" s="245" t="s">
        <v>2681</v>
      </c>
      <c r="F2203" s="246"/>
      <c r="G2203" s="66" t="str">
        <f>HYPERLINK("https://ledvance.com/pt/product-datasheet/250854/235031","Ficha de Produto")</f>
        <v>Ficha de Produto</v>
      </c>
      <c r="H2203" s="217">
        <v>10</v>
      </c>
      <c r="I2203" s="34" t="s">
        <v>6389</v>
      </c>
      <c r="J2203" s="34" t="s">
        <v>6360</v>
      </c>
      <c r="K2203" s="34" t="s">
        <v>788</v>
      </c>
      <c r="L2203" s="34" t="s">
        <v>6506</v>
      </c>
      <c r="M2203" s="247">
        <v>5.2</v>
      </c>
      <c r="N2203" s="288" t="s">
        <v>722</v>
      </c>
    </row>
    <row r="2204" spans="1:1095" s="36" customFormat="1" ht="14.25" customHeight="1">
      <c r="A2204" s="3" t="s">
        <v>1722</v>
      </c>
      <c r="B2204" s="36" t="s">
        <v>2682</v>
      </c>
      <c r="C2204" s="10">
        <v>4099854045660</v>
      </c>
      <c r="D2204" s="224">
        <v>4058075608153</v>
      </c>
      <c r="E2204" s="245" t="s">
        <v>2683</v>
      </c>
      <c r="F2204" s="246"/>
      <c r="G2204" s="66" t="str">
        <f>HYPERLINK("https://ledvance.com/pt/product-datasheet/250854/235089","Ficha de Produto")</f>
        <v>Ficha de Produto</v>
      </c>
      <c r="H2204" s="217">
        <v>10</v>
      </c>
      <c r="I2204" s="34" t="s">
        <v>6390</v>
      </c>
      <c r="J2204" s="34" t="s">
        <v>6358</v>
      </c>
      <c r="K2204" s="34" t="s">
        <v>788</v>
      </c>
      <c r="L2204" s="34" t="s">
        <v>6506</v>
      </c>
      <c r="M2204" s="247">
        <v>6</v>
      </c>
      <c r="N2204" s="288" t="s">
        <v>722</v>
      </c>
    </row>
    <row r="2205" spans="1:1095" s="36" customFormat="1" ht="14.25" customHeight="1">
      <c r="A2205" s="3" t="s">
        <v>1722</v>
      </c>
      <c r="B2205" s="36" t="s">
        <v>2684</v>
      </c>
      <c r="C2205" s="10">
        <v>4099854067891</v>
      </c>
      <c r="D2205" s="224">
        <v>4058075608115</v>
      </c>
      <c r="E2205" s="245" t="s">
        <v>2685</v>
      </c>
      <c r="F2205" s="246"/>
      <c r="G2205" s="66" t="str">
        <f>HYPERLINK("https://ledvance.com/pt/product-datasheet/250854/238468","Ficha de Produto")</f>
        <v>Ficha de Produto</v>
      </c>
      <c r="H2205" s="217">
        <v>10</v>
      </c>
      <c r="I2205" s="34" t="s">
        <v>6390</v>
      </c>
      <c r="J2205" s="34" t="s">
        <v>6358</v>
      </c>
      <c r="K2205" s="34" t="s">
        <v>788</v>
      </c>
      <c r="L2205" s="34" t="s">
        <v>6506</v>
      </c>
      <c r="M2205" s="247">
        <v>6</v>
      </c>
      <c r="N2205" s="288" t="s">
        <v>722</v>
      </c>
    </row>
    <row r="2206" spans="1:1095" s="36" customFormat="1" ht="14.25" customHeight="1">
      <c r="A2206" s="3" t="s">
        <v>1722</v>
      </c>
      <c r="B2206" s="36" t="s">
        <v>2686</v>
      </c>
      <c r="C2206" s="10">
        <v>4099854068010</v>
      </c>
      <c r="D2206" s="224">
        <v>4058075608078</v>
      </c>
      <c r="E2206" s="245" t="s">
        <v>2687</v>
      </c>
      <c r="F2206" s="246"/>
      <c r="G2206" s="66" t="str">
        <f>HYPERLINK("https://ledvance.com/pt/product-datasheet/250854/238495","Ficha de Produto")</f>
        <v>Ficha de Produto</v>
      </c>
      <c r="H2206" s="217">
        <v>10</v>
      </c>
      <c r="I2206" s="34" t="s">
        <v>6390</v>
      </c>
      <c r="J2206" s="34" t="s">
        <v>6358</v>
      </c>
      <c r="K2206" s="34" t="s">
        <v>788</v>
      </c>
      <c r="L2206" s="34" t="s">
        <v>6506</v>
      </c>
      <c r="M2206" s="247">
        <v>6</v>
      </c>
      <c r="N2206" s="288" t="s">
        <v>722</v>
      </c>
    </row>
    <row r="2207" spans="1:1095" s="36" customFormat="1" ht="14.25" customHeight="1">
      <c r="A2207" s="3" t="s">
        <v>1722</v>
      </c>
      <c r="B2207" s="36" t="s">
        <v>2688</v>
      </c>
      <c r="C2207" s="10">
        <v>4099854045165</v>
      </c>
      <c r="D2207" s="224">
        <v>4058075608030</v>
      </c>
      <c r="E2207" s="245" t="s">
        <v>2683</v>
      </c>
      <c r="F2207" s="246"/>
      <c r="G2207" s="66" t="str">
        <f>HYPERLINK("https://ledvance.com/pt/product-datasheet/250854/235125","Ficha de Produto")</f>
        <v>Ficha de Produto</v>
      </c>
      <c r="H2207" s="217">
        <v>10</v>
      </c>
      <c r="I2207" s="34" t="s">
        <v>6390</v>
      </c>
      <c r="J2207" s="34" t="s">
        <v>6358</v>
      </c>
      <c r="K2207" s="34" t="s">
        <v>788</v>
      </c>
      <c r="L2207" s="34" t="s">
        <v>6506</v>
      </c>
      <c r="M2207" s="247">
        <v>6</v>
      </c>
      <c r="N2207" s="288" t="s">
        <v>722</v>
      </c>
    </row>
    <row r="2208" spans="1:1095" s="36" customFormat="1" ht="14.25" customHeight="1">
      <c r="A2208" s="3" t="s">
        <v>1722</v>
      </c>
      <c r="B2208" s="36" t="s">
        <v>2689</v>
      </c>
      <c r="C2208" s="10">
        <v>4099854045189</v>
      </c>
      <c r="D2208" s="224">
        <v>4058075608016</v>
      </c>
      <c r="E2208" s="245" t="s">
        <v>2685</v>
      </c>
      <c r="F2208" s="246"/>
      <c r="G2208" s="66" t="str">
        <f>HYPERLINK("https://ledvance.com/pt/product-datasheet/250854/235128","Ficha de Produto")</f>
        <v>Ficha de Produto</v>
      </c>
      <c r="H2208" s="217">
        <v>10</v>
      </c>
      <c r="I2208" s="34" t="s">
        <v>6390</v>
      </c>
      <c r="J2208" s="34" t="s">
        <v>6358</v>
      </c>
      <c r="K2208" s="34" t="s">
        <v>788</v>
      </c>
      <c r="L2208" s="34" t="s">
        <v>6506</v>
      </c>
      <c r="M2208" s="247">
        <v>6</v>
      </c>
      <c r="N2208" s="288" t="s">
        <v>722</v>
      </c>
    </row>
    <row r="2209" spans="1:1095" s="36" customFormat="1" ht="14.25" customHeight="1">
      <c r="A2209" s="3" t="s">
        <v>1722</v>
      </c>
      <c r="B2209" s="36" t="s">
        <v>2690</v>
      </c>
      <c r="C2209" s="10">
        <v>4099854044588</v>
      </c>
      <c r="D2209" s="224">
        <v>4058075607996</v>
      </c>
      <c r="E2209" s="245" t="s">
        <v>2687</v>
      </c>
      <c r="F2209" s="246"/>
      <c r="G2209" s="66" t="str">
        <f>HYPERLINK("https://ledvance.com/pt/product-datasheet/250854/235131","Ficha de Produto")</f>
        <v>Ficha de Produto</v>
      </c>
      <c r="H2209" s="217">
        <v>10</v>
      </c>
      <c r="I2209" s="34" t="s">
        <v>6390</v>
      </c>
      <c r="J2209" s="34" t="s">
        <v>6358</v>
      </c>
      <c r="K2209" s="34" t="s">
        <v>788</v>
      </c>
      <c r="L2209" s="34" t="s">
        <v>6506</v>
      </c>
      <c r="M2209" s="247">
        <v>6</v>
      </c>
      <c r="N2209" s="288" t="s">
        <v>722</v>
      </c>
    </row>
    <row r="2210" spans="1:1095" s="36" customFormat="1" ht="14.25" customHeight="1">
      <c r="A2210" s="3" t="s">
        <v>1722</v>
      </c>
      <c r="B2210" s="36" t="s">
        <v>2691</v>
      </c>
      <c r="C2210" s="10">
        <v>4099854054785</v>
      </c>
      <c r="D2210" s="224">
        <v>4058075608894</v>
      </c>
      <c r="E2210" s="245" t="s">
        <v>2692</v>
      </c>
      <c r="F2210" s="246"/>
      <c r="G2210" s="66" t="str">
        <f>HYPERLINK("https://ledvance.com/pt/product-datasheet/250854/236408","Ficha de Produto")</f>
        <v>Ficha de Produto</v>
      </c>
      <c r="H2210" s="217">
        <v>10</v>
      </c>
      <c r="I2210" s="34" t="s">
        <v>6133</v>
      </c>
      <c r="J2210" s="34" t="s">
        <v>6396</v>
      </c>
      <c r="K2210" s="34" t="s">
        <v>788</v>
      </c>
      <c r="L2210" s="34" t="s">
        <v>793</v>
      </c>
      <c r="M2210" s="247">
        <v>9.2000000000000011</v>
      </c>
      <c r="N2210" s="288" t="s">
        <v>722</v>
      </c>
    </row>
    <row r="2211" spans="1:1095" s="36" customFormat="1" ht="14.25" customHeight="1">
      <c r="A2211" s="3" t="s">
        <v>1722</v>
      </c>
      <c r="B2211" s="36" t="s">
        <v>2693</v>
      </c>
      <c r="C2211" s="10">
        <v>4099854055034</v>
      </c>
      <c r="D2211" s="224">
        <v>4058075608771</v>
      </c>
      <c r="E2211" s="245" t="s">
        <v>2692</v>
      </c>
      <c r="F2211" s="246"/>
      <c r="G2211" s="66" t="str">
        <f>HYPERLINK("https://ledvance.com/pt/product-datasheet/250854/236462","Ficha de Produto")</f>
        <v>Ficha de Produto</v>
      </c>
      <c r="H2211" s="217">
        <v>10</v>
      </c>
      <c r="I2211" s="34" t="s">
        <v>6397</v>
      </c>
      <c r="J2211" s="34" t="s">
        <v>6396</v>
      </c>
      <c r="K2211" s="34" t="s">
        <v>788</v>
      </c>
      <c r="L2211" s="34" t="s">
        <v>793</v>
      </c>
      <c r="M2211" s="247">
        <v>9.2000000000000011</v>
      </c>
      <c r="N2211" s="288" t="s">
        <v>722</v>
      </c>
    </row>
    <row r="2212" spans="1:1095" s="36" customFormat="1" ht="14.25" customHeight="1">
      <c r="A2212" s="3" t="s">
        <v>1722</v>
      </c>
      <c r="B2212" s="36" t="s">
        <v>2694</v>
      </c>
      <c r="C2212" s="10">
        <v>4099854055058</v>
      </c>
      <c r="D2212" s="224">
        <v>4058075608757</v>
      </c>
      <c r="E2212" s="245" t="s">
        <v>2695</v>
      </c>
      <c r="F2212" s="246"/>
      <c r="G2212" s="66" t="str">
        <f>HYPERLINK("https://ledvance.com/pt/product-datasheet/250854/236468","Ficha de Produto")</f>
        <v>Ficha de Produto</v>
      </c>
      <c r="H2212" s="217">
        <v>10</v>
      </c>
      <c r="I2212" s="34" t="s">
        <v>6397</v>
      </c>
      <c r="J2212" s="34" t="s">
        <v>6396</v>
      </c>
      <c r="K2212" s="34" t="s">
        <v>788</v>
      </c>
      <c r="L2212" s="34" t="s">
        <v>6506</v>
      </c>
      <c r="M2212" s="247">
        <v>9.2000000000000011</v>
      </c>
      <c r="N2212" s="288" t="s">
        <v>722</v>
      </c>
    </row>
    <row r="2213" spans="1:1095" s="36" customFormat="1" ht="14.25" customHeight="1">
      <c r="A2213" s="3" t="s">
        <v>1722</v>
      </c>
      <c r="B2213" s="36" t="s">
        <v>2696</v>
      </c>
      <c r="C2213" s="10">
        <v>4099854054808</v>
      </c>
      <c r="D2213" s="224">
        <v>4058075608870</v>
      </c>
      <c r="E2213" s="245" t="s">
        <v>2695</v>
      </c>
      <c r="F2213" s="246"/>
      <c r="G2213" s="66" t="str">
        <f>HYPERLINK("https://ledvance.com/pt/product-datasheet/250854/236417","Ficha de Produto")</f>
        <v>Ficha de Produto</v>
      </c>
      <c r="H2213" s="217">
        <v>10</v>
      </c>
      <c r="I2213" s="34" t="s">
        <v>6133</v>
      </c>
      <c r="J2213" s="34" t="s">
        <v>6396</v>
      </c>
      <c r="K2213" s="34" t="s">
        <v>788</v>
      </c>
      <c r="L2213" s="34" t="s">
        <v>793</v>
      </c>
      <c r="M2213" s="247">
        <v>9.2000000000000011</v>
      </c>
      <c r="N2213" s="288" t="s">
        <v>722</v>
      </c>
    </row>
    <row r="2214" spans="1:1095" s="36" customFormat="1" ht="14.25" customHeight="1">
      <c r="A2214" s="3" t="s">
        <v>1722</v>
      </c>
      <c r="B2214" s="36" t="s">
        <v>2697</v>
      </c>
      <c r="C2214" s="10">
        <v>4099854055133</v>
      </c>
      <c r="D2214" s="224">
        <v>4058075608733</v>
      </c>
      <c r="E2214" s="245" t="s">
        <v>2698</v>
      </c>
      <c r="F2214" s="246"/>
      <c r="G2214" s="66" t="str">
        <f>HYPERLINK("https://ledvance.com/pt/product-datasheet/250854/236477","Ficha de Produto")</f>
        <v>Ficha de Produto</v>
      </c>
      <c r="H2214" s="217">
        <v>10</v>
      </c>
      <c r="I2214" s="34" t="s">
        <v>6397</v>
      </c>
      <c r="J2214" s="34" t="s">
        <v>6396</v>
      </c>
      <c r="K2214" s="34" t="s">
        <v>788</v>
      </c>
      <c r="L2214" s="34" t="s">
        <v>6506</v>
      </c>
      <c r="M2214" s="247">
        <v>9.2000000000000011</v>
      </c>
      <c r="N2214" s="288" t="s">
        <v>722</v>
      </c>
    </row>
    <row r="2215" spans="1:1095" s="36" customFormat="1" ht="14.25" customHeight="1">
      <c r="A2215" s="3" t="s">
        <v>1722</v>
      </c>
      <c r="B2215" s="36" t="s">
        <v>2699</v>
      </c>
      <c r="C2215" s="10">
        <v>4099854054860</v>
      </c>
      <c r="D2215" s="224">
        <v>4058075608856</v>
      </c>
      <c r="E2215" s="245" t="s">
        <v>2698</v>
      </c>
      <c r="F2215" s="246"/>
      <c r="G2215" s="66" t="str">
        <f>HYPERLINK("https://ledvance.com/pt/product-datasheet/250854/236426","Ficha de Produto")</f>
        <v>Ficha de Produto</v>
      </c>
      <c r="H2215" s="217">
        <v>10</v>
      </c>
      <c r="I2215" s="34" t="s">
        <v>6133</v>
      </c>
      <c r="J2215" s="34" t="s">
        <v>6396</v>
      </c>
      <c r="K2215" s="34" t="s">
        <v>788</v>
      </c>
      <c r="L2215" s="34" t="s">
        <v>793</v>
      </c>
      <c r="M2215" s="247">
        <v>9.2000000000000011</v>
      </c>
      <c r="N2215" s="288" t="s">
        <v>722</v>
      </c>
    </row>
    <row r="2216" spans="1:1095" s="36" customFormat="1" ht="14.25" customHeight="1">
      <c r="A2216" s="3" t="s">
        <v>1722</v>
      </c>
      <c r="B2216" s="36" t="s">
        <v>2691</v>
      </c>
      <c r="C2216" s="10">
        <v>4099854055928</v>
      </c>
      <c r="D2216" s="224">
        <v>4058075608832</v>
      </c>
      <c r="E2216" s="245" t="s">
        <v>2692</v>
      </c>
      <c r="F2216" s="246"/>
      <c r="G2216" s="66" t="str">
        <f>HYPERLINK("https://ledvance.com/pt/product-datasheet/250854/236441","Ficha de Produto")</f>
        <v>Ficha de Produto</v>
      </c>
      <c r="H2216" s="217">
        <v>10</v>
      </c>
      <c r="I2216" s="34" t="s">
        <v>6133</v>
      </c>
      <c r="J2216" s="34" t="s">
        <v>6396</v>
      </c>
      <c r="K2216" s="34" t="s">
        <v>788</v>
      </c>
      <c r="L2216" s="34" t="s">
        <v>6506</v>
      </c>
      <c r="M2216" s="247">
        <v>9.2000000000000011</v>
      </c>
      <c r="N2216" s="288" t="s">
        <v>722</v>
      </c>
    </row>
    <row r="2217" spans="1:1095" s="36" customFormat="1" ht="14.25" customHeight="1">
      <c r="A2217" s="3" t="s">
        <v>1722</v>
      </c>
      <c r="B2217" s="36" t="s">
        <v>2696</v>
      </c>
      <c r="C2217" s="10">
        <v>4099854054891</v>
      </c>
      <c r="D2217" s="224">
        <v>4058075608818</v>
      </c>
      <c r="E2217" s="245" t="s">
        <v>2695</v>
      </c>
      <c r="F2217" s="246"/>
      <c r="G2217" s="66" t="str">
        <f>HYPERLINK("https://ledvance.com/pt/product-datasheet/250854/236444","Ficha de Produto")</f>
        <v>Ficha de Produto</v>
      </c>
      <c r="H2217" s="217">
        <v>10</v>
      </c>
      <c r="I2217" s="34" t="s">
        <v>6133</v>
      </c>
      <c r="J2217" s="34" t="s">
        <v>6396</v>
      </c>
      <c r="K2217" s="34" t="s">
        <v>788</v>
      </c>
      <c r="L2217" s="34" t="s">
        <v>793</v>
      </c>
      <c r="M2217" s="247">
        <v>9.2000000000000011</v>
      </c>
      <c r="N2217" s="288" t="s">
        <v>722</v>
      </c>
    </row>
    <row r="2218" spans="1:1095" s="36" customFormat="1" ht="14.25" customHeight="1">
      <c r="A2218" s="3" t="s">
        <v>1722</v>
      </c>
      <c r="B2218" s="36" t="s">
        <v>2699</v>
      </c>
      <c r="C2218" s="10">
        <v>4099854054976</v>
      </c>
      <c r="D2218" s="224">
        <v>4058075608795</v>
      </c>
      <c r="E2218" s="245" t="s">
        <v>2698</v>
      </c>
      <c r="F2218" s="246"/>
      <c r="G2218" s="66" t="str">
        <f>HYPERLINK("https://ledvance.com/pt/product-datasheet/250854/236453","Ficha de Produto")</f>
        <v>Ficha de Produto</v>
      </c>
      <c r="H2218" s="217">
        <v>10</v>
      </c>
      <c r="I2218" s="34" t="s">
        <v>6133</v>
      </c>
      <c r="J2218" s="34" t="s">
        <v>6396</v>
      </c>
      <c r="K2218" s="34" t="s">
        <v>788</v>
      </c>
      <c r="L2218" s="34" t="s">
        <v>793</v>
      </c>
      <c r="M2218" s="247">
        <v>9.2000000000000011</v>
      </c>
      <c r="N2218" s="288" t="s">
        <v>722</v>
      </c>
    </row>
    <row r="2219" spans="1:1095" s="36" customFormat="1" ht="14.25" customHeight="1">
      <c r="A2219" s="3" t="s">
        <v>1722</v>
      </c>
      <c r="B2219" s="36" t="s">
        <v>2700</v>
      </c>
      <c r="C2219" s="10">
        <v>4099854070952</v>
      </c>
      <c r="D2219" s="224">
        <v>4058075608719</v>
      </c>
      <c r="E2219" s="245" t="s">
        <v>2701</v>
      </c>
      <c r="F2219" s="246"/>
      <c r="G2219" s="66" t="str">
        <f>HYPERLINK("https://ledvance.com/pt/product-datasheet/250854/239179","Ficha de Produto")</f>
        <v>Ficha de Produto</v>
      </c>
      <c r="H2219" s="217">
        <v>10</v>
      </c>
      <c r="I2219" s="34" t="s">
        <v>1048</v>
      </c>
      <c r="J2219" s="34" t="s">
        <v>6395</v>
      </c>
      <c r="K2219" s="34" t="s">
        <v>788</v>
      </c>
      <c r="L2219" s="34" t="s">
        <v>6506</v>
      </c>
      <c r="M2219" s="247">
        <v>18.2</v>
      </c>
      <c r="N2219" s="288" t="s">
        <v>722</v>
      </c>
    </row>
    <row r="2220" spans="1:1095" s="36" customFormat="1" ht="14.25" customHeight="1">
      <c r="A2220" s="3" t="s">
        <v>1722</v>
      </c>
      <c r="B2220" s="36" t="s">
        <v>2702</v>
      </c>
      <c r="C2220" s="10">
        <v>4099854070990</v>
      </c>
      <c r="D2220" s="224">
        <v>4058075608696</v>
      </c>
      <c r="E2220" s="245" t="s">
        <v>2703</v>
      </c>
      <c r="F2220" s="246"/>
      <c r="G2220" s="66" t="str">
        <f>HYPERLINK("https://ledvance.com/pt/product-datasheet/250854/239182","Ficha de Produto")</f>
        <v>Ficha de Produto</v>
      </c>
      <c r="H2220" s="217">
        <v>10</v>
      </c>
      <c r="I2220" s="34" t="s">
        <v>1048</v>
      </c>
      <c r="J2220" s="34" t="s">
        <v>6395</v>
      </c>
      <c r="K2220" s="34" t="s">
        <v>788</v>
      </c>
      <c r="L2220" s="34" t="s">
        <v>6506</v>
      </c>
      <c r="M2220" s="247">
        <v>18.2</v>
      </c>
      <c r="N2220" s="288" t="s">
        <v>722</v>
      </c>
    </row>
    <row r="2221" spans="1:1095" s="36" customFormat="1" ht="14.25" customHeight="1">
      <c r="A2221" s="3" t="s">
        <v>1722</v>
      </c>
      <c r="B2221" s="36" t="s">
        <v>2704</v>
      </c>
      <c r="C2221" s="10">
        <v>4099854071058</v>
      </c>
      <c r="D2221" s="224">
        <v>4058075608672</v>
      </c>
      <c r="E2221" s="245" t="s">
        <v>2705</v>
      </c>
      <c r="F2221" s="246"/>
      <c r="G2221" s="66" t="str">
        <f>HYPERLINK("https://ledvance.com/pt/product-datasheet/250854/239185","Ficha de Produto")</f>
        <v>Ficha de Produto</v>
      </c>
      <c r="H2221" s="217">
        <v>10</v>
      </c>
      <c r="I2221" s="34" t="s">
        <v>1048</v>
      </c>
      <c r="J2221" s="34" t="s">
        <v>6395</v>
      </c>
      <c r="K2221" s="34" t="s">
        <v>788</v>
      </c>
      <c r="L2221" s="34" t="s">
        <v>6506</v>
      </c>
      <c r="M2221" s="247">
        <v>18.2</v>
      </c>
      <c r="N2221" s="288" t="s">
        <v>722</v>
      </c>
    </row>
    <row r="2222" spans="1:1095" s="39" customFormat="1" ht="14.25" customHeight="1">
      <c r="A2222" s="8"/>
      <c r="B2222" s="244" t="s">
        <v>2706</v>
      </c>
      <c r="C2222" s="8"/>
      <c r="D2222" s="7"/>
      <c r="E2222" s="230"/>
      <c r="F2222" s="7"/>
      <c r="G2222" s="68"/>
      <c r="H2222" s="230"/>
      <c r="I2222" s="230"/>
      <c r="J2222" s="230"/>
      <c r="K2222" s="230"/>
      <c r="L2222" s="230"/>
      <c r="M2222" s="248"/>
      <c r="N2222" s="289"/>
      <c r="O2222" s="38"/>
      <c r="P2222" s="38"/>
      <c r="Q2222" s="38"/>
      <c r="R2222" s="38"/>
      <c r="S2222" s="38"/>
      <c r="T2222" s="38"/>
      <c r="U2222" s="38"/>
      <c r="V2222" s="38"/>
      <c r="W2222" s="38"/>
      <c r="X2222" s="38"/>
      <c r="Y2222" s="38"/>
      <c r="Z2222" s="38"/>
      <c r="AA2222" s="38"/>
      <c r="AB2222" s="38"/>
      <c r="AC2222" s="38"/>
      <c r="AD2222" s="38"/>
      <c r="AE2222" s="38"/>
      <c r="AF2222" s="38"/>
      <c r="AG2222" s="38"/>
      <c r="AH2222" s="38"/>
      <c r="AI2222" s="38"/>
      <c r="AJ2222" s="38"/>
      <c r="AK2222" s="38"/>
      <c r="AL2222" s="38"/>
      <c r="AM2222" s="38"/>
      <c r="AN2222" s="38"/>
      <c r="AO2222" s="38"/>
      <c r="AP2222" s="38"/>
      <c r="AQ2222" s="38"/>
      <c r="AR2222" s="38"/>
      <c r="AS2222" s="38"/>
      <c r="AT2222" s="38"/>
      <c r="AU2222" s="38"/>
      <c r="AV2222" s="38"/>
      <c r="AW2222" s="38"/>
      <c r="AX2222" s="38"/>
      <c r="AY2222" s="38"/>
      <c r="AZ2222" s="38"/>
      <c r="BA2222" s="38"/>
      <c r="BB2222" s="38"/>
      <c r="BC2222" s="38"/>
      <c r="BD2222" s="38"/>
      <c r="BE2222" s="38"/>
      <c r="BF2222" s="38"/>
      <c r="BG2222" s="38"/>
      <c r="BH2222" s="38"/>
      <c r="BI2222" s="38"/>
      <c r="BJ2222" s="38"/>
      <c r="BK2222" s="38"/>
      <c r="BL2222" s="38"/>
      <c r="BM2222" s="38"/>
      <c r="BN2222" s="38"/>
      <c r="BO2222" s="38"/>
      <c r="BP2222" s="38"/>
      <c r="BQ2222" s="38"/>
      <c r="BR2222" s="38"/>
      <c r="BS2222" s="38"/>
      <c r="BT2222" s="38"/>
      <c r="BU2222" s="38"/>
      <c r="BV2222" s="38"/>
      <c r="BW2222" s="38"/>
      <c r="BX2222" s="38"/>
      <c r="BY2222" s="38"/>
      <c r="BZ2222" s="38"/>
      <c r="CA2222" s="38"/>
      <c r="CB2222" s="38"/>
      <c r="CC2222" s="38"/>
      <c r="CD2222" s="38"/>
      <c r="CE2222" s="38"/>
      <c r="CF2222" s="38"/>
      <c r="CG2222" s="38"/>
      <c r="CH2222" s="38"/>
      <c r="CI2222" s="38"/>
      <c r="CJ2222" s="38"/>
      <c r="CK2222" s="38"/>
      <c r="CL2222" s="38"/>
      <c r="CM2222" s="38"/>
      <c r="CN2222" s="38"/>
      <c r="CO2222" s="38"/>
      <c r="CP2222" s="38"/>
      <c r="CQ2222" s="38"/>
      <c r="CR2222" s="38"/>
      <c r="CS2222" s="38"/>
      <c r="CT2222" s="38"/>
      <c r="CU2222" s="38"/>
      <c r="CV2222" s="38"/>
      <c r="CW2222" s="38"/>
      <c r="CX2222" s="38"/>
      <c r="CY2222" s="38"/>
      <c r="CZ2222" s="38"/>
      <c r="DA2222" s="38"/>
      <c r="DB2222" s="38"/>
      <c r="DC2222" s="38"/>
      <c r="DD2222" s="38"/>
      <c r="DE2222" s="38"/>
      <c r="DF2222" s="38"/>
      <c r="DG2222" s="38"/>
      <c r="DH2222" s="38"/>
      <c r="DI2222" s="38"/>
      <c r="DJ2222" s="38"/>
      <c r="DK2222" s="38"/>
      <c r="DL2222" s="38"/>
      <c r="DM2222" s="38"/>
      <c r="DN2222" s="38"/>
      <c r="DO2222" s="38"/>
      <c r="DP2222" s="38"/>
      <c r="DQ2222" s="38"/>
      <c r="DR2222" s="38"/>
      <c r="DS2222" s="38"/>
      <c r="DT2222" s="38"/>
      <c r="DU2222" s="38"/>
      <c r="DV2222" s="38"/>
      <c r="DW2222" s="38"/>
      <c r="DX2222" s="38"/>
      <c r="DY2222" s="38"/>
      <c r="DZ2222" s="38"/>
      <c r="EA2222" s="38"/>
      <c r="EB2222" s="38"/>
      <c r="EC2222" s="38"/>
      <c r="ED2222" s="38"/>
      <c r="EE2222" s="38"/>
      <c r="EF2222" s="38"/>
      <c r="EG2222" s="38"/>
      <c r="EH2222" s="38"/>
      <c r="EI2222" s="38"/>
      <c r="EJ2222" s="38"/>
      <c r="EK2222" s="38"/>
      <c r="EL2222" s="38"/>
      <c r="EM2222" s="38"/>
      <c r="EN2222" s="38"/>
      <c r="EO2222" s="38"/>
      <c r="EP2222" s="38"/>
      <c r="EQ2222" s="38"/>
      <c r="ER2222" s="38"/>
      <c r="ES2222" s="38"/>
      <c r="ET2222" s="38"/>
      <c r="EU2222" s="38"/>
      <c r="EV2222" s="38"/>
      <c r="EW2222" s="38"/>
      <c r="EX2222" s="38"/>
      <c r="EY2222" s="38"/>
      <c r="EZ2222" s="38"/>
      <c r="FA2222" s="38"/>
      <c r="FB2222" s="38"/>
      <c r="FC2222" s="38"/>
      <c r="FD2222" s="38"/>
      <c r="FE2222" s="38"/>
      <c r="FF2222" s="38"/>
      <c r="FG2222" s="38"/>
      <c r="FH2222" s="38"/>
      <c r="FI2222" s="38"/>
      <c r="FJ2222" s="38"/>
      <c r="FK2222" s="38"/>
      <c r="FL2222" s="38"/>
      <c r="FM2222" s="38"/>
      <c r="FN2222" s="38"/>
      <c r="FO2222" s="38"/>
      <c r="FP2222" s="38"/>
      <c r="FQ2222" s="38"/>
      <c r="FR2222" s="38"/>
      <c r="FS2222" s="38"/>
      <c r="FT2222" s="38"/>
      <c r="FU2222" s="38"/>
      <c r="FV2222" s="38"/>
      <c r="FW2222" s="38"/>
      <c r="FX2222" s="38"/>
      <c r="FY2222" s="38"/>
      <c r="FZ2222" s="38"/>
      <c r="GA2222" s="38"/>
      <c r="GB2222" s="38"/>
      <c r="GC2222" s="38"/>
      <c r="GD2222" s="38"/>
      <c r="GE2222" s="38"/>
      <c r="GF2222" s="38"/>
      <c r="GG2222" s="38"/>
      <c r="GH2222" s="38"/>
      <c r="GI2222" s="38"/>
      <c r="GJ2222" s="38"/>
      <c r="GK2222" s="38"/>
      <c r="GL2222" s="38"/>
      <c r="GM2222" s="38"/>
      <c r="GN2222" s="38"/>
      <c r="GO2222" s="38"/>
      <c r="GP2222" s="38"/>
      <c r="GQ2222" s="38"/>
      <c r="GR2222" s="38"/>
      <c r="GS2222" s="38"/>
      <c r="GT2222" s="38"/>
      <c r="GU2222" s="38"/>
      <c r="GV2222" s="38"/>
      <c r="GW2222" s="38"/>
      <c r="GX2222" s="38"/>
      <c r="GY2222" s="38"/>
      <c r="GZ2222" s="38"/>
      <c r="HA2222" s="38"/>
      <c r="HB2222" s="38"/>
      <c r="HC2222" s="38"/>
      <c r="HD2222" s="38"/>
      <c r="HE2222" s="38"/>
      <c r="HF2222" s="38"/>
      <c r="HG2222" s="38"/>
      <c r="HH2222" s="38"/>
      <c r="HI2222" s="38"/>
      <c r="HJ2222" s="38"/>
      <c r="HK2222" s="38"/>
      <c r="HL2222" s="38"/>
      <c r="HM2222" s="38"/>
      <c r="HN2222" s="38"/>
      <c r="HO2222" s="38"/>
      <c r="HP2222" s="38"/>
      <c r="HQ2222" s="38"/>
      <c r="HR2222" s="38"/>
      <c r="HS2222" s="38"/>
      <c r="HT2222" s="38"/>
      <c r="HU2222" s="38"/>
      <c r="HV2222" s="38"/>
      <c r="HW2222" s="38"/>
      <c r="HX2222" s="38"/>
      <c r="HY2222" s="38"/>
      <c r="HZ2222" s="38"/>
      <c r="IA2222" s="38"/>
      <c r="IB2222" s="38"/>
      <c r="IC2222" s="38"/>
      <c r="ID2222" s="38"/>
      <c r="IE2222" s="38"/>
      <c r="IF2222" s="38"/>
      <c r="IG2222" s="38"/>
      <c r="IH2222" s="38"/>
      <c r="II2222" s="38"/>
      <c r="IJ2222" s="38"/>
      <c r="IK2222" s="38"/>
      <c r="IL2222" s="38"/>
      <c r="IM2222" s="38"/>
      <c r="IN2222" s="38"/>
      <c r="IO2222" s="38"/>
      <c r="IP2222" s="38"/>
      <c r="IQ2222" s="38"/>
      <c r="IR2222" s="38"/>
      <c r="IS2222" s="38"/>
      <c r="IT2222" s="38"/>
      <c r="IU2222" s="38"/>
      <c r="IV2222" s="38"/>
      <c r="IW2222" s="38"/>
      <c r="IX2222" s="38"/>
      <c r="IY2222" s="38"/>
      <c r="IZ2222" s="38"/>
      <c r="JA2222" s="38"/>
      <c r="JB2222" s="38"/>
      <c r="JC2222" s="38"/>
      <c r="JD2222" s="38"/>
      <c r="JE2222" s="38"/>
      <c r="JF2222" s="38"/>
      <c r="JG2222" s="38"/>
      <c r="JH2222" s="38"/>
      <c r="JI2222" s="38"/>
      <c r="JJ2222" s="38"/>
      <c r="JK2222" s="38"/>
      <c r="JL2222" s="38"/>
      <c r="JM2222" s="38"/>
      <c r="JN2222" s="38"/>
      <c r="JO2222" s="38"/>
      <c r="JP2222" s="38"/>
      <c r="JQ2222" s="38"/>
      <c r="JR2222" s="38"/>
      <c r="JS2222" s="38"/>
      <c r="JT2222" s="38"/>
      <c r="JU2222" s="38"/>
      <c r="JV2222" s="38"/>
      <c r="JW2222" s="38"/>
      <c r="JX2222" s="38"/>
      <c r="JY2222" s="38"/>
      <c r="JZ2222" s="38"/>
      <c r="KA2222" s="38"/>
      <c r="KB2222" s="38"/>
      <c r="KC2222" s="38"/>
      <c r="KD2222" s="38"/>
      <c r="KE2222" s="38"/>
      <c r="KF2222" s="38"/>
      <c r="KG2222" s="38"/>
      <c r="KH2222" s="38"/>
      <c r="KI2222" s="38"/>
      <c r="KJ2222" s="38"/>
      <c r="KK2222" s="38"/>
      <c r="KL2222" s="38"/>
      <c r="KM2222" s="38"/>
      <c r="KN2222" s="38"/>
      <c r="KO2222" s="38"/>
      <c r="KP2222" s="38"/>
      <c r="KQ2222" s="38"/>
      <c r="KR2222" s="38"/>
      <c r="KS2222" s="38"/>
      <c r="KT2222" s="38"/>
      <c r="KU2222" s="38"/>
      <c r="KV2222" s="38"/>
      <c r="KW2222" s="38"/>
      <c r="KX2222" s="38"/>
      <c r="KY2222" s="38"/>
      <c r="KZ2222" s="38"/>
      <c r="LA2222" s="38"/>
      <c r="LB2222" s="38"/>
      <c r="LC2222" s="38"/>
      <c r="LD2222" s="38"/>
      <c r="LE2222" s="38"/>
      <c r="LF2222" s="38"/>
      <c r="LG2222" s="38"/>
      <c r="LH2222" s="38"/>
      <c r="LI2222" s="38"/>
      <c r="LJ2222" s="38"/>
      <c r="LK2222" s="38"/>
      <c r="LL2222" s="38"/>
      <c r="LM2222" s="38"/>
      <c r="LN2222" s="38"/>
      <c r="LO2222" s="38"/>
      <c r="LP2222" s="38"/>
      <c r="LQ2222" s="38"/>
      <c r="LR2222" s="38"/>
      <c r="LS2222" s="38"/>
      <c r="LT2222" s="38"/>
      <c r="LU2222" s="38"/>
      <c r="LV2222" s="38"/>
      <c r="LW2222" s="38"/>
      <c r="LX2222" s="38"/>
      <c r="LY2222" s="38"/>
      <c r="LZ2222" s="38"/>
      <c r="MA2222" s="38"/>
      <c r="MB2222" s="38"/>
      <c r="MC2222" s="38"/>
      <c r="MD2222" s="38"/>
      <c r="ME2222" s="38"/>
      <c r="MF2222" s="38"/>
      <c r="MG2222" s="38"/>
      <c r="MH2222" s="38"/>
      <c r="MI2222" s="38"/>
      <c r="MJ2222" s="38"/>
      <c r="MK2222" s="38"/>
      <c r="ML2222" s="38"/>
      <c r="MM2222" s="38"/>
      <c r="MN2222" s="38"/>
      <c r="MO2222" s="38"/>
      <c r="MP2222" s="38"/>
      <c r="MQ2222" s="38"/>
      <c r="MR2222" s="38"/>
      <c r="MS2222" s="38"/>
      <c r="MT2222" s="38"/>
      <c r="MU2222" s="38"/>
      <c r="MV2222" s="38"/>
      <c r="MW2222" s="38"/>
      <c r="MX2222" s="38"/>
      <c r="MY2222" s="38"/>
      <c r="MZ2222" s="38"/>
      <c r="NA2222" s="38"/>
      <c r="NB2222" s="38"/>
      <c r="NC2222" s="38"/>
      <c r="ND2222" s="38"/>
      <c r="NE2222" s="38"/>
      <c r="NF2222" s="38"/>
      <c r="NG2222" s="38"/>
      <c r="NH2222" s="38"/>
      <c r="NI2222" s="38"/>
      <c r="NJ2222" s="38"/>
      <c r="NK2222" s="38"/>
      <c r="NL2222" s="38"/>
      <c r="NM2222" s="38"/>
      <c r="NN2222" s="38"/>
      <c r="NO2222" s="38"/>
      <c r="NP2222" s="38"/>
      <c r="NQ2222" s="38"/>
      <c r="NR2222" s="38"/>
      <c r="NS2222" s="38"/>
      <c r="NT2222" s="38"/>
      <c r="NU2222" s="38"/>
      <c r="NV2222" s="38"/>
      <c r="NW2222" s="38"/>
      <c r="NX2222" s="38"/>
      <c r="NY2222" s="38"/>
      <c r="NZ2222" s="38"/>
      <c r="OA2222" s="38"/>
      <c r="OB2222" s="38"/>
      <c r="OC2222" s="38"/>
      <c r="OD2222" s="38"/>
      <c r="OE2222" s="38"/>
      <c r="OF2222" s="38"/>
      <c r="OG2222" s="38"/>
      <c r="OH2222" s="38"/>
      <c r="OI2222" s="38"/>
      <c r="OJ2222" s="38"/>
      <c r="OK2222" s="38"/>
      <c r="OL2222" s="38"/>
      <c r="OM2222" s="38"/>
      <c r="ON2222" s="38"/>
      <c r="OO2222" s="38"/>
      <c r="OP2222" s="38"/>
      <c r="OQ2222" s="38"/>
      <c r="OR2222" s="38"/>
      <c r="OS2222" s="38"/>
      <c r="OT2222" s="38"/>
      <c r="OU2222" s="38"/>
      <c r="OV2222" s="38"/>
      <c r="OW2222" s="38"/>
      <c r="OX2222" s="38"/>
      <c r="OY2222" s="38"/>
      <c r="OZ2222" s="38"/>
      <c r="PA2222" s="38"/>
      <c r="PB2222" s="38"/>
      <c r="PC2222" s="38"/>
      <c r="PD2222" s="38"/>
      <c r="PE2222" s="38"/>
      <c r="PF2222" s="38"/>
      <c r="PG2222" s="38"/>
      <c r="PH2222" s="38"/>
      <c r="PI2222" s="38"/>
      <c r="PJ2222" s="38"/>
      <c r="PK2222" s="38"/>
      <c r="PL2222" s="38"/>
      <c r="PM2222" s="38"/>
      <c r="PN2222" s="38"/>
      <c r="PO2222" s="38"/>
      <c r="PP2222" s="38"/>
      <c r="PQ2222" s="38"/>
      <c r="PR2222" s="38"/>
      <c r="PS2222" s="38"/>
      <c r="PT2222" s="38"/>
      <c r="PU2222" s="38"/>
      <c r="PV2222" s="38"/>
      <c r="PW2222" s="38"/>
      <c r="PX2222" s="38"/>
      <c r="PY2222" s="38"/>
      <c r="PZ2222" s="38"/>
      <c r="QA2222" s="38"/>
      <c r="QB2222" s="38"/>
      <c r="QC2222" s="38"/>
      <c r="QD2222" s="38"/>
      <c r="QE2222" s="38"/>
      <c r="QF2222" s="38"/>
      <c r="QG2222" s="38"/>
      <c r="QH2222" s="38"/>
      <c r="QI2222" s="38"/>
      <c r="QJ2222" s="38"/>
      <c r="QK2222" s="38"/>
      <c r="QL2222" s="38"/>
      <c r="QM2222" s="38"/>
      <c r="QN2222" s="38"/>
      <c r="QO2222" s="38"/>
      <c r="QP2222" s="38"/>
      <c r="QQ2222" s="38"/>
      <c r="QR2222" s="38"/>
      <c r="QS2222" s="38"/>
      <c r="QT2222" s="38"/>
      <c r="QU2222" s="38"/>
      <c r="QV2222" s="38"/>
      <c r="QW2222" s="38"/>
      <c r="QX2222" s="38"/>
      <c r="QY2222" s="38"/>
      <c r="QZ2222" s="38"/>
      <c r="RA2222" s="38"/>
      <c r="RB2222" s="38"/>
      <c r="RC2222" s="38"/>
      <c r="RD2222" s="38"/>
      <c r="RE2222" s="38"/>
      <c r="RF2222" s="38"/>
      <c r="RG2222" s="38"/>
      <c r="RH2222" s="38"/>
      <c r="RI2222" s="38"/>
      <c r="RJ2222" s="38"/>
      <c r="RK2222" s="38"/>
      <c r="RL2222" s="38"/>
      <c r="RM2222" s="38"/>
      <c r="RN2222" s="38"/>
      <c r="RO2222" s="38"/>
      <c r="RP2222" s="38"/>
      <c r="RQ2222" s="38"/>
      <c r="RR2222" s="38"/>
      <c r="RS2222" s="38"/>
      <c r="RT2222" s="38"/>
      <c r="RU2222" s="38"/>
      <c r="RV2222" s="38"/>
      <c r="RW2222" s="38"/>
      <c r="RX2222" s="38"/>
      <c r="RY2222" s="38"/>
      <c r="RZ2222" s="38"/>
      <c r="SA2222" s="38"/>
      <c r="SB2222" s="38"/>
      <c r="SC2222" s="38"/>
      <c r="SD2222" s="38"/>
      <c r="SE2222" s="38"/>
      <c r="SF2222" s="38"/>
      <c r="SG2222" s="38"/>
      <c r="SH2222" s="38"/>
      <c r="SI2222" s="38"/>
      <c r="SJ2222" s="38"/>
      <c r="SK2222" s="38"/>
      <c r="SL2222" s="38"/>
      <c r="SM2222" s="38"/>
      <c r="SN2222" s="38"/>
      <c r="SO2222" s="38"/>
      <c r="SP2222" s="38"/>
      <c r="SQ2222" s="38"/>
      <c r="SR2222" s="38"/>
      <c r="SS2222" s="38"/>
      <c r="ST2222" s="38"/>
      <c r="SU2222" s="38"/>
      <c r="SV2222" s="38"/>
      <c r="SW2222" s="38"/>
      <c r="SX2222" s="38"/>
      <c r="SY2222" s="38"/>
      <c r="SZ2222" s="38"/>
      <c r="TA2222" s="38"/>
      <c r="TB2222" s="38"/>
      <c r="TC2222" s="38"/>
      <c r="TD2222" s="38"/>
      <c r="TE2222" s="38"/>
      <c r="TF2222" s="38"/>
      <c r="TG2222" s="38"/>
      <c r="TH2222" s="38"/>
      <c r="TI2222" s="38"/>
      <c r="TJ2222" s="38"/>
      <c r="TK2222" s="38"/>
      <c r="TL2222" s="38"/>
      <c r="TM2222" s="38"/>
      <c r="TN2222" s="38"/>
      <c r="TO2222" s="38"/>
      <c r="TP2222" s="38"/>
      <c r="TQ2222" s="38"/>
      <c r="TR2222" s="38"/>
      <c r="TS2222" s="38"/>
      <c r="TT2222" s="38"/>
      <c r="TU2222" s="38"/>
      <c r="TV2222" s="38"/>
      <c r="TW2222" s="38"/>
      <c r="TX2222" s="38"/>
      <c r="TY2222" s="38"/>
      <c r="TZ2222" s="38"/>
      <c r="UA2222" s="38"/>
      <c r="UB2222" s="38"/>
      <c r="UC2222" s="38"/>
      <c r="UD2222" s="38"/>
      <c r="UE2222" s="38"/>
      <c r="UF2222" s="38"/>
      <c r="UG2222" s="38"/>
      <c r="UH2222" s="38"/>
      <c r="UI2222" s="38"/>
      <c r="UJ2222" s="38"/>
      <c r="UK2222" s="38"/>
      <c r="UL2222" s="38"/>
      <c r="UM2222" s="38"/>
      <c r="UN2222" s="38"/>
      <c r="UO2222" s="38"/>
      <c r="UP2222" s="38"/>
      <c r="UQ2222" s="38"/>
      <c r="UR2222" s="38"/>
      <c r="US2222" s="38"/>
      <c r="UT2222" s="38"/>
      <c r="UU2222" s="38"/>
      <c r="UV2222" s="38"/>
      <c r="UW2222" s="38"/>
      <c r="UX2222" s="38"/>
      <c r="UY2222" s="38"/>
      <c r="UZ2222" s="38"/>
      <c r="VA2222" s="38"/>
      <c r="VB2222" s="38"/>
      <c r="VC2222" s="38"/>
      <c r="VD2222" s="38"/>
      <c r="VE2222" s="38"/>
      <c r="VF2222" s="38"/>
      <c r="VG2222" s="38"/>
      <c r="VH2222" s="38"/>
      <c r="VI2222" s="38"/>
      <c r="VJ2222" s="38"/>
      <c r="VK2222" s="38"/>
      <c r="VL2222" s="38"/>
      <c r="VM2222" s="38"/>
      <c r="VN2222" s="38"/>
      <c r="VO2222" s="38"/>
      <c r="VP2222" s="38"/>
      <c r="VQ2222" s="38"/>
      <c r="VR2222" s="38"/>
      <c r="VS2222" s="38"/>
      <c r="VT2222" s="38"/>
      <c r="VU2222" s="38"/>
      <c r="VV2222" s="38"/>
      <c r="VW2222" s="38"/>
      <c r="VX2222" s="38"/>
      <c r="VY2222" s="38"/>
      <c r="VZ2222" s="38"/>
      <c r="WA2222" s="38"/>
      <c r="WB2222" s="38"/>
      <c r="WC2222" s="38"/>
      <c r="WD2222" s="38"/>
      <c r="WE2222" s="38"/>
      <c r="WF2222" s="38"/>
      <c r="WG2222" s="38"/>
      <c r="WH2222" s="38"/>
      <c r="WI2222" s="38"/>
      <c r="WJ2222" s="38"/>
      <c r="WK2222" s="38"/>
      <c r="WL2222" s="38"/>
      <c r="WM2222" s="38"/>
      <c r="WN2222" s="38"/>
      <c r="WO2222" s="38"/>
      <c r="WP2222" s="38"/>
      <c r="WQ2222" s="38"/>
      <c r="WR2222" s="38"/>
      <c r="WS2222" s="38"/>
      <c r="WT2222" s="38"/>
      <c r="WU2222" s="38"/>
      <c r="WV2222" s="38"/>
      <c r="WW2222" s="38"/>
      <c r="WX2222" s="38"/>
      <c r="WY2222" s="38"/>
      <c r="WZ2222" s="38"/>
      <c r="XA2222" s="38"/>
      <c r="XB2222" s="38"/>
      <c r="XC2222" s="38"/>
      <c r="XD2222" s="38"/>
      <c r="XE2222" s="38"/>
      <c r="XF2222" s="38"/>
      <c r="XG2222" s="38"/>
      <c r="XH2222" s="38"/>
      <c r="XI2222" s="38"/>
      <c r="XJ2222" s="38"/>
      <c r="XK2222" s="38"/>
      <c r="XL2222" s="38"/>
      <c r="XM2222" s="38"/>
      <c r="XN2222" s="38"/>
      <c r="XO2222" s="38"/>
      <c r="XP2222" s="38"/>
      <c r="XQ2222" s="38"/>
      <c r="XR2222" s="38"/>
      <c r="XS2222" s="38"/>
      <c r="XT2222" s="38"/>
      <c r="XU2222" s="38"/>
      <c r="XV2222" s="38"/>
      <c r="XW2222" s="38"/>
      <c r="XX2222" s="38"/>
      <c r="XY2222" s="38"/>
      <c r="XZ2222" s="38"/>
      <c r="YA2222" s="38"/>
      <c r="YB2222" s="38"/>
      <c r="YC2222" s="38"/>
      <c r="YD2222" s="38"/>
      <c r="YE2222" s="38"/>
      <c r="YF2222" s="38"/>
      <c r="YG2222" s="38"/>
      <c r="YH2222" s="38"/>
      <c r="YI2222" s="38"/>
      <c r="YJ2222" s="38"/>
      <c r="YK2222" s="38"/>
      <c r="YL2222" s="38"/>
      <c r="YM2222" s="38"/>
      <c r="YN2222" s="38"/>
      <c r="YO2222" s="38"/>
      <c r="YP2222" s="38"/>
      <c r="YQ2222" s="38"/>
      <c r="YR2222" s="38"/>
      <c r="YS2222" s="38"/>
      <c r="YT2222" s="38"/>
      <c r="YU2222" s="38"/>
      <c r="YV2222" s="38"/>
      <c r="YW2222" s="38"/>
      <c r="YX2222" s="38"/>
      <c r="YY2222" s="38"/>
      <c r="YZ2222" s="38"/>
      <c r="ZA2222" s="38"/>
      <c r="ZB2222" s="38"/>
      <c r="ZC2222" s="38"/>
      <c r="ZD2222" s="38"/>
      <c r="ZE2222" s="38"/>
      <c r="ZF2222" s="38"/>
      <c r="ZG2222" s="38"/>
      <c r="ZH2222" s="38"/>
      <c r="ZI2222" s="38"/>
      <c r="ZJ2222" s="38"/>
      <c r="ZK2222" s="38"/>
      <c r="ZL2222" s="38"/>
      <c r="ZM2222" s="38"/>
      <c r="ZN2222" s="38"/>
      <c r="ZO2222" s="38"/>
      <c r="ZP2222" s="38"/>
      <c r="ZQ2222" s="38"/>
      <c r="ZR2222" s="38"/>
      <c r="ZS2222" s="38"/>
      <c r="ZT2222" s="38"/>
      <c r="ZU2222" s="38"/>
      <c r="ZV2222" s="38"/>
      <c r="ZW2222" s="38"/>
      <c r="ZX2222" s="38"/>
      <c r="ZY2222" s="38"/>
      <c r="ZZ2222" s="38"/>
      <c r="AAA2222" s="38"/>
      <c r="AAB2222" s="38"/>
      <c r="AAC2222" s="38"/>
      <c r="AAD2222" s="38"/>
      <c r="AAE2222" s="38"/>
      <c r="AAF2222" s="38"/>
      <c r="AAG2222" s="38"/>
      <c r="AAH2222" s="38"/>
      <c r="AAI2222" s="38"/>
      <c r="AAJ2222" s="38"/>
      <c r="AAK2222" s="38"/>
      <c r="AAL2222" s="38"/>
      <c r="AAM2222" s="38"/>
      <c r="AAN2222" s="38"/>
      <c r="AAO2222" s="38"/>
      <c r="AAP2222" s="38"/>
      <c r="AAQ2222" s="38"/>
      <c r="AAR2222" s="38"/>
      <c r="AAS2222" s="38"/>
      <c r="AAT2222" s="38"/>
      <c r="AAU2222" s="38"/>
      <c r="AAV2222" s="38"/>
      <c r="AAW2222" s="38"/>
      <c r="AAX2222" s="38"/>
      <c r="AAY2222" s="38"/>
      <c r="AAZ2222" s="38"/>
      <c r="ABA2222" s="38"/>
      <c r="ABB2222" s="38"/>
      <c r="ABC2222" s="38"/>
      <c r="ABD2222" s="38"/>
      <c r="ABE2222" s="38"/>
      <c r="ABF2222" s="38"/>
      <c r="ABG2222" s="38"/>
      <c r="ABH2222" s="38"/>
      <c r="ABI2222" s="38"/>
      <c r="ABJ2222" s="38"/>
      <c r="ABK2222" s="38"/>
      <c r="ABL2222" s="38"/>
      <c r="ABM2222" s="38"/>
      <c r="ABN2222" s="38"/>
      <c r="ABO2222" s="38"/>
      <c r="ABP2222" s="38"/>
      <c r="ABQ2222" s="38"/>
      <c r="ABR2222" s="38"/>
      <c r="ABS2222" s="38"/>
      <c r="ABT2222" s="38"/>
      <c r="ABU2222" s="38"/>
      <c r="ABV2222" s="38"/>
      <c r="ABW2222" s="38"/>
      <c r="ABX2222" s="38"/>
      <c r="ABY2222" s="38"/>
      <c r="ABZ2222" s="38"/>
      <c r="ACA2222" s="38"/>
      <c r="ACB2222" s="38"/>
      <c r="ACC2222" s="38"/>
      <c r="ACD2222" s="38"/>
      <c r="ACE2222" s="38"/>
      <c r="ACF2222" s="38"/>
      <c r="ACG2222" s="38"/>
      <c r="ACH2222" s="38"/>
      <c r="ACI2222" s="38"/>
      <c r="ACJ2222" s="38"/>
      <c r="ACK2222" s="38"/>
      <c r="ACL2222" s="38"/>
      <c r="ACM2222" s="38"/>
      <c r="ACN2222" s="38"/>
      <c r="ACO2222" s="38"/>
      <c r="ACP2222" s="38"/>
      <c r="ACQ2222" s="38"/>
      <c r="ACR2222" s="38"/>
      <c r="ACS2222" s="38"/>
      <c r="ACT2222" s="38"/>
      <c r="ACU2222" s="38"/>
      <c r="ACV2222" s="38"/>
      <c r="ACW2222" s="38"/>
      <c r="ACX2222" s="38"/>
      <c r="ACY2222" s="38"/>
      <c r="ACZ2222" s="38"/>
      <c r="ADA2222" s="38"/>
      <c r="ADB2222" s="38"/>
      <c r="ADC2222" s="38"/>
      <c r="ADD2222" s="38"/>
      <c r="ADE2222" s="38"/>
      <c r="ADF2222" s="38"/>
      <c r="ADG2222" s="38"/>
      <c r="ADH2222" s="38"/>
      <c r="ADI2222" s="38"/>
      <c r="ADJ2222" s="38"/>
      <c r="ADK2222" s="38"/>
      <c r="ADL2222" s="38"/>
      <c r="ADM2222" s="38"/>
      <c r="ADN2222" s="38"/>
      <c r="ADO2222" s="38"/>
      <c r="ADP2222" s="38"/>
      <c r="ADQ2222" s="38"/>
      <c r="ADR2222" s="38"/>
      <c r="ADS2222" s="38"/>
      <c r="ADT2222" s="38"/>
      <c r="ADU2222" s="38"/>
      <c r="ADV2222" s="38"/>
      <c r="ADW2222" s="38"/>
      <c r="ADX2222" s="38"/>
      <c r="ADY2222" s="38"/>
      <c r="ADZ2222" s="38"/>
      <c r="AEA2222" s="38"/>
      <c r="AEB2222" s="38"/>
      <c r="AEC2222" s="38"/>
      <c r="AED2222" s="38"/>
      <c r="AEE2222" s="38"/>
      <c r="AEF2222" s="38"/>
      <c r="AEG2222" s="38"/>
      <c r="AEH2222" s="38"/>
      <c r="AEI2222" s="38"/>
      <c r="AEJ2222" s="38"/>
      <c r="AEK2222" s="38"/>
      <c r="AEL2222" s="38"/>
      <c r="AEM2222" s="38"/>
      <c r="AEN2222" s="38"/>
      <c r="AEO2222" s="38"/>
      <c r="AEP2222" s="38"/>
      <c r="AEQ2222" s="38"/>
      <c r="AER2222" s="38"/>
      <c r="AES2222" s="38"/>
      <c r="AET2222" s="38"/>
      <c r="AEU2222" s="38"/>
      <c r="AEV2222" s="38"/>
      <c r="AEW2222" s="38"/>
      <c r="AEX2222" s="38"/>
      <c r="AEY2222" s="38"/>
      <c r="AEZ2222" s="38"/>
      <c r="AFA2222" s="38"/>
      <c r="AFB2222" s="38"/>
      <c r="AFC2222" s="38"/>
      <c r="AFD2222" s="38"/>
      <c r="AFE2222" s="38"/>
      <c r="AFF2222" s="38"/>
      <c r="AFG2222" s="38"/>
      <c r="AFH2222" s="38"/>
      <c r="AFI2222" s="38"/>
      <c r="AFJ2222" s="38"/>
      <c r="AFK2222" s="38"/>
      <c r="AFL2222" s="38"/>
      <c r="AFM2222" s="38"/>
      <c r="AFN2222" s="38"/>
      <c r="AFO2222" s="38"/>
      <c r="AFP2222" s="38"/>
      <c r="AFQ2222" s="38"/>
      <c r="AFR2222" s="38"/>
      <c r="AFS2222" s="38"/>
      <c r="AFT2222" s="38"/>
      <c r="AFU2222" s="38"/>
      <c r="AFV2222" s="38"/>
      <c r="AFW2222" s="38"/>
      <c r="AFX2222" s="38"/>
      <c r="AFY2222" s="38"/>
      <c r="AFZ2222" s="38"/>
      <c r="AGA2222" s="38"/>
      <c r="AGB2222" s="38"/>
      <c r="AGC2222" s="38"/>
      <c r="AGD2222" s="38"/>
      <c r="AGE2222" s="38"/>
      <c r="AGF2222" s="38"/>
      <c r="AGG2222" s="38"/>
      <c r="AGH2222" s="38"/>
      <c r="AGI2222" s="38"/>
      <c r="AGJ2222" s="38"/>
      <c r="AGK2222" s="38"/>
      <c r="AGL2222" s="38"/>
      <c r="AGM2222" s="38"/>
      <c r="AGN2222" s="38"/>
      <c r="AGO2222" s="38"/>
      <c r="AGP2222" s="38"/>
      <c r="AGQ2222" s="38"/>
      <c r="AGR2222" s="38"/>
      <c r="AGS2222" s="38"/>
      <c r="AGT2222" s="38"/>
      <c r="AGU2222" s="38"/>
      <c r="AGV2222" s="38"/>
      <c r="AGW2222" s="38"/>
      <c r="AGX2222" s="38"/>
      <c r="AGY2222" s="38"/>
      <c r="AGZ2222" s="38"/>
      <c r="AHA2222" s="38"/>
      <c r="AHB2222" s="38"/>
      <c r="AHC2222" s="38"/>
      <c r="AHD2222" s="38"/>
      <c r="AHE2222" s="38"/>
      <c r="AHF2222" s="38"/>
      <c r="AHG2222" s="38"/>
      <c r="AHH2222" s="38"/>
      <c r="AHI2222" s="38"/>
      <c r="AHJ2222" s="38"/>
      <c r="AHK2222" s="38"/>
      <c r="AHL2222" s="38"/>
      <c r="AHM2222" s="38"/>
      <c r="AHN2222" s="38"/>
      <c r="AHO2222" s="38"/>
      <c r="AHP2222" s="38"/>
      <c r="AHQ2222" s="38"/>
      <c r="AHR2222" s="38"/>
      <c r="AHS2222" s="38"/>
      <c r="AHT2222" s="38"/>
      <c r="AHU2222" s="38"/>
      <c r="AHV2222" s="38"/>
      <c r="AHW2222" s="38"/>
      <c r="AHX2222" s="38"/>
      <c r="AHY2222" s="38"/>
      <c r="AHZ2222" s="38"/>
      <c r="AIA2222" s="38"/>
      <c r="AIB2222" s="38"/>
      <c r="AIC2222" s="38"/>
      <c r="AID2222" s="38"/>
      <c r="AIE2222" s="38"/>
      <c r="AIF2222" s="38"/>
      <c r="AIG2222" s="38"/>
      <c r="AIH2222" s="38"/>
      <c r="AII2222" s="38"/>
      <c r="AIJ2222" s="38"/>
      <c r="AIK2222" s="38"/>
      <c r="AIL2222" s="38"/>
      <c r="AIM2222" s="38"/>
      <c r="AIN2222" s="38"/>
      <c r="AIO2222" s="38"/>
      <c r="AIP2222" s="38"/>
      <c r="AIQ2222" s="38"/>
      <c r="AIR2222" s="38"/>
      <c r="AIS2222" s="38"/>
      <c r="AIT2222" s="38"/>
      <c r="AIU2222" s="38"/>
      <c r="AIV2222" s="38"/>
      <c r="AIW2222" s="38"/>
      <c r="AIX2222" s="38"/>
      <c r="AIY2222" s="38"/>
      <c r="AIZ2222" s="38"/>
      <c r="AJA2222" s="38"/>
      <c r="AJB2222" s="38"/>
      <c r="AJC2222" s="38"/>
      <c r="AJD2222" s="38"/>
      <c r="AJE2222" s="38"/>
      <c r="AJF2222" s="38"/>
      <c r="AJG2222" s="38"/>
      <c r="AJH2222" s="38"/>
      <c r="AJI2222" s="38"/>
      <c r="AJJ2222" s="38"/>
      <c r="AJK2222" s="38"/>
      <c r="AJL2222" s="38"/>
      <c r="AJM2222" s="38"/>
      <c r="AJN2222" s="38"/>
      <c r="AJO2222" s="38"/>
      <c r="AJP2222" s="38"/>
      <c r="AJQ2222" s="38"/>
      <c r="AJR2222" s="38"/>
      <c r="AJS2222" s="38"/>
      <c r="AJT2222" s="38"/>
      <c r="AJU2222" s="38"/>
      <c r="AJV2222" s="38"/>
      <c r="AJW2222" s="38"/>
      <c r="AJX2222" s="38"/>
      <c r="AJY2222" s="38"/>
      <c r="AJZ2222" s="38"/>
      <c r="AKA2222" s="38"/>
      <c r="AKB2222" s="38"/>
      <c r="AKC2222" s="38"/>
      <c r="AKD2222" s="38"/>
      <c r="AKE2222" s="38"/>
      <c r="AKF2222" s="38"/>
      <c r="AKG2222" s="38"/>
      <c r="AKH2222" s="38"/>
      <c r="AKI2222" s="38"/>
      <c r="AKJ2222" s="38"/>
      <c r="AKK2222" s="38"/>
      <c r="AKL2222" s="38"/>
      <c r="AKM2222" s="38"/>
      <c r="AKN2222" s="38"/>
      <c r="AKO2222" s="38"/>
      <c r="AKP2222" s="38"/>
      <c r="AKQ2222" s="38"/>
      <c r="AKR2222" s="38"/>
      <c r="AKS2222" s="38"/>
      <c r="AKT2222" s="38"/>
      <c r="AKU2222" s="38"/>
      <c r="AKV2222" s="38"/>
      <c r="AKW2222" s="38"/>
      <c r="AKX2222" s="38"/>
      <c r="AKY2222" s="38"/>
      <c r="AKZ2222" s="38"/>
      <c r="ALA2222" s="38"/>
      <c r="ALB2222" s="38"/>
      <c r="ALC2222" s="38"/>
      <c r="ALD2222" s="38"/>
      <c r="ALE2222" s="38"/>
      <c r="ALF2222" s="38"/>
      <c r="ALG2222" s="38"/>
      <c r="ALH2222" s="38"/>
      <c r="ALI2222" s="38"/>
      <c r="ALJ2222" s="38"/>
      <c r="ALK2222" s="38"/>
      <c r="ALL2222" s="38"/>
      <c r="ALM2222" s="38"/>
      <c r="ALN2222" s="38"/>
      <c r="ALO2222" s="38"/>
      <c r="ALP2222" s="38"/>
      <c r="ALQ2222" s="38"/>
      <c r="ALR2222" s="38"/>
      <c r="ALS2222" s="38"/>
      <c r="ALT2222" s="38"/>
      <c r="ALU2222" s="38"/>
      <c r="ALV2222" s="38"/>
      <c r="ALW2222" s="38"/>
      <c r="ALX2222" s="38"/>
      <c r="ALY2222" s="38"/>
      <c r="ALZ2222" s="38"/>
      <c r="AMA2222" s="38"/>
      <c r="AMB2222" s="38"/>
      <c r="AMC2222" s="38"/>
      <c r="AMD2222" s="38"/>
      <c r="AME2222" s="38"/>
      <c r="AMF2222" s="38"/>
      <c r="AMG2222" s="38"/>
      <c r="AMH2222" s="38"/>
      <c r="AMI2222" s="38"/>
      <c r="AMJ2222" s="38"/>
      <c r="AMK2222" s="38"/>
      <c r="AML2222" s="38"/>
      <c r="AMM2222" s="38"/>
      <c r="AMN2222" s="38"/>
      <c r="AMO2222" s="38"/>
      <c r="AMP2222" s="38"/>
      <c r="AMQ2222" s="38"/>
      <c r="AMR2222" s="38"/>
      <c r="AMS2222" s="38"/>
      <c r="AMT2222" s="38"/>
      <c r="AMU2222" s="38"/>
      <c r="AMV2222" s="38"/>
      <c r="AMW2222" s="38"/>
      <c r="AMX2222" s="38"/>
      <c r="AMY2222" s="38"/>
      <c r="AMZ2222" s="38"/>
      <c r="ANA2222" s="38"/>
      <c r="ANB2222" s="38"/>
      <c r="ANC2222" s="38"/>
      <c r="AND2222" s="38"/>
      <c r="ANE2222" s="38"/>
      <c r="ANF2222" s="38"/>
      <c r="ANG2222" s="38"/>
      <c r="ANH2222" s="38"/>
      <c r="ANI2222" s="38"/>
      <c r="ANJ2222" s="38"/>
      <c r="ANK2222" s="38"/>
      <c r="ANL2222" s="38"/>
      <c r="ANM2222" s="38"/>
      <c r="ANN2222" s="38"/>
      <c r="ANO2222" s="38"/>
      <c r="ANP2222" s="38"/>
      <c r="ANQ2222" s="38"/>
      <c r="ANR2222" s="38"/>
      <c r="ANS2222" s="38"/>
      <c r="ANT2222" s="38"/>
      <c r="ANU2222" s="38"/>
      <c r="ANV2222" s="38"/>
      <c r="ANW2222" s="38"/>
      <c r="ANX2222" s="38"/>
      <c r="ANY2222" s="38"/>
      <c r="ANZ2222" s="38"/>
      <c r="AOA2222" s="38"/>
      <c r="AOB2222" s="38"/>
      <c r="AOC2222" s="38"/>
      <c r="AOD2222" s="38"/>
      <c r="AOE2222" s="38"/>
      <c r="AOF2222" s="38"/>
      <c r="AOG2222" s="38"/>
      <c r="AOH2222" s="38"/>
      <c r="AOI2222" s="38"/>
      <c r="AOJ2222" s="38"/>
      <c r="AOK2222" s="38"/>
      <c r="AOL2222" s="38"/>
      <c r="AOM2222" s="38"/>
      <c r="AON2222" s="38"/>
      <c r="AOO2222" s="38"/>
      <c r="AOP2222" s="38"/>
      <c r="AOQ2222" s="38"/>
      <c r="AOR2222" s="38"/>
      <c r="AOS2222" s="38"/>
      <c r="AOT2222" s="38"/>
      <c r="AOU2222" s="38"/>
      <c r="AOV2222" s="38"/>
      <c r="AOW2222" s="38"/>
      <c r="AOX2222" s="38"/>
      <c r="AOY2222" s="38"/>
      <c r="AOZ2222" s="38"/>
      <c r="APA2222" s="38"/>
      <c r="APB2222" s="38"/>
      <c r="APC2222" s="38"/>
    </row>
    <row r="2223" spans="1:1095" s="36" customFormat="1" ht="14.25" customHeight="1">
      <c r="A2223" s="3" t="s">
        <v>1722</v>
      </c>
      <c r="B2223" s="36" t="s">
        <v>2707</v>
      </c>
      <c r="C2223" s="10">
        <v>4099854067914</v>
      </c>
      <c r="D2223" s="224">
        <v>4058075096622</v>
      </c>
      <c r="E2223" s="245" t="s">
        <v>2708</v>
      </c>
      <c r="F2223" s="246"/>
      <c r="G2223" s="66" t="str">
        <f>HYPERLINK("https://ledvance.com/pt/product-datasheet/250859/238471","Ficha de Produto")</f>
        <v>Ficha de Produto</v>
      </c>
      <c r="H2223" s="217">
        <v>10</v>
      </c>
      <c r="I2223" s="34" t="s">
        <v>6390</v>
      </c>
      <c r="J2223" s="34" t="s">
        <v>6358</v>
      </c>
      <c r="K2223" s="34" t="s">
        <v>788</v>
      </c>
      <c r="L2223" s="34" t="s">
        <v>800</v>
      </c>
      <c r="M2223" s="247">
        <v>5.1000000000000005</v>
      </c>
      <c r="N2223" s="288" t="s">
        <v>722</v>
      </c>
    </row>
    <row r="2224" spans="1:1095" s="36" customFormat="1" ht="14.25" customHeight="1">
      <c r="A2224" s="3" t="s">
        <v>1722</v>
      </c>
      <c r="B2224" s="36" t="s">
        <v>2709</v>
      </c>
      <c r="C2224" s="10">
        <v>4099854067976</v>
      </c>
      <c r="D2224" s="224">
        <v>4058075055155</v>
      </c>
      <c r="E2224" s="245" t="s">
        <v>2710</v>
      </c>
      <c r="F2224" s="246"/>
      <c r="G2224" s="66" t="str">
        <f>HYPERLINK("https://ledvance.com/pt/product-datasheet/250859/238489","Ficha de Produto")</f>
        <v>Ficha de Produto</v>
      </c>
      <c r="H2224" s="217">
        <v>10</v>
      </c>
      <c r="I2224" s="34" t="s">
        <v>6390</v>
      </c>
      <c r="J2224" s="34" t="s">
        <v>6358</v>
      </c>
      <c r="K2224" s="34" t="s">
        <v>788</v>
      </c>
      <c r="L2224" s="34" t="s">
        <v>800</v>
      </c>
      <c r="M2224" s="247">
        <v>5.1000000000000005</v>
      </c>
      <c r="N2224" s="288" t="s">
        <v>722</v>
      </c>
    </row>
    <row r="2225" spans="1:1095" s="36" customFormat="1" ht="14.25" customHeight="1">
      <c r="A2225" s="3" t="s">
        <v>1722</v>
      </c>
      <c r="B2225" s="36" t="s">
        <v>2711</v>
      </c>
      <c r="C2225" s="10">
        <v>4099854045080</v>
      </c>
      <c r="D2225" s="224">
        <v>4058075817715</v>
      </c>
      <c r="E2225" s="245" t="s">
        <v>2712</v>
      </c>
      <c r="F2225" s="246"/>
      <c r="G2225" s="66" t="str">
        <f>HYPERLINK("https://ledvance.com/pt/product-datasheet/250859/235113","Ficha de Produto")</f>
        <v>Ficha de Produto</v>
      </c>
      <c r="H2225" s="217">
        <v>10</v>
      </c>
      <c r="I2225" s="34" t="s">
        <v>6390</v>
      </c>
      <c r="J2225" s="34" t="s">
        <v>6358</v>
      </c>
      <c r="K2225" s="34" t="s">
        <v>788</v>
      </c>
      <c r="L2225" s="34" t="s">
        <v>800</v>
      </c>
      <c r="M2225" s="247">
        <v>5.1000000000000005</v>
      </c>
      <c r="N2225" s="288" t="s">
        <v>722</v>
      </c>
    </row>
    <row r="2226" spans="1:1095" s="36" customFormat="1" ht="14.25" customHeight="1">
      <c r="A2226" s="3" t="s">
        <v>1722</v>
      </c>
      <c r="B2226" s="36" t="s">
        <v>2713</v>
      </c>
      <c r="C2226" s="10">
        <v>4099854054822</v>
      </c>
      <c r="D2226" s="224">
        <v>4058075096646</v>
      </c>
      <c r="E2226" s="245" t="s">
        <v>2714</v>
      </c>
      <c r="F2226" s="246"/>
      <c r="G2226" s="66" t="str">
        <f>HYPERLINK("https://ledvance.com/pt/product-datasheet/250859/236420","Ficha de Produto")</f>
        <v>Ficha de Produto</v>
      </c>
      <c r="H2226" s="217">
        <v>10</v>
      </c>
      <c r="I2226" s="34" t="s">
        <v>6133</v>
      </c>
      <c r="J2226" s="34" t="s">
        <v>6396</v>
      </c>
      <c r="K2226" s="34" t="s">
        <v>788</v>
      </c>
      <c r="L2226" s="34" t="s">
        <v>793</v>
      </c>
      <c r="M2226" s="247">
        <v>6.9</v>
      </c>
      <c r="N2226" s="288" t="s">
        <v>722</v>
      </c>
    </row>
    <row r="2227" spans="1:1095" s="36" customFormat="1" ht="14.25" customHeight="1">
      <c r="A2227" s="3" t="s">
        <v>1722</v>
      </c>
      <c r="B2227" s="36" t="s">
        <v>2715</v>
      </c>
      <c r="C2227" s="10">
        <v>4099854055331</v>
      </c>
      <c r="D2227" s="224">
        <v>4058075096660</v>
      </c>
      <c r="E2227" s="245" t="s">
        <v>2716</v>
      </c>
      <c r="F2227" s="246"/>
      <c r="G2227" s="66" t="str">
        <f>HYPERLINK("https://ledvance.com/pt/product-datasheet/250859/236429","Ficha de Produto")</f>
        <v>Ficha de Produto</v>
      </c>
      <c r="H2227" s="217">
        <v>10</v>
      </c>
      <c r="I2227" s="34" t="s">
        <v>6133</v>
      </c>
      <c r="J2227" s="34" t="s">
        <v>6396</v>
      </c>
      <c r="K2227" s="34" t="s">
        <v>788</v>
      </c>
      <c r="L2227" s="34" t="s">
        <v>793</v>
      </c>
      <c r="M2227" s="247">
        <v>6.9</v>
      </c>
      <c r="N2227" s="288" t="s">
        <v>722</v>
      </c>
    </row>
    <row r="2228" spans="1:1095" s="36" customFormat="1" ht="14.25" customHeight="1">
      <c r="A2228" s="3" t="s">
        <v>1722</v>
      </c>
      <c r="B2228" s="36" t="s">
        <v>2717</v>
      </c>
      <c r="C2228" s="10">
        <v>4099854055379</v>
      </c>
      <c r="D2228" s="224">
        <v>4058075096684</v>
      </c>
      <c r="E2228" s="245" t="s">
        <v>2718</v>
      </c>
      <c r="F2228" s="246"/>
      <c r="G2228" s="66" t="str">
        <f>HYPERLINK("https://ledvance.com/pt/product-datasheet/250859/236489","Ficha de Produto")</f>
        <v>Ficha de Produto</v>
      </c>
      <c r="H2228" s="217">
        <v>10</v>
      </c>
      <c r="I2228" s="34" t="s">
        <v>6133</v>
      </c>
      <c r="J2228" s="34" t="s">
        <v>6396</v>
      </c>
      <c r="K2228" s="34" t="s">
        <v>788</v>
      </c>
      <c r="L2228" s="34" t="s">
        <v>793</v>
      </c>
      <c r="M2228" s="247">
        <v>6.9</v>
      </c>
      <c r="N2228" s="288" t="s">
        <v>722</v>
      </c>
    </row>
    <row r="2229" spans="1:1095" s="36" customFormat="1" ht="14.25" customHeight="1">
      <c r="A2229" s="3" t="s">
        <v>1722</v>
      </c>
      <c r="B2229" s="36" t="s">
        <v>2713</v>
      </c>
      <c r="C2229" s="10">
        <v>4099854054938</v>
      </c>
      <c r="D2229" s="224">
        <v>4058075096769</v>
      </c>
      <c r="E2229" s="245" t="s">
        <v>2714</v>
      </c>
      <c r="F2229" s="246"/>
      <c r="G2229" s="66" t="str">
        <f>HYPERLINK("https://ledvance.com/pt/product-datasheet/250859/236447","Ficha de Produto")</f>
        <v>Ficha de Produto</v>
      </c>
      <c r="H2229" s="217">
        <v>10</v>
      </c>
      <c r="I2229" s="34" t="s">
        <v>6133</v>
      </c>
      <c r="J2229" s="34" t="s">
        <v>6396</v>
      </c>
      <c r="K2229" s="34" t="s">
        <v>788</v>
      </c>
      <c r="L2229" s="34" t="s">
        <v>793</v>
      </c>
      <c r="M2229" s="247">
        <v>6.9</v>
      </c>
      <c r="N2229" s="288" t="s">
        <v>722</v>
      </c>
    </row>
    <row r="2230" spans="1:1095" s="36" customFormat="1" ht="14.25" customHeight="1">
      <c r="A2230" s="3" t="s">
        <v>1722</v>
      </c>
      <c r="B2230" s="36" t="s">
        <v>2715</v>
      </c>
      <c r="C2230" s="10">
        <v>4099854054990</v>
      </c>
      <c r="D2230" s="224">
        <v>4058075096783</v>
      </c>
      <c r="E2230" s="245" t="s">
        <v>2716</v>
      </c>
      <c r="F2230" s="246"/>
      <c r="G2230" s="66" t="str">
        <f>HYPERLINK("https://ledvance.com/pt/product-datasheet/250859/236456","Ficha de Produto")</f>
        <v>Ficha de Produto</v>
      </c>
      <c r="H2230" s="217">
        <v>10</v>
      </c>
      <c r="I2230" s="34" t="s">
        <v>6133</v>
      </c>
      <c r="J2230" s="34" t="s">
        <v>6396</v>
      </c>
      <c r="K2230" s="34" t="s">
        <v>788</v>
      </c>
      <c r="L2230" s="34" t="s">
        <v>793</v>
      </c>
      <c r="M2230" s="247">
        <v>6.9</v>
      </c>
      <c r="N2230" s="288" t="s">
        <v>722</v>
      </c>
    </row>
    <row r="2231" spans="1:1095" s="36" customFormat="1" ht="14.25" customHeight="1">
      <c r="A2231" s="3" t="s">
        <v>1722</v>
      </c>
      <c r="B2231" s="36" t="s">
        <v>2719</v>
      </c>
      <c r="C2231" s="10">
        <v>4099854055096</v>
      </c>
      <c r="D2231" s="224">
        <v>4058075096707</v>
      </c>
      <c r="E2231" s="245" t="s">
        <v>2714</v>
      </c>
      <c r="F2231" s="246"/>
      <c r="G2231" s="66" t="str">
        <f>HYPERLINK("https://ledvance.com/pt/product-datasheet/250859/236471","Ficha de Produto")</f>
        <v>Ficha de Produto</v>
      </c>
      <c r="H2231" s="217">
        <v>10</v>
      </c>
      <c r="I2231" s="34" t="s">
        <v>6397</v>
      </c>
      <c r="J2231" s="34" t="s">
        <v>6396</v>
      </c>
      <c r="K2231" s="34" t="s">
        <v>788</v>
      </c>
      <c r="L2231" s="34" t="s">
        <v>793</v>
      </c>
      <c r="M2231" s="247">
        <v>6.9</v>
      </c>
      <c r="N2231" s="288" t="s">
        <v>722</v>
      </c>
    </row>
    <row r="2232" spans="1:1095" s="36" customFormat="1" ht="14.25" customHeight="1">
      <c r="A2232" s="3" t="s">
        <v>1722</v>
      </c>
      <c r="B2232" s="36" t="s">
        <v>2720</v>
      </c>
      <c r="C2232" s="10">
        <v>4099854055157</v>
      </c>
      <c r="D2232" s="224">
        <v>4058075096721</v>
      </c>
      <c r="E2232" s="245" t="s">
        <v>2716</v>
      </c>
      <c r="F2232" s="246"/>
      <c r="G2232" s="66" t="str">
        <f>HYPERLINK("https://ledvance.com/pt/product-datasheet/250859/236480","Ficha de Produto")</f>
        <v>Ficha de Produto</v>
      </c>
      <c r="H2232" s="217">
        <v>10</v>
      </c>
      <c r="I2232" s="34" t="s">
        <v>6397</v>
      </c>
      <c r="J2232" s="34" t="s">
        <v>6396</v>
      </c>
      <c r="K2232" s="34" t="s">
        <v>788</v>
      </c>
      <c r="L2232" s="34" t="s">
        <v>793</v>
      </c>
      <c r="M2232" s="247">
        <v>6.9</v>
      </c>
      <c r="N2232" s="288" t="s">
        <v>722</v>
      </c>
    </row>
    <row r="2233" spans="1:1095" s="36" customFormat="1" ht="14.25" customHeight="1">
      <c r="A2233" s="3" t="s">
        <v>1722</v>
      </c>
      <c r="B2233" s="36" t="s">
        <v>2721</v>
      </c>
      <c r="C2233" s="10">
        <v>4099854055256</v>
      </c>
      <c r="D2233" s="224">
        <v>4058075096745</v>
      </c>
      <c r="E2233" s="245" t="s">
        <v>2722</v>
      </c>
      <c r="F2233" s="246"/>
      <c r="G2233" s="66" t="str">
        <f>HYPERLINK("https://ledvance.com/pt/product-datasheet/250859/236498","Ficha de Produto")</f>
        <v>Ficha de Produto</v>
      </c>
      <c r="H2233" s="217">
        <v>10</v>
      </c>
      <c r="I2233" s="34" t="s">
        <v>6397</v>
      </c>
      <c r="J2233" s="34" t="s">
        <v>6396</v>
      </c>
      <c r="K2233" s="34" t="s">
        <v>788</v>
      </c>
      <c r="L2233" s="34" t="s">
        <v>793</v>
      </c>
      <c r="M2233" s="247">
        <v>6.9</v>
      </c>
      <c r="N2233" s="288" t="s">
        <v>722</v>
      </c>
    </row>
    <row r="2234" spans="1:1095" s="39" customFormat="1" ht="14.25" customHeight="1">
      <c r="A2234" s="8"/>
      <c r="B2234" s="244" t="s">
        <v>3168</v>
      </c>
      <c r="C2234" s="8"/>
      <c r="D2234" s="7"/>
      <c r="E2234" s="230"/>
      <c r="F2234" s="7"/>
      <c r="G2234" s="68"/>
      <c r="H2234" s="230"/>
      <c r="I2234" s="230"/>
      <c r="J2234" s="230"/>
      <c r="K2234" s="230"/>
      <c r="L2234" s="230"/>
      <c r="M2234" s="248"/>
      <c r="N2234" s="289"/>
      <c r="O2234" s="38"/>
      <c r="P2234" s="38"/>
      <c r="Q2234" s="38"/>
      <c r="R2234" s="38"/>
      <c r="S2234" s="38"/>
      <c r="T2234" s="38"/>
      <c r="U2234" s="38"/>
      <c r="V2234" s="38"/>
      <c r="W2234" s="38"/>
      <c r="X2234" s="38"/>
      <c r="Y2234" s="38"/>
      <c r="Z2234" s="38"/>
      <c r="AA2234" s="38"/>
      <c r="AB2234" s="38"/>
      <c r="AC2234" s="38"/>
      <c r="AD2234" s="38"/>
      <c r="AE2234" s="38"/>
      <c r="AF2234" s="38"/>
      <c r="AG2234" s="38"/>
      <c r="AH2234" s="38"/>
      <c r="AI2234" s="38"/>
      <c r="AJ2234" s="38"/>
      <c r="AK2234" s="38"/>
      <c r="AL2234" s="38"/>
      <c r="AM2234" s="38"/>
      <c r="AN2234" s="38"/>
      <c r="AO2234" s="38"/>
      <c r="AP2234" s="38"/>
      <c r="AQ2234" s="38"/>
      <c r="AR2234" s="38"/>
      <c r="AS2234" s="38"/>
      <c r="AT2234" s="38"/>
      <c r="AU2234" s="38"/>
      <c r="AV2234" s="38"/>
      <c r="AW2234" s="38"/>
      <c r="AX2234" s="38"/>
      <c r="AY2234" s="38"/>
      <c r="AZ2234" s="38"/>
      <c r="BA2234" s="38"/>
      <c r="BB2234" s="38"/>
      <c r="BC2234" s="38"/>
      <c r="BD2234" s="38"/>
      <c r="BE2234" s="38"/>
      <c r="BF2234" s="38"/>
      <c r="BG2234" s="38"/>
      <c r="BH2234" s="38"/>
      <c r="BI2234" s="38"/>
      <c r="BJ2234" s="38"/>
      <c r="BK2234" s="38"/>
      <c r="BL2234" s="38"/>
      <c r="BM2234" s="38"/>
      <c r="BN2234" s="38"/>
      <c r="BO2234" s="38"/>
      <c r="BP2234" s="38"/>
      <c r="BQ2234" s="38"/>
      <c r="BR2234" s="38"/>
      <c r="BS2234" s="38"/>
      <c r="BT2234" s="38"/>
      <c r="BU2234" s="38"/>
      <c r="BV2234" s="38"/>
      <c r="BW2234" s="38"/>
      <c r="BX2234" s="38"/>
      <c r="BY2234" s="38"/>
      <c r="BZ2234" s="38"/>
      <c r="CA2234" s="38"/>
      <c r="CB2234" s="38"/>
      <c r="CC2234" s="38"/>
      <c r="CD2234" s="38"/>
      <c r="CE2234" s="38"/>
      <c r="CF2234" s="38"/>
      <c r="CG2234" s="38"/>
      <c r="CH2234" s="38"/>
      <c r="CI2234" s="38"/>
      <c r="CJ2234" s="38"/>
      <c r="CK2234" s="38"/>
      <c r="CL2234" s="38"/>
      <c r="CM2234" s="38"/>
      <c r="CN2234" s="38"/>
      <c r="CO2234" s="38"/>
      <c r="CP2234" s="38"/>
      <c r="CQ2234" s="38"/>
      <c r="CR2234" s="38"/>
      <c r="CS2234" s="38"/>
      <c r="CT2234" s="38"/>
      <c r="CU2234" s="38"/>
      <c r="CV2234" s="38"/>
      <c r="CW2234" s="38"/>
      <c r="CX2234" s="38"/>
      <c r="CY2234" s="38"/>
      <c r="CZ2234" s="38"/>
      <c r="DA2234" s="38"/>
      <c r="DB2234" s="38"/>
      <c r="DC2234" s="38"/>
      <c r="DD2234" s="38"/>
      <c r="DE2234" s="38"/>
      <c r="DF2234" s="38"/>
      <c r="DG2234" s="38"/>
      <c r="DH2234" s="38"/>
      <c r="DI2234" s="38"/>
      <c r="DJ2234" s="38"/>
      <c r="DK2234" s="38"/>
      <c r="DL2234" s="38"/>
      <c r="DM2234" s="38"/>
      <c r="DN2234" s="38"/>
      <c r="DO2234" s="38"/>
      <c r="DP2234" s="38"/>
      <c r="DQ2234" s="38"/>
      <c r="DR2234" s="38"/>
      <c r="DS2234" s="38"/>
      <c r="DT2234" s="38"/>
      <c r="DU2234" s="38"/>
      <c r="DV2234" s="38"/>
      <c r="DW2234" s="38"/>
      <c r="DX2234" s="38"/>
      <c r="DY2234" s="38"/>
      <c r="DZ2234" s="38"/>
      <c r="EA2234" s="38"/>
      <c r="EB2234" s="38"/>
      <c r="EC2234" s="38"/>
      <c r="ED2234" s="38"/>
      <c r="EE2234" s="38"/>
      <c r="EF2234" s="38"/>
      <c r="EG2234" s="38"/>
      <c r="EH2234" s="38"/>
      <c r="EI2234" s="38"/>
      <c r="EJ2234" s="38"/>
      <c r="EK2234" s="38"/>
      <c r="EL2234" s="38"/>
      <c r="EM2234" s="38"/>
      <c r="EN2234" s="38"/>
      <c r="EO2234" s="38"/>
      <c r="EP2234" s="38"/>
      <c r="EQ2234" s="38"/>
      <c r="ER2234" s="38"/>
      <c r="ES2234" s="38"/>
      <c r="ET2234" s="38"/>
      <c r="EU2234" s="38"/>
      <c r="EV2234" s="38"/>
      <c r="EW2234" s="38"/>
      <c r="EX2234" s="38"/>
      <c r="EY2234" s="38"/>
      <c r="EZ2234" s="38"/>
      <c r="FA2234" s="38"/>
      <c r="FB2234" s="38"/>
      <c r="FC2234" s="38"/>
      <c r="FD2234" s="38"/>
      <c r="FE2234" s="38"/>
      <c r="FF2234" s="38"/>
      <c r="FG2234" s="38"/>
      <c r="FH2234" s="38"/>
      <c r="FI2234" s="38"/>
      <c r="FJ2234" s="38"/>
      <c r="FK2234" s="38"/>
      <c r="FL2234" s="38"/>
      <c r="FM2234" s="38"/>
      <c r="FN2234" s="38"/>
      <c r="FO2234" s="38"/>
      <c r="FP2234" s="38"/>
      <c r="FQ2234" s="38"/>
      <c r="FR2234" s="38"/>
      <c r="FS2234" s="38"/>
      <c r="FT2234" s="38"/>
      <c r="FU2234" s="38"/>
      <c r="FV2234" s="38"/>
      <c r="FW2234" s="38"/>
      <c r="FX2234" s="38"/>
      <c r="FY2234" s="38"/>
      <c r="FZ2234" s="38"/>
      <c r="GA2234" s="38"/>
      <c r="GB2234" s="38"/>
      <c r="GC2234" s="38"/>
      <c r="GD2234" s="38"/>
      <c r="GE2234" s="38"/>
      <c r="GF2234" s="38"/>
      <c r="GG2234" s="38"/>
      <c r="GH2234" s="38"/>
      <c r="GI2234" s="38"/>
      <c r="GJ2234" s="38"/>
      <c r="GK2234" s="38"/>
      <c r="GL2234" s="38"/>
      <c r="GM2234" s="38"/>
      <c r="GN2234" s="38"/>
      <c r="GO2234" s="38"/>
      <c r="GP2234" s="38"/>
      <c r="GQ2234" s="38"/>
      <c r="GR2234" s="38"/>
      <c r="GS2234" s="38"/>
      <c r="GT2234" s="38"/>
      <c r="GU2234" s="38"/>
      <c r="GV2234" s="38"/>
      <c r="GW2234" s="38"/>
      <c r="GX2234" s="38"/>
      <c r="GY2234" s="38"/>
      <c r="GZ2234" s="38"/>
      <c r="HA2234" s="38"/>
      <c r="HB2234" s="38"/>
      <c r="HC2234" s="38"/>
      <c r="HD2234" s="38"/>
      <c r="HE2234" s="38"/>
      <c r="HF2234" s="38"/>
      <c r="HG2234" s="38"/>
      <c r="HH2234" s="38"/>
      <c r="HI2234" s="38"/>
      <c r="HJ2234" s="38"/>
      <c r="HK2234" s="38"/>
      <c r="HL2234" s="38"/>
      <c r="HM2234" s="38"/>
      <c r="HN2234" s="38"/>
      <c r="HO2234" s="38"/>
      <c r="HP2234" s="38"/>
      <c r="HQ2234" s="38"/>
      <c r="HR2234" s="38"/>
      <c r="HS2234" s="38"/>
      <c r="HT2234" s="38"/>
      <c r="HU2234" s="38"/>
      <c r="HV2234" s="38"/>
      <c r="HW2234" s="38"/>
      <c r="HX2234" s="38"/>
      <c r="HY2234" s="38"/>
      <c r="HZ2234" s="38"/>
      <c r="IA2234" s="38"/>
      <c r="IB2234" s="38"/>
      <c r="IC2234" s="38"/>
      <c r="ID2234" s="38"/>
      <c r="IE2234" s="38"/>
      <c r="IF2234" s="38"/>
      <c r="IG2234" s="38"/>
      <c r="IH2234" s="38"/>
      <c r="II2234" s="38"/>
      <c r="IJ2234" s="38"/>
      <c r="IK2234" s="38"/>
      <c r="IL2234" s="38"/>
      <c r="IM2234" s="38"/>
      <c r="IN2234" s="38"/>
      <c r="IO2234" s="38"/>
      <c r="IP2234" s="38"/>
      <c r="IQ2234" s="38"/>
      <c r="IR2234" s="38"/>
      <c r="IS2234" s="38"/>
      <c r="IT2234" s="38"/>
      <c r="IU2234" s="38"/>
      <c r="IV2234" s="38"/>
      <c r="IW2234" s="38"/>
      <c r="IX2234" s="38"/>
      <c r="IY2234" s="38"/>
      <c r="IZ2234" s="38"/>
      <c r="JA2234" s="38"/>
      <c r="JB2234" s="38"/>
      <c r="JC2234" s="38"/>
      <c r="JD2234" s="38"/>
      <c r="JE2234" s="38"/>
      <c r="JF2234" s="38"/>
      <c r="JG2234" s="38"/>
      <c r="JH2234" s="38"/>
      <c r="JI2234" s="38"/>
      <c r="JJ2234" s="38"/>
      <c r="JK2234" s="38"/>
      <c r="JL2234" s="38"/>
      <c r="JM2234" s="38"/>
      <c r="JN2234" s="38"/>
      <c r="JO2234" s="38"/>
      <c r="JP2234" s="38"/>
      <c r="JQ2234" s="38"/>
      <c r="JR2234" s="38"/>
      <c r="JS2234" s="38"/>
      <c r="JT2234" s="38"/>
      <c r="JU2234" s="38"/>
      <c r="JV2234" s="38"/>
      <c r="JW2234" s="38"/>
      <c r="JX2234" s="38"/>
      <c r="JY2234" s="38"/>
      <c r="JZ2234" s="38"/>
      <c r="KA2234" s="38"/>
      <c r="KB2234" s="38"/>
      <c r="KC2234" s="38"/>
      <c r="KD2234" s="38"/>
      <c r="KE2234" s="38"/>
      <c r="KF2234" s="38"/>
      <c r="KG2234" s="38"/>
      <c r="KH2234" s="38"/>
      <c r="KI2234" s="38"/>
      <c r="KJ2234" s="38"/>
      <c r="KK2234" s="38"/>
      <c r="KL2234" s="38"/>
      <c r="KM2234" s="38"/>
      <c r="KN2234" s="38"/>
      <c r="KO2234" s="38"/>
      <c r="KP2234" s="38"/>
      <c r="KQ2234" s="38"/>
      <c r="KR2234" s="38"/>
      <c r="KS2234" s="38"/>
      <c r="KT2234" s="38"/>
      <c r="KU2234" s="38"/>
      <c r="KV2234" s="38"/>
      <c r="KW2234" s="38"/>
      <c r="KX2234" s="38"/>
      <c r="KY2234" s="38"/>
      <c r="KZ2234" s="38"/>
      <c r="LA2234" s="38"/>
      <c r="LB2234" s="38"/>
      <c r="LC2234" s="38"/>
      <c r="LD2234" s="38"/>
      <c r="LE2234" s="38"/>
      <c r="LF2234" s="38"/>
      <c r="LG2234" s="38"/>
      <c r="LH2234" s="38"/>
      <c r="LI2234" s="38"/>
      <c r="LJ2234" s="38"/>
      <c r="LK2234" s="38"/>
      <c r="LL2234" s="38"/>
      <c r="LM2234" s="38"/>
      <c r="LN2234" s="38"/>
      <c r="LO2234" s="38"/>
      <c r="LP2234" s="38"/>
      <c r="LQ2234" s="38"/>
      <c r="LR2234" s="38"/>
      <c r="LS2234" s="38"/>
      <c r="LT2234" s="38"/>
      <c r="LU2234" s="38"/>
      <c r="LV2234" s="38"/>
      <c r="LW2234" s="38"/>
      <c r="LX2234" s="38"/>
      <c r="LY2234" s="38"/>
      <c r="LZ2234" s="38"/>
      <c r="MA2234" s="38"/>
      <c r="MB2234" s="38"/>
      <c r="MC2234" s="38"/>
      <c r="MD2234" s="38"/>
      <c r="ME2234" s="38"/>
      <c r="MF2234" s="38"/>
      <c r="MG2234" s="38"/>
      <c r="MH2234" s="38"/>
      <c r="MI2234" s="38"/>
      <c r="MJ2234" s="38"/>
      <c r="MK2234" s="38"/>
      <c r="ML2234" s="38"/>
      <c r="MM2234" s="38"/>
      <c r="MN2234" s="38"/>
      <c r="MO2234" s="38"/>
      <c r="MP2234" s="38"/>
      <c r="MQ2234" s="38"/>
      <c r="MR2234" s="38"/>
      <c r="MS2234" s="38"/>
      <c r="MT2234" s="38"/>
      <c r="MU2234" s="38"/>
      <c r="MV2234" s="38"/>
      <c r="MW2234" s="38"/>
      <c r="MX2234" s="38"/>
      <c r="MY2234" s="38"/>
      <c r="MZ2234" s="38"/>
      <c r="NA2234" s="38"/>
      <c r="NB2234" s="38"/>
      <c r="NC2234" s="38"/>
      <c r="ND2234" s="38"/>
      <c r="NE2234" s="38"/>
      <c r="NF2234" s="38"/>
      <c r="NG2234" s="38"/>
      <c r="NH2234" s="38"/>
      <c r="NI2234" s="38"/>
      <c r="NJ2234" s="38"/>
      <c r="NK2234" s="38"/>
      <c r="NL2234" s="38"/>
      <c r="NM2234" s="38"/>
      <c r="NN2234" s="38"/>
      <c r="NO2234" s="38"/>
      <c r="NP2234" s="38"/>
      <c r="NQ2234" s="38"/>
      <c r="NR2234" s="38"/>
      <c r="NS2234" s="38"/>
      <c r="NT2234" s="38"/>
      <c r="NU2234" s="38"/>
      <c r="NV2234" s="38"/>
      <c r="NW2234" s="38"/>
      <c r="NX2234" s="38"/>
      <c r="NY2234" s="38"/>
      <c r="NZ2234" s="38"/>
      <c r="OA2234" s="38"/>
      <c r="OB2234" s="38"/>
      <c r="OC2234" s="38"/>
      <c r="OD2234" s="38"/>
      <c r="OE2234" s="38"/>
      <c r="OF2234" s="38"/>
      <c r="OG2234" s="38"/>
      <c r="OH2234" s="38"/>
      <c r="OI2234" s="38"/>
      <c r="OJ2234" s="38"/>
      <c r="OK2234" s="38"/>
      <c r="OL2234" s="38"/>
      <c r="OM2234" s="38"/>
      <c r="ON2234" s="38"/>
      <c r="OO2234" s="38"/>
      <c r="OP2234" s="38"/>
      <c r="OQ2234" s="38"/>
      <c r="OR2234" s="38"/>
      <c r="OS2234" s="38"/>
      <c r="OT2234" s="38"/>
      <c r="OU2234" s="38"/>
      <c r="OV2234" s="38"/>
      <c r="OW2234" s="38"/>
      <c r="OX2234" s="38"/>
      <c r="OY2234" s="38"/>
      <c r="OZ2234" s="38"/>
      <c r="PA2234" s="38"/>
      <c r="PB2234" s="38"/>
      <c r="PC2234" s="38"/>
      <c r="PD2234" s="38"/>
      <c r="PE2234" s="38"/>
      <c r="PF2234" s="38"/>
      <c r="PG2234" s="38"/>
      <c r="PH2234" s="38"/>
      <c r="PI2234" s="38"/>
      <c r="PJ2234" s="38"/>
      <c r="PK2234" s="38"/>
      <c r="PL2234" s="38"/>
      <c r="PM2234" s="38"/>
      <c r="PN2234" s="38"/>
      <c r="PO2234" s="38"/>
      <c r="PP2234" s="38"/>
      <c r="PQ2234" s="38"/>
      <c r="PR2234" s="38"/>
      <c r="PS2234" s="38"/>
      <c r="PT2234" s="38"/>
      <c r="PU2234" s="38"/>
      <c r="PV2234" s="38"/>
      <c r="PW2234" s="38"/>
      <c r="PX2234" s="38"/>
      <c r="PY2234" s="38"/>
      <c r="PZ2234" s="38"/>
      <c r="QA2234" s="38"/>
      <c r="QB2234" s="38"/>
      <c r="QC2234" s="38"/>
      <c r="QD2234" s="38"/>
      <c r="QE2234" s="38"/>
      <c r="QF2234" s="38"/>
      <c r="QG2234" s="38"/>
      <c r="QH2234" s="38"/>
      <c r="QI2234" s="38"/>
      <c r="QJ2234" s="38"/>
      <c r="QK2234" s="38"/>
      <c r="QL2234" s="38"/>
      <c r="QM2234" s="38"/>
      <c r="QN2234" s="38"/>
      <c r="QO2234" s="38"/>
      <c r="QP2234" s="38"/>
      <c r="QQ2234" s="38"/>
      <c r="QR2234" s="38"/>
      <c r="QS2234" s="38"/>
      <c r="QT2234" s="38"/>
      <c r="QU2234" s="38"/>
      <c r="QV2234" s="38"/>
      <c r="QW2234" s="38"/>
      <c r="QX2234" s="38"/>
      <c r="QY2234" s="38"/>
      <c r="QZ2234" s="38"/>
      <c r="RA2234" s="38"/>
      <c r="RB2234" s="38"/>
      <c r="RC2234" s="38"/>
      <c r="RD2234" s="38"/>
      <c r="RE2234" s="38"/>
      <c r="RF2234" s="38"/>
      <c r="RG2234" s="38"/>
      <c r="RH2234" s="38"/>
      <c r="RI2234" s="38"/>
      <c r="RJ2234" s="38"/>
      <c r="RK2234" s="38"/>
      <c r="RL2234" s="38"/>
      <c r="RM2234" s="38"/>
      <c r="RN2234" s="38"/>
      <c r="RO2234" s="38"/>
      <c r="RP2234" s="38"/>
      <c r="RQ2234" s="38"/>
      <c r="RR2234" s="38"/>
      <c r="RS2234" s="38"/>
      <c r="RT2234" s="38"/>
      <c r="RU2234" s="38"/>
      <c r="RV2234" s="38"/>
      <c r="RW2234" s="38"/>
      <c r="RX2234" s="38"/>
      <c r="RY2234" s="38"/>
      <c r="RZ2234" s="38"/>
      <c r="SA2234" s="38"/>
      <c r="SB2234" s="38"/>
      <c r="SC2234" s="38"/>
      <c r="SD2234" s="38"/>
      <c r="SE2234" s="38"/>
      <c r="SF2234" s="38"/>
      <c r="SG2234" s="38"/>
      <c r="SH2234" s="38"/>
      <c r="SI2234" s="38"/>
      <c r="SJ2234" s="38"/>
      <c r="SK2234" s="38"/>
      <c r="SL2234" s="38"/>
      <c r="SM2234" s="38"/>
      <c r="SN2234" s="38"/>
      <c r="SO2234" s="38"/>
      <c r="SP2234" s="38"/>
      <c r="SQ2234" s="38"/>
      <c r="SR2234" s="38"/>
      <c r="SS2234" s="38"/>
      <c r="ST2234" s="38"/>
      <c r="SU2234" s="38"/>
      <c r="SV2234" s="38"/>
      <c r="SW2234" s="38"/>
      <c r="SX2234" s="38"/>
      <c r="SY2234" s="38"/>
      <c r="SZ2234" s="38"/>
      <c r="TA2234" s="38"/>
      <c r="TB2234" s="38"/>
      <c r="TC2234" s="38"/>
      <c r="TD2234" s="38"/>
      <c r="TE2234" s="38"/>
      <c r="TF2234" s="38"/>
      <c r="TG2234" s="38"/>
      <c r="TH2234" s="38"/>
      <c r="TI2234" s="38"/>
      <c r="TJ2234" s="38"/>
      <c r="TK2234" s="38"/>
      <c r="TL2234" s="38"/>
      <c r="TM2234" s="38"/>
      <c r="TN2234" s="38"/>
      <c r="TO2234" s="38"/>
      <c r="TP2234" s="38"/>
      <c r="TQ2234" s="38"/>
      <c r="TR2234" s="38"/>
      <c r="TS2234" s="38"/>
      <c r="TT2234" s="38"/>
      <c r="TU2234" s="38"/>
      <c r="TV2234" s="38"/>
      <c r="TW2234" s="38"/>
      <c r="TX2234" s="38"/>
      <c r="TY2234" s="38"/>
      <c r="TZ2234" s="38"/>
      <c r="UA2234" s="38"/>
      <c r="UB2234" s="38"/>
      <c r="UC2234" s="38"/>
      <c r="UD2234" s="38"/>
      <c r="UE2234" s="38"/>
      <c r="UF2234" s="38"/>
      <c r="UG2234" s="38"/>
      <c r="UH2234" s="38"/>
      <c r="UI2234" s="38"/>
      <c r="UJ2234" s="38"/>
      <c r="UK2234" s="38"/>
      <c r="UL2234" s="38"/>
      <c r="UM2234" s="38"/>
      <c r="UN2234" s="38"/>
      <c r="UO2234" s="38"/>
      <c r="UP2234" s="38"/>
      <c r="UQ2234" s="38"/>
      <c r="UR2234" s="38"/>
      <c r="US2234" s="38"/>
      <c r="UT2234" s="38"/>
      <c r="UU2234" s="38"/>
      <c r="UV2234" s="38"/>
      <c r="UW2234" s="38"/>
      <c r="UX2234" s="38"/>
      <c r="UY2234" s="38"/>
      <c r="UZ2234" s="38"/>
      <c r="VA2234" s="38"/>
      <c r="VB2234" s="38"/>
      <c r="VC2234" s="38"/>
      <c r="VD2234" s="38"/>
      <c r="VE2234" s="38"/>
      <c r="VF2234" s="38"/>
      <c r="VG2234" s="38"/>
      <c r="VH2234" s="38"/>
      <c r="VI2234" s="38"/>
      <c r="VJ2234" s="38"/>
      <c r="VK2234" s="38"/>
      <c r="VL2234" s="38"/>
      <c r="VM2234" s="38"/>
      <c r="VN2234" s="38"/>
      <c r="VO2234" s="38"/>
      <c r="VP2234" s="38"/>
      <c r="VQ2234" s="38"/>
      <c r="VR2234" s="38"/>
      <c r="VS2234" s="38"/>
      <c r="VT2234" s="38"/>
      <c r="VU2234" s="38"/>
      <c r="VV2234" s="38"/>
      <c r="VW2234" s="38"/>
      <c r="VX2234" s="38"/>
      <c r="VY2234" s="38"/>
      <c r="VZ2234" s="38"/>
      <c r="WA2234" s="38"/>
      <c r="WB2234" s="38"/>
      <c r="WC2234" s="38"/>
      <c r="WD2234" s="38"/>
      <c r="WE2234" s="38"/>
      <c r="WF2234" s="38"/>
      <c r="WG2234" s="38"/>
      <c r="WH2234" s="38"/>
      <c r="WI2234" s="38"/>
      <c r="WJ2234" s="38"/>
      <c r="WK2234" s="38"/>
      <c r="WL2234" s="38"/>
      <c r="WM2234" s="38"/>
      <c r="WN2234" s="38"/>
      <c r="WO2234" s="38"/>
      <c r="WP2234" s="38"/>
      <c r="WQ2234" s="38"/>
      <c r="WR2234" s="38"/>
      <c r="WS2234" s="38"/>
      <c r="WT2234" s="38"/>
      <c r="WU2234" s="38"/>
      <c r="WV2234" s="38"/>
      <c r="WW2234" s="38"/>
      <c r="WX2234" s="38"/>
      <c r="WY2234" s="38"/>
      <c r="WZ2234" s="38"/>
      <c r="XA2234" s="38"/>
      <c r="XB2234" s="38"/>
      <c r="XC2234" s="38"/>
      <c r="XD2234" s="38"/>
      <c r="XE2234" s="38"/>
      <c r="XF2234" s="38"/>
      <c r="XG2234" s="38"/>
      <c r="XH2234" s="38"/>
      <c r="XI2234" s="38"/>
      <c r="XJ2234" s="38"/>
      <c r="XK2234" s="38"/>
      <c r="XL2234" s="38"/>
      <c r="XM2234" s="38"/>
      <c r="XN2234" s="38"/>
      <c r="XO2234" s="38"/>
      <c r="XP2234" s="38"/>
      <c r="XQ2234" s="38"/>
      <c r="XR2234" s="38"/>
      <c r="XS2234" s="38"/>
      <c r="XT2234" s="38"/>
      <c r="XU2234" s="38"/>
      <c r="XV2234" s="38"/>
      <c r="XW2234" s="38"/>
      <c r="XX2234" s="38"/>
      <c r="XY2234" s="38"/>
      <c r="XZ2234" s="38"/>
      <c r="YA2234" s="38"/>
      <c r="YB2234" s="38"/>
      <c r="YC2234" s="38"/>
      <c r="YD2234" s="38"/>
      <c r="YE2234" s="38"/>
      <c r="YF2234" s="38"/>
      <c r="YG2234" s="38"/>
      <c r="YH2234" s="38"/>
      <c r="YI2234" s="38"/>
      <c r="YJ2234" s="38"/>
      <c r="YK2234" s="38"/>
      <c r="YL2234" s="38"/>
      <c r="YM2234" s="38"/>
      <c r="YN2234" s="38"/>
      <c r="YO2234" s="38"/>
      <c r="YP2234" s="38"/>
      <c r="YQ2234" s="38"/>
      <c r="YR2234" s="38"/>
      <c r="YS2234" s="38"/>
      <c r="YT2234" s="38"/>
      <c r="YU2234" s="38"/>
      <c r="YV2234" s="38"/>
      <c r="YW2234" s="38"/>
      <c r="YX2234" s="38"/>
      <c r="YY2234" s="38"/>
      <c r="YZ2234" s="38"/>
      <c r="ZA2234" s="38"/>
      <c r="ZB2234" s="38"/>
      <c r="ZC2234" s="38"/>
      <c r="ZD2234" s="38"/>
      <c r="ZE2234" s="38"/>
      <c r="ZF2234" s="38"/>
      <c r="ZG2234" s="38"/>
      <c r="ZH2234" s="38"/>
      <c r="ZI2234" s="38"/>
      <c r="ZJ2234" s="38"/>
      <c r="ZK2234" s="38"/>
      <c r="ZL2234" s="38"/>
      <c r="ZM2234" s="38"/>
      <c r="ZN2234" s="38"/>
      <c r="ZO2234" s="38"/>
      <c r="ZP2234" s="38"/>
      <c r="ZQ2234" s="38"/>
      <c r="ZR2234" s="38"/>
      <c r="ZS2234" s="38"/>
      <c r="ZT2234" s="38"/>
      <c r="ZU2234" s="38"/>
      <c r="ZV2234" s="38"/>
      <c r="ZW2234" s="38"/>
      <c r="ZX2234" s="38"/>
      <c r="ZY2234" s="38"/>
      <c r="ZZ2234" s="38"/>
      <c r="AAA2234" s="38"/>
      <c r="AAB2234" s="38"/>
      <c r="AAC2234" s="38"/>
      <c r="AAD2234" s="38"/>
      <c r="AAE2234" s="38"/>
      <c r="AAF2234" s="38"/>
      <c r="AAG2234" s="38"/>
      <c r="AAH2234" s="38"/>
      <c r="AAI2234" s="38"/>
      <c r="AAJ2234" s="38"/>
      <c r="AAK2234" s="38"/>
      <c r="AAL2234" s="38"/>
      <c r="AAM2234" s="38"/>
      <c r="AAN2234" s="38"/>
      <c r="AAO2234" s="38"/>
      <c r="AAP2234" s="38"/>
      <c r="AAQ2234" s="38"/>
      <c r="AAR2234" s="38"/>
      <c r="AAS2234" s="38"/>
      <c r="AAT2234" s="38"/>
      <c r="AAU2234" s="38"/>
      <c r="AAV2234" s="38"/>
      <c r="AAW2234" s="38"/>
      <c r="AAX2234" s="38"/>
      <c r="AAY2234" s="38"/>
      <c r="AAZ2234" s="38"/>
      <c r="ABA2234" s="38"/>
      <c r="ABB2234" s="38"/>
      <c r="ABC2234" s="38"/>
      <c r="ABD2234" s="38"/>
      <c r="ABE2234" s="38"/>
      <c r="ABF2234" s="38"/>
      <c r="ABG2234" s="38"/>
      <c r="ABH2234" s="38"/>
      <c r="ABI2234" s="38"/>
      <c r="ABJ2234" s="38"/>
      <c r="ABK2234" s="38"/>
      <c r="ABL2234" s="38"/>
      <c r="ABM2234" s="38"/>
      <c r="ABN2234" s="38"/>
      <c r="ABO2234" s="38"/>
      <c r="ABP2234" s="38"/>
      <c r="ABQ2234" s="38"/>
      <c r="ABR2234" s="38"/>
      <c r="ABS2234" s="38"/>
      <c r="ABT2234" s="38"/>
      <c r="ABU2234" s="38"/>
      <c r="ABV2234" s="38"/>
      <c r="ABW2234" s="38"/>
      <c r="ABX2234" s="38"/>
      <c r="ABY2234" s="38"/>
      <c r="ABZ2234" s="38"/>
      <c r="ACA2234" s="38"/>
      <c r="ACB2234" s="38"/>
      <c r="ACC2234" s="38"/>
      <c r="ACD2234" s="38"/>
      <c r="ACE2234" s="38"/>
      <c r="ACF2234" s="38"/>
      <c r="ACG2234" s="38"/>
      <c r="ACH2234" s="38"/>
      <c r="ACI2234" s="38"/>
      <c r="ACJ2234" s="38"/>
      <c r="ACK2234" s="38"/>
      <c r="ACL2234" s="38"/>
      <c r="ACM2234" s="38"/>
      <c r="ACN2234" s="38"/>
      <c r="ACO2234" s="38"/>
      <c r="ACP2234" s="38"/>
      <c r="ACQ2234" s="38"/>
      <c r="ACR2234" s="38"/>
      <c r="ACS2234" s="38"/>
      <c r="ACT2234" s="38"/>
      <c r="ACU2234" s="38"/>
      <c r="ACV2234" s="38"/>
      <c r="ACW2234" s="38"/>
      <c r="ACX2234" s="38"/>
      <c r="ACY2234" s="38"/>
      <c r="ACZ2234" s="38"/>
      <c r="ADA2234" s="38"/>
      <c r="ADB2234" s="38"/>
      <c r="ADC2234" s="38"/>
      <c r="ADD2234" s="38"/>
      <c r="ADE2234" s="38"/>
      <c r="ADF2234" s="38"/>
      <c r="ADG2234" s="38"/>
      <c r="ADH2234" s="38"/>
      <c r="ADI2234" s="38"/>
      <c r="ADJ2234" s="38"/>
      <c r="ADK2234" s="38"/>
      <c r="ADL2234" s="38"/>
      <c r="ADM2234" s="38"/>
      <c r="ADN2234" s="38"/>
      <c r="ADO2234" s="38"/>
      <c r="ADP2234" s="38"/>
      <c r="ADQ2234" s="38"/>
      <c r="ADR2234" s="38"/>
      <c r="ADS2234" s="38"/>
      <c r="ADT2234" s="38"/>
      <c r="ADU2234" s="38"/>
      <c r="ADV2234" s="38"/>
      <c r="ADW2234" s="38"/>
      <c r="ADX2234" s="38"/>
      <c r="ADY2234" s="38"/>
      <c r="ADZ2234" s="38"/>
      <c r="AEA2234" s="38"/>
      <c r="AEB2234" s="38"/>
      <c r="AEC2234" s="38"/>
      <c r="AED2234" s="38"/>
      <c r="AEE2234" s="38"/>
      <c r="AEF2234" s="38"/>
      <c r="AEG2234" s="38"/>
      <c r="AEH2234" s="38"/>
      <c r="AEI2234" s="38"/>
      <c r="AEJ2234" s="38"/>
      <c r="AEK2234" s="38"/>
      <c r="AEL2234" s="38"/>
      <c r="AEM2234" s="38"/>
      <c r="AEN2234" s="38"/>
      <c r="AEO2234" s="38"/>
      <c r="AEP2234" s="38"/>
      <c r="AEQ2234" s="38"/>
      <c r="AER2234" s="38"/>
      <c r="AES2234" s="38"/>
      <c r="AET2234" s="38"/>
      <c r="AEU2234" s="38"/>
      <c r="AEV2234" s="38"/>
      <c r="AEW2234" s="38"/>
      <c r="AEX2234" s="38"/>
      <c r="AEY2234" s="38"/>
      <c r="AEZ2234" s="38"/>
      <c r="AFA2234" s="38"/>
      <c r="AFB2234" s="38"/>
      <c r="AFC2234" s="38"/>
      <c r="AFD2234" s="38"/>
      <c r="AFE2234" s="38"/>
      <c r="AFF2234" s="38"/>
      <c r="AFG2234" s="38"/>
      <c r="AFH2234" s="38"/>
      <c r="AFI2234" s="38"/>
      <c r="AFJ2234" s="38"/>
      <c r="AFK2234" s="38"/>
      <c r="AFL2234" s="38"/>
      <c r="AFM2234" s="38"/>
      <c r="AFN2234" s="38"/>
      <c r="AFO2234" s="38"/>
      <c r="AFP2234" s="38"/>
      <c r="AFQ2234" s="38"/>
      <c r="AFR2234" s="38"/>
      <c r="AFS2234" s="38"/>
      <c r="AFT2234" s="38"/>
      <c r="AFU2234" s="38"/>
      <c r="AFV2234" s="38"/>
      <c r="AFW2234" s="38"/>
      <c r="AFX2234" s="38"/>
      <c r="AFY2234" s="38"/>
      <c r="AFZ2234" s="38"/>
      <c r="AGA2234" s="38"/>
      <c r="AGB2234" s="38"/>
      <c r="AGC2234" s="38"/>
      <c r="AGD2234" s="38"/>
      <c r="AGE2234" s="38"/>
      <c r="AGF2234" s="38"/>
      <c r="AGG2234" s="38"/>
      <c r="AGH2234" s="38"/>
      <c r="AGI2234" s="38"/>
      <c r="AGJ2234" s="38"/>
      <c r="AGK2234" s="38"/>
      <c r="AGL2234" s="38"/>
      <c r="AGM2234" s="38"/>
      <c r="AGN2234" s="38"/>
      <c r="AGO2234" s="38"/>
      <c r="AGP2234" s="38"/>
      <c r="AGQ2234" s="38"/>
      <c r="AGR2234" s="38"/>
      <c r="AGS2234" s="38"/>
      <c r="AGT2234" s="38"/>
      <c r="AGU2234" s="38"/>
      <c r="AGV2234" s="38"/>
      <c r="AGW2234" s="38"/>
      <c r="AGX2234" s="38"/>
      <c r="AGY2234" s="38"/>
      <c r="AGZ2234" s="38"/>
      <c r="AHA2234" s="38"/>
      <c r="AHB2234" s="38"/>
      <c r="AHC2234" s="38"/>
      <c r="AHD2234" s="38"/>
      <c r="AHE2234" s="38"/>
      <c r="AHF2234" s="38"/>
      <c r="AHG2234" s="38"/>
      <c r="AHH2234" s="38"/>
      <c r="AHI2234" s="38"/>
      <c r="AHJ2234" s="38"/>
      <c r="AHK2234" s="38"/>
      <c r="AHL2234" s="38"/>
      <c r="AHM2234" s="38"/>
      <c r="AHN2234" s="38"/>
      <c r="AHO2234" s="38"/>
      <c r="AHP2234" s="38"/>
      <c r="AHQ2234" s="38"/>
      <c r="AHR2234" s="38"/>
      <c r="AHS2234" s="38"/>
      <c r="AHT2234" s="38"/>
      <c r="AHU2234" s="38"/>
      <c r="AHV2234" s="38"/>
      <c r="AHW2234" s="38"/>
      <c r="AHX2234" s="38"/>
      <c r="AHY2234" s="38"/>
      <c r="AHZ2234" s="38"/>
      <c r="AIA2234" s="38"/>
      <c r="AIB2234" s="38"/>
      <c r="AIC2234" s="38"/>
      <c r="AID2234" s="38"/>
      <c r="AIE2234" s="38"/>
      <c r="AIF2234" s="38"/>
      <c r="AIG2234" s="38"/>
      <c r="AIH2234" s="38"/>
      <c r="AII2234" s="38"/>
      <c r="AIJ2234" s="38"/>
      <c r="AIK2234" s="38"/>
      <c r="AIL2234" s="38"/>
      <c r="AIM2234" s="38"/>
      <c r="AIN2234" s="38"/>
      <c r="AIO2234" s="38"/>
      <c r="AIP2234" s="38"/>
      <c r="AIQ2234" s="38"/>
      <c r="AIR2234" s="38"/>
      <c r="AIS2234" s="38"/>
      <c r="AIT2234" s="38"/>
      <c r="AIU2234" s="38"/>
      <c r="AIV2234" s="38"/>
      <c r="AIW2234" s="38"/>
      <c r="AIX2234" s="38"/>
      <c r="AIY2234" s="38"/>
      <c r="AIZ2234" s="38"/>
      <c r="AJA2234" s="38"/>
      <c r="AJB2234" s="38"/>
      <c r="AJC2234" s="38"/>
      <c r="AJD2234" s="38"/>
      <c r="AJE2234" s="38"/>
      <c r="AJF2234" s="38"/>
      <c r="AJG2234" s="38"/>
      <c r="AJH2234" s="38"/>
      <c r="AJI2234" s="38"/>
      <c r="AJJ2234" s="38"/>
      <c r="AJK2234" s="38"/>
      <c r="AJL2234" s="38"/>
      <c r="AJM2234" s="38"/>
      <c r="AJN2234" s="38"/>
      <c r="AJO2234" s="38"/>
      <c r="AJP2234" s="38"/>
      <c r="AJQ2234" s="38"/>
      <c r="AJR2234" s="38"/>
      <c r="AJS2234" s="38"/>
      <c r="AJT2234" s="38"/>
      <c r="AJU2234" s="38"/>
      <c r="AJV2234" s="38"/>
      <c r="AJW2234" s="38"/>
      <c r="AJX2234" s="38"/>
      <c r="AJY2234" s="38"/>
      <c r="AJZ2234" s="38"/>
      <c r="AKA2234" s="38"/>
      <c r="AKB2234" s="38"/>
      <c r="AKC2234" s="38"/>
      <c r="AKD2234" s="38"/>
      <c r="AKE2234" s="38"/>
      <c r="AKF2234" s="38"/>
      <c r="AKG2234" s="38"/>
      <c r="AKH2234" s="38"/>
      <c r="AKI2234" s="38"/>
      <c r="AKJ2234" s="38"/>
      <c r="AKK2234" s="38"/>
      <c r="AKL2234" s="38"/>
      <c r="AKM2234" s="38"/>
      <c r="AKN2234" s="38"/>
      <c r="AKO2234" s="38"/>
      <c r="AKP2234" s="38"/>
      <c r="AKQ2234" s="38"/>
      <c r="AKR2234" s="38"/>
      <c r="AKS2234" s="38"/>
      <c r="AKT2234" s="38"/>
      <c r="AKU2234" s="38"/>
      <c r="AKV2234" s="38"/>
      <c r="AKW2234" s="38"/>
      <c r="AKX2234" s="38"/>
      <c r="AKY2234" s="38"/>
      <c r="AKZ2234" s="38"/>
      <c r="ALA2234" s="38"/>
      <c r="ALB2234" s="38"/>
      <c r="ALC2234" s="38"/>
      <c r="ALD2234" s="38"/>
      <c r="ALE2234" s="38"/>
      <c r="ALF2234" s="38"/>
      <c r="ALG2234" s="38"/>
      <c r="ALH2234" s="38"/>
      <c r="ALI2234" s="38"/>
      <c r="ALJ2234" s="38"/>
      <c r="ALK2234" s="38"/>
      <c r="ALL2234" s="38"/>
      <c r="ALM2234" s="38"/>
      <c r="ALN2234" s="38"/>
      <c r="ALO2234" s="38"/>
      <c r="ALP2234" s="38"/>
      <c r="ALQ2234" s="38"/>
      <c r="ALR2234" s="38"/>
      <c r="ALS2234" s="38"/>
      <c r="ALT2234" s="38"/>
      <c r="ALU2234" s="38"/>
      <c r="ALV2234" s="38"/>
      <c r="ALW2234" s="38"/>
      <c r="ALX2234" s="38"/>
      <c r="ALY2234" s="38"/>
      <c r="ALZ2234" s="38"/>
      <c r="AMA2234" s="38"/>
      <c r="AMB2234" s="38"/>
      <c r="AMC2234" s="38"/>
      <c r="AMD2234" s="38"/>
      <c r="AME2234" s="38"/>
      <c r="AMF2234" s="38"/>
      <c r="AMG2234" s="38"/>
      <c r="AMH2234" s="38"/>
      <c r="AMI2234" s="38"/>
      <c r="AMJ2234" s="38"/>
      <c r="AMK2234" s="38"/>
      <c r="AML2234" s="38"/>
      <c r="AMM2234" s="38"/>
      <c r="AMN2234" s="38"/>
      <c r="AMO2234" s="38"/>
      <c r="AMP2234" s="38"/>
      <c r="AMQ2234" s="38"/>
      <c r="AMR2234" s="38"/>
      <c r="AMS2234" s="38"/>
      <c r="AMT2234" s="38"/>
      <c r="AMU2234" s="38"/>
      <c r="AMV2234" s="38"/>
      <c r="AMW2234" s="38"/>
      <c r="AMX2234" s="38"/>
      <c r="AMY2234" s="38"/>
      <c r="AMZ2234" s="38"/>
      <c r="ANA2234" s="38"/>
      <c r="ANB2234" s="38"/>
      <c r="ANC2234" s="38"/>
      <c r="AND2234" s="38"/>
      <c r="ANE2234" s="38"/>
      <c r="ANF2234" s="38"/>
      <c r="ANG2234" s="38"/>
      <c r="ANH2234" s="38"/>
      <c r="ANI2234" s="38"/>
      <c r="ANJ2234" s="38"/>
      <c r="ANK2234" s="38"/>
      <c r="ANL2234" s="38"/>
      <c r="ANM2234" s="38"/>
      <c r="ANN2234" s="38"/>
      <c r="ANO2234" s="38"/>
      <c r="ANP2234" s="38"/>
      <c r="ANQ2234" s="38"/>
      <c r="ANR2234" s="38"/>
      <c r="ANS2234" s="38"/>
      <c r="ANT2234" s="38"/>
      <c r="ANU2234" s="38"/>
      <c r="ANV2234" s="38"/>
      <c r="ANW2234" s="38"/>
      <c r="ANX2234" s="38"/>
      <c r="ANY2234" s="38"/>
      <c r="ANZ2234" s="38"/>
      <c r="AOA2234" s="38"/>
      <c r="AOB2234" s="38"/>
      <c r="AOC2234" s="38"/>
      <c r="AOD2234" s="38"/>
      <c r="AOE2234" s="38"/>
      <c r="AOF2234" s="38"/>
      <c r="AOG2234" s="38"/>
      <c r="AOH2234" s="38"/>
      <c r="AOI2234" s="38"/>
      <c r="AOJ2234" s="38"/>
      <c r="AOK2234" s="38"/>
      <c r="AOL2234" s="38"/>
      <c r="AOM2234" s="38"/>
      <c r="AON2234" s="38"/>
      <c r="AOO2234" s="38"/>
      <c r="AOP2234" s="38"/>
      <c r="AOQ2234" s="38"/>
      <c r="AOR2234" s="38"/>
      <c r="AOS2234" s="38"/>
      <c r="AOT2234" s="38"/>
      <c r="AOU2234" s="38"/>
      <c r="AOV2234" s="38"/>
      <c r="AOW2234" s="38"/>
      <c r="AOX2234" s="38"/>
      <c r="AOY2234" s="38"/>
      <c r="AOZ2234" s="38"/>
      <c r="APA2234" s="38"/>
      <c r="APB2234" s="38"/>
      <c r="APC2234" s="38"/>
    </row>
    <row r="2235" spans="1:1095" s="36" customFormat="1" ht="14.25" customHeight="1">
      <c r="A2235" s="3" t="s">
        <v>1722</v>
      </c>
      <c r="B2235" s="36" t="s">
        <v>2723</v>
      </c>
      <c r="C2235" s="10">
        <v>4099854068980</v>
      </c>
      <c r="D2235" s="224">
        <v>4058075439856</v>
      </c>
      <c r="E2235" s="245" t="s">
        <v>2724</v>
      </c>
      <c r="F2235" s="246"/>
      <c r="G2235" s="66" t="str">
        <f>HYPERLINK("https://ledvance.com/pt/product-datasheet/251515/238871","Ficha de Produto")</f>
        <v>Ficha de Produto</v>
      </c>
      <c r="H2235" s="217">
        <v>10</v>
      </c>
      <c r="I2235" s="34" t="s">
        <v>6354</v>
      </c>
      <c r="J2235" s="34" t="s">
        <v>855</v>
      </c>
      <c r="K2235" s="34" t="s">
        <v>788</v>
      </c>
      <c r="L2235" s="34" t="s">
        <v>800</v>
      </c>
      <c r="M2235" s="247">
        <v>4.8000000000000007</v>
      </c>
      <c r="N2235" s="288" t="s">
        <v>722</v>
      </c>
    </row>
    <row r="2236" spans="1:1095" s="36" customFormat="1" ht="14.25" customHeight="1">
      <c r="A2236" s="3" t="s">
        <v>1722</v>
      </c>
      <c r="B2236" s="36" t="s">
        <v>2725</v>
      </c>
      <c r="C2236" s="10">
        <v>4099854049484</v>
      </c>
      <c r="D2236" s="224">
        <v>4052899326927</v>
      </c>
      <c r="E2236" s="245" t="s">
        <v>2726</v>
      </c>
      <c r="F2236" s="246"/>
      <c r="G2236" s="66" t="str">
        <f>HYPERLINK("https://ledvance.com/pt/product-datasheet/251775/235295","Ficha de Produto")</f>
        <v>Ficha de Produto</v>
      </c>
      <c r="H2236" s="217">
        <v>10</v>
      </c>
      <c r="I2236" s="34" t="s">
        <v>6354</v>
      </c>
      <c r="J2236" s="34" t="s">
        <v>6398</v>
      </c>
      <c r="K2236" s="34" t="s">
        <v>788</v>
      </c>
      <c r="L2236" s="34" t="s">
        <v>800</v>
      </c>
      <c r="M2236" s="247">
        <v>3.7</v>
      </c>
      <c r="N2236" s="288" t="s">
        <v>722</v>
      </c>
    </row>
    <row r="2237" spans="1:1095" s="36" customFormat="1" ht="14.25" customHeight="1">
      <c r="A2237" s="3" t="s">
        <v>1722</v>
      </c>
      <c r="B2237" s="36" t="s">
        <v>2727</v>
      </c>
      <c r="C2237" s="10">
        <v>4099854049583</v>
      </c>
      <c r="D2237" s="224">
        <v>4058075127081</v>
      </c>
      <c r="E2237" s="245" t="s">
        <v>2728</v>
      </c>
      <c r="F2237" s="246"/>
      <c r="G2237" s="66" t="str">
        <f>HYPERLINK("https://ledvance.com/pt/product-datasheet/251775/235321","Ficha de Produto")</f>
        <v>Ficha de Produto</v>
      </c>
      <c r="H2237" s="217">
        <v>10</v>
      </c>
      <c r="I2237" s="34" t="s">
        <v>6354</v>
      </c>
      <c r="J2237" s="34" t="s">
        <v>6398</v>
      </c>
      <c r="K2237" s="34" t="s">
        <v>788</v>
      </c>
      <c r="L2237" s="34" t="s">
        <v>800</v>
      </c>
      <c r="M2237" s="247">
        <v>3.7</v>
      </c>
      <c r="N2237" s="288" t="s">
        <v>722</v>
      </c>
    </row>
    <row r="2238" spans="1:1095" s="36" customFormat="1" ht="14.25" customHeight="1">
      <c r="A2238" s="3" t="s">
        <v>1722</v>
      </c>
      <c r="B2238" s="36" t="s">
        <v>2729</v>
      </c>
      <c r="C2238" s="10">
        <v>4099854049606</v>
      </c>
      <c r="D2238" s="224">
        <v>4052899971011</v>
      </c>
      <c r="E2238" s="245" t="s">
        <v>2730</v>
      </c>
      <c r="F2238" s="246"/>
      <c r="G2238" s="66" t="str">
        <f>HYPERLINK("https://ledvance.com/pt/product-datasheet/251775/235334","Ficha de Produto")</f>
        <v>Ficha de Produto</v>
      </c>
      <c r="H2238" s="217">
        <v>10</v>
      </c>
      <c r="I2238" s="34" t="s">
        <v>6354</v>
      </c>
      <c r="J2238" s="34" t="s">
        <v>6398</v>
      </c>
      <c r="K2238" s="34" t="s">
        <v>788</v>
      </c>
      <c r="L2238" s="34" t="s">
        <v>800</v>
      </c>
      <c r="M2238" s="247">
        <v>3.7</v>
      </c>
      <c r="N2238" s="288" t="s">
        <v>722</v>
      </c>
    </row>
    <row r="2239" spans="1:1095" s="36" customFormat="1" ht="14.25" customHeight="1">
      <c r="A2239" s="3" t="s">
        <v>1722</v>
      </c>
      <c r="B2239" s="36" t="s">
        <v>2731</v>
      </c>
      <c r="C2239" s="10">
        <v>4099854062520</v>
      </c>
      <c r="D2239" s="224">
        <v>4058075819658</v>
      </c>
      <c r="E2239" s="245" t="s">
        <v>2732</v>
      </c>
      <c r="F2239" s="246"/>
      <c r="G2239" s="66" t="str">
        <f>HYPERLINK("https://ledvance.com/pt/product-datasheet/251515/237578","Ficha de Produto")</f>
        <v>Ficha de Produto</v>
      </c>
      <c r="H2239" s="217">
        <v>10</v>
      </c>
      <c r="I2239" s="34" t="s">
        <v>6349</v>
      </c>
      <c r="J2239" s="34" t="s">
        <v>6367</v>
      </c>
      <c r="K2239" s="34" t="s">
        <v>788</v>
      </c>
      <c r="L2239" s="34" t="s">
        <v>800</v>
      </c>
      <c r="M2239" s="247">
        <v>5.9</v>
      </c>
      <c r="N2239" s="288" t="s">
        <v>722</v>
      </c>
    </row>
    <row r="2240" spans="1:1095" s="36" customFormat="1" ht="14.25" customHeight="1">
      <c r="A2240" s="3" t="s">
        <v>1722</v>
      </c>
      <c r="B2240" s="36" t="s">
        <v>2733</v>
      </c>
      <c r="C2240" s="10">
        <v>4099854062629</v>
      </c>
      <c r="D2240" s="224">
        <v>4058075288645</v>
      </c>
      <c r="E2240" s="245" t="s">
        <v>2734</v>
      </c>
      <c r="F2240" s="246"/>
      <c r="G2240" s="66" t="str">
        <f>HYPERLINK("https://ledvance.com/pt/product-datasheet/251515/237624","Ficha de Produto")</f>
        <v>Ficha de Produto</v>
      </c>
      <c r="H2240" s="217">
        <v>10</v>
      </c>
      <c r="I2240" s="34" t="s">
        <v>6349</v>
      </c>
      <c r="J2240" s="34" t="s">
        <v>6367</v>
      </c>
      <c r="K2240" s="34" t="s">
        <v>788</v>
      </c>
      <c r="L2240" s="34" t="s">
        <v>800</v>
      </c>
      <c r="M2240" s="247">
        <v>5.9</v>
      </c>
      <c r="N2240" s="288" t="s">
        <v>722</v>
      </c>
    </row>
    <row r="2241" spans="1:14" s="36" customFormat="1" ht="14.25" customHeight="1">
      <c r="A2241" s="3" t="s">
        <v>1722</v>
      </c>
      <c r="B2241" s="36" t="s">
        <v>2735</v>
      </c>
      <c r="C2241" s="10">
        <v>4099854049620</v>
      </c>
      <c r="D2241" s="224">
        <v>4052899326842</v>
      </c>
      <c r="E2241" s="245" t="s">
        <v>2736</v>
      </c>
      <c r="F2241" s="246"/>
      <c r="G2241" s="66" t="str">
        <f>HYPERLINK("https://ledvance.com/pt/product-datasheet/251775/235324","Ficha de Produto")</f>
        <v>Ficha de Produto</v>
      </c>
      <c r="H2241" s="217">
        <v>10</v>
      </c>
      <c r="I2241" s="34" t="s">
        <v>6349</v>
      </c>
      <c r="J2241" s="34" t="s">
        <v>6399</v>
      </c>
      <c r="K2241" s="34" t="s">
        <v>788</v>
      </c>
      <c r="L2241" s="34" t="s">
        <v>800</v>
      </c>
      <c r="M2241" s="247">
        <v>4.4000000000000004</v>
      </c>
      <c r="N2241" s="288" t="s">
        <v>722</v>
      </c>
    </row>
    <row r="2242" spans="1:14" s="36" customFormat="1" ht="14.25" customHeight="1">
      <c r="A2242" s="3" t="s">
        <v>1722</v>
      </c>
      <c r="B2242" s="36" t="s">
        <v>2737</v>
      </c>
      <c r="C2242" s="10">
        <v>4099854049187</v>
      </c>
      <c r="D2242" s="224">
        <v>4052899973381</v>
      </c>
      <c r="E2242" s="245" t="s">
        <v>2738</v>
      </c>
      <c r="F2242" s="246"/>
      <c r="G2242" s="66" t="str">
        <f>HYPERLINK("https://ledvance.com/pt/product-datasheet/251775/235379","Ficha de Produto")</f>
        <v>Ficha de Produto</v>
      </c>
      <c r="H2242" s="217">
        <v>10</v>
      </c>
      <c r="I2242" s="34" t="s">
        <v>6349</v>
      </c>
      <c r="J2242" s="34" t="s">
        <v>6399</v>
      </c>
      <c r="K2242" s="34" t="s">
        <v>788</v>
      </c>
      <c r="L2242" s="34" t="s">
        <v>800</v>
      </c>
      <c r="M2242" s="247">
        <v>4.4000000000000004</v>
      </c>
      <c r="N2242" s="288" t="s">
        <v>722</v>
      </c>
    </row>
    <row r="2243" spans="1:14" s="36" customFormat="1" ht="14.25" customHeight="1">
      <c r="A2243" s="3" t="s">
        <v>1722</v>
      </c>
      <c r="B2243" s="36" t="s">
        <v>2739</v>
      </c>
      <c r="C2243" s="10">
        <v>4099854049200</v>
      </c>
      <c r="D2243" s="224">
        <v>4052899326873</v>
      </c>
      <c r="E2243" s="245" t="s">
        <v>2740</v>
      </c>
      <c r="F2243" s="246"/>
      <c r="G2243" s="66" t="str">
        <f>HYPERLINK("https://ledvance.com/pt/product-datasheet/251775/235388","Ficha de Produto")</f>
        <v>Ficha de Produto</v>
      </c>
      <c r="H2243" s="217">
        <v>10</v>
      </c>
      <c r="I2243" s="34" t="s">
        <v>6349</v>
      </c>
      <c r="J2243" s="34" t="s">
        <v>6399</v>
      </c>
      <c r="K2243" s="34" t="s">
        <v>788</v>
      </c>
      <c r="L2243" s="34" t="s">
        <v>800</v>
      </c>
      <c r="M2243" s="247">
        <v>4.4000000000000004</v>
      </c>
      <c r="N2243" s="288" t="s">
        <v>722</v>
      </c>
    </row>
    <row r="2244" spans="1:14" s="36" customFormat="1" ht="14.25" customHeight="1">
      <c r="A2244" s="3" t="s">
        <v>1722</v>
      </c>
      <c r="B2244" s="36" t="s">
        <v>2741</v>
      </c>
      <c r="C2244" s="10">
        <v>4099854062100</v>
      </c>
      <c r="D2244" s="224">
        <v>4058075288669</v>
      </c>
      <c r="E2244" s="245" t="s">
        <v>2742</v>
      </c>
      <c r="F2244" s="246"/>
      <c r="G2244" s="66" t="str">
        <f>HYPERLINK("https://ledvance.com/pt/product-datasheet/251515/237458","Ficha de Produto")</f>
        <v>Ficha de Produto</v>
      </c>
      <c r="H2244" s="217">
        <v>10</v>
      </c>
      <c r="I2244" s="34" t="s">
        <v>6351</v>
      </c>
      <c r="J2244" s="34" t="s">
        <v>6292</v>
      </c>
      <c r="K2244" s="34" t="s">
        <v>788</v>
      </c>
      <c r="L2244" s="34" t="s">
        <v>800</v>
      </c>
      <c r="M2244" s="247">
        <v>7.5</v>
      </c>
      <c r="N2244" s="288" t="s">
        <v>722</v>
      </c>
    </row>
    <row r="2245" spans="1:14" s="36" customFormat="1" ht="14.25" customHeight="1">
      <c r="A2245" s="3" t="s">
        <v>1722</v>
      </c>
      <c r="B2245" s="36" t="s">
        <v>2743</v>
      </c>
      <c r="C2245" s="10">
        <v>4099854062902</v>
      </c>
      <c r="D2245" s="224">
        <v>4058075288683</v>
      </c>
      <c r="E2245" s="245" t="s">
        <v>2744</v>
      </c>
      <c r="F2245" s="246"/>
      <c r="G2245" s="66" t="str">
        <f>HYPERLINK("https://ledvance.com/pt/product-datasheet/251515/237664","Ficha de Produto")</f>
        <v>Ficha de Produto</v>
      </c>
      <c r="H2245" s="217">
        <v>10</v>
      </c>
      <c r="I2245" s="34" t="s">
        <v>6351</v>
      </c>
      <c r="J2245" s="34" t="s">
        <v>6292</v>
      </c>
      <c r="K2245" s="34" t="s">
        <v>788</v>
      </c>
      <c r="L2245" s="34" t="s">
        <v>800</v>
      </c>
      <c r="M2245" s="247">
        <v>7.5</v>
      </c>
      <c r="N2245" s="288" t="s">
        <v>722</v>
      </c>
    </row>
    <row r="2246" spans="1:14" s="36" customFormat="1" ht="14.25" customHeight="1">
      <c r="A2246" s="3" t="s">
        <v>1722</v>
      </c>
      <c r="B2246" s="36" t="s">
        <v>2745</v>
      </c>
      <c r="C2246" s="10">
        <v>4099854048807</v>
      </c>
      <c r="D2246" s="224">
        <v>4052899971028</v>
      </c>
      <c r="E2246" s="245" t="s">
        <v>2746</v>
      </c>
      <c r="F2246" s="246"/>
      <c r="G2246" s="66" t="str">
        <f>HYPERLINK("https://ledvance.com/pt/product-datasheet/251775/235406","Ficha de Produto")</f>
        <v>Ficha de Produto</v>
      </c>
      <c r="H2246" s="217">
        <v>10</v>
      </c>
      <c r="I2246" s="34" t="s">
        <v>6351</v>
      </c>
      <c r="J2246" s="34" t="s">
        <v>859</v>
      </c>
      <c r="K2246" s="34" t="s">
        <v>788</v>
      </c>
      <c r="L2246" s="34" t="s">
        <v>800</v>
      </c>
      <c r="M2246" s="247">
        <v>5.4</v>
      </c>
      <c r="N2246" s="288" t="s">
        <v>722</v>
      </c>
    </row>
    <row r="2247" spans="1:14" s="36" customFormat="1" ht="14.25" customHeight="1">
      <c r="A2247" s="3" t="s">
        <v>1722</v>
      </c>
      <c r="B2247" s="36" t="s">
        <v>2747</v>
      </c>
      <c r="C2247" s="10">
        <v>4099854048883</v>
      </c>
      <c r="D2247" s="224">
        <v>4052899973404</v>
      </c>
      <c r="E2247" s="245" t="s">
        <v>2748</v>
      </c>
      <c r="F2247" s="246"/>
      <c r="G2247" s="66" t="str">
        <f>HYPERLINK("https://ledvance.com/pt/product-datasheet/251775/235439","Ficha de Produto")</f>
        <v>Ficha de Produto</v>
      </c>
      <c r="H2247" s="217">
        <v>10</v>
      </c>
      <c r="I2247" s="34" t="s">
        <v>6351</v>
      </c>
      <c r="J2247" s="34" t="s">
        <v>859</v>
      </c>
      <c r="K2247" s="34" t="s">
        <v>788</v>
      </c>
      <c r="L2247" s="34" t="s">
        <v>800</v>
      </c>
      <c r="M2247" s="247">
        <v>5.4</v>
      </c>
      <c r="N2247" s="288" t="s">
        <v>722</v>
      </c>
    </row>
    <row r="2248" spans="1:14" s="36" customFormat="1" ht="14.25" customHeight="1">
      <c r="A2248" s="3" t="s">
        <v>1722</v>
      </c>
      <c r="B2248" s="36" t="s">
        <v>2749</v>
      </c>
      <c r="C2248" s="10">
        <v>4099854069062</v>
      </c>
      <c r="D2248" s="224">
        <v>4058075438514</v>
      </c>
      <c r="E2248" s="245" t="s">
        <v>2750</v>
      </c>
      <c r="F2248" s="246"/>
      <c r="G2248" s="66" t="str">
        <f>HYPERLINK("https://ledvance.com/pt/product-datasheet/251515/238868","Ficha de Produto")</f>
        <v>Ficha de Produto</v>
      </c>
      <c r="H2248" s="217">
        <v>10</v>
      </c>
      <c r="I2248" s="34" t="s">
        <v>6352</v>
      </c>
      <c r="J2248" s="34" t="s">
        <v>1053</v>
      </c>
      <c r="K2248" s="34" t="s">
        <v>788</v>
      </c>
      <c r="L2248" s="34" t="s">
        <v>800</v>
      </c>
      <c r="M2248" s="247">
        <v>11.3</v>
      </c>
      <c r="N2248" s="288" t="s">
        <v>722</v>
      </c>
    </row>
    <row r="2249" spans="1:14" s="36" customFormat="1" ht="14.25" customHeight="1">
      <c r="A2249" s="3" t="s">
        <v>1722</v>
      </c>
      <c r="B2249" s="36" t="s">
        <v>2751</v>
      </c>
      <c r="C2249" s="10">
        <v>4099854069048</v>
      </c>
      <c r="D2249" s="224">
        <v>4058075439597</v>
      </c>
      <c r="E2249" s="245" t="s">
        <v>2752</v>
      </c>
      <c r="F2249" s="246"/>
      <c r="G2249" s="66" t="str">
        <f>HYPERLINK("https://ledvance.com/pt/product-datasheet/251515/238877","Ficha de Produto")</f>
        <v>Ficha de Produto</v>
      </c>
      <c r="H2249" s="217">
        <v>10</v>
      </c>
      <c r="I2249" s="34" t="s">
        <v>6352</v>
      </c>
      <c r="J2249" s="34" t="s">
        <v>1053</v>
      </c>
      <c r="K2249" s="34" t="s">
        <v>788</v>
      </c>
      <c r="L2249" s="34" t="s">
        <v>800</v>
      </c>
      <c r="M2249" s="247">
        <v>11.3</v>
      </c>
      <c r="N2249" s="288" t="s">
        <v>722</v>
      </c>
    </row>
    <row r="2250" spans="1:14" s="36" customFormat="1" ht="14.25" customHeight="1">
      <c r="A2250" s="3" t="s">
        <v>1722</v>
      </c>
      <c r="B2250" s="36" t="s">
        <v>2753</v>
      </c>
      <c r="C2250" s="10">
        <v>4099854048906</v>
      </c>
      <c r="D2250" s="224">
        <v>4052899971097</v>
      </c>
      <c r="E2250" s="245" t="s">
        <v>2754</v>
      </c>
      <c r="F2250" s="246"/>
      <c r="G2250" s="66" t="str">
        <f>HYPERLINK("https://ledvance.com/pt/product-datasheet/251775/235480","Ficha de Produto")</f>
        <v>Ficha de Produto</v>
      </c>
      <c r="H2250" s="217">
        <v>10</v>
      </c>
      <c r="I2250" s="34" t="s">
        <v>6352</v>
      </c>
      <c r="J2250" s="34" t="s">
        <v>771</v>
      </c>
      <c r="K2250" s="34" t="s">
        <v>788</v>
      </c>
      <c r="L2250" s="34" t="s">
        <v>800</v>
      </c>
      <c r="M2250" s="247">
        <v>7.8000000000000007</v>
      </c>
      <c r="N2250" s="288" t="s">
        <v>722</v>
      </c>
    </row>
    <row r="2251" spans="1:14" s="36" customFormat="1" ht="14.25" customHeight="1">
      <c r="A2251" s="3" t="s">
        <v>1722</v>
      </c>
      <c r="B2251" s="36" t="s">
        <v>2755</v>
      </c>
      <c r="C2251" s="10">
        <v>4099854049002</v>
      </c>
      <c r="D2251" s="224">
        <v>4052899973428</v>
      </c>
      <c r="E2251" s="245" t="s">
        <v>2756</v>
      </c>
      <c r="F2251" s="246"/>
      <c r="G2251" s="66" t="str">
        <f>HYPERLINK("https://ledvance.com/pt/product-datasheet/251775/235526","Ficha de Produto")</f>
        <v>Ficha de Produto</v>
      </c>
      <c r="H2251" s="217">
        <v>10</v>
      </c>
      <c r="I2251" s="34" t="s">
        <v>6352</v>
      </c>
      <c r="J2251" s="34" t="s">
        <v>771</v>
      </c>
      <c r="K2251" s="34" t="s">
        <v>788</v>
      </c>
      <c r="L2251" s="34" t="s">
        <v>800</v>
      </c>
      <c r="M2251" s="247">
        <v>7.8000000000000007</v>
      </c>
      <c r="N2251" s="288" t="s">
        <v>722</v>
      </c>
    </row>
    <row r="2252" spans="1:14" s="36" customFormat="1" ht="14.25" customHeight="1">
      <c r="A2252" s="3" t="s">
        <v>1722</v>
      </c>
      <c r="B2252" s="36" t="s">
        <v>2757</v>
      </c>
      <c r="C2252" s="10">
        <v>4099854049026</v>
      </c>
      <c r="D2252" s="224">
        <v>4052899971042</v>
      </c>
      <c r="E2252" s="245" t="s">
        <v>2758</v>
      </c>
      <c r="F2252" s="246"/>
      <c r="G2252" s="66" t="str">
        <f>HYPERLINK("https://ledvance.com/pt/product-datasheet/251775/235424","Ficha de Produto")</f>
        <v>Ficha de Produto</v>
      </c>
      <c r="H2252" s="217">
        <v>10</v>
      </c>
      <c r="I2252" s="34" t="s">
        <v>6352</v>
      </c>
      <c r="J2252" s="34" t="s">
        <v>771</v>
      </c>
      <c r="K2252" s="34" t="s">
        <v>788</v>
      </c>
      <c r="L2252" s="34" t="s">
        <v>800</v>
      </c>
      <c r="M2252" s="247">
        <v>7.8000000000000007</v>
      </c>
      <c r="N2252" s="288" t="s">
        <v>722</v>
      </c>
    </row>
    <row r="2253" spans="1:14" s="36" customFormat="1" ht="14.25" customHeight="1">
      <c r="A2253" s="3" t="s">
        <v>1722</v>
      </c>
      <c r="B2253" s="36" t="s">
        <v>2759</v>
      </c>
      <c r="C2253" s="10">
        <v>4099854069871</v>
      </c>
      <c r="D2253" s="224">
        <v>4058075438637</v>
      </c>
      <c r="E2253" s="245" t="s">
        <v>2760</v>
      </c>
      <c r="F2253" s="246"/>
      <c r="G2253" s="66" t="str">
        <f>HYPERLINK("https://ledvance.com/pt/product-datasheet/251517/238865","Ficha de Produto")</f>
        <v>Ficha de Produto</v>
      </c>
      <c r="H2253" s="217">
        <v>10</v>
      </c>
      <c r="I2253" s="34" t="s">
        <v>6354</v>
      </c>
      <c r="J2253" s="34" t="s">
        <v>855</v>
      </c>
      <c r="K2253" s="34" t="s">
        <v>788</v>
      </c>
      <c r="L2253" s="34" t="s">
        <v>800</v>
      </c>
      <c r="M2253" s="247">
        <v>4.8000000000000007</v>
      </c>
      <c r="N2253" s="288" t="s">
        <v>722</v>
      </c>
    </row>
    <row r="2254" spans="1:14" s="36" customFormat="1" ht="14.25" customHeight="1">
      <c r="A2254" s="3" t="s">
        <v>1722</v>
      </c>
      <c r="B2254" s="36" t="s">
        <v>2761</v>
      </c>
      <c r="C2254" s="10">
        <v>4099854049323</v>
      </c>
      <c r="D2254" s="224">
        <v>4052899326453</v>
      </c>
      <c r="E2254" s="245" t="s">
        <v>2762</v>
      </c>
      <c r="F2254" s="246"/>
      <c r="G2254" s="66" t="str">
        <f>HYPERLINK("https://ledvance.com/pt/product-datasheet/251777/235523","Ficha de Produto")</f>
        <v>Ficha de Produto</v>
      </c>
      <c r="H2254" s="217">
        <v>10</v>
      </c>
      <c r="I2254" s="34" t="s">
        <v>6354</v>
      </c>
      <c r="J2254" s="34" t="s">
        <v>6398</v>
      </c>
      <c r="K2254" s="34" t="s">
        <v>788</v>
      </c>
      <c r="L2254" s="34" t="s">
        <v>800</v>
      </c>
      <c r="M2254" s="247">
        <v>4.3</v>
      </c>
      <c r="N2254" s="288" t="s">
        <v>722</v>
      </c>
    </row>
    <row r="2255" spans="1:14" s="36" customFormat="1" ht="14.25" customHeight="1">
      <c r="A2255" s="3" t="s">
        <v>1722</v>
      </c>
      <c r="B2255" s="36" t="s">
        <v>2763</v>
      </c>
      <c r="C2255" s="10">
        <v>4099854049347</v>
      </c>
      <c r="D2255" s="224">
        <v>4052899973367</v>
      </c>
      <c r="E2255" s="245" t="s">
        <v>2764</v>
      </c>
      <c r="F2255" s="246"/>
      <c r="G2255" s="66" t="str">
        <f>HYPERLINK("https://ledvance.com/pt/product-datasheet/251777/235545","Ficha de Produto")</f>
        <v>Ficha de Produto</v>
      </c>
      <c r="H2255" s="217">
        <v>10</v>
      </c>
      <c r="I2255" s="34" t="s">
        <v>6354</v>
      </c>
      <c r="J2255" s="34" t="s">
        <v>6398</v>
      </c>
      <c r="K2255" s="34" t="s">
        <v>788</v>
      </c>
      <c r="L2255" s="34" t="s">
        <v>800</v>
      </c>
      <c r="M2255" s="247">
        <v>4.3</v>
      </c>
      <c r="N2255" s="288" t="s">
        <v>722</v>
      </c>
    </row>
    <row r="2256" spans="1:14" s="36" customFormat="1" ht="14.25" customHeight="1">
      <c r="A2256" s="3" t="s">
        <v>1722</v>
      </c>
      <c r="B2256" s="36" t="s">
        <v>2765</v>
      </c>
      <c r="C2256" s="10">
        <v>4099854049361</v>
      </c>
      <c r="D2256" s="224">
        <v>4052899971066</v>
      </c>
      <c r="E2256" s="245" t="s">
        <v>2766</v>
      </c>
      <c r="F2256" s="246"/>
      <c r="G2256" s="66" t="str">
        <f>HYPERLINK("https://ledvance.com/pt/product-datasheet/251777/235551","Ficha de Produto")</f>
        <v>Ficha de Produto</v>
      </c>
      <c r="H2256" s="217">
        <v>10</v>
      </c>
      <c r="I2256" s="34" t="s">
        <v>6354</v>
      </c>
      <c r="J2256" s="34" t="s">
        <v>6398</v>
      </c>
      <c r="K2256" s="34" t="s">
        <v>788</v>
      </c>
      <c r="L2256" s="34" t="s">
        <v>800</v>
      </c>
      <c r="M2256" s="247">
        <v>4.3</v>
      </c>
      <c r="N2256" s="288" t="s">
        <v>722</v>
      </c>
    </row>
    <row r="2257" spans="1:1095" s="36" customFormat="1" ht="14.25" customHeight="1">
      <c r="A2257" s="3" t="s">
        <v>1722</v>
      </c>
      <c r="B2257" s="36" t="s">
        <v>2767</v>
      </c>
      <c r="C2257" s="10">
        <v>4099854049262</v>
      </c>
      <c r="D2257" s="224">
        <v>4058075152915</v>
      </c>
      <c r="E2257" s="245" t="s">
        <v>2768</v>
      </c>
      <c r="F2257" s="246"/>
      <c r="G2257" s="66" t="str">
        <f>HYPERLINK("https://ledvance.com/pt/product-datasheet/251777/235563","Ficha de Produto")</f>
        <v>Ficha de Produto</v>
      </c>
      <c r="H2257" s="217">
        <v>10</v>
      </c>
      <c r="I2257" s="34" t="s">
        <v>6349</v>
      </c>
      <c r="J2257" s="34" t="s">
        <v>6292</v>
      </c>
      <c r="K2257" s="34" t="s">
        <v>788</v>
      </c>
      <c r="L2257" s="34" t="s">
        <v>800</v>
      </c>
      <c r="M2257" s="247">
        <v>5.4</v>
      </c>
      <c r="N2257" s="288" t="s">
        <v>722</v>
      </c>
    </row>
    <row r="2258" spans="1:1095" s="36" customFormat="1" ht="14.25" customHeight="1">
      <c r="A2258" s="3" t="s">
        <v>1722</v>
      </c>
      <c r="B2258" s="36" t="s">
        <v>2769</v>
      </c>
      <c r="C2258" s="10">
        <v>4099854069024</v>
      </c>
      <c r="D2258" s="224">
        <v>4058075438590</v>
      </c>
      <c r="E2258" s="245" t="s">
        <v>2770</v>
      </c>
      <c r="F2258" s="246"/>
      <c r="G2258" s="66" t="str">
        <f>HYPERLINK("https://ledvance.com/pt/product-datasheet/251519/238862","Ficha de Produto")</f>
        <v>Ficha de Produto</v>
      </c>
      <c r="H2258" s="217">
        <v>10</v>
      </c>
      <c r="I2258" s="34" t="s">
        <v>6354</v>
      </c>
      <c r="J2258" s="34" t="s">
        <v>855</v>
      </c>
      <c r="K2258" s="34" t="s">
        <v>788</v>
      </c>
      <c r="L2258" s="34" t="s">
        <v>800</v>
      </c>
      <c r="M2258" s="247">
        <v>4.8000000000000007</v>
      </c>
      <c r="N2258" s="288" t="s">
        <v>722</v>
      </c>
    </row>
    <row r="2259" spans="1:1095" s="36" customFormat="1" ht="14.25" customHeight="1">
      <c r="A2259" s="3" t="s">
        <v>1722</v>
      </c>
      <c r="B2259" s="36" t="s">
        <v>2771</v>
      </c>
      <c r="C2259" s="10">
        <v>4099854049408</v>
      </c>
      <c r="D2259" s="224">
        <v>4058075147898</v>
      </c>
      <c r="E2259" s="245" t="s">
        <v>2772</v>
      </c>
      <c r="F2259" s="246"/>
      <c r="G2259" s="66" t="str">
        <f>HYPERLINK("https://ledvance.com/pt/product-datasheet/251779/235599","Ficha de Produto")</f>
        <v>Ficha de Produto</v>
      </c>
      <c r="H2259" s="217">
        <v>10</v>
      </c>
      <c r="I2259" s="34" t="s">
        <v>6354</v>
      </c>
      <c r="J2259" s="34" t="s">
        <v>6398</v>
      </c>
      <c r="K2259" s="34" t="s">
        <v>788</v>
      </c>
      <c r="L2259" s="34" t="s">
        <v>800</v>
      </c>
      <c r="M2259" s="247">
        <v>4.3</v>
      </c>
      <c r="N2259" s="288" t="s">
        <v>722</v>
      </c>
    </row>
    <row r="2260" spans="1:1095" s="36" customFormat="1" ht="14.25" customHeight="1">
      <c r="A2260" s="3" t="s">
        <v>1722</v>
      </c>
      <c r="B2260" s="36" t="s">
        <v>2773</v>
      </c>
      <c r="C2260" s="10">
        <v>4099854049422</v>
      </c>
      <c r="D2260" s="224">
        <v>4058075147911</v>
      </c>
      <c r="E2260" s="245" t="s">
        <v>2774</v>
      </c>
      <c r="F2260" s="246"/>
      <c r="G2260" s="66" t="str">
        <f>HYPERLINK("https://ledvance.com/pt/product-datasheet/251779/235611","Ficha de Produto")</f>
        <v>Ficha de Produto</v>
      </c>
      <c r="H2260" s="217">
        <v>10</v>
      </c>
      <c r="I2260" s="34" t="s">
        <v>6354</v>
      </c>
      <c r="J2260" s="34" t="s">
        <v>6398</v>
      </c>
      <c r="K2260" s="34" t="s">
        <v>788</v>
      </c>
      <c r="L2260" s="34" t="s">
        <v>800</v>
      </c>
      <c r="M2260" s="247">
        <v>4.3</v>
      </c>
      <c r="N2260" s="288" t="s">
        <v>722</v>
      </c>
    </row>
    <row r="2261" spans="1:1095" s="36" customFormat="1" ht="14.25" customHeight="1">
      <c r="A2261" s="3" t="s">
        <v>1722</v>
      </c>
      <c r="B2261" s="36" t="s">
        <v>2775</v>
      </c>
      <c r="C2261" s="10">
        <v>4099854049446</v>
      </c>
      <c r="D2261" s="224">
        <v>4058075127630</v>
      </c>
      <c r="E2261" s="245" t="s">
        <v>2776</v>
      </c>
      <c r="F2261" s="246"/>
      <c r="G2261" s="66" t="str">
        <f>HYPERLINK("https://ledvance.com/pt/product-datasheet/251779/235617","Ficha de Produto")</f>
        <v>Ficha de Produto</v>
      </c>
      <c r="H2261" s="217">
        <v>10</v>
      </c>
      <c r="I2261" s="34" t="s">
        <v>6354</v>
      </c>
      <c r="J2261" s="34" t="s">
        <v>6398</v>
      </c>
      <c r="K2261" s="34" t="s">
        <v>788</v>
      </c>
      <c r="L2261" s="34" t="s">
        <v>800</v>
      </c>
      <c r="M2261" s="247">
        <v>4.3</v>
      </c>
      <c r="N2261" s="288" t="s">
        <v>722</v>
      </c>
    </row>
    <row r="2262" spans="1:1095" s="36" customFormat="1" ht="14.25" customHeight="1">
      <c r="A2262" s="3" t="s">
        <v>1722</v>
      </c>
      <c r="B2262" s="36" t="s">
        <v>2777</v>
      </c>
      <c r="C2262" s="10">
        <v>4099854049224</v>
      </c>
      <c r="D2262" s="224">
        <v>4058075152939</v>
      </c>
      <c r="E2262" s="245" t="s">
        <v>2778</v>
      </c>
      <c r="F2262" s="246"/>
      <c r="G2262" s="66" t="str">
        <f>HYPERLINK("https://ledvance.com/pt/product-datasheet/251779/235638","Ficha de Produto")</f>
        <v>Ficha de Produto</v>
      </c>
      <c r="H2262" s="217">
        <v>10</v>
      </c>
      <c r="I2262" s="34" t="s">
        <v>6349</v>
      </c>
      <c r="J2262" s="34" t="s">
        <v>6292</v>
      </c>
      <c r="K2262" s="34" t="s">
        <v>788</v>
      </c>
      <c r="L2262" s="34" t="s">
        <v>800</v>
      </c>
      <c r="M2262" s="247">
        <v>5.4</v>
      </c>
      <c r="N2262" s="288" t="s">
        <v>722</v>
      </c>
    </row>
    <row r="2263" spans="1:1095" s="39" customFormat="1" ht="14.25" customHeight="1">
      <c r="A2263" s="8" t="s">
        <v>1722</v>
      </c>
      <c r="B2263" s="244" t="s">
        <v>2779</v>
      </c>
      <c r="C2263" s="8"/>
      <c r="D2263" s="7"/>
      <c r="E2263" s="230"/>
      <c r="F2263" s="7"/>
      <c r="G2263" s="68" t="s">
        <v>6505</v>
      </c>
      <c r="H2263" s="230"/>
      <c r="I2263" s="230"/>
      <c r="J2263" s="230"/>
      <c r="K2263" s="230"/>
      <c r="L2263" s="230"/>
      <c r="M2263" s="248"/>
      <c r="N2263" s="289"/>
      <c r="O2263" s="38"/>
      <c r="P2263" s="38"/>
      <c r="Q2263" s="38"/>
      <c r="R2263" s="38"/>
      <c r="S2263" s="38"/>
      <c r="T2263" s="38"/>
      <c r="U2263" s="38"/>
      <c r="V2263" s="38"/>
      <c r="W2263" s="38"/>
      <c r="X2263" s="38"/>
      <c r="Y2263" s="38"/>
      <c r="Z2263" s="38"/>
      <c r="AA2263" s="38"/>
      <c r="AB2263" s="38"/>
      <c r="AC2263" s="38"/>
      <c r="AD2263" s="38"/>
      <c r="AE2263" s="38"/>
      <c r="AF2263" s="38"/>
      <c r="AG2263" s="38"/>
      <c r="AH2263" s="38"/>
      <c r="AI2263" s="38"/>
      <c r="AJ2263" s="38"/>
      <c r="AK2263" s="38"/>
      <c r="AL2263" s="38"/>
      <c r="AM2263" s="38"/>
      <c r="AN2263" s="38"/>
      <c r="AO2263" s="38"/>
      <c r="AP2263" s="38"/>
      <c r="AQ2263" s="38"/>
      <c r="AR2263" s="38"/>
      <c r="AS2263" s="38"/>
      <c r="AT2263" s="38"/>
      <c r="AU2263" s="38"/>
      <c r="AV2263" s="38"/>
      <c r="AW2263" s="38"/>
      <c r="AX2263" s="38"/>
      <c r="AY2263" s="38"/>
      <c r="AZ2263" s="38"/>
      <c r="BA2263" s="38"/>
      <c r="BB2263" s="38"/>
      <c r="BC2263" s="38"/>
      <c r="BD2263" s="38"/>
      <c r="BE2263" s="38"/>
      <c r="BF2263" s="38"/>
      <c r="BG2263" s="38"/>
      <c r="BH2263" s="38"/>
      <c r="BI2263" s="38"/>
      <c r="BJ2263" s="38"/>
      <c r="BK2263" s="38"/>
      <c r="BL2263" s="38"/>
      <c r="BM2263" s="38"/>
      <c r="BN2263" s="38"/>
      <c r="BO2263" s="38"/>
      <c r="BP2263" s="38"/>
      <c r="BQ2263" s="38"/>
      <c r="BR2263" s="38"/>
      <c r="BS2263" s="38"/>
      <c r="BT2263" s="38"/>
      <c r="BU2263" s="38"/>
      <c r="BV2263" s="38"/>
      <c r="BW2263" s="38"/>
      <c r="BX2263" s="38"/>
      <c r="BY2263" s="38"/>
      <c r="BZ2263" s="38"/>
      <c r="CA2263" s="38"/>
      <c r="CB2263" s="38"/>
      <c r="CC2263" s="38"/>
      <c r="CD2263" s="38"/>
      <c r="CE2263" s="38"/>
      <c r="CF2263" s="38"/>
      <c r="CG2263" s="38"/>
      <c r="CH2263" s="38"/>
      <c r="CI2263" s="38"/>
      <c r="CJ2263" s="38"/>
      <c r="CK2263" s="38"/>
      <c r="CL2263" s="38"/>
      <c r="CM2263" s="38"/>
      <c r="CN2263" s="38"/>
      <c r="CO2263" s="38"/>
      <c r="CP2263" s="38"/>
      <c r="CQ2263" s="38"/>
      <c r="CR2263" s="38"/>
      <c r="CS2263" s="38"/>
      <c r="CT2263" s="38"/>
      <c r="CU2263" s="38"/>
      <c r="CV2263" s="38"/>
      <c r="CW2263" s="38"/>
      <c r="CX2263" s="38"/>
      <c r="CY2263" s="38"/>
      <c r="CZ2263" s="38"/>
      <c r="DA2263" s="38"/>
      <c r="DB2263" s="38"/>
      <c r="DC2263" s="38"/>
      <c r="DD2263" s="38"/>
      <c r="DE2263" s="38"/>
      <c r="DF2263" s="38"/>
      <c r="DG2263" s="38"/>
      <c r="DH2263" s="38"/>
      <c r="DI2263" s="38"/>
      <c r="DJ2263" s="38"/>
      <c r="DK2263" s="38"/>
      <c r="DL2263" s="38"/>
      <c r="DM2263" s="38"/>
      <c r="DN2263" s="38"/>
      <c r="DO2263" s="38"/>
      <c r="DP2263" s="38"/>
      <c r="DQ2263" s="38"/>
      <c r="DR2263" s="38"/>
      <c r="DS2263" s="38"/>
      <c r="DT2263" s="38"/>
      <c r="DU2263" s="38"/>
      <c r="DV2263" s="38"/>
      <c r="DW2263" s="38"/>
      <c r="DX2263" s="38"/>
      <c r="DY2263" s="38"/>
      <c r="DZ2263" s="38"/>
      <c r="EA2263" s="38"/>
      <c r="EB2263" s="38"/>
      <c r="EC2263" s="38"/>
      <c r="ED2263" s="38"/>
      <c r="EE2263" s="38"/>
      <c r="EF2263" s="38"/>
      <c r="EG2263" s="38"/>
      <c r="EH2263" s="38"/>
      <c r="EI2263" s="38"/>
      <c r="EJ2263" s="38"/>
      <c r="EK2263" s="38"/>
      <c r="EL2263" s="38"/>
      <c r="EM2263" s="38"/>
      <c r="EN2263" s="38"/>
      <c r="EO2263" s="38"/>
      <c r="EP2263" s="38"/>
      <c r="EQ2263" s="38"/>
      <c r="ER2263" s="38"/>
      <c r="ES2263" s="38"/>
      <c r="ET2263" s="38"/>
      <c r="EU2263" s="38"/>
      <c r="EV2263" s="38"/>
      <c r="EW2263" s="38"/>
      <c r="EX2263" s="38"/>
      <c r="EY2263" s="38"/>
      <c r="EZ2263" s="38"/>
      <c r="FA2263" s="38"/>
      <c r="FB2263" s="38"/>
      <c r="FC2263" s="38"/>
      <c r="FD2263" s="38"/>
      <c r="FE2263" s="38"/>
      <c r="FF2263" s="38"/>
      <c r="FG2263" s="38"/>
      <c r="FH2263" s="38"/>
      <c r="FI2263" s="38"/>
      <c r="FJ2263" s="38"/>
      <c r="FK2263" s="38"/>
      <c r="FL2263" s="38"/>
      <c r="FM2263" s="38"/>
      <c r="FN2263" s="38"/>
      <c r="FO2263" s="38"/>
      <c r="FP2263" s="38"/>
      <c r="FQ2263" s="38"/>
      <c r="FR2263" s="38"/>
      <c r="FS2263" s="38"/>
      <c r="FT2263" s="38"/>
      <c r="FU2263" s="38"/>
      <c r="FV2263" s="38"/>
      <c r="FW2263" s="38"/>
      <c r="FX2263" s="38"/>
      <c r="FY2263" s="38"/>
      <c r="FZ2263" s="38"/>
      <c r="GA2263" s="38"/>
      <c r="GB2263" s="38"/>
      <c r="GC2263" s="38"/>
      <c r="GD2263" s="38"/>
      <c r="GE2263" s="38"/>
      <c r="GF2263" s="38"/>
      <c r="GG2263" s="38"/>
      <c r="GH2263" s="38"/>
      <c r="GI2263" s="38"/>
      <c r="GJ2263" s="38"/>
      <c r="GK2263" s="38"/>
      <c r="GL2263" s="38"/>
      <c r="GM2263" s="38"/>
      <c r="GN2263" s="38"/>
      <c r="GO2263" s="38"/>
      <c r="GP2263" s="38"/>
      <c r="GQ2263" s="38"/>
      <c r="GR2263" s="38"/>
      <c r="GS2263" s="38"/>
      <c r="GT2263" s="38"/>
      <c r="GU2263" s="38"/>
      <c r="GV2263" s="38"/>
      <c r="GW2263" s="38"/>
      <c r="GX2263" s="38"/>
      <c r="GY2263" s="38"/>
      <c r="GZ2263" s="38"/>
      <c r="HA2263" s="38"/>
      <c r="HB2263" s="38"/>
      <c r="HC2263" s="38"/>
      <c r="HD2263" s="38"/>
      <c r="HE2263" s="38"/>
      <c r="HF2263" s="38"/>
      <c r="HG2263" s="38"/>
      <c r="HH2263" s="38"/>
      <c r="HI2263" s="38"/>
      <c r="HJ2263" s="38"/>
      <c r="HK2263" s="38"/>
      <c r="HL2263" s="38"/>
      <c r="HM2263" s="38"/>
      <c r="HN2263" s="38"/>
      <c r="HO2263" s="38"/>
      <c r="HP2263" s="38"/>
      <c r="HQ2263" s="38"/>
      <c r="HR2263" s="38"/>
      <c r="HS2263" s="38"/>
      <c r="HT2263" s="38"/>
      <c r="HU2263" s="38"/>
      <c r="HV2263" s="38"/>
      <c r="HW2263" s="38"/>
      <c r="HX2263" s="38"/>
      <c r="HY2263" s="38"/>
      <c r="HZ2263" s="38"/>
      <c r="IA2263" s="38"/>
      <c r="IB2263" s="38"/>
      <c r="IC2263" s="38"/>
      <c r="ID2263" s="38"/>
      <c r="IE2263" s="38"/>
      <c r="IF2263" s="38"/>
      <c r="IG2263" s="38"/>
      <c r="IH2263" s="38"/>
      <c r="II2263" s="38"/>
      <c r="IJ2263" s="38"/>
      <c r="IK2263" s="38"/>
      <c r="IL2263" s="38"/>
      <c r="IM2263" s="38"/>
      <c r="IN2263" s="38"/>
      <c r="IO2263" s="38"/>
      <c r="IP2263" s="38"/>
      <c r="IQ2263" s="38"/>
      <c r="IR2263" s="38"/>
      <c r="IS2263" s="38"/>
      <c r="IT2263" s="38"/>
      <c r="IU2263" s="38"/>
      <c r="IV2263" s="38"/>
      <c r="IW2263" s="38"/>
      <c r="IX2263" s="38"/>
      <c r="IY2263" s="38"/>
      <c r="IZ2263" s="38"/>
      <c r="JA2263" s="38"/>
      <c r="JB2263" s="38"/>
      <c r="JC2263" s="38"/>
      <c r="JD2263" s="38"/>
      <c r="JE2263" s="38"/>
      <c r="JF2263" s="38"/>
      <c r="JG2263" s="38"/>
      <c r="JH2263" s="38"/>
      <c r="JI2263" s="38"/>
      <c r="JJ2263" s="38"/>
      <c r="JK2263" s="38"/>
      <c r="JL2263" s="38"/>
      <c r="JM2263" s="38"/>
      <c r="JN2263" s="38"/>
      <c r="JO2263" s="38"/>
      <c r="JP2263" s="38"/>
      <c r="JQ2263" s="38"/>
      <c r="JR2263" s="38"/>
      <c r="JS2263" s="38"/>
      <c r="JT2263" s="38"/>
      <c r="JU2263" s="38"/>
      <c r="JV2263" s="38"/>
      <c r="JW2263" s="38"/>
      <c r="JX2263" s="38"/>
      <c r="JY2263" s="38"/>
      <c r="JZ2263" s="38"/>
      <c r="KA2263" s="38"/>
      <c r="KB2263" s="38"/>
      <c r="KC2263" s="38"/>
      <c r="KD2263" s="38"/>
      <c r="KE2263" s="38"/>
      <c r="KF2263" s="38"/>
      <c r="KG2263" s="38"/>
      <c r="KH2263" s="38"/>
      <c r="KI2263" s="38"/>
      <c r="KJ2263" s="38"/>
      <c r="KK2263" s="38"/>
      <c r="KL2263" s="38"/>
      <c r="KM2263" s="38"/>
      <c r="KN2263" s="38"/>
      <c r="KO2263" s="38"/>
      <c r="KP2263" s="38"/>
      <c r="KQ2263" s="38"/>
      <c r="KR2263" s="38"/>
      <c r="KS2263" s="38"/>
      <c r="KT2263" s="38"/>
      <c r="KU2263" s="38"/>
      <c r="KV2263" s="38"/>
      <c r="KW2263" s="38"/>
      <c r="KX2263" s="38"/>
      <c r="KY2263" s="38"/>
      <c r="KZ2263" s="38"/>
      <c r="LA2263" s="38"/>
      <c r="LB2263" s="38"/>
      <c r="LC2263" s="38"/>
      <c r="LD2263" s="38"/>
      <c r="LE2263" s="38"/>
      <c r="LF2263" s="38"/>
      <c r="LG2263" s="38"/>
      <c r="LH2263" s="38"/>
      <c r="LI2263" s="38"/>
      <c r="LJ2263" s="38"/>
      <c r="LK2263" s="38"/>
      <c r="LL2263" s="38"/>
      <c r="LM2263" s="38"/>
      <c r="LN2263" s="38"/>
      <c r="LO2263" s="38"/>
      <c r="LP2263" s="38"/>
      <c r="LQ2263" s="38"/>
      <c r="LR2263" s="38"/>
      <c r="LS2263" s="38"/>
      <c r="LT2263" s="38"/>
      <c r="LU2263" s="38"/>
      <c r="LV2263" s="38"/>
      <c r="LW2263" s="38"/>
      <c r="LX2263" s="38"/>
      <c r="LY2263" s="38"/>
      <c r="LZ2263" s="38"/>
      <c r="MA2263" s="38"/>
      <c r="MB2263" s="38"/>
      <c r="MC2263" s="38"/>
      <c r="MD2263" s="38"/>
      <c r="ME2263" s="38"/>
      <c r="MF2263" s="38"/>
      <c r="MG2263" s="38"/>
      <c r="MH2263" s="38"/>
      <c r="MI2263" s="38"/>
      <c r="MJ2263" s="38"/>
      <c r="MK2263" s="38"/>
      <c r="ML2263" s="38"/>
      <c r="MM2263" s="38"/>
      <c r="MN2263" s="38"/>
      <c r="MO2263" s="38"/>
      <c r="MP2263" s="38"/>
      <c r="MQ2263" s="38"/>
      <c r="MR2263" s="38"/>
      <c r="MS2263" s="38"/>
      <c r="MT2263" s="38"/>
      <c r="MU2263" s="38"/>
      <c r="MV2263" s="38"/>
      <c r="MW2263" s="38"/>
      <c r="MX2263" s="38"/>
      <c r="MY2263" s="38"/>
      <c r="MZ2263" s="38"/>
      <c r="NA2263" s="38"/>
      <c r="NB2263" s="38"/>
      <c r="NC2263" s="38"/>
      <c r="ND2263" s="38"/>
      <c r="NE2263" s="38"/>
      <c r="NF2263" s="38"/>
      <c r="NG2263" s="38"/>
      <c r="NH2263" s="38"/>
      <c r="NI2263" s="38"/>
      <c r="NJ2263" s="38"/>
      <c r="NK2263" s="38"/>
      <c r="NL2263" s="38"/>
      <c r="NM2263" s="38"/>
      <c r="NN2263" s="38"/>
      <c r="NO2263" s="38"/>
      <c r="NP2263" s="38"/>
      <c r="NQ2263" s="38"/>
      <c r="NR2263" s="38"/>
      <c r="NS2263" s="38"/>
      <c r="NT2263" s="38"/>
      <c r="NU2263" s="38"/>
      <c r="NV2263" s="38"/>
      <c r="NW2263" s="38"/>
      <c r="NX2263" s="38"/>
      <c r="NY2263" s="38"/>
      <c r="NZ2263" s="38"/>
      <c r="OA2263" s="38"/>
      <c r="OB2263" s="38"/>
      <c r="OC2263" s="38"/>
      <c r="OD2263" s="38"/>
      <c r="OE2263" s="38"/>
      <c r="OF2263" s="38"/>
      <c r="OG2263" s="38"/>
      <c r="OH2263" s="38"/>
      <c r="OI2263" s="38"/>
      <c r="OJ2263" s="38"/>
      <c r="OK2263" s="38"/>
      <c r="OL2263" s="38"/>
      <c r="OM2263" s="38"/>
      <c r="ON2263" s="38"/>
      <c r="OO2263" s="38"/>
      <c r="OP2263" s="38"/>
      <c r="OQ2263" s="38"/>
      <c r="OR2263" s="38"/>
      <c r="OS2263" s="38"/>
      <c r="OT2263" s="38"/>
      <c r="OU2263" s="38"/>
      <c r="OV2263" s="38"/>
      <c r="OW2263" s="38"/>
      <c r="OX2263" s="38"/>
      <c r="OY2263" s="38"/>
      <c r="OZ2263" s="38"/>
      <c r="PA2263" s="38"/>
      <c r="PB2263" s="38"/>
      <c r="PC2263" s="38"/>
      <c r="PD2263" s="38"/>
      <c r="PE2263" s="38"/>
      <c r="PF2263" s="38"/>
      <c r="PG2263" s="38"/>
      <c r="PH2263" s="38"/>
      <c r="PI2263" s="38"/>
      <c r="PJ2263" s="38"/>
      <c r="PK2263" s="38"/>
      <c r="PL2263" s="38"/>
      <c r="PM2263" s="38"/>
      <c r="PN2263" s="38"/>
      <c r="PO2263" s="38"/>
      <c r="PP2263" s="38"/>
      <c r="PQ2263" s="38"/>
      <c r="PR2263" s="38"/>
      <c r="PS2263" s="38"/>
      <c r="PT2263" s="38"/>
      <c r="PU2263" s="38"/>
      <c r="PV2263" s="38"/>
      <c r="PW2263" s="38"/>
      <c r="PX2263" s="38"/>
      <c r="PY2263" s="38"/>
      <c r="PZ2263" s="38"/>
      <c r="QA2263" s="38"/>
      <c r="QB2263" s="38"/>
      <c r="QC2263" s="38"/>
      <c r="QD2263" s="38"/>
      <c r="QE2263" s="38"/>
      <c r="QF2263" s="38"/>
      <c r="QG2263" s="38"/>
      <c r="QH2263" s="38"/>
      <c r="QI2263" s="38"/>
      <c r="QJ2263" s="38"/>
      <c r="QK2263" s="38"/>
      <c r="QL2263" s="38"/>
      <c r="QM2263" s="38"/>
      <c r="QN2263" s="38"/>
      <c r="QO2263" s="38"/>
      <c r="QP2263" s="38"/>
      <c r="QQ2263" s="38"/>
      <c r="QR2263" s="38"/>
      <c r="QS2263" s="38"/>
      <c r="QT2263" s="38"/>
      <c r="QU2263" s="38"/>
      <c r="QV2263" s="38"/>
      <c r="QW2263" s="38"/>
      <c r="QX2263" s="38"/>
      <c r="QY2263" s="38"/>
      <c r="QZ2263" s="38"/>
      <c r="RA2263" s="38"/>
      <c r="RB2263" s="38"/>
      <c r="RC2263" s="38"/>
      <c r="RD2263" s="38"/>
      <c r="RE2263" s="38"/>
      <c r="RF2263" s="38"/>
      <c r="RG2263" s="38"/>
      <c r="RH2263" s="38"/>
      <c r="RI2263" s="38"/>
      <c r="RJ2263" s="38"/>
      <c r="RK2263" s="38"/>
      <c r="RL2263" s="38"/>
      <c r="RM2263" s="38"/>
      <c r="RN2263" s="38"/>
      <c r="RO2263" s="38"/>
      <c r="RP2263" s="38"/>
      <c r="RQ2263" s="38"/>
      <c r="RR2263" s="38"/>
      <c r="RS2263" s="38"/>
      <c r="RT2263" s="38"/>
      <c r="RU2263" s="38"/>
      <c r="RV2263" s="38"/>
      <c r="RW2263" s="38"/>
      <c r="RX2263" s="38"/>
      <c r="RY2263" s="38"/>
      <c r="RZ2263" s="38"/>
      <c r="SA2263" s="38"/>
      <c r="SB2263" s="38"/>
      <c r="SC2263" s="38"/>
      <c r="SD2263" s="38"/>
      <c r="SE2263" s="38"/>
      <c r="SF2263" s="38"/>
      <c r="SG2263" s="38"/>
      <c r="SH2263" s="38"/>
      <c r="SI2263" s="38"/>
      <c r="SJ2263" s="38"/>
      <c r="SK2263" s="38"/>
      <c r="SL2263" s="38"/>
      <c r="SM2263" s="38"/>
      <c r="SN2263" s="38"/>
      <c r="SO2263" s="38"/>
      <c r="SP2263" s="38"/>
      <c r="SQ2263" s="38"/>
      <c r="SR2263" s="38"/>
      <c r="SS2263" s="38"/>
      <c r="ST2263" s="38"/>
      <c r="SU2263" s="38"/>
      <c r="SV2263" s="38"/>
      <c r="SW2263" s="38"/>
      <c r="SX2263" s="38"/>
      <c r="SY2263" s="38"/>
      <c r="SZ2263" s="38"/>
      <c r="TA2263" s="38"/>
      <c r="TB2263" s="38"/>
      <c r="TC2263" s="38"/>
      <c r="TD2263" s="38"/>
      <c r="TE2263" s="38"/>
      <c r="TF2263" s="38"/>
      <c r="TG2263" s="38"/>
      <c r="TH2263" s="38"/>
      <c r="TI2263" s="38"/>
      <c r="TJ2263" s="38"/>
      <c r="TK2263" s="38"/>
      <c r="TL2263" s="38"/>
      <c r="TM2263" s="38"/>
      <c r="TN2263" s="38"/>
      <c r="TO2263" s="38"/>
      <c r="TP2263" s="38"/>
      <c r="TQ2263" s="38"/>
      <c r="TR2263" s="38"/>
      <c r="TS2263" s="38"/>
      <c r="TT2263" s="38"/>
      <c r="TU2263" s="38"/>
      <c r="TV2263" s="38"/>
      <c r="TW2263" s="38"/>
      <c r="TX2263" s="38"/>
      <c r="TY2263" s="38"/>
      <c r="TZ2263" s="38"/>
      <c r="UA2263" s="38"/>
      <c r="UB2263" s="38"/>
      <c r="UC2263" s="38"/>
      <c r="UD2263" s="38"/>
      <c r="UE2263" s="38"/>
      <c r="UF2263" s="38"/>
      <c r="UG2263" s="38"/>
      <c r="UH2263" s="38"/>
      <c r="UI2263" s="38"/>
      <c r="UJ2263" s="38"/>
      <c r="UK2263" s="38"/>
      <c r="UL2263" s="38"/>
      <c r="UM2263" s="38"/>
      <c r="UN2263" s="38"/>
      <c r="UO2263" s="38"/>
      <c r="UP2263" s="38"/>
      <c r="UQ2263" s="38"/>
      <c r="UR2263" s="38"/>
      <c r="US2263" s="38"/>
      <c r="UT2263" s="38"/>
      <c r="UU2263" s="38"/>
      <c r="UV2263" s="38"/>
      <c r="UW2263" s="38"/>
      <c r="UX2263" s="38"/>
      <c r="UY2263" s="38"/>
      <c r="UZ2263" s="38"/>
      <c r="VA2263" s="38"/>
      <c r="VB2263" s="38"/>
      <c r="VC2263" s="38"/>
      <c r="VD2263" s="38"/>
      <c r="VE2263" s="38"/>
      <c r="VF2263" s="38"/>
      <c r="VG2263" s="38"/>
      <c r="VH2263" s="38"/>
      <c r="VI2263" s="38"/>
      <c r="VJ2263" s="38"/>
      <c r="VK2263" s="38"/>
      <c r="VL2263" s="38"/>
      <c r="VM2263" s="38"/>
      <c r="VN2263" s="38"/>
      <c r="VO2263" s="38"/>
      <c r="VP2263" s="38"/>
      <c r="VQ2263" s="38"/>
      <c r="VR2263" s="38"/>
      <c r="VS2263" s="38"/>
      <c r="VT2263" s="38"/>
      <c r="VU2263" s="38"/>
      <c r="VV2263" s="38"/>
      <c r="VW2263" s="38"/>
      <c r="VX2263" s="38"/>
      <c r="VY2263" s="38"/>
      <c r="VZ2263" s="38"/>
      <c r="WA2263" s="38"/>
      <c r="WB2263" s="38"/>
      <c r="WC2263" s="38"/>
      <c r="WD2263" s="38"/>
      <c r="WE2263" s="38"/>
      <c r="WF2263" s="38"/>
      <c r="WG2263" s="38"/>
      <c r="WH2263" s="38"/>
      <c r="WI2263" s="38"/>
      <c r="WJ2263" s="38"/>
      <c r="WK2263" s="38"/>
      <c r="WL2263" s="38"/>
      <c r="WM2263" s="38"/>
      <c r="WN2263" s="38"/>
      <c r="WO2263" s="38"/>
      <c r="WP2263" s="38"/>
      <c r="WQ2263" s="38"/>
      <c r="WR2263" s="38"/>
      <c r="WS2263" s="38"/>
      <c r="WT2263" s="38"/>
      <c r="WU2263" s="38"/>
      <c r="WV2263" s="38"/>
      <c r="WW2263" s="38"/>
      <c r="WX2263" s="38"/>
      <c r="WY2263" s="38"/>
      <c r="WZ2263" s="38"/>
      <c r="XA2263" s="38"/>
      <c r="XB2263" s="38"/>
      <c r="XC2263" s="38"/>
      <c r="XD2263" s="38"/>
      <c r="XE2263" s="38"/>
      <c r="XF2263" s="38"/>
      <c r="XG2263" s="38"/>
      <c r="XH2263" s="38"/>
      <c r="XI2263" s="38"/>
      <c r="XJ2263" s="38"/>
      <c r="XK2263" s="38"/>
      <c r="XL2263" s="38"/>
      <c r="XM2263" s="38"/>
      <c r="XN2263" s="38"/>
      <c r="XO2263" s="38"/>
      <c r="XP2263" s="38"/>
      <c r="XQ2263" s="38"/>
      <c r="XR2263" s="38"/>
      <c r="XS2263" s="38"/>
      <c r="XT2263" s="38"/>
      <c r="XU2263" s="38"/>
      <c r="XV2263" s="38"/>
      <c r="XW2263" s="38"/>
      <c r="XX2263" s="38"/>
      <c r="XY2263" s="38"/>
      <c r="XZ2263" s="38"/>
      <c r="YA2263" s="38"/>
      <c r="YB2263" s="38"/>
      <c r="YC2263" s="38"/>
      <c r="YD2263" s="38"/>
      <c r="YE2263" s="38"/>
      <c r="YF2263" s="38"/>
      <c r="YG2263" s="38"/>
      <c r="YH2263" s="38"/>
      <c r="YI2263" s="38"/>
      <c r="YJ2263" s="38"/>
      <c r="YK2263" s="38"/>
      <c r="YL2263" s="38"/>
      <c r="YM2263" s="38"/>
      <c r="YN2263" s="38"/>
      <c r="YO2263" s="38"/>
      <c r="YP2263" s="38"/>
      <c r="YQ2263" s="38"/>
      <c r="YR2263" s="38"/>
      <c r="YS2263" s="38"/>
      <c r="YT2263" s="38"/>
      <c r="YU2263" s="38"/>
      <c r="YV2263" s="38"/>
      <c r="YW2263" s="38"/>
      <c r="YX2263" s="38"/>
      <c r="YY2263" s="38"/>
      <c r="YZ2263" s="38"/>
      <c r="ZA2263" s="38"/>
      <c r="ZB2263" s="38"/>
      <c r="ZC2263" s="38"/>
      <c r="ZD2263" s="38"/>
      <c r="ZE2263" s="38"/>
      <c r="ZF2263" s="38"/>
      <c r="ZG2263" s="38"/>
      <c r="ZH2263" s="38"/>
      <c r="ZI2263" s="38"/>
      <c r="ZJ2263" s="38"/>
      <c r="ZK2263" s="38"/>
      <c r="ZL2263" s="38"/>
      <c r="ZM2263" s="38"/>
      <c r="ZN2263" s="38"/>
      <c r="ZO2263" s="38"/>
      <c r="ZP2263" s="38"/>
      <c r="ZQ2263" s="38"/>
      <c r="ZR2263" s="38"/>
      <c r="ZS2263" s="38"/>
      <c r="ZT2263" s="38"/>
      <c r="ZU2263" s="38"/>
      <c r="ZV2263" s="38"/>
      <c r="ZW2263" s="38"/>
      <c r="ZX2263" s="38"/>
      <c r="ZY2263" s="38"/>
      <c r="ZZ2263" s="38"/>
      <c r="AAA2263" s="38"/>
      <c r="AAB2263" s="38"/>
      <c r="AAC2263" s="38"/>
      <c r="AAD2263" s="38"/>
      <c r="AAE2263" s="38"/>
      <c r="AAF2263" s="38"/>
      <c r="AAG2263" s="38"/>
      <c r="AAH2263" s="38"/>
      <c r="AAI2263" s="38"/>
      <c r="AAJ2263" s="38"/>
      <c r="AAK2263" s="38"/>
      <c r="AAL2263" s="38"/>
      <c r="AAM2263" s="38"/>
      <c r="AAN2263" s="38"/>
      <c r="AAO2263" s="38"/>
      <c r="AAP2263" s="38"/>
      <c r="AAQ2263" s="38"/>
      <c r="AAR2263" s="38"/>
      <c r="AAS2263" s="38"/>
      <c r="AAT2263" s="38"/>
      <c r="AAU2263" s="38"/>
      <c r="AAV2263" s="38"/>
      <c r="AAW2263" s="38"/>
      <c r="AAX2263" s="38"/>
      <c r="AAY2263" s="38"/>
      <c r="AAZ2263" s="38"/>
      <c r="ABA2263" s="38"/>
      <c r="ABB2263" s="38"/>
      <c r="ABC2263" s="38"/>
      <c r="ABD2263" s="38"/>
      <c r="ABE2263" s="38"/>
      <c r="ABF2263" s="38"/>
      <c r="ABG2263" s="38"/>
      <c r="ABH2263" s="38"/>
      <c r="ABI2263" s="38"/>
      <c r="ABJ2263" s="38"/>
      <c r="ABK2263" s="38"/>
      <c r="ABL2263" s="38"/>
      <c r="ABM2263" s="38"/>
      <c r="ABN2263" s="38"/>
      <c r="ABO2263" s="38"/>
      <c r="ABP2263" s="38"/>
      <c r="ABQ2263" s="38"/>
      <c r="ABR2263" s="38"/>
      <c r="ABS2263" s="38"/>
      <c r="ABT2263" s="38"/>
      <c r="ABU2263" s="38"/>
      <c r="ABV2263" s="38"/>
      <c r="ABW2263" s="38"/>
      <c r="ABX2263" s="38"/>
      <c r="ABY2263" s="38"/>
      <c r="ABZ2263" s="38"/>
      <c r="ACA2263" s="38"/>
      <c r="ACB2263" s="38"/>
      <c r="ACC2263" s="38"/>
      <c r="ACD2263" s="38"/>
      <c r="ACE2263" s="38"/>
      <c r="ACF2263" s="38"/>
      <c r="ACG2263" s="38"/>
      <c r="ACH2263" s="38"/>
      <c r="ACI2263" s="38"/>
      <c r="ACJ2263" s="38"/>
      <c r="ACK2263" s="38"/>
      <c r="ACL2263" s="38"/>
      <c r="ACM2263" s="38"/>
      <c r="ACN2263" s="38"/>
      <c r="ACO2263" s="38"/>
      <c r="ACP2263" s="38"/>
      <c r="ACQ2263" s="38"/>
      <c r="ACR2263" s="38"/>
      <c r="ACS2263" s="38"/>
      <c r="ACT2263" s="38"/>
      <c r="ACU2263" s="38"/>
      <c r="ACV2263" s="38"/>
      <c r="ACW2263" s="38"/>
      <c r="ACX2263" s="38"/>
      <c r="ACY2263" s="38"/>
      <c r="ACZ2263" s="38"/>
      <c r="ADA2263" s="38"/>
      <c r="ADB2263" s="38"/>
      <c r="ADC2263" s="38"/>
      <c r="ADD2263" s="38"/>
      <c r="ADE2263" s="38"/>
      <c r="ADF2263" s="38"/>
      <c r="ADG2263" s="38"/>
      <c r="ADH2263" s="38"/>
      <c r="ADI2263" s="38"/>
      <c r="ADJ2263" s="38"/>
      <c r="ADK2263" s="38"/>
      <c r="ADL2263" s="38"/>
      <c r="ADM2263" s="38"/>
      <c r="ADN2263" s="38"/>
      <c r="ADO2263" s="38"/>
      <c r="ADP2263" s="38"/>
      <c r="ADQ2263" s="38"/>
      <c r="ADR2263" s="38"/>
      <c r="ADS2263" s="38"/>
      <c r="ADT2263" s="38"/>
      <c r="ADU2263" s="38"/>
      <c r="ADV2263" s="38"/>
      <c r="ADW2263" s="38"/>
      <c r="ADX2263" s="38"/>
      <c r="ADY2263" s="38"/>
      <c r="ADZ2263" s="38"/>
      <c r="AEA2263" s="38"/>
      <c r="AEB2263" s="38"/>
      <c r="AEC2263" s="38"/>
      <c r="AED2263" s="38"/>
      <c r="AEE2263" s="38"/>
      <c r="AEF2263" s="38"/>
      <c r="AEG2263" s="38"/>
      <c r="AEH2263" s="38"/>
      <c r="AEI2263" s="38"/>
      <c r="AEJ2263" s="38"/>
      <c r="AEK2263" s="38"/>
      <c r="AEL2263" s="38"/>
      <c r="AEM2263" s="38"/>
      <c r="AEN2263" s="38"/>
      <c r="AEO2263" s="38"/>
      <c r="AEP2263" s="38"/>
      <c r="AEQ2263" s="38"/>
      <c r="AER2263" s="38"/>
      <c r="AES2263" s="38"/>
      <c r="AET2263" s="38"/>
      <c r="AEU2263" s="38"/>
      <c r="AEV2263" s="38"/>
      <c r="AEW2263" s="38"/>
      <c r="AEX2263" s="38"/>
      <c r="AEY2263" s="38"/>
      <c r="AEZ2263" s="38"/>
      <c r="AFA2263" s="38"/>
      <c r="AFB2263" s="38"/>
      <c r="AFC2263" s="38"/>
      <c r="AFD2263" s="38"/>
      <c r="AFE2263" s="38"/>
      <c r="AFF2263" s="38"/>
      <c r="AFG2263" s="38"/>
      <c r="AFH2263" s="38"/>
      <c r="AFI2263" s="38"/>
      <c r="AFJ2263" s="38"/>
      <c r="AFK2263" s="38"/>
      <c r="AFL2263" s="38"/>
      <c r="AFM2263" s="38"/>
      <c r="AFN2263" s="38"/>
      <c r="AFO2263" s="38"/>
      <c r="AFP2263" s="38"/>
      <c r="AFQ2263" s="38"/>
      <c r="AFR2263" s="38"/>
      <c r="AFS2263" s="38"/>
      <c r="AFT2263" s="38"/>
      <c r="AFU2263" s="38"/>
      <c r="AFV2263" s="38"/>
      <c r="AFW2263" s="38"/>
      <c r="AFX2263" s="38"/>
      <c r="AFY2263" s="38"/>
      <c r="AFZ2263" s="38"/>
      <c r="AGA2263" s="38"/>
      <c r="AGB2263" s="38"/>
      <c r="AGC2263" s="38"/>
      <c r="AGD2263" s="38"/>
      <c r="AGE2263" s="38"/>
      <c r="AGF2263" s="38"/>
      <c r="AGG2263" s="38"/>
      <c r="AGH2263" s="38"/>
      <c r="AGI2263" s="38"/>
      <c r="AGJ2263" s="38"/>
      <c r="AGK2263" s="38"/>
      <c r="AGL2263" s="38"/>
      <c r="AGM2263" s="38"/>
      <c r="AGN2263" s="38"/>
      <c r="AGO2263" s="38"/>
      <c r="AGP2263" s="38"/>
      <c r="AGQ2263" s="38"/>
      <c r="AGR2263" s="38"/>
      <c r="AGS2263" s="38"/>
      <c r="AGT2263" s="38"/>
      <c r="AGU2263" s="38"/>
      <c r="AGV2263" s="38"/>
      <c r="AGW2263" s="38"/>
      <c r="AGX2263" s="38"/>
      <c r="AGY2263" s="38"/>
      <c r="AGZ2263" s="38"/>
      <c r="AHA2263" s="38"/>
      <c r="AHB2263" s="38"/>
      <c r="AHC2263" s="38"/>
      <c r="AHD2263" s="38"/>
      <c r="AHE2263" s="38"/>
      <c r="AHF2263" s="38"/>
      <c r="AHG2263" s="38"/>
      <c r="AHH2263" s="38"/>
      <c r="AHI2263" s="38"/>
      <c r="AHJ2263" s="38"/>
      <c r="AHK2263" s="38"/>
      <c r="AHL2263" s="38"/>
      <c r="AHM2263" s="38"/>
      <c r="AHN2263" s="38"/>
      <c r="AHO2263" s="38"/>
      <c r="AHP2263" s="38"/>
      <c r="AHQ2263" s="38"/>
      <c r="AHR2263" s="38"/>
      <c r="AHS2263" s="38"/>
      <c r="AHT2263" s="38"/>
      <c r="AHU2263" s="38"/>
      <c r="AHV2263" s="38"/>
      <c r="AHW2263" s="38"/>
      <c r="AHX2263" s="38"/>
      <c r="AHY2263" s="38"/>
      <c r="AHZ2263" s="38"/>
      <c r="AIA2263" s="38"/>
      <c r="AIB2263" s="38"/>
      <c r="AIC2263" s="38"/>
      <c r="AID2263" s="38"/>
      <c r="AIE2263" s="38"/>
      <c r="AIF2263" s="38"/>
      <c r="AIG2263" s="38"/>
      <c r="AIH2263" s="38"/>
      <c r="AII2263" s="38"/>
      <c r="AIJ2263" s="38"/>
      <c r="AIK2263" s="38"/>
      <c r="AIL2263" s="38"/>
      <c r="AIM2263" s="38"/>
      <c r="AIN2263" s="38"/>
      <c r="AIO2263" s="38"/>
      <c r="AIP2263" s="38"/>
      <c r="AIQ2263" s="38"/>
      <c r="AIR2263" s="38"/>
      <c r="AIS2263" s="38"/>
      <c r="AIT2263" s="38"/>
      <c r="AIU2263" s="38"/>
      <c r="AIV2263" s="38"/>
      <c r="AIW2263" s="38"/>
      <c r="AIX2263" s="38"/>
      <c r="AIY2263" s="38"/>
      <c r="AIZ2263" s="38"/>
      <c r="AJA2263" s="38"/>
      <c r="AJB2263" s="38"/>
      <c r="AJC2263" s="38"/>
      <c r="AJD2263" s="38"/>
      <c r="AJE2263" s="38"/>
      <c r="AJF2263" s="38"/>
      <c r="AJG2263" s="38"/>
      <c r="AJH2263" s="38"/>
      <c r="AJI2263" s="38"/>
      <c r="AJJ2263" s="38"/>
      <c r="AJK2263" s="38"/>
      <c r="AJL2263" s="38"/>
      <c r="AJM2263" s="38"/>
      <c r="AJN2263" s="38"/>
      <c r="AJO2263" s="38"/>
      <c r="AJP2263" s="38"/>
      <c r="AJQ2263" s="38"/>
      <c r="AJR2263" s="38"/>
      <c r="AJS2263" s="38"/>
      <c r="AJT2263" s="38"/>
      <c r="AJU2263" s="38"/>
      <c r="AJV2263" s="38"/>
      <c r="AJW2263" s="38"/>
      <c r="AJX2263" s="38"/>
      <c r="AJY2263" s="38"/>
      <c r="AJZ2263" s="38"/>
      <c r="AKA2263" s="38"/>
      <c r="AKB2263" s="38"/>
      <c r="AKC2263" s="38"/>
      <c r="AKD2263" s="38"/>
      <c r="AKE2263" s="38"/>
      <c r="AKF2263" s="38"/>
      <c r="AKG2263" s="38"/>
      <c r="AKH2263" s="38"/>
      <c r="AKI2263" s="38"/>
      <c r="AKJ2263" s="38"/>
      <c r="AKK2263" s="38"/>
      <c r="AKL2263" s="38"/>
      <c r="AKM2263" s="38"/>
      <c r="AKN2263" s="38"/>
      <c r="AKO2263" s="38"/>
      <c r="AKP2263" s="38"/>
      <c r="AKQ2263" s="38"/>
      <c r="AKR2263" s="38"/>
      <c r="AKS2263" s="38"/>
      <c r="AKT2263" s="38"/>
      <c r="AKU2263" s="38"/>
      <c r="AKV2263" s="38"/>
      <c r="AKW2263" s="38"/>
      <c r="AKX2263" s="38"/>
      <c r="AKY2263" s="38"/>
      <c r="AKZ2263" s="38"/>
      <c r="ALA2263" s="38"/>
      <c r="ALB2263" s="38"/>
      <c r="ALC2263" s="38"/>
      <c r="ALD2263" s="38"/>
      <c r="ALE2263" s="38"/>
      <c r="ALF2263" s="38"/>
      <c r="ALG2263" s="38"/>
      <c r="ALH2263" s="38"/>
      <c r="ALI2263" s="38"/>
      <c r="ALJ2263" s="38"/>
      <c r="ALK2263" s="38"/>
      <c r="ALL2263" s="38"/>
      <c r="ALM2263" s="38"/>
      <c r="ALN2263" s="38"/>
      <c r="ALO2263" s="38"/>
      <c r="ALP2263" s="38"/>
      <c r="ALQ2263" s="38"/>
      <c r="ALR2263" s="38"/>
      <c r="ALS2263" s="38"/>
      <c r="ALT2263" s="38"/>
      <c r="ALU2263" s="38"/>
      <c r="ALV2263" s="38"/>
      <c r="ALW2263" s="38"/>
      <c r="ALX2263" s="38"/>
      <c r="ALY2263" s="38"/>
      <c r="ALZ2263" s="38"/>
      <c r="AMA2263" s="38"/>
      <c r="AMB2263" s="38"/>
      <c r="AMC2263" s="38"/>
      <c r="AMD2263" s="38"/>
      <c r="AME2263" s="38"/>
      <c r="AMF2263" s="38"/>
      <c r="AMG2263" s="38"/>
      <c r="AMH2263" s="38"/>
      <c r="AMI2263" s="38"/>
      <c r="AMJ2263" s="38"/>
      <c r="AMK2263" s="38"/>
      <c r="AML2263" s="38"/>
      <c r="AMM2263" s="38"/>
      <c r="AMN2263" s="38"/>
      <c r="AMO2263" s="38"/>
      <c r="AMP2263" s="38"/>
      <c r="AMQ2263" s="38"/>
      <c r="AMR2263" s="38"/>
      <c r="AMS2263" s="38"/>
      <c r="AMT2263" s="38"/>
      <c r="AMU2263" s="38"/>
      <c r="AMV2263" s="38"/>
      <c r="AMW2263" s="38"/>
      <c r="AMX2263" s="38"/>
      <c r="AMY2263" s="38"/>
      <c r="AMZ2263" s="38"/>
      <c r="ANA2263" s="38"/>
      <c r="ANB2263" s="38"/>
      <c r="ANC2263" s="38"/>
      <c r="AND2263" s="38"/>
      <c r="ANE2263" s="38"/>
      <c r="ANF2263" s="38"/>
      <c r="ANG2263" s="38"/>
      <c r="ANH2263" s="38"/>
      <c r="ANI2263" s="38"/>
      <c r="ANJ2263" s="38"/>
      <c r="ANK2263" s="38"/>
      <c r="ANL2263" s="38"/>
      <c r="ANM2263" s="38"/>
      <c r="ANN2263" s="38"/>
      <c r="ANO2263" s="38"/>
      <c r="ANP2263" s="38"/>
      <c r="ANQ2263" s="38"/>
      <c r="ANR2263" s="38"/>
      <c r="ANS2263" s="38"/>
      <c r="ANT2263" s="38"/>
      <c r="ANU2263" s="38"/>
      <c r="ANV2263" s="38"/>
      <c r="ANW2263" s="38"/>
      <c r="ANX2263" s="38"/>
      <c r="ANY2263" s="38"/>
      <c r="ANZ2263" s="38"/>
      <c r="AOA2263" s="38"/>
      <c r="AOB2263" s="38"/>
      <c r="AOC2263" s="38"/>
      <c r="AOD2263" s="38"/>
      <c r="AOE2263" s="38"/>
      <c r="AOF2263" s="38"/>
      <c r="AOG2263" s="38"/>
      <c r="AOH2263" s="38"/>
      <c r="AOI2263" s="38"/>
      <c r="AOJ2263" s="38"/>
      <c r="AOK2263" s="38"/>
      <c r="AOL2263" s="38"/>
      <c r="AOM2263" s="38"/>
      <c r="AON2263" s="38"/>
      <c r="AOO2263" s="38"/>
      <c r="AOP2263" s="38"/>
      <c r="AOQ2263" s="38"/>
      <c r="AOR2263" s="38"/>
      <c r="AOS2263" s="38"/>
      <c r="AOT2263" s="38"/>
      <c r="AOU2263" s="38"/>
      <c r="AOV2263" s="38"/>
      <c r="AOW2263" s="38"/>
      <c r="AOX2263" s="38"/>
      <c r="AOY2263" s="38"/>
      <c r="AOZ2263" s="38"/>
      <c r="APA2263" s="38"/>
      <c r="APB2263" s="38"/>
      <c r="APC2263" s="38"/>
    </row>
    <row r="2264" spans="1:1095" s="36" customFormat="1" ht="14.25" customHeight="1">
      <c r="A2264" s="3" t="s">
        <v>1722</v>
      </c>
      <c r="B2264" s="36" t="s">
        <v>2780</v>
      </c>
      <c r="C2264" s="10">
        <v>4099854070501</v>
      </c>
      <c r="D2264" s="224">
        <v>4058075796393</v>
      </c>
      <c r="E2264" s="245" t="s">
        <v>2781</v>
      </c>
      <c r="F2264" s="246"/>
      <c r="G2264" s="66" t="str">
        <f>HYPERLINK("https://ledvance.com/pt/product-datasheet/250993/239192","Ficha de Produto")</f>
        <v>Ficha de Produto</v>
      </c>
      <c r="H2264" s="217">
        <v>10</v>
      </c>
      <c r="I2264" s="34" t="s">
        <v>6389</v>
      </c>
      <c r="J2264" s="34" t="s">
        <v>6400</v>
      </c>
      <c r="K2264" s="34" t="s">
        <v>788</v>
      </c>
      <c r="L2264" s="34" t="s">
        <v>765</v>
      </c>
      <c r="M2264" s="247">
        <v>18</v>
      </c>
      <c r="N2264" s="288" t="s">
        <v>722</v>
      </c>
    </row>
    <row r="2265" spans="1:1095" s="36" customFormat="1" ht="14.25" customHeight="1">
      <c r="A2265" s="3" t="s">
        <v>1722</v>
      </c>
      <c r="B2265" s="36" t="s">
        <v>2782</v>
      </c>
      <c r="C2265" s="10">
        <v>4099854070525</v>
      </c>
      <c r="D2265" s="224">
        <v>4058075796416</v>
      </c>
      <c r="E2265" s="245" t="s">
        <v>2783</v>
      </c>
      <c r="F2265" s="246"/>
      <c r="G2265" s="66" t="str">
        <f>HYPERLINK("https://ledvance.com/pt/product-datasheet/250993/239195","Ficha de Produto")</f>
        <v>Ficha de Produto</v>
      </c>
      <c r="H2265" s="217">
        <v>10</v>
      </c>
      <c r="I2265" s="34" t="s">
        <v>6389</v>
      </c>
      <c r="J2265" s="34" t="s">
        <v>6400</v>
      </c>
      <c r="K2265" s="34" t="s">
        <v>788</v>
      </c>
      <c r="L2265" s="34" t="s">
        <v>765</v>
      </c>
      <c r="M2265" s="247">
        <v>18</v>
      </c>
      <c r="N2265" s="288" t="s">
        <v>722</v>
      </c>
    </row>
    <row r="2266" spans="1:1095" s="36" customFormat="1" ht="14.25" customHeight="1">
      <c r="A2266" s="3" t="s">
        <v>1722</v>
      </c>
      <c r="B2266" s="36" t="s">
        <v>2784</v>
      </c>
      <c r="C2266" s="10">
        <v>4099854070549</v>
      </c>
      <c r="D2266" s="224">
        <v>4058075796430</v>
      </c>
      <c r="E2266" s="245" t="s">
        <v>2785</v>
      </c>
      <c r="F2266" s="246"/>
      <c r="G2266" s="66" t="str">
        <f>HYPERLINK("https://ledvance.com/pt/product-datasheet/250993/239198","Ficha de Produto")</f>
        <v>Ficha de Produto</v>
      </c>
      <c r="H2266" s="217">
        <v>10</v>
      </c>
      <c r="I2266" s="34" t="s">
        <v>6389</v>
      </c>
      <c r="J2266" s="34" t="s">
        <v>6400</v>
      </c>
      <c r="K2266" s="34" t="s">
        <v>788</v>
      </c>
      <c r="L2266" s="34" t="s">
        <v>765</v>
      </c>
      <c r="M2266" s="247">
        <v>18</v>
      </c>
      <c r="N2266" s="288" t="s">
        <v>722</v>
      </c>
    </row>
    <row r="2267" spans="1:1095" s="36" customFormat="1" ht="14.25" customHeight="1">
      <c r="A2267" s="3" t="s">
        <v>1722</v>
      </c>
      <c r="B2267" s="36" t="s">
        <v>2786</v>
      </c>
      <c r="C2267" s="10">
        <v>4099854058776</v>
      </c>
      <c r="D2267" s="224">
        <v>4058075609433</v>
      </c>
      <c r="E2267" s="245" t="s">
        <v>2787</v>
      </c>
      <c r="F2267" s="246"/>
      <c r="G2267" s="66" t="str">
        <f>HYPERLINK("https://ledvance.com/pt/product-datasheet/250993/236810","Ficha de Produto")</f>
        <v>Ficha de Produto</v>
      </c>
      <c r="H2267" s="217">
        <v>10</v>
      </c>
      <c r="I2267" s="34" t="s">
        <v>6401</v>
      </c>
      <c r="J2267" s="34" t="s">
        <v>6402</v>
      </c>
      <c r="K2267" s="34" t="s">
        <v>788</v>
      </c>
      <c r="L2267" s="34" t="s">
        <v>765</v>
      </c>
      <c r="M2267" s="247">
        <v>20.700000000000003</v>
      </c>
      <c r="N2267" s="288" t="s">
        <v>722</v>
      </c>
    </row>
    <row r="2268" spans="1:1095" s="36" customFormat="1" ht="14.25" customHeight="1">
      <c r="A2268" s="3" t="s">
        <v>1722</v>
      </c>
      <c r="B2268" s="36" t="s">
        <v>2788</v>
      </c>
      <c r="C2268" s="10">
        <v>4099854058837</v>
      </c>
      <c r="D2268" s="224">
        <v>4058075609419</v>
      </c>
      <c r="E2268" s="245" t="s">
        <v>2789</v>
      </c>
      <c r="F2268" s="246"/>
      <c r="G2268" s="66" t="str">
        <f>HYPERLINK("https://ledvance.com/pt/product-datasheet/250993/236813","Ficha de Produto")</f>
        <v>Ficha de Produto</v>
      </c>
      <c r="H2268" s="217">
        <v>10</v>
      </c>
      <c r="I2268" s="34" t="s">
        <v>6401</v>
      </c>
      <c r="J2268" s="34" t="s">
        <v>6402</v>
      </c>
      <c r="K2268" s="34" t="s">
        <v>788</v>
      </c>
      <c r="L2268" s="34" t="s">
        <v>765</v>
      </c>
      <c r="M2268" s="247">
        <v>20.700000000000003</v>
      </c>
      <c r="N2268" s="288" t="s">
        <v>722</v>
      </c>
    </row>
    <row r="2269" spans="1:1095" s="36" customFormat="1" ht="14.25" customHeight="1">
      <c r="A2269" s="3" t="s">
        <v>1722</v>
      </c>
      <c r="B2269" s="36" t="s">
        <v>2790</v>
      </c>
      <c r="C2269" s="10">
        <v>4099854058929</v>
      </c>
      <c r="D2269" s="224">
        <v>4058075609396</v>
      </c>
      <c r="E2269" s="245" t="s">
        <v>2791</v>
      </c>
      <c r="F2269" s="246"/>
      <c r="G2269" s="66" t="str">
        <f>HYPERLINK("https://ledvance.com/pt/product-datasheet/250993/236816","Ficha de Produto")</f>
        <v>Ficha de Produto</v>
      </c>
      <c r="H2269" s="217">
        <v>10</v>
      </c>
      <c r="I2269" s="34" t="s">
        <v>6401</v>
      </c>
      <c r="J2269" s="34" t="s">
        <v>6402</v>
      </c>
      <c r="K2269" s="34" t="s">
        <v>788</v>
      </c>
      <c r="L2269" s="34" t="s">
        <v>765</v>
      </c>
      <c r="M2269" s="247">
        <v>20.700000000000003</v>
      </c>
      <c r="N2269" s="288" t="s">
        <v>722</v>
      </c>
    </row>
    <row r="2270" spans="1:1095" s="36" customFormat="1" ht="14.25" customHeight="1">
      <c r="A2270" s="3" t="s">
        <v>1722</v>
      </c>
      <c r="B2270" s="36" t="s">
        <v>2792</v>
      </c>
      <c r="C2270" s="10">
        <v>4099854048111</v>
      </c>
      <c r="D2270" s="224">
        <v>4058075609372</v>
      </c>
      <c r="E2270" s="245" t="s">
        <v>2793</v>
      </c>
      <c r="F2270" s="246"/>
      <c r="G2270" s="66" t="str">
        <f>HYPERLINK("https://ledvance.com/pt/product-datasheet/250993/235842","Ficha de Produto")</f>
        <v>Ficha de Produto</v>
      </c>
      <c r="H2270" s="217">
        <v>10</v>
      </c>
      <c r="I2270" s="34" t="s">
        <v>810</v>
      </c>
      <c r="J2270" s="34" t="s">
        <v>6315</v>
      </c>
      <c r="K2270" s="34" t="s">
        <v>788</v>
      </c>
      <c r="L2270" s="34" t="s">
        <v>765</v>
      </c>
      <c r="M2270" s="247">
        <v>23</v>
      </c>
      <c r="N2270" s="288" t="s">
        <v>722</v>
      </c>
    </row>
    <row r="2271" spans="1:1095" s="36" customFormat="1" ht="14.25" customHeight="1">
      <c r="A2271" s="3" t="s">
        <v>1722</v>
      </c>
      <c r="B2271" s="36" t="s">
        <v>2794</v>
      </c>
      <c r="C2271" s="10">
        <v>4099854048159</v>
      </c>
      <c r="D2271" s="224">
        <v>4058075609358</v>
      </c>
      <c r="E2271" s="245" t="s">
        <v>2795</v>
      </c>
      <c r="F2271" s="246"/>
      <c r="G2271" s="66" t="str">
        <f>HYPERLINK("https://ledvance.com/pt/product-datasheet/250993/235849","Ficha de Produto")</f>
        <v>Ficha de Produto</v>
      </c>
      <c r="H2271" s="217">
        <v>10</v>
      </c>
      <c r="I2271" s="34" t="s">
        <v>810</v>
      </c>
      <c r="J2271" s="34" t="s">
        <v>6315</v>
      </c>
      <c r="K2271" s="34" t="s">
        <v>788</v>
      </c>
      <c r="L2271" s="34" t="s">
        <v>765</v>
      </c>
      <c r="M2271" s="247">
        <v>23</v>
      </c>
      <c r="N2271" s="288" t="s">
        <v>722</v>
      </c>
    </row>
    <row r="2272" spans="1:1095" s="36" customFormat="1" ht="14.25" customHeight="1">
      <c r="A2272" s="3" t="s">
        <v>1722</v>
      </c>
      <c r="B2272" s="36" t="s">
        <v>2796</v>
      </c>
      <c r="C2272" s="10">
        <v>4099854048234</v>
      </c>
      <c r="D2272" s="224">
        <v>4058075609334</v>
      </c>
      <c r="E2272" s="245" t="s">
        <v>2797</v>
      </c>
      <c r="F2272" s="246"/>
      <c r="G2272" s="66" t="str">
        <f>HYPERLINK("https://ledvance.com/pt/product-datasheet/250993/235855","Ficha de Produto")</f>
        <v>Ficha de Produto</v>
      </c>
      <c r="H2272" s="217">
        <v>10</v>
      </c>
      <c r="I2272" s="34" t="s">
        <v>810</v>
      </c>
      <c r="J2272" s="34" t="s">
        <v>6315</v>
      </c>
      <c r="K2272" s="34" t="s">
        <v>788</v>
      </c>
      <c r="L2272" s="34" t="s">
        <v>765</v>
      </c>
      <c r="M2272" s="247">
        <v>23</v>
      </c>
      <c r="N2272" s="288" t="s">
        <v>722</v>
      </c>
    </row>
    <row r="2273" spans="1:1095" s="39" customFormat="1" ht="14.25" customHeight="1">
      <c r="A2273" s="8" t="s">
        <v>1722</v>
      </c>
      <c r="B2273" s="244" t="s">
        <v>1691</v>
      </c>
      <c r="C2273" s="8"/>
      <c r="D2273" s="7"/>
      <c r="E2273" s="230"/>
      <c r="F2273" s="7"/>
      <c r="G2273" s="68"/>
      <c r="H2273" s="230"/>
      <c r="I2273" s="230"/>
      <c r="J2273" s="230"/>
      <c r="K2273" s="230"/>
      <c r="L2273" s="230"/>
      <c r="M2273" s="248"/>
      <c r="N2273" s="284"/>
      <c r="O2273" s="38"/>
      <c r="P2273" s="38"/>
      <c r="Q2273" s="38"/>
      <c r="R2273" s="38"/>
      <c r="S2273" s="38"/>
      <c r="T2273" s="38"/>
      <c r="U2273" s="38"/>
      <c r="V2273" s="38"/>
      <c r="W2273" s="38"/>
      <c r="X2273" s="38"/>
      <c r="Y2273" s="38"/>
      <c r="Z2273" s="38"/>
      <c r="AA2273" s="38"/>
      <c r="AB2273" s="38"/>
      <c r="AC2273" s="38"/>
      <c r="AD2273" s="38"/>
      <c r="AE2273" s="38"/>
      <c r="AF2273" s="38"/>
      <c r="AG2273" s="38"/>
      <c r="AH2273" s="38"/>
      <c r="AI2273" s="38"/>
      <c r="AJ2273" s="38"/>
      <c r="AK2273" s="38"/>
      <c r="AL2273" s="38"/>
      <c r="AM2273" s="38"/>
      <c r="AN2273" s="38"/>
      <c r="AO2273" s="38"/>
      <c r="AP2273" s="38"/>
      <c r="AQ2273" s="38"/>
      <c r="AR2273" s="38"/>
      <c r="AS2273" s="38"/>
      <c r="AT2273" s="38"/>
      <c r="AU2273" s="38"/>
      <c r="AV2273" s="38"/>
      <c r="AW2273" s="38"/>
      <c r="AX2273" s="38"/>
      <c r="AY2273" s="38"/>
      <c r="AZ2273" s="38"/>
      <c r="BA2273" s="38"/>
      <c r="BB2273" s="38"/>
      <c r="BC2273" s="38"/>
      <c r="BD2273" s="38"/>
      <c r="BE2273" s="38"/>
      <c r="BF2273" s="38"/>
      <c r="BG2273" s="38"/>
      <c r="BH2273" s="38"/>
      <c r="BI2273" s="38"/>
      <c r="BJ2273" s="38"/>
      <c r="BK2273" s="38"/>
      <c r="BL2273" s="38"/>
      <c r="BM2273" s="38"/>
      <c r="BN2273" s="38"/>
      <c r="BO2273" s="38"/>
      <c r="BP2273" s="38"/>
      <c r="BQ2273" s="38"/>
      <c r="BR2273" s="38"/>
      <c r="BS2273" s="38"/>
      <c r="BT2273" s="38"/>
      <c r="BU2273" s="38"/>
      <c r="BV2273" s="38"/>
      <c r="BW2273" s="38"/>
      <c r="BX2273" s="38"/>
      <c r="BY2273" s="38"/>
      <c r="BZ2273" s="38"/>
      <c r="CA2273" s="38"/>
      <c r="CB2273" s="38"/>
      <c r="CC2273" s="38"/>
      <c r="CD2273" s="38"/>
      <c r="CE2273" s="38"/>
      <c r="CF2273" s="38"/>
      <c r="CG2273" s="38"/>
      <c r="CH2273" s="38"/>
      <c r="CI2273" s="38"/>
      <c r="CJ2273" s="38"/>
      <c r="CK2273" s="38"/>
      <c r="CL2273" s="38"/>
      <c r="CM2273" s="38"/>
      <c r="CN2273" s="38"/>
      <c r="CO2273" s="38"/>
      <c r="CP2273" s="38"/>
      <c r="CQ2273" s="38"/>
      <c r="CR2273" s="38"/>
      <c r="CS2273" s="38"/>
      <c r="CT2273" s="38"/>
      <c r="CU2273" s="38"/>
      <c r="CV2273" s="38"/>
      <c r="CW2273" s="38"/>
      <c r="CX2273" s="38"/>
      <c r="CY2273" s="38"/>
      <c r="CZ2273" s="38"/>
      <c r="DA2273" s="38"/>
      <c r="DB2273" s="38"/>
      <c r="DC2273" s="38"/>
      <c r="DD2273" s="38"/>
      <c r="DE2273" s="38"/>
      <c r="DF2273" s="38"/>
      <c r="DG2273" s="38"/>
      <c r="DH2273" s="38"/>
      <c r="DI2273" s="38"/>
      <c r="DJ2273" s="38"/>
      <c r="DK2273" s="38"/>
      <c r="DL2273" s="38"/>
      <c r="DM2273" s="38"/>
      <c r="DN2273" s="38"/>
      <c r="DO2273" s="38"/>
      <c r="DP2273" s="38"/>
      <c r="DQ2273" s="38"/>
      <c r="DR2273" s="38"/>
      <c r="DS2273" s="38"/>
      <c r="DT2273" s="38"/>
      <c r="DU2273" s="38"/>
      <c r="DV2273" s="38"/>
      <c r="DW2273" s="38"/>
      <c r="DX2273" s="38"/>
      <c r="DY2273" s="38"/>
      <c r="DZ2273" s="38"/>
      <c r="EA2273" s="38"/>
      <c r="EB2273" s="38"/>
      <c r="EC2273" s="38"/>
      <c r="ED2273" s="38"/>
      <c r="EE2273" s="38"/>
      <c r="EF2273" s="38"/>
      <c r="EG2273" s="38"/>
      <c r="EH2273" s="38"/>
      <c r="EI2273" s="38"/>
      <c r="EJ2273" s="38"/>
      <c r="EK2273" s="38"/>
      <c r="EL2273" s="38"/>
      <c r="EM2273" s="38"/>
      <c r="EN2273" s="38"/>
      <c r="EO2273" s="38"/>
      <c r="EP2273" s="38"/>
      <c r="EQ2273" s="38"/>
      <c r="ER2273" s="38"/>
      <c r="ES2273" s="38"/>
      <c r="ET2273" s="38"/>
      <c r="EU2273" s="38"/>
      <c r="EV2273" s="38"/>
      <c r="EW2273" s="38"/>
      <c r="EX2273" s="38"/>
      <c r="EY2273" s="38"/>
      <c r="EZ2273" s="38"/>
      <c r="FA2273" s="38"/>
      <c r="FB2273" s="38"/>
      <c r="FC2273" s="38"/>
      <c r="FD2273" s="38"/>
      <c r="FE2273" s="38"/>
      <c r="FF2273" s="38"/>
      <c r="FG2273" s="38"/>
      <c r="FH2273" s="38"/>
      <c r="FI2273" s="38"/>
      <c r="FJ2273" s="38"/>
      <c r="FK2273" s="38"/>
      <c r="FL2273" s="38"/>
      <c r="FM2273" s="38"/>
      <c r="FN2273" s="38"/>
      <c r="FO2273" s="38"/>
      <c r="FP2273" s="38"/>
      <c r="FQ2273" s="38"/>
      <c r="FR2273" s="38"/>
      <c r="FS2273" s="38"/>
      <c r="FT2273" s="38"/>
      <c r="FU2273" s="38"/>
      <c r="FV2273" s="38"/>
      <c r="FW2273" s="38"/>
      <c r="FX2273" s="38"/>
      <c r="FY2273" s="38"/>
      <c r="FZ2273" s="38"/>
      <c r="GA2273" s="38"/>
      <c r="GB2273" s="38"/>
      <c r="GC2273" s="38"/>
      <c r="GD2273" s="38"/>
      <c r="GE2273" s="38"/>
      <c r="GF2273" s="38"/>
      <c r="GG2273" s="38"/>
      <c r="GH2273" s="38"/>
      <c r="GI2273" s="38"/>
      <c r="GJ2273" s="38"/>
      <c r="GK2273" s="38"/>
      <c r="GL2273" s="38"/>
      <c r="GM2273" s="38"/>
      <c r="GN2273" s="38"/>
      <c r="GO2273" s="38"/>
      <c r="GP2273" s="38"/>
      <c r="GQ2273" s="38"/>
      <c r="GR2273" s="38"/>
      <c r="GS2273" s="38"/>
      <c r="GT2273" s="38"/>
      <c r="GU2273" s="38"/>
      <c r="GV2273" s="38"/>
      <c r="GW2273" s="38"/>
      <c r="GX2273" s="38"/>
      <c r="GY2273" s="38"/>
      <c r="GZ2273" s="38"/>
      <c r="HA2273" s="38"/>
      <c r="HB2273" s="38"/>
      <c r="HC2273" s="38"/>
      <c r="HD2273" s="38"/>
      <c r="HE2273" s="38"/>
      <c r="HF2273" s="38"/>
      <c r="HG2273" s="38"/>
      <c r="HH2273" s="38"/>
      <c r="HI2273" s="38"/>
      <c r="HJ2273" s="38"/>
      <c r="HK2273" s="38"/>
      <c r="HL2273" s="38"/>
      <c r="HM2273" s="38"/>
      <c r="HN2273" s="38"/>
      <c r="HO2273" s="38"/>
      <c r="HP2273" s="38"/>
      <c r="HQ2273" s="38"/>
      <c r="HR2273" s="38"/>
      <c r="HS2273" s="38"/>
      <c r="HT2273" s="38"/>
      <c r="HU2273" s="38"/>
      <c r="HV2273" s="38"/>
      <c r="HW2273" s="38"/>
      <c r="HX2273" s="38"/>
      <c r="HY2273" s="38"/>
      <c r="HZ2273" s="38"/>
      <c r="IA2273" s="38"/>
      <c r="IB2273" s="38"/>
      <c r="IC2273" s="38"/>
      <c r="ID2273" s="38"/>
      <c r="IE2273" s="38"/>
      <c r="IF2273" s="38"/>
      <c r="IG2273" s="38"/>
      <c r="IH2273" s="38"/>
      <c r="II2273" s="38"/>
      <c r="IJ2273" s="38"/>
      <c r="IK2273" s="38"/>
      <c r="IL2273" s="38"/>
      <c r="IM2273" s="38"/>
      <c r="IN2273" s="38"/>
      <c r="IO2273" s="38"/>
      <c r="IP2273" s="38"/>
      <c r="IQ2273" s="38"/>
      <c r="IR2273" s="38"/>
      <c r="IS2273" s="38"/>
      <c r="IT2273" s="38"/>
      <c r="IU2273" s="38"/>
      <c r="IV2273" s="38"/>
      <c r="IW2273" s="38"/>
      <c r="IX2273" s="38"/>
      <c r="IY2273" s="38"/>
      <c r="IZ2273" s="38"/>
      <c r="JA2273" s="38"/>
      <c r="JB2273" s="38"/>
      <c r="JC2273" s="38"/>
      <c r="JD2273" s="38"/>
      <c r="JE2273" s="38"/>
      <c r="JF2273" s="38"/>
      <c r="JG2273" s="38"/>
      <c r="JH2273" s="38"/>
      <c r="JI2273" s="38"/>
      <c r="JJ2273" s="38"/>
      <c r="JK2273" s="38"/>
      <c r="JL2273" s="38"/>
      <c r="JM2273" s="38"/>
      <c r="JN2273" s="38"/>
      <c r="JO2273" s="38"/>
      <c r="JP2273" s="38"/>
      <c r="JQ2273" s="38"/>
      <c r="JR2273" s="38"/>
      <c r="JS2273" s="38"/>
      <c r="JT2273" s="38"/>
      <c r="JU2273" s="38"/>
      <c r="JV2273" s="38"/>
      <c r="JW2273" s="38"/>
      <c r="JX2273" s="38"/>
      <c r="JY2273" s="38"/>
      <c r="JZ2273" s="38"/>
      <c r="KA2273" s="38"/>
      <c r="KB2273" s="38"/>
      <c r="KC2273" s="38"/>
      <c r="KD2273" s="38"/>
      <c r="KE2273" s="38"/>
      <c r="KF2273" s="38"/>
      <c r="KG2273" s="38"/>
      <c r="KH2273" s="38"/>
      <c r="KI2273" s="38"/>
      <c r="KJ2273" s="38"/>
      <c r="KK2273" s="38"/>
      <c r="KL2273" s="38"/>
      <c r="KM2273" s="38"/>
      <c r="KN2273" s="38"/>
      <c r="KO2273" s="38"/>
      <c r="KP2273" s="38"/>
      <c r="KQ2273" s="38"/>
      <c r="KR2273" s="38"/>
      <c r="KS2273" s="38"/>
      <c r="KT2273" s="38"/>
      <c r="KU2273" s="38"/>
      <c r="KV2273" s="38"/>
      <c r="KW2273" s="38"/>
      <c r="KX2273" s="38"/>
      <c r="KY2273" s="38"/>
      <c r="KZ2273" s="38"/>
      <c r="LA2273" s="38"/>
      <c r="LB2273" s="38"/>
      <c r="LC2273" s="38"/>
      <c r="LD2273" s="38"/>
      <c r="LE2273" s="38"/>
      <c r="LF2273" s="38"/>
      <c r="LG2273" s="38"/>
      <c r="LH2273" s="38"/>
      <c r="LI2273" s="38"/>
      <c r="LJ2273" s="38"/>
      <c r="LK2273" s="38"/>
      <c r="LL2273" s="38"/>
      <c r="LM2273" s="38"/>
      <c r="LN2273" s="38"/>
      <c r="LO2273" s="38"/>
      <c r="LP2273" s="38"/>
      <c r="LQ2273" s="38"/>
      <c r="LR2273" s="38"/>
      <c r="LS2273" s="38"/>
      <c r="LT2273" s="38"/>
      <c r="LU2273" s="38"/>
      <c r="LV2273" s="38"/>
      <c r="LW2273" s="38"/>
      <c r="LX2273" s="38"/>
      <c r="LY2273" s="38"/>
      <c r="LZ2273" s="38"/>
      <c r="MA2273" s="38"/>
      <c r="MB2273" s="38"/>
      <c r="MC2273" s="38"/>
      <c r="MD2273" s="38"/>
      <c r="ME2273" s="38"/>
      <c r="MF2273" s="38"/>
      <c r="MG2273" s="38"/>
      <c r="MH2273" s="38"/>
      <c r="MI2273" s="38"/>
      <c r="MJ2273" s="38"/>
      <c r="MK2273" s="38"/>
      <c r="ML2273" s="38"/>
      <c r="MM2273" s="38"/>
      <c r="MN2273" s="38"/>
      <c r="MO2273" s="38"/>
      <c r="MP2273" s="38"/>
      <c r="MQ2273" s="38"/>
      <c r="MR2273" s="38"/>
      <c r="MS2273" s="38"/>
      <c r="MT2273" s="38"/>
      <c r="MU2273" s="38"/>
      <c r="MV2273" s="38"/>
      <c r="MW2273" s="38"/>
      <c r="MX2273" s="38"/>
      <c r="MY2273" s="38"/>
      <c r="MZ2273" s="38"/>
      <c r="NA2273" s="38"/>
      <c r="NB2273" s="38"/>
      <c r="NC2273" s="38"/>
      <c r="ND2273" s="38"/>
      <c r="NE2273" s="38"/>
      <c r="NF2273" s="38"/>
      <c r="NG2273" s="38"/>
      <c r="NH2273" s="38"/>
      <c r="NI2273" s="38"/>
      <c r="NJ2273" s="38"/>
      <c r="NK2273" s="38"/>
      <c r="NL2273" s="38"/>
      <c r="NM2273" s="38"/>
      <c r="NN2273" s="38"/>
      <c r="NO2273" s="38"/>
      <c r="NP2273" s="38"/>
      <c r="NQ2273" s="38"/>
      <c r="NR2273" s="38"/>
      <c r="NS2273" s="38"/>
      <c r="NT2273" s="38"/>
      <c r="NU2273" s="38"/>
      <c r="NV2273" s="38"/>
      <c r="NW2273" s="38"/>
      <c r="NX2273" s="38"/>
      <c r="NY2273" s="38"/>
      <c r="NZ2273" s="38"/>
      <c r="OA2273" s="38"/>
      <c r="OB2273" s="38"/>
      <c r="OC2273" s="38"/>
      <c r="OD2273" s="38"/>
      <c r="OE2273" s="38"/>
      <c r="OF2273" s="38"/>
      <c r="OG2273" s="38"/>
      <c r="OH2273" s="38"/>
      <c r="OI2273" s="38"/>
      <c r="OJ2273" s="38"/>
      <c r="OK2273" s="38"/>
      <c r="OL2273" s="38"/>
      <c r="OM2273" s="38"/>
      <c r="ON2273" s="38"/>
      <c r="OO2273" s="38"/>
      <c r="OP2273" s="38"/>
      <c r="OQ2273" s="38"/>
      <c r="OR2273" s="38"/>
      <c r="OS2273" s="38"/>
      <c r="OT2273" s="38"/>
      <c r="OU2273" s="38"/>
      <c r="OV2273" s="38"/>
      <c r="OW2273" s="38"/>
      <c r="OX2273" s="38"/>
      <c r="OY2273" s="38"/>
      <c r="OZ2273" s="38"/>
      <c r="PA2273" s="38"/>
      <c r="PB2273" s="38"/>
      <c r="PC2273" s="38"/>
      <c r="PD2273" s="38"/>
      <c r="PE2273" s="38"/>
      <c r="PF2273" s="38"/>
      <c r="PG2273" s="38"/>
      <c r="PH2273" s="38"/>
      <c r="PI2273" s="38"/>
      <c r="PJ2273" s="38"/>
      <c r="PK2273" s="38"/>
      <c r="PL2273" s="38"/>
      <c r="PM2273" s="38"/>
      <c r="PN2273" s="38"/>
      <c r="PO2273" s="38"/>
      <c r="PP2273" s="38"/>
      <c r="PQ2273" s="38"/>
      <c r="PR2273" s="38"/>
      <c r="PS2273" s="38"/>
      <c r="PT2273" s="38"/>
      <c r="PU2273" s="38"/>
      <c r="PV2273" s="38"/>
      <c r="PW2273" s="38"/>
      <c r="PX2273" s="38"/>
      <c r="PY2273" s="38"/>
      <c r="PZ2273" s="38"/>
      <c r="QA2273" s="38"/>
      <c r="QB2273" s="38"/>
      <c r="QC2273" s="38"/>
      <c r="QD2273" s="38"/>
      <c r="QE2273" s="38"/>
      <c r="QF2273" s="38"/>
      <c r="QG2273" s="38"/>
      <c r="QH2273" s="38"/>
      <c r="QI2273" s="38"/>
      <c r="QJ2273" s="38"/>
      <c r="QK2273" s="38"/>
      <c r="QL2273" s="38"/>
      <c r="QM2273" s="38"/>
      <c r="QN2273" s="38"/>
      <c r="QO2273" s="38"/>
      <c r="QP2273" s="38"/>
      <c r="QQ2273" s="38"/>
      <c r="QR2273" s="38"/>
      <c r="QS2273" s="38"/>
      <c r="QT2273" s="38"/>
      <c r="QU2273" s="38"/>
      <c r="QV2273" s="38"/>
      <c r="QW2273" s="38"/>
      <c r="QX2273" s="38"/>
      <c r="QY2273" s="38"/>
      <c r="QZ2273" s="38"/>
      <c r="RA2273" s="38"/>
      <c r="RB2273" s="38"/>
      <c r="RC2273" s="38"/>
      <c r="RD2273" s="38"/>
      <c r="RE2273" s="38"/>
      <c r="RF2273" s="38"/>
      <c r="RG2273" s="38"/>
      <c r="RH2273" s="38"/>
      <c r="RI2273" s="38"/>
      <c r="RJ2273" s="38"/>
      <c r="RK2273" s="38"/>
      <c r="RL2273" s="38"/>
      <c r="RM2273" s="38"/>
      <c r="RN2273" s="38"/>
      <c r="RO2273" s="38"/>
      <c r="RP2273" s="38"/>
      <c r="RQ2273" s="38"/>
      <c r="RR2273" s="38"/>
      <c r="RS2273" s="38"/>
      <c r="RT2273" s="38"/>
      <c r="RU2273" s="38"/>
      <c r="RV2273" s="38"/>
      <c r="RW2273" s="38"/>
      <c r="RX2273" s="38"/>
      <c r="RY2273" s="38"/>
      <c r="RZ2273" s="38"/>
      <c r="SA2273" s="38"/>
      <c r="SB2273" s="38"/>
      <c r="SC2273" s="38"/>
      <c r="SD2273" s="38"/>
      <c r="SE2273" s="38"/>
      <c r="SF2273" s="38"/>
      <c r="SG2273" s="38"/>
      <c r="SH2273" s="38"/>
      <c r="SI2273" s="38"/>
      <c r="SJ2273" s="38"/>
      <c r="SK2273" s="38"/>
      <c r="SL2273" s="38"/>
      <c r="SM2273" s="38"/>
      <c r="SN2273" s="38"/>
      <c r="SO2273" s="38"/>
      <c r="SP2273" s="38"/>
      <c r="SQ2273" s="38"/>
      <c r="SR2273" s="38"/>
      <c r="SS2273" s="38"/>
      <c r="ST2273" s="38"/>
      <c r="SU2273" s="38"/>
      <c r="SV2273" s="38"/>
      <c r="SW2273" s="38"/>
      <c r="SX2273" s="38"/>
      <c r="SY2273" s="38"/>
      <c r="SZ2273" s="38"/>
      <c r="TA2273" s="38"/>
      <c r="TB2273" s="38"/>
      <c r="TC2273" s="38"/>
      <c r="TD2273" s="38"/>
      <c r="TE2273" s="38"/>
      <c r="TF2273" s="38"/>
      <c r="TG2273" s="38"/>
      <c r="TH2273" s="38"/>
      <c r="TI2273" s="38"/>
      <c r="TJ2273" s="38"/>
      <c r="TK2273" s="38"/>
      <c r="TL2273" s="38"/>
      <c r="TM2273" s="38"/>
      <c r="TN2273" s="38"/>
      <c r="TO2273" s="38"/>
      <c r="TP2273" s="38"/>
      <c r="TQ2273" s="38"/>
      <c r="TR2273" s="38"/>
      <c r="TS2273" s="38"/>
      <c r="TT2273" s="38"/>
      <c r="TU2273" s="38"/>
      <c r="TV2273" s="38"/>
      <c r="TW2273" s="38"/>
      <c r="TX2273" s="38"/>
      <c r="TY2273" s="38"/>
      <c r="TZ2273" s="38"/>
      <c r="UA2273" s="38"/>
      <c r="UB2273" s="38"/>
      <c r="UC2273" s="38"/>
      <c r="UD2273" s="38"/>
      <c r="UE2273" s="38"/>
      <c r="UF2273" s="38"/>
      <c r="UG2273" s="38"/>
      <c r="UH2273" s="38"/>
      <c r="UI2273" s="38"/>
      <c r="UJ2273" s="38"/>
      <c r="UK2273" s="38"/>
      <c r="UL2273" s="38"/>
      <c r="UM2273" s="38"/>
      <c r="UN2273" s="38"/>
      <c r="UO2273" s="38"/>
      <c r="UP2273" s="38"/>
      <c r="UQ2273" s="38"/>
      <c r="UR2273" s="38"/>
      <c r="US2273" s="38"/>
      <c r="UT2273" s="38"/>
      <c r="UU2273" s="38"/>
      <c r="UV2273" s="38"/>
      <c r="UW2273" s="38"/>
      <c r="UX2273" s="38"/>
      <c r="UY2273" s="38"/>
      <c r="UZ2273" s="38"/>
      <c r="VA2273" s="38"/>
      <c r="VB2273" s="38"/>
      <c r="VC2273" s="38"/>
      <c r="VD2273" s="38"/>
      <c r="VE2273" s="38"/>
      <c r="VF2273" s="38"/>
      <c r="VG2273" s="38"/>
      <c r="VH2273" s="38"/>
      <c r="VI2273" s="38"/>
      <c r="VJ2273" s="38"/>
      <c r="VK2273" s="38"/>
      <c r="VL2273" s="38"/>
      <c r="VM2273" s="38"/>
      <c r="VN2273" s="38"/>
      <c r="VO2273" s="38"/>
      <c r="VP2273" s="38"/>
      <c r="VQ2273" s="38"/>
      <c r="VR2273" s="38"/>
      <c r="VS2273" s="38"/>
      <c r="VT2273" s="38"/>
      <c r="VU2273" s="38"/>
      <c r="VV2273" s="38"/>
      <c r="VW2273" s="38"/>
      <c r="VX2273" s="38"/>
      <c r="VY2273" s="38"/>
      <c r="VZ2273" s="38"/>
      <c r="WA2273" s="38"/>
      <c r="WB2273" s="38"/>
      <c r="WC2273" s="38"/>
      <c r="WD2273" s="38"/>
      <c r="WE2273" s="38"/>
      <c r="WF2273" s="38"/>
      <c r="WG2273" s="38"/>
      <c r="WH2273" s="38"/>
      <c r="WI2273" s="38"/>
      <c r="WJ2273" s="38"/>
      <c r="WK2273" s="38"/>
      <c r="WL2273" s="38"/>
      <c r="WM2273" s="38"/>
      <c r="WN2273" s="38"/>
      <c r="WO2273" s="38"/>
      <c r="WP2273" s="38"/>
      <c r="WQ2273" s="38"/>
      <c r="WR2273" s="38"/>
      <c r="WS2273" s="38"/>
      <c r="WT2273" s="38"/>
      <c r="WU2273" s="38"/>
      <c r="WV2273" s="38"/>
      <c r="WW2273" s="38"/>
      <c r="WX2273" s="38"/>
      <c r="WY2273" s="38"/>
      <c r="WZ2273" s="38"/>
      <c r="XA2273" s="38"/>
      <c r="XB2273" s="38"/>
      <c r="XC2273" s="38"/>
      <c r="XD2273" s="38"/>
      <c r="XE2273" s="38"/>
      <c r="XF2273" s="38"/>
      <c r="XG2273" s="38"/>
      <c r="XH2273" s="38"/>
      <c r="XI2273" s="38"/>
      <c r="XJ2273" s="38"/>
      <c r="XK2273" s="38"/>
      <c r="XL2273" s="38"/>
      <c r="XM2273" s="38"/>
      <c r="XN2273" s="38"/>
      <c r="XO2273" s="38"/>
      <c r="XP2273" s="38"/>
      <c r="XQ2273" s="38"/>
      <c r="XR2273" s="38"/>
      <c r="XS2273" s="38"/>
      <c r="XT2273" s="38"/>
      <c r="XU2273" s="38"/>
      <c r="XV2273" s="38"/>
      <c r="XW2273" s="38"/>
      <c r="XX2273" s="38"/>
      <c r="XY2273" s="38"/>
      <c r="XZ2273" s="38"/>
      <c r="YA2273" s="38"/>
      <c r="YB2273" s="38"/>
      <c r="YC2273" s="38"/>
      <c r="YD2273" s="38"/>
      <c r="YE2273" s="38"/>
      <c r="YF2273" s="38"/>
      <c r="YG2273" s="38"/>
      <c r="YH2273" s="38"/>
      <c r="YI2273" s="38"/>
      <c r="YJ2273" s="38"/>
      <c r="YK2273" s="38"/>
      <c r="YL2273" s="38"/>
      <c r="YM2273" s="38"/>
      <c r="YN2273" s="38"/>
      <c r="YO2273" s="38"/>
      <c r="YP2273" s="38"/>
      <c r="YQ2273" s="38"/>
      <c r="YR2273" s="38"/>
      <c r="YS2273" s="38"/>
      <c r="YT2273" s="38"/>
      <c r="YU2273" s="38"/>
      <c r="YV2273" s="38"/>
      <c r="YW2273" s="38"/>
      <c r="YX2273" s="38"/>
      <c r="YY2273" s="38"/>
      <c r="YZ2273" s="38"/>
      <c r="ZA2273" s="38"/>
      <c r="ZB2273" s="38"/>
      <c r="ZC2273" s="38"/>
      <c r="ZD2273" s="38"/>
      <c r="ZE2273" s="38"/>
      <c r="ZF2273" s="38"/>
      <c r="ZG2273" s="38"/>
      <c r="ZH2273" s="38"/>
      <c r="ZI2273" s="38"/>
      <c r="ZJ2273" s="38"/>
      <c r="ZK2273" s="38"/>
      <c r="ZL2273" s="38"/>
      <c r="ZM2273" s="38"/>
      <c r="ZN2273" s="38"/>
      <c r="ZO2273" s="38"/>
      <c r="ZP2273" s="38"/>
      <c r="ZQ2273" s="38"/>
      <c r="ZR2273" s="38"/>
      <c r="ZS2273" s="38"/>
      <c r="ZT2273" s="38"/>
      <c r="ZU2273" s="38"/>
      <c r="ZV2273" s="38"/>
      <c r="ZW2273" s="38"/>
      <c r="ZX2273" s="38"/>
      <c r="ZY2273" s="38"/>
      <c r="ZZ2273" s="38"/>
      <c r="AAA2273" s="38"/>
      <c r="AAB2273" s="38"/>
      <c r="AAC2273" s="38"/>
      <c r="AAD2273" s="38"/>
      <c r="AAE2273" s="38"/>
      <c r="AAF2273" s="38"/>
      <c r="AAG2273" s="38"/>
      <c r="AAH2273" s="38"/>
      <c r="AAI2273" s="38"/>
      <c r="AAJ2273" s="38"/>
      <c r="AAK2273" s="38"/>
      <c r="AAL2273" s="38"/>
      <c r="AAM2273" s="38"/>
      <c r="AAN2273" s="38"/>
      <c r="AAO2273" s="38"/>
      <c r="AAP2273" s="38"/>
      <c r="AAQ2273" s="38"/>
      <c r="AAR2273" s="38"/>
      <c r="AAS2273" s="38"/>
      <c r="AAT2273" s="38"/>
      <c r="AAU2273" s="38"/>
      <c r="AAV2273" s="38"/>
      <c r="AAW2273" s="38"/>
      <c r="AAX2273" s="38"/>
      <c r="AAY2273" s="38"/>
      <c r="AAZ2273" s="38"/>
      <c r="ABA2273" s="38"/>
      <c r="ABB2273" s="38"/>
      <c r="ABC2273" s="38"/>
      <c r="ABD2273" s="38"/>
      <c r="ABE2273" s="38"/>
      <c r="ABF2273" s="38"/>
      <c r="ABG2273" s="38"/>
      <c r="ABH2273" s="38"/>
      <c r="ABI2273" s="38"/>
      <c r="ABJ2273" s="38"/>
      <c r="ABK2273" s="38"/>
      <c r="ABL2273" s="38"/>
      <c r="ABM2273" s="38"/>
      <c r="ABN2273" s="38"/>
      <c r="ABO2273" s="38"/>
      <c r="ABP2273" s="38"/>
      <c r="ABQ2273" s="38"/>
      <c r="ABR2273" s="38"/>
      <c r="ABS2273" s="38"/>
      <c r="ABT2273" s="38"/>
      <c r="ABU2273" s="38"/>
      <c r="ABV2273" s="38"/>
      <c r="ABW2273" s="38"/>
      <c r="ABX2273" s="38"/>
      <c r="ABY2273" s="38"/>
      <c r="ABZ2273" s="38"/>
      <c r="ACA2273" s="38"/>
      <c r="ACB2273" s="38"/>
      <c r="ACC2273" s="38"/>
      <c r="ACD2273" s="38"/>
      <c r="ACE2273" s="38"/>
      <c r="ACF2273" s="38"/>
      <c r="ACG2273" s="38"/>
      <c r="ACH2273" s="38"/>
      <c r="ACI2273" s="38"/>
      <c r="ACJ2273" s="38"/>
      <c r="ACK2273" s="38"/>
      <c r="ACL2273" s="38"/>
      <c r="ACM2273" s="38"/>
      <c r="ACN2273" s="38"/>
      <c r="ACO2273" s="38"/>
      <c r="ACP2273" s="38"/>
      <c r="ACQ2273" s="38"/>
      <c r="ACR2273" s="38"/>
      <c r="ACS2273" s="38"/>
      <c r="ACT2273" s="38"/>
      <c r="ACU2273" s="38"/>
      <c r="ACV2273" s="38"/>
      <c r="ACW2273" s="38"/>
      <c r="ACX2273" s="38"/>
      <c r="ACY2273" s="38"/>
      <c r="ACZ2273" s="38"/>
      <c r="ADA2273" s="38"/>
      <c r="ADB2273" s="38"/>
      <c r="ADC2273" s="38"/>
      <c r="ADD2273" s="38"/>
      <c r="ADE2273" s="38"/>
      <c r="ADF2273" s="38"/>
      <c r="ADG2273" s="38"/>
      <c r="ADH2273" s="38"/>
      <c r="ADI2273" s="38"/>
      <c r="ADJ2273" s="38"/>
      <c r="ADK2273" s="38"/>
      <c r="ADL2273" s="38"/>
      <c r="ADM2273" s="38"/>
      <c r="ADN2273" s="38"/>
      <c r="ADO2273" s="38"/>
      <c r="ADP2273" s="38"/>
      <c r="ADQ2273" s="38"/>
      <c r="ADR2273" s="38"/>
      <c r="ADS2273" s="38"/>
      <c r="ADT2273" s="38"/>
      <c r="ADU2273" s="38"/>
      <c r="ADV2273" s="38"/>
      <c r="ADW2273" s="38"/>
      <c r="ADX2273" s="38"/>
      <c r="ADY2273" s="38"/>
      <c r="ADZ2273" s="38"/>
      <c r="AEA2273" s="38"/>
      <c r="AEB2273" s="38"/>
      <c r="AEC2273" s="38"/>
      <c r="AED2273" s="38"/>
      <c r="AEE2273" s="38"/>
      <c r="AEF2273" s="38"/>
      <c r="AEG2273" s="38"/>
      <c r="AEH2273" s="38"/>
      <c r="AEI2273" s="38"/>
      <c r="AEJ2273" s="38"/>
      <c r="AEK2273" s="38"/>
      <c r="AEL2273" s="38"/>
      <c r="AEM2273" s="38"/>
      <c r="AEN2273" s="38"/>
      <c r="AEO2273" s="38"/>
      <c r="AEP2273" s="38"/>
      <c r="AEQ2273" s="38"/>
      <c r="AER2273" s="38"/>
      <c r="AES2273" s="38"/>
      <c r="AET2273" s="38"/>
      <c r="AEU2273" s="38"/>
      <c r="AEV2273" s="38"/>
      <c r="AEW2273" s="38"/>
      <c r="AEX2273" s="38"/>
      <c r="AEY2273" s="38"/>
      <c r="AEZ2273" s="38"/>
      <c r="AFA2273" s="38"/>
      <c r="AFB2273" s="38"/>
      <c r="AFC2273" s="38"/>
      <c r="AFD2273" s="38"/>
      <c r="AFE2273" s="38"/>
      <c r="AFF2273" s="38"/>
      <c r="AFG2273" s="38"/>
      <c r="AFH2273" s="38"/>
      <c r="AFI2273" s="38"/>
      <c r="AFJ2273" s="38"/>
      <c r="AFK2273" s="38"/>
      <c r="AFL2273" s="38"/>
      <c r="AFM2273" s="38"/>
      <c r="AFN2273" s="38"/>
      <c r="AFO2273" s="38"/>
      <c r="AFP2273" s="38"/>
      <c r="AFQ2273" s="38"/>
      <c r="AFR2273" s="38"/>
      <c r="AFS2273" s="38"/>
      <c r="AFT2273" s="38"/>
      <c r="AFU2273" s="38"/>
      <c r="AFV2273" s="38"/>
      <c r="AFW2273" s="38"/>
      <c r="AFX2273" s="38"/>
      <c r="AFY2273" s="38"/>
      <c r="AFZ2273" s="38"/>
      <c r="AGA2273" s="38"/>
      <c r="AGB2273" s="38"/>
      <c r="AGC2273" s="38"/>
      <c r="AGD2273" s="38"/>
      <c r="AGE2273" s="38"/>
      <c r="AGF2273" s="38"/>
      <c r="AGG2273" s="38"/>
      <c r="AGH2273" s="38"/>
      <c r="AGI2273" s="38"/>
      <c r="AGJ2273" s="38"/>
      <c r="AGK2273" s="38"/>
      <c r="AGL2273" s="38"/>
      <c r="AGM2273" s="38"/>
      <c r="AGN2273" s="38"/>
      <c r="AGO2273" s="38"/>
      <c r="AGP2273" s="38"/>
      <c r="AGQ2273" s="38"/>
      <c r="AGR2273" s="38"/>
      <c r="AGS2273" s="38"/>
      <c r="AGT2273" s="38"/>
      <c r="AGU2273" s="38"/>
      <c r="AGV2273" s="38"/>
      <c r="AGW2273" s="38"/>
      <c r="AGX2273" s="38"/>
      <c r="AGY2273" s="38"/>
      <c r="AGZ2273" s="38"/>
      <c r="AHA2273" s="38"/>
      <c r="AHB2273" s="38"/>
      <c r="AHC2273" s="38"/>
      <c r="AHD2273" s="38"/>
      <c r="AHE2273" s="38"/>
      <c r="AHF2273" s="38"/>
      <c r="AHG2273" s="38"/>
      <c r="AHH2273" s="38"/>
      <c r="AHI2273" s="38"/>
      <c r="AHJ2273" s="38"/>
      <c r="AHK2273" s="38"/>
      <c r="AHL2273" s="38"/>
      <c r="AHM2273" s="38"/>
      <c r="AHN2273" s="38"/>
      <c r="AHO2273" s="38"/>
      <c r="AHP2273" s="38"/>
      <c r="AHQ2273" s="38"/>
      <c r="AHR2273" s="38"/>
      <c r="AHS2273" s="38"/>
      <c r="AHT2273" s="38"/>
      <c r="AHU2273" s="38"/>
      <c r="AHV2273" s="38"/>
      <c r="AHW2273" s="38"/>
      <c r="AHX2273" s="38"/>
      <c r="AHY2273" s="38"/>
      <c r="AHZ2273" s="38"/>
      <c r="AIA2273" s="38"/>
      <c r="AIB2273" s="38"/>
      <c r="AIC2273" s="38"/>
      <c r="AID2273" s="38"/>
      <c r="AIE2273" s="38"/>
      <c r="AIF2273" s="38"/>
      <c r="AIG2273" s="38"/>
      <c r="AIH2273" s="38"/>
      <c r="AII2273" s="38"/>
      <c r="AIJ2273" s="38"/>
      <c r="AIK2273" s="38"/>
      <c r="AIL2273" s="38"/>
      <c r="AIM2273" s="38"/>
      <c r="AIN2273" s="38"/>
      <c r="AIO2273" s="38"/>
      <c r="AIP2273" s="38"/>
      <c r="AIQ2273" s="38"/>
      <c r="AIR2273" s="38"/>
      <c r="AIS2273" s="38"/>
      <c r="AIT2273" s="38"/>
      <c r="AIU2273" s="38"/>
      <c r="AIV2273" s="38"/>
      <c r="AIW2273" s="38"/>
      <c r="AIX2273" s="38"/>
      <c r="AIY2273" s="38"/>
      <c r="AIZ2273" s="38"/>
      <c r="AJA2273" s="38"/>
      <c r="AJB2273" s="38"/>
      <c r="AJC2273" s="38"/>
      <c r="AJD2273" s="38"/>
      <c r="AJE2273" s="38"/>
      <c r="AJF2273" s="38"/>
      <c r="AJG2273" s="38"/>
      <c r="AJH2273" s="38"/>
      <c r="AJI2273" s="38"/>
      <c r="AJJ2273" s="38"/>
      <c r="AJK2273" s="38"/>
      <c r="AJL2273" s="38"/>
      <c r="AJM2273" s="38"/>
      <c r="AJN2273" s="38"/>
      <c r="AJO2273" s="38"/>
      <c r="AJP2273" s="38"/>
      <c r="AJQ2273" s="38"/>
      <c r="AJR2273" s="38"/>
      <c r="AJS2273" s="38"/>
      <c r="AJT2273" s="38"/>
      <c r="AJU2273" s="38"/>
      <c r="AJV2273" s="38"/>
      <c r="AJW2273" s="38"/>
      <c r="AJX2273" s="38"/>
      <c r="AJY2273" s="38"/>
      <c r="AJZ2273" s="38"/>
      <c r="AKA2273" s="38"/>
      <c r="AKB2273" s="38"/>
      <c r="AKC2273" s="38"/>
      <c r="AKD2273" s="38"/>
      <c r="AKE2273" s="38"/>
      <c r="AKF2273" s="38"/>
      <c r="AKG2273" s="38"/>
      <c r="AKH2273" s="38"/>
      <c r="AKI2273" s="38"/>
      <c r="AKJ2273" s="38"/>
      <c r="AKK2273" s="38"/>
      <c r="AKL2273" s="38"/>
      <c r="AKM2273" s="38"/>
      <c r="AKN2273" s="38"/>
      <c r="AKO2273" s="38"/>
      <c r="AKP2273" s="38"/>
      <c r="AKQ2273" s="38"/>
      <c r="AKR2273" s="38"/>
      <c r="AKS2273" s="38"/>
      <c r="AKT2273" s="38"/>
      <c r="AKU2273" s="38"/>
      <c r="AKV2273" s="38"/>
      <c r="AKW2273" s="38"/>
      <c r="AKX2273" s="38"/>
      <c r="AKY2273" s="38"/>
      <c r="AKZ2273" s="38"/>
      <c r="ALA2273" s="38"/>
      <c r="ALB2273" s="38"/>
      <c r="ALC2273" s="38"/>
      <c r="ALD2273" s="38"/>
      <c r="ALE2273" s="38"/>
      <c r="ALF2273" s="38"/>
      <c r="ALG2273" s="38"/>
      <c r="ALH2273" s="38"/>
      <c r="ALI2273" s="38"/>
      <c r="ALJ2273" s="38"/>
      <c r="ALK2273" s="38"/>
      <c r="ALL2273" s="38"/>
      <c r="ALM2273" s="38"/>
      <c r="ALN2273" s="38"/>
      <c r="ALO2273" s="38"/>
      <c r="ALP2273" s="38"/>
      <c r="ALQ2273" s="38"/>
      <c r="ALR2273" s="38"/>
      <c r="ALS2273" s="38"/>
      <c r="ALT2273" s="38"/>
      <c r="ALU2273" s="38"/>
      <c r="ALV2273" s="38"/>
      <c r="ALW2273" s="38"/>
      <c r="ALX2273" s="38"/>
      <c r="ALY2273" s="38"/>
      <c r="ALZ2273" s="38"/>
      <c r="AMA2273" s="38"/>
      <c r="AMB2273" s="38"/>
      <c r="AMC2273" s="38"/>
      <c r="AMD2273" s="38"/>
      <c r="AME2273" s="38"/>
      <c r="AMF2273" s="38"/>
      <c r="AMG2273" s="38"/>
      <c r="AMH2273" s="38"/>
      <c r="AMI2273" s="38"/>
      <c r="AMJ2273" s="38"/>
      <c r="AMK2273" s="38"/>
      <c r="AML2273" s="38"/>
      <c r="AMM2273" s="38"/>
      <c r="AMN2273" s="38"/>
      <c r="AMO2273" s="38"/>
      <c r="AMP2273" s="38"/>
      <c r="AMQ2273" s="38"/>
      <c r="AMR2273" s="38"/>
      <c r="AMS2273" s="38"/>
      <c r="AMT2273" s="38"/>
      <c r="AMU2273" s="38"/>
      <c r="AMV2273" s="38"/>
      <c r="AMW2273" s="38"/>
      <c r="AMX2273" s="38"/>
      <c r="AMY2273" s="38"/>
      <c r="AMZ2273" s="38"/>
      <c r="ANA2273" s="38"/>
      <c r="ANB2273" s="38"/>
      <c r="ANC2273" s="38"/>
      <c r="AND2273" s="38"/>
      <c r="ANE2273" s="38"/>
      <c r="ANF2273" s="38"/>
      <c r="ANG2273" s="38"/>
      <c r="ANH2273" s="38"/>
      <c r="ANI2273" s="38"/>
      <c r="ANJ2273" s="38"/>
      <c r="ANK2273" s="38"/>
      <c r="ANL2273" s="38"/>
      <c r="ANM2273" s="38"/>
      <c r="ANN2273" s="38"/>
      <c r="ANO2273" s="38"/>
      <c r="ANP2273" s="38"/>
      <c r="ANQ2273" s="38"/>
      <c r="ANR2273" s="38"/>
      <c r="ANS2273" s="38"/>
      <c r="ANT2273" s="38"/>
      <c r="ANU2273" s="38"/>
      <c r="ANV2273" s="38"/>
      <c r="ANW2273" s="38"/>
      <c r="ANX2273" s="38"/>
      <c r="ANY2273" s="38"/>
      <c r="ANZ2273" s="38"/>
      <c r="AOA2273" s="38"/>
      <c r="AOB2273" s="38"/>
      <c r="AOC2273" s="38"/>
      <c r="AOD2273" s="38"/>
      <c r="AOE2273" s="38"/>
      <c r="AOF2273" s="38"/>
      <c r="AOG2273" s="38"/>
      <c r="AOH2273" s="38"/>
      <c r="AOI2273" s="38"/>
      <c r="AOJ2273" s="38"/>
      <c r="AOK2273" s="38"/>
      <c r="AOL2273" s="38"/>
      <c r="AOM2273" s="38"/>
      <c r="AON2273" s="38"/>
      <c r="AOO2273" s="38"/>
      <c r="AOP2273" s="38"/>
      <c r="AOQ2273" s="38"/>
      <c r="AOR2273" s="38"/>
      <c r="AOS2273" s="38"/>
      <c r="AOT2273" s="38"/>
      <c r="AOU2273" s="38"/>
      <c r="AOV2273" s="38"/>
      <c r="AOW2273" s="38"/>
      <c r="AOX2273" s="38"/>
      <c r="AOY2273" s="38"/>
      <c r="AOZ2273" s="38"/>
      <c r="APA2273" s="38"/>
      <c r="APB2273" s="38"/>
      <c r="APC2273" s="38"/>
    </row>
    <row r="2274" spans="1:1095" s="36" customFormat="1" ht="14.25" customHeight="1">
      <c r="A2274" s="3" t="s">
        <v>1722</v>
      </c>
      <c r="B2274" s="36" t="s">
        <v>2798</v>
      </c>
      <c r="C2274" s="10">
        <v>4058075757684</v>
      </c>
      <c r="D2274" s="224">
        <v>4058075757684</v>
      </c>
      <c r="E2274" s="245" t="s">
        <v>2799</v>
      </c>
      <c r="F2274" s="246"/>
      <c r="G2274" s="66" t="str">
        <f>HYPERLINK("https://ledvance.com/pt/product-datasheet/219178/202940","Ficha de Produto")</f>
        <v>Ficha de Produto</v>
      </c>
      <c r="H2274" s="217">
        <v>10</v>
      </c>
      <c r="I2274" s="34" t="s">
        <v>6390</v>
      </c>
      <c r="J2274" s="34" t="s">
        <v>1051</v>
      </c>
      <c r="K2274" s="34" t="s">
        <v>788</v>
      </c>
      <c r="L2274" s="34" t="s">
        <v>793</v>
      </c>
      <c r="M2274" s="247">
        <v>12.3</v>
      </c>
      <c r="N2274" s="288" t="s">
        <v>722</v>
      </c>
    </row>
    <row r="2275" spans="1:1095" s="36" customFormat="1" ht="14.25" customHeight="1">
      <c r="A2275" s="3" t="s">
        <v>1722</v>
      </c>
      <c r="B2275" s="36" t="s">
        <v>2800</v>
      </c>
      <c r="C2275" s="10">
        <v>4058075757707</v>
      </c>
      <c r="D2275" s="224">
        <v>4058075757707</v>
      </c>
      <c r="E2275" s="245" t="s">
        <v>2801</v>
      </c>
      <c r="F2275" s="246"/>
      <c r="G2275" s="66" t="str">
        <f>HYPERLINK("https://ledvance.com/pt/product-datasheet/219178/202943","Ficha de Produto")</f>
        <v>Ficha de Produto</v>
      </c>
      <c r="H2275" s="217">
        <v>10</v>
      </c>
      <c r="I2275" s="34" t="s">
        <v>6390</v>
      </c>
      <c r="J2275" s="34" t="s">
        <v>1051</v>
      </c>
      <c r="K2275" s="34" t="s">
        <v>788</v>
      </c>
      <c r="L2275" s="34" t="s">
        <v>793</v>
      </c>
      <c r="M2275" s="247">
        <v>12.3</v>
      </c>
      <c r="N2275" s="288" t="s">
        <v>722</v>
      </c>
    </row>
    <row r="2276" spans="1:1095" s="36" customFormat="1" ht="14.25" customHeight="1">
      <c r="A2276" s="3" t="s">
        <v>1722</v>
      </c>
      <c r="B2276" s="36" t="s">
        <v>2802</v>
      </c>
      <c r="C2276" s="10">
        <v>4058075757745</v>
      </c>
      <c r="D2276" s="224">
        <v>4058075757745</v>
      </c>
      <c r="E2276" s="245" t="s">
        <v>2803</v>
      </c>
      <c r="F2276" s="246"/>
      <c r="G2276" s="66" t="str">
        <f>HYPERLINK("https://ledvance.com/pt/product-datasheet/219178/202946","Ficha de Produto")</f>
        <v>Ficha de Produto</v>
      </c>
      <c r="H2276" s="217">
        <v>10</v>
      </c>
      <c r="I2276" s="34" t="s">
        <v>6403</v>
      </c>
      <c r="J2276" s="34" t="s">
        <v>807</v>
      </c>
      <c r="K2276" s="34" t="s">
        <v>788</v>
      </c>
      <c r="L2276" s="34" t="s">
        <v>793</v>
      </c>
      <c r="M2276" s="247">
        <v>18</v>
      </c>
      <c r="N2276" s="288" t="s">
        <v>722</v>
      </c>
    </row>
    <row r="2277" spans="1:1095" s="36" customFormat="1" ht="14.25" customHeight="1">
      <c r="A2277" s="3" t="s">
        <v>1722</v>
      </c>
      <c r="B2277" s="36" t="s">
        <v>2804</v>
      </c>
      <c r="C2277" s="10">
        <v>4058075757769</v>
      </c>
      <c r="D2277" s="224">
        <v>4058075757769</v>
      </c>
      <c r="E2277" s="245" t="s">
        <v>2805</v>
      </c>
      <c r="F2277" s="246"/>
      <c r="G2277" s="66" t="str">
        <f>HYPERLINK("https://ledvance.com/pt/product-datasheet/219178/202949","Ficha de Produto")</f>
        <v>Ficha de Produto</v>
      </c>
      <c r="H2277" s="217">
        <v>10</v>
      </c>
      <c r="I2277" s="34" t="s">
        <v>6403</v>
      </c>
      <c r="J2277" s="34" t="s">
        <v>807</v>
      </c>
      <c r="K2277" s="34" t="s">
        <v>788</v>
      </c>
      <c r="L2277" s="34" t="s">
        <v>793</v>
      </c>
      <c r="M2277" s="247">
        <v>18</v>
      </c>
      <c r="N2277" s="288" t="s">
        <v>722</v>
      </c>
    </row>
    <row r="2278" spans="1:1095" s="39" customFormat="1" ht="14.25" customHeight="1">
      <c r="A2278" s="8" t="s">
        <v>1722</v>
      </c>
      <c r="B2278" s="244" t="s">
        <v>2806</v>
      </c>
      <c r="C2278" s="8"/>
      <c r="D2278" s="7"/>
      <c r="E2278" s="230"/>
      <c r="F2278" s="7"/>
      <c r="G2278" s="68"/>
      <c r="H2278" s="230"/>
      <c r="I2278" s="230"/>
      <c r="J2278" s="230"/>
      <c r="K2278" s="230"/>
      <c r="L2278" s="230"/>
      <c r="M2278" s="248"/>
      <c r="N2278" s="284"/>
      <c r="O2278" s="38"/>
      <c r="P2278" s="38"/>
      <c r="Q2278" s="38"/>
      <c r="R2278" s="38"/>
      <c r="S2278" s="38"/>
      <c r="T2278" s="38"/>
      <c r="U2278" s="38"/>
      <c r="V2278" s="38"/>
      <c r="W2278" s="38"/>
      <c r="X2278" s="38"/>
      <c r="Y2278" s="38"/>
      <c r="Z2278" s="38"/>
      <c r="AA2278" s="38"/>
      <c r="AB2278" s="38"/>
      <c r="AC2278" s="38"/>
      <c r="AD2278" s="38"/>
      <c r="AE2278" s="38"/>
      <c r="AF2278" s="38"/>
      <c r="AG2278" s="38"/>
      <c r="AH2278" s="38"/>
      <c r="AI2278" s="38"/>
      <c r="AJ2278" s="38"/>
      <c r="AK2278" s="38"/>
      <c r="AL2278" s="38"/>
      <c r="AM2278" s="38"/>
      <c r="AN2278" s="38"/>
      <c r="AO2278" s="38"/>
      <c r="AP2278" s="38"/>
      <c r="AQ2278" s="38"/>
      <c r="AR2278" s="38"/>
      <c r="AS2278" s="38"/>
      <c r="AT2278" s="38"/>
      <c r="AU2278" s="38"/>
      <c r="AV2278" s="38"/>
      <c r="AW2278" s="38"/>
      <c r="AX2278" s="38"/>
      <c r="AY2278" s="38"/>
      <c r="AZ2278" s="38"/>
      <c r="BA2278" s="38"/>
      <c r="BB2278" s="38"/>
      <c r="BC2278" s="38"/>
      <c r="BD2278" s="38"/>
      <c r="BE2278" s="38"/>
      <c r="BF2278" s="38"/>
      <c r="BG2278" s="38"/>
      <c r="BH2278" s="38"/>
      <c r="BI2278" s="38"/>
      <c r="BJ2278" s="38"/>
      <c r="BK2278" s="38"/>
      <c r="BL2278" s="38"/>
      <c r="BM2278" s="38"/>
      <c r="BN2278" s="38"/>
      <c r="BO2278" s="38"/>
      <c r="BP2278" s="38"/>
      <c r="BQ2278" s="38"/>
      <c r="BR2278" s="38"/>
      <c r="BS2278" s="38"/>
      <c r="BT2278" s="38"/>
      <c r="BU2278" s="38"/>
      <c r="BV2278" s="38"/>
      <c r="BW2278" s="38"/>
      <c r="BX2278" s="38"/>
      <c r="BY2278" s="38"/>
      <c r="BZ2278" s="38"/>
      <c r="CA2278" s="38"/>
      <c r="CB2278" s="38"/>
      <c r="CC2278" s="38"/>
      <c r="CD2278" s="38"/>
      <c r="CE2278" s="38"/>
      <c r="CF2278" s="38"/>
      <c r="CG2278" s="38"/>
      <c r="CH2278" s="38"/>
      <c r="CI2278" s="38"/>
      <c r="CJ2278" s="38"/>
      <c r="CK2278" s="38"/>
      <c r="CL2278" s="38"/>
      <c r="CM2278" s="38"/>
      <c r="CN2278" s="38"/>
      <c r="CO2278" s="38"/>
      <c r="CP2278" s="38"/>
      <c r="CQ2278" s="38"/>
      <c r="CR2278" s="38"/>
      <c r="CS2278" s="38"/>
      <c r="CT2278" s="38"/>
      <c r="CU2278" s="38"/>
      <c r="CV2278" s="38"/>
      <c r="CW2278" s="38"/>
      <c r="CX2278" s="38"/>
      <c r="CY2278" s="38"/>
      <c r="CZ2278" s="38"/>
      <c r="DA2278" s="38"/>
      <c r="DB2278" s="38"/>
      <c r="DC2278" s="38"/>
      <c r="DD2278" s="38"/>
      <c r="DE2278" s="38"/>
      <c r="DF2278" s="38"/>
      <c r="DG2278" s="38"/>
      <c r="DH2278" s="38"/>
      <c r="DI2278" s="38"/>
      <c r="DJ2278" s="38"/>
      <c r="DK2278" s="38"/>
      <c r="DL2278" s="38"/>
      <c r="DM2278" s="38"/>
      <c r="DN2278" s="38"/>
      <c r="DO2278" s="38"/>
      <c r="DP2278" s="38"/>
      <c r="DQ2278" s="38"/>
      <c r="DR2278" s="38"/>
      <c r="DS2278" s="38"/>
      <c r="DT2278" s="38"/>
      <c r="DU2278" s="38"/>
      <c r="DV2278" s="38"/>
      <c r="DW2278" s="38"/>
      <c r="DX2278" s="38"/>
      <c r="DY2278" s="38"/>
      <c r="DZ2278" s="38"/>
      <c r="EA2278" s="38"/>
      <c r="EB2278" s="38"/>
      <c r="EC2278" s="38"/>
      <c r="ED2278" s="38"/>
      <c r="EE2278" s="38"/>
      <c r="EF2278" s="38"/>
      <c r="EG2278" s="38"/>
      <c r="EH2278" s="38"/>
      <c r="EI2278" s="38"/>
      <c r="EJ2278" s="38"/>
      <c r="EK2278" s="38"/>
      <c r="EL2278" s="38"/>
      <c r="EM2278" s="38"/>
      <c r="EN2278" s="38"/>
      <c r="EO2278" s="38"/>
      <c r="EP2278" s="38"/>
      <c r="EQ2278" s="38"/>
      <c r="ER2278" s="38"/>
      <c r="ES2278" s="38"/>
      <c r="ET2278" s="38"/>
      <c r="EU2278" s="38"/>
      <c r="EV2278" s="38"/>
      <c r="EW2278" s="38"/>
      <c r="EX2278" s="38"/>
      <c r="EY2278" s="38"/>
      <c r="EZ2278" s="38"/>
      <c r="FA2278" s="38"/>
      <c r="FB2278" s="38"/>
      <c r="FC2278" s="38"/>
      <c r="FD2278" s="38"/>
      <c r="FE2278" s="38"/>
      <c r="FF2278" s="38"/>
      <c r="FG2278" s="38"/>
      <c r="FH2278" s="38"/>
      <c r="FI2278" s="38"/>
      <c r="FJ2278" s="38"/>
      <c r="FK2278" s="38"/>
      <c r="FL2278" s="38"/>
      <c r="FM2278" s="38"/>
      <c r="FN2278" s="38"/>
      <c r="FO2278" s="38"/>
      <c r="FP2278" s="38"/>
      <c r="FQ2278" s="38"/>
      <c r="FR2278" s="38"/>
      <c r="FS2278" s="38"/>
      <c r="FT2278" s="38"/>
      <c r="FU2278" s="38"/>
      <c r="FV2278" s="38"/>
      <c r="FW2278" s="38"/>
      <c r="FX2278" s="38"/>
      <c r="FY2278" s="38"/>
      <c r="FZ2278" s="38"/>
      <c r="GA2278" s="38"/>
      <c r="GB2278" s="38"/>
      <c r="GC2278" s="38"/>
      <c r="GD2278" s="38"/>
      <c r="GE2278" s="38"/>
      <c r="GF2278" s="38"/>
      <c r="GG2278" s="38"/>
      <c r="GH2278" s="38"/>
      <c r="GI2278" s="38"/>
      <c r="GJ2278" s="38"/>
      <c r="GK2278" s="38"/>
      <c r="GL2278" s="38"/>
      <c r="GM2278" s="38"/>
      <c r="GN2278" s="38"/>
      <c r="GO2278" s="38"/>
      <c r="GP2278" s="38"/>
      <c r="GQ2278" s="38"/>
      <c r="GR2278" s="38"/>
      <c r="GS2278" s="38"/>
      <c r="GT2278" s="38"/>
      <c r="GU2278" s="38"/>
      <c r="GV2278" s="38"/>
      <c r="GW2278" s="38"/>
      <c r="GX2278" s="38"/>
      <c r="GY2278" s="38"/>
      <c r="GZ2278" s="38"/>
      <c r="HA2278" s="38"/>
      <c r="HB2278" s="38"/>
      <c r="HC2278" s="38"/>
      <c r="HD2278" s="38"/>
      <c r="HE2278" s="38"/>
      <c r="HF2278" s="38"/>
      <c r="HG2278" s="38"/>
      <c r="HH2278" s="38"/>
      <c r="HI2278" s="38"/>
      <c r="HJ2278" s="38"/>
      <c r="HK2278" s="38"/>
      <c r="HL2278" s="38"/>
      <c r="HM2278" s="38"/>
      <c r="HN2278" s="38"/>
      <c r="HO2278" s="38"/>
      <c r="HP2278" s="38"/>
      <c r="HQ2278" s="38"/>
      <c r="HR2278" s="38"/>
      <c r="HS2278" s="38"/>
      <c r="HT2278" s="38"/>
      <c r="HU2278" s="38"/>
      <c r="HV2278" s="38"/>
      <c r="HW2278" s="38"/>
      <c r="HX2278" s="38"/>
      <c r="HY2278" s="38"/>
      <c r="HZ2278" s="38"/>
      <c r="IA2278" s="38"/>
      <c r="IB2278" s="38"/>
      <c r="IC2278" s="38"/>
      <c r="ID2278" s="38"/>
      <c r="IE2278" s="38"/>
      <c r="IF2278" s="38"/>
      <c r="IG2278" s="38"/>
      <c r="IH2278" s="38"/>
      <c r="II2278" s="38"/>
      <c r="IJ2278" s="38"/>
      <c r="IK2278" s="38"/>
      <c r="IL2278" s="38"/>
      <c r="IM2278" s="38"/>
      <c r="IN2278" s="38"/>
      <c r="IO2278" s="38"/>
      <c r="IP2278" s="38"/>
      <c r="IQ2278" s="38"/>
      <c r="IR2278" s="38"/>
      <c r="IS2278" s="38"/>
      <c r="IT2278" s="38"/>
      <c r="IU2278" s="38"/>
      <c r="IV2278" s="38"/>
      <c r="IW2278" s="38"/>
      <c r="IX2278" s="38"/>
      <c r="IY2278" s="38"/>
      <c r="IZ2278" s="38"/>
      <c r="JA2278" s="38"/>
      <c r="JB2278" s="38"/>
      <c r="JC2278" s="38"/>
      <c r="JD2278" s="38"/>
      <c r="JE2278" s="38"/>
      <c r="JF2278" s="38"/>
      <c r="JG2278" s="38"/>
      <c r="JH2278" s="38"/>
      <c r="JI2278" s="38"/>
      <c r="JJ2278" s="38"/>
      <c r="JK2278" s="38"/>
      <c r="JL2278" s="38"/>
      <c r="JM2278" s="38"/>
      <c r="JN2278" s="38"/>
      <c r="JO2278" s="38"/>
      <c r="JP2278" s="38"/>
      <c r="JQ2278" s="38"/>
      <c r="JR2278" s="38"/>
      <c r="JS2278" s="38"/>
      <c r="JT2278" s="38"/>
      <c r="JU2278" s="38"/>
      <c r="JV2278" s="38"/>
      <c r="JW2278" s="38"/>
      <c r="JX2278" s="38"/>
      <c r="JY2278" s="38"/>
      <c r="JZ2278" s="38"/>
      <c r="KA2278" s="38"/>
      <c r="KB2278" s="38"/>
      <c r="KC2278" s="38"/>
      <c r="KD2278" s="38"/>
      <c r="KE2278" s="38"/>
      <c r="KF2278" s="38"/>
      <c r="KG2278" s="38"/>
      <c r="KH2278" s="38"/>
      <c r="KI2278" s="38"/>
      <c r="KJ2278" s="38"/>
      <c r="KK2278" s="38"/>
      <c r="KL2278" s="38"/>
      <c r="KM2278" s="38"/>
      <c r="KN2278" s="38"/>
      <c r="KO2278" s="38"/>
      <c r="KP2278" s="38"/>
      <c r="KQ2278" s="38"/>
      <c r="KR2278" s="38"/>
      <c r="KS2278" s="38"/>
      <c r="KT2278" s="38"/>
      <c r="KU2278" s="38"/>
      <c r="KV2278" s="38"/>
      <c r="KW2278" s="38"/>
      <c r="KX2278" s="38"/>
      <c r="KY2278" s="38"/>
      <c r="KZ2278" s="38"/>
      <c r="LA2278" s="38"/>
      <c r="LB2278" s="38"/>
      <c r="LC2278" s="38"/>
      <c r="LD2278" s="38"/>
      <c r="LE2278" s="38"/>
      <c r="LF2278" s="38"/>
      <c r="LG2278" s="38"/>
      <c r="LH2278" s="38"/>
      <c r="LI2278" s="38"/>
      <c r="LJ2278" s="38"/>
      <c r="LK2278" s="38"/>
      <c r="LL2278" s="38"/>
      <c r="LM2278" s="38"/>
      <c r="LN2278" s="38"/>
      <c r="LO2278" s="38"/>
      <c r="LP2278" s="38"/>
      <c r="LQ2278" s="38"/>
      <c r="LR2278" s="38"/>
      <c r="LS2278" s="38"/>
      <c r="LT2278" s="38"/>
      <c r="LU2278" s="38"/>
      <c r="LV2278" s="38"/>
      <c r="LW2278" s="38"/>
      <c r="LX2278" s="38"/>
      <c r="LY2278" s="38"/>
      <c r="LZ2278" s="38"/>
      <c r="MA2278" s="38"/>
      <c r="MB2278" s="38"/>
      <c r="MC2278" s="38"/>
      <c r="MD2278" s="38"/>
      <c r="ME2278" s="38"/>
      <c r="MF2278" s="38"/>
      <c r="MG2278" s="38"/>
      <c r="MH2278" s="38"/>
      <c r="MI2278" s="38"/>
      <c r="MJ2278" s="38"/>
      <c r="MK2278" s="38"/>
      <c r="ML2278" s="38"/>
      <c r="MM2278" s="38"/>
      <c r="MN2278" s="38"/>
      <c r="MO2278" s="38"/>
      <c r="MP2278" s="38"/>
      <c r="MQ2278" s="38"/>
      <c r="MR2278" s="38"/>
      <c r="MS2278" s="38"/>
      <c r="MT2278" s="38"/>
      <c r="MU2278" s="38"/>
      <c r="MV2278" s="38"/>
      <c r="MW2278" s="38"/>
      <c r="MX2278" s="38"/>
      <c r="MY2278" s="38"/>
      <c r="MZ2278" s="38"/>
      <c r="NA2278" s="38"/>
      <c r="NB2278" s="38"/>
      <c r="NC2278" s="38"/>
      <c r="ND2278" s="38"/>
      <c r="NE2278" s="38"/>
      <c r="NF2278" s="38"/>
      <c r="NG2278" s="38"/>
      <c r="NH2278" s="38"/>
      <c r="NI2278" s="38"/>
      <c r="NJ2278" s="38"/>
      <c r="NK2278" s="38"/>
      <c r="NL2278" s="38"/>
      <c r="NM2278" s="38"/>
      <c r="NN2278" s="38"/>
      <c r="NO2278" s="38"/>
      <c r="NP2278" s="38"/>
      <c r="NQ2278" s="38"/>
      <c r="NR2278" s="38"/>
      <c r="NS2278" s="38"/>
      <c r="NT2278" s="38"/>
      <c r="NU2278" s="38"/>
      <c r="NV2278" s="38"/>
      <c r="NW2278" s="38"/>
      <c r="NX2278" s="38"/>
      <c r="NY2278" s="38"/>
      <c r="NZ2278" s="38"/>
      <c r="OA2278" s="38"/>
      <c r="OB2278" s="38"/>
      <c r="OC2278" s="38"/>
      <c r="OD2278" s="38"/>
      <c r="OE2278" s="38"/>
      <c r="OF2278" s="38"/>
      <c r="OG2278" s="38"/>
      <c r="OH2278" s="38"/>
      <c r="OI2278" s="38"/>
      <c r="OJ2278" s="38"/>
      <c r="OK2278" s="38"/>
      <c r="OL2278" s="38"/>
      <c r="OM2278" s="38"/>
      <c r="ON2278" s="38"/>
      <c r="OO2278" s="38"/>
      <c r="OP2278" s="38"/>
      <c r="OQ2278" s="38"/>
      <c r="OR2278" s="38"/>
      <c r="OS2278" s="38"/>
      <c r="OT2278" s="38"/>
      <c r="OU2278" s="38"/>
      <c r="OV2278" s="38"/>
      <c r="OW2278" s="38"/>
      <c r="OX2278" s="38"/>
      <c r="OY2278" s="38"/>
      <c r="OZ2278" s="38"/>
      <c r="PA2278" s="38"/>
      <c r="PB2278" s="38"/>
      <c r="PC2278" s="38"/>
      <c r="PD2278" s="38"/>
      <c r="PE2278" s="38"/>
      <c r="PF2278" s="38"/>
      <c r="PG2278" s="38"/>
      <c r="PH2278" s="38"/>
      <c r="PI2278" s="38"/>
      <c r="PJ2278" s="38"/>
      <c r="PK2278" s="38"/>
      <c r="PL2278" s="38"/>
      <c r="PM2278" s="38"/>
      <c r="PN2278" s="38"/>
      <c r="PO2278" s="38"/>
      <c r="PP2278" s="38"/>
      <c r="PQ2278" s="38"/>
      <c r="PR2278" s="38"/>
      <c r="PS2278" s="38"/>
      <c r="PT2278" s="38"/>
      <c r="PU2278" s="38"/>
      <c r="PV2278" s="38"/>
      <c r="PW2278" s="38"/>
      <c r="PX2278" s="38"/>
      <c r="PY2278" s="38"/>
      <c r="PZ2278" s="38"/>
      <c r="QA2278" s="38"/>
      <c r="QB2278" s="38"/>
      <c r="QC2278" s="38"/>
      <c r="QD2278" s="38"/>
      <c r="QE2278" s="38"/>
      <c r="QF2278" s="38"/>
      <c r="QG2278" s="38"/>
      <c r="QH2278" s="38"/>
      <c r="QI2278" s="38"/>
      <c r="QJ2278" s="38"/>
      <c r="QK2278" s="38"/>
      <c r="QL2278" s="38"/>
      <c r="QM2278" s="38"/>
      <c r="QN2278" s="38"/>
      <c r="QO2278" s="38"/>
      <c r="QP2278" s="38"/>
      <c r="QQ2278" s="38"/>
      <c r="QR2278" s="38"/>
      <c r="QS2278" s="38"/>
      <c r="QT2278" s="38"/>
      <c r="QU2278" s="38"/>
      <c r="QV2278" s="38"/>
      <c r="QW2278" s="38"/>
      <c r="QX2278" s="38"/>
      <c r="QY2278" s="38"/>
      <c r="QZ2278" s="38"/>
      <c r="RA2278" s="38"/>
      <c r="RB2278" s="38"/>
      <c r="RC2278" s="38"/>
      <c r="RD2278" s="38"/>
      <c r="RE2278" s="38"/>
      <c r="RF2278" s="38"/>
      <c r="RG2278" s="38"/>
      <c r="RH2278" s="38"/>
      <c r="RI2278" s="38"/>
      <c r="RJ2278" s="38"/>
      <c r="RK2278" s="38"/>
      <c r="RL2278" s="38"/>
      <c r="RM2278" s="38"/>
      <c r="RN2278" s="38"/>
      <c r="RO2278" s="38"/>
      <c r="RP2278" s="38"/>
      <c r="RQ2278" s="38"/>
      <c r="RR2278" s="38"/>
      <c r="RS2278" s="38"/>
      <c r="RT2278" s="38"/>
      <c r="RU2278" s="38"/>
      <c r="RV2278" s="38"/>
      <c r="RW2278" s="38"/>
      <c r="RX2278" s="38"/>
      <c r="RY2278" s="38"/>
      <c r="RZ2278" s="38"/>
      <c r="SA2278" s="38"/>
      <c r="SB2278" s="38"/>
      <c r="SC2278" s="38"/>
      <c r="SD2278" s="38"/>
      <c r="SE2278" s="38"/>
      <c r="SF2278" s="38"/>
      <c r="SG2278" s="38"/>
      <c r="SH2278" s="38"/>
      <c r="SI2278" s="38"/>
      <c r="SJ2278" s="38"/>
      <c r="SK2278" s="38"/>
      <c r="SL2278" s="38"/>
      <c r="SM2278" s="38"/>
      <c r="SN2278" s="38"/>
      <c r="SO2278" s="38"/>
      <c r="SP2278" s="38"/>
      <c r="SQ2278" s="38"/>
      <c r="SR2278" s="38"/>
      <c r="SS2278" s="38"/>
      <c r="ST2278" s="38"/>
      <c r="SU2278" s="38"/>
      <c r="SV2278" s="38"/>
      <c r="SW2278" s="38"/>
      <c r="SX2278" s="38"/>
      <c r="SY2278" s="38"/>
      <c r="SZ2278" s="38"/>
      <c r="TA2278" s="38"/>
      <c r="TB2278" s="38"/>
      <c r="TC2278" s="38"/>
      <c r="TD2278" s="38"/>
      <c r="TE2278" s="38"/>
      <c r="TF2278" s="38"/>
      <c r="TG2278" s="38"/>
      <c r="TH2278" s="38"/>
      <c r="TI2278" s="38"/>
      <c r="TJ2278" s="38"/>
      <c r="TK2278" s="38"/>
      <c r="TL2278" s="38"/>
      <c r="TM2278" s="38"/>
      <c r="TN2278" s="38"/>
      <c r="TO2278" s="38"/>
      <c r="TP2278" s="38"/>
      <c r="TQ2278" s="38"/>
      <c r="TR2278" s="38"/>
      <c r="TS2278" s="38"/>
      <c r="TT2278" s="38"/>
      <c r="TU2278" s="38"/>
      <c r="TV2278" s="38"/>
      <c r="TW2278" s="38"/>
      <c r="TX2278" s="38"/>
      <c r="TY2278" s="38"/>
      <c r="TZ2278" s="38"/>
      <c r="UA2278" s="38"/>
      <c r="UB2278" s="38"/>
      <c r="UC2278" s="38"/>
      <c r="UD2278" s="38"/>
      <c r="UE2278" s="38"/>
      <c r="UF2278" s="38"/>
      <c r="UG2278" s="38"/>
      <c r="UH2278" s="38"/>
      <c r="UI2278" s="38"/>
      <c r="UJ2278" s="38"/>
      <c r="UK2278" s="38"/>
      <c r="UL2278" s="38"/>
      <c r="UM2278" s="38"/>
      <c r="UN2278" s="38"/>
      <c r="UO2278" s="38"/>
      <c r="UP2278" s="38"/>
      <c r="UQ2278" s="38"/>
      <c r="UR2278" s="38"/>
      <c r="US2278" s="38"/>
      <c r="UT2278" s="38"/>
      <c r="UU2278" s="38"/>
      <c r="UV2278" s="38"/>
      <c r="UW2278" s="38"/>
      <c r="UX2278" s="38"/>
      <c r="UY2278" s="38"/>
      <c r="UZ2278" s="38"/>
      <c r="VA2278" s="38"/>
      <c r="VB2278" s="38"/>
      <c r="VC2278" s="38"/>
      <c r="VD2278" s="38"/>
      <c r="VE2278" s="38"/>
      <c r="VF2278" s="38"/>
      <c r="VG2278" s="38"/>
      <c r="VH2278" s="38"/>
      <c r="VI2278" s="38"/>
      <c r="VJ2278" s="38"/>
      <c r="VK2278" s="38"/>
      <c r="VL2278" s="38"/>
      <c r="VM2278" s="38"/>
      <c r="VN2278" s="38"/>
      <c r="VO2278" s="38"/>
      <c r="VP2278" s="38"/>
      <c r="VQ2278" s="38"/>
      <c r="VR2278" s="38"/>
      <c r="VS2278" s="38"/>
      <c r="VT2278" s="38"/>
      <c r="VU2278" s="38"/>
      <c r="VV2278" s="38"/>
      <c r="VW2278" s="38"/>
      <c r="VX2278" s="38"/>
      <c r="VY2278" s="38"/>
      <c r="VZ2278" s="38"/>
      <c r="WA2278" s="38"/>
      <c r="WB2278" s="38"/>
      <c r="WC2278" s="38"/>
      <c r="WD2278" s="38"/>
      <c r="WE2278" s="38"/>
      <c r="WF2278" s="38"/>
      <c r="WG2278" s="38"/>
      <c r="WH2278" s="38"/>
      <c r="WI2278" s="38"/>
      <c r="WJ2278" s="38"/>
      <c r="WK2278" s="38"/>
      <c r="WL2278" s="38"/>
      <c r="WM2278" s="38"/>
      <c r="WN2278" s="38"/>
      <c r="WO2278" s="38"/>
      <c r="WP2278" s="38"/>
      <c r="WQ2278" s="38"/>
      <c r="WR2278" s="38"/>
      <c r="WS2278" s="38"/>
      <c r="WT2278" s="38"/>
      <c r="WU2278" s="38"/>
      <c r="WV2278" s="38"/>
      <c r="WW2278" s="38"/>
      <c r="WX2278" s="38"/>
      <c r="WY2278" s="38"/>
      <c r="WZ2278" s="38"/>
      <c r="XA2278" s="38"/>
      <c r="XB2278" s="38"/>
      <c r="XC2278" s="38"/>
      <c r="XD2278" s="38"/>
      <c r="XE2278" s="38"/>
      <c r="XF2278" s="38"/>
      <c r="XG2278" s="38"/>
      <c r="XH2278" s="38"/>
      <c r="XI2278" s="38"/>
      <c r="XJ2278" s="38"/>
      <c r="XK2278" s="38"/>
      <c r="XL2278" s="38"/>
      <c r="XM2278" s="38"/>
      <c r="XN2278" s="38"/>
      <c r="XO2278" s="38"/>
      <c r="XP2278" s="38"/>
      <c r="XQ2278" s="38"/>
      <c r="XR2278" s="38"/>
      <c r="XS2278" s="38"/>
      <c r="XT2278" s="38"/>
      <c r="XU2278" s="38"/>
      <c r="XV2278" s="38"/>
      <c r="XW2278" s="38"/>
      <c r="XX2278" s="38"/>
      <c r="XY2278" s="38"/>
      <c r="XZ2278" s="38"/>
      <c r="YA2278" s="38"/>
      <c r="YB2278" s="38"/>
      <c r="YC2278" s="38"/>
      <c r="YD2278" s="38"/>
      <c r="YE2278" s="38"/>
      <c r="YF2278" s="38"/>
      <c r="YG2278" s="38"/>
      <c r="YH2278" s="38"/>
      <c r="YI2278" s="38"/>
      <c r="YJ2278" s="38"/>
      <c r="YK2278" s="38"/>
      <c r="YL2278" s="38"/>
      <c r="YM2278" s="38"/>
      <c r="YN2278" s="38"/>
      <c r="YO2278" s="38"/>
      <c r="YP2278" s="38"/>
      <c r="YQ2278" s="38"/>
      <c r="YR2278" s="38"/>
      <c r="YS2278" s="38"/>
      <c r="YT2278" s="38"/>
      <c r="YU2278" s="38"/>
      <c r="YV2278" s="38"/>
      <c r="YW2278" s="38"/>
      <c r="YX2278" s="38"/>
      <c r="YY2278" s="38"/>
      <c r="YZ2278" s="38"/>
      <c r="ZA2278" s="38"/>
      <c r="ZB2278" s="38"/>
      <c r="ZC2278" s="38"/>
      <c r="ZD2278" s="38"/>
      <c r="ZE2278" s="38"/>
      <c r="ZF2278" s="38"/>
      <c r="ZG2278" s="38"/>
      <c r="ZH2278" s="38"/>
      <c r="ZI2278" s="38"/>
      <c r="ZJ2278" s="38"/>
      <c r="ZK2278" s="38"/>
      <c r="ZL2278" s="38"/>
      <c r="ZM2278" s="38"/>
      <c r="ZN2278" s="38"/>
      <c r="ZO2278" s="38"/>
      <c r="ZP2278" s="38"/>
      <c r="ZQ2278" s="38"/>
      <c r="ZR2278" s="38"/>
      <c r="ZS2278" s="38"/>
      <c r="ZT2278" s="38"/>
      <c r="ZU2278" s="38"/>
      <c r="ZV2278" s="38"/>
      <c r="ZW2278" s="38"/>
      <c r="ZX2278" s="38"/>
      <c r="ZY2278" s="38"/>
      <c r="ZZ2278" s="38"/>
      <c r="AAA2278" s="38"/>
      <c r="AAB2278" s="38"/>
      <c r="AAC2278" s="38"/>
      <c r="AAD2278" s="38"/>
      <c r="AAE2278" s="38"/>
      <c r="AAF2278" s="38"/>
      <c r="AAG2278" s="38"/>
      <c r="AAH2278" s="38"/>
      <c r="AAI2278" s="38"/>
      <c r="AAJ2278" s="38"/>
      <c r="AAK2278" s="38"/>
      <c r="AAL2278" s="38"/>
      <c r="AAM2278" s="38"/>
      <c r="AAN2278" s="38"/>
      <c r="AAO2278" s="38"/>
      <c r="AAP2278" s="38"/>
      <c r="AAQ2278" s="38"/>
      <c r="AAR2278" s="38"/>
      <c r="AAS2278" s="38"/>
      <c r="AAT2278" s="38"/>
      <c r="AAU2278" s="38"/>
      <c r="AAV2278" s="38"/>
      <c r="AAW2278" s="38"/>
      <c r="AAX2278" s="38"/>
      <c r="AAY2278" s="38"/>
      <c r="AAZ2278" s="38"/>
      <c r="ABA2278" s="38"/>
      <c r="ABB2278" s="38"/>
      <c r="ABC2278" s="38"/>
      <c r="ABD2278" s="38"/>
      <c r="ABE2278" s="38"/>
      <c r="ABF2278" s="38"/>
      <c r="ABG2278" s="38"/>
      <c r="ABH2278" s="38"/>
      <c r="ABI2278" s="38"/>
      <c r="ABJ2278" s="38"/>
      <c r="ABK2278" s="38"/>
      <c r="ABL2278" s="38"/>
      <c r="ABM2278" s="38"/>
      <c r="ABN2278" s="38"/>
      <c r="ABO2278" s="38"/>
      <c r="ABP2278" s="38"/>
      <c r="ABQ2278" s="38"/>
      <c r="ABR2278" s="38"/>
      <c r="ABS2278" s="38"/>
      <c r="ABT2278" s="38"/>
      <c r="ABU2278" s="38"/>
      <c r="ABV2278" s="38"/>
      <c r="ABW2278" s="38"/>
      <c r="ABX2278" s="38"/>
      <c r="ABY2278" s="38"/>
      <c r="ABZ2278" s="38"/>
      <c r="ACA2278" s="38"/>
      <c r="ACB2278" s="38"/>
      <c r="ACC2278" s="38"/>
      <c r="ACD2278" s="38"/>
      <c r="ACE2278" s="38"/>
      <c r="ACF2278" s="38"/>
      <c r="ACG2278" s="38"/>
      <c r="ACH2278" s="38"/>
      <c r="ACI2278" s="38"/>
      <c r="ACJ2278" s="38"/>
      <c r="ACK2278" s="38"/>
      <c r="ACL2278" s="38"/>
      <c r="ACM2278" s="38"/>
      <c r="ACN2278" s="38"/>
      <c r="ACO2278" s="38"/>
      <c r="ACP2278" s="38"/>
      <c r="ACQ2278" s="38"/>
      <c r="ACR2278" s="38"/>
      <c r="ACS2278" s="38"/>
      <c r="ACT2278" s="38"/>
      <c r="ACU2278" s="38"/>
      <c r="ACV2278" s="38"/>
      <c r="ACW2278" s="38"/>
      <c r="ACX2278" s="38"/>
      <c r="ACY2278" s="38"/>
      <c r="ACZ2278" s="38"/>
      <c r="ADA2278" s="38"/>
      <c r="ADB2278" s="38"/>
      <c r="ADC2278" s="38"/>
      <c r="ADD2278" s="38"/>
      <c r="ADE2278" s="38"/>
      <c r="ADF2278" s="38"/>
      <c r="ADG2278" s="38"/>
      <c r="ADH2278" s="38"/>
      <c r="ADI2278" s="38"/>
      <c r="ADJ2278" s="38"/>
      <c r="ADK2278" s="38"/>
      <c r="ADL2278" s="38"/>
      <c r="ADM2278" s="38"/>
      <c r="ADN2278" s="38"/>
      <c r="ADO2278" s="38"/>
      <c r="ADP2278" s="38"/>
      <c r="ADQ2278" s="38"/>
      <c r="ADR2278" s="38"/>
      <c r="ADS2278" s="38"/>
      <c r="ADT2278" s="38"/>
      <c r="ADU2278" s="38"/>
      <c r="ADV2278" s="38"/>
      <c r="ADW2278" s="38"/>
      <c r="ADX2278" s="38"/>
      <c r="ADY2278" s="38"/>
      <c r="ADZ2278" s="38"/>
      <c r="AEA2278" s="38"/>
      <c r="AEB2278" s="38"/>
      <c r="AEC2278" s="38"/>
      <c r="AED2278" s="38"/>
      <c r="AEE2278" s="38"/>
      <c r="AEF2278" s="38"/>
      <c r="AEG2278" s="38"/>
      <c r="AEH2278" s="38"/>
      <c r="AEI2278" s="38"/>
      <c r="AEJ2278" s="38"/>
      <c r="AEK2278" s="38"/>
      <c r="AEL2278" s="38"/>
      <c r="AEM2278" s="38"/>
      <c r="AEN2278" s="38"/>
      <c r="AEO2278" s="38"/>
      <c r="AEP2278" s="38"/>
      <c r="AEQ2278" s="38"/>
      <c r="AER2278" s="38"/>
      <c r="AES2278" s="38"/>
      <c r="AET2278" s="38"/>
      <c r="AEU2278" s="38"/>
      <c r="AEV2278" s="38"/>
      <c r="AEW2278" s="38"/>
      <c r="AEX2278" s="38"/>
      <c r="AEY2278" s="38"/>
      <c r="AEZ2278" s="38"/>
      <c r="AFA2278" s="38"/>
      <c r="AFB2278" s="38"/>
      <c r="AFC2278" s="38"/>
      <c r="AFD2278" s="38"/>
      <c r="AFE2278" s="38"/>
      <c r="AFF2278" s="38"/>
      <c r="AFG2278" s="38"/>
      <c r="AFH2278" s="38"/>
      <c r="AFI2278" s="38"/>
      <c r="AFJ2278" s="38"/>
      <c r="AFK2278" s="38"/>
      <c r="AFL2278" s="38"/>
      <c r="AFM2278" s="38"/>
      <c r="AFN2278" s="38"/>
      <c r="AFO2278" s="38"/>
      <c r="AFP2278" s="38"/>
      <c r="AFQ2278" s="38"/>
      <c r="AFR2278" s="38"/>
      <c r="AFS2278" s="38"/>
      <c r="AFT2278" s="38"/>
      <c r="AFU2278" s="38"/>
      <c r="AFV2278" s="38"/>
      <c r="AFW2278" s="38"/>
      <c r="AFX2278" s="38"/>
      <c r="AFY2278" s="38"/>
      <c r="AFZ2278" s="38"/>
      <c r="AGA2278" s="38"/>
      <c r="AGB2278" s="38"/>
      <c r="AGC2278" s="38"/>
      <c r="AGD2278" s="38"/>
      <c r="AGE2278" s="38"/>
      <c r="AGF2278" s="38"/>
      <c r="AGG2278" s="38"/>
      <c r="AGH2278" s="38"/>
      <c r="AGI2278" s="38"/>
      <c r="AGJ2278" s="38"/>
      <c r="AGK2278" s="38"/>
      <c r="AGL2278" s="38"/>
      <c r="AGM2278" s="38"/>
      <c r="AGN2278" s="38"/>
      <c r="AGO2278" s="38"/>
      <c r="AGP2278" s="38"/>
      <c r="AGQ2278" s="38"/>
      <c r="AGR2278" s="38"/>
      <c r="AGS2278" s="38"/>
      <c r="AGT2278" s="38"/>
      <c r="AGU2278" s="38"/>
      <c r="AGV2278" s="38"/>
      <c r="AGW2278" s="38"/>
      <c r="AGX2278" s="38"/>
      <c r="AGY2278" s="38"/>
      <c r="AGZ2278" s="38"/>
      <c r="AHA2278" s="38"/>
      <c r="AHB2278" s="38"/>
      <c r="AHC2278" s="38"/>
      <c r="AHD2278" s="38"/>
      <c r="AHE2278" s="38"/>
      <c r="AHF2278" s="38"/>
      <c r="AHG2278" s="38"/>
      <c r="AHH2278" s="38"/>
      <c r="AHI2278" s="38"/>
      <c r="AHJ2278" s="38"/>
      <c r="AHK2278" s="38"/>
      <c r="AHL2278" s="38"/>
      <c r="AHM2278" s="38"/>
      <c r="AHN2278" s="38"/>
      <c r="AHO2278" s="38"/>
      <c r="AHP2278" s="38"/>
      <c r="AHQ2278" s="38"/>
      <c r="AHR2278" s="38"/>
      <c r="AHS2278" s="38"/>
      <c r="AHT2278" s="38"/>
      <c r="AHU2278" s="38"/>
      <c r="AHV2278" s="38"/>
      <c r="AHW2278" s="38"/>
      <c r="AHX2278" s="38"/>
      <c r="AHY2278" s="38"/>
      <c r="AHZ2278" s="38"/>
      <c r="AIA2278" s="38"/>
      <c r="AIB2278" s="38"/>
      <c r="AIC2278" s="38"/>
      <c r="AID2278" s="38"/>
      <c r="AIE2278" s="38"/>
      <c r="AIF2278" s="38"/>
      <c r="AIG2278" s="38"/>
      <c r="AIH2278" s="38"/>
      <c r="AII2278" s="38"/>
      <c r="AIJ2278" s="38"/>
      <c r="AIK2278" s="38"/>
      <c r="AIL2278" s="38"/>
      <c r="AIM2278" s="38"/>
      <c r="AIN2278" s="38"/>
      <c r="AIO2278" s="38"/>
      <c r="AIP2278" s="38"/>
      <c r="AIQ2278" s="38"/>
      <c r="AIR2278" s="38"/>
      <c r="AIS2278" s="38"/>
      <c r="AIT2278" s="38"/>
      <c r="AIU2278" s="38"/>
      <c r="AIV2278" s="38"/>
      <c r="AIW2278" s="38"/>
      <c r="AIX2278" s="38"/>
      <c r="AIY2278" s="38"/>
      <c r="AIZ2278" s="38"/>
      <c r="AJA2278" s="38"/>
      <c r="AJB2278" s="38"/>
      <c r="AJC2278" s="38"/>
      <c r="AJD2278" s="38"/>
      <c r="AJE2278" s="38"/>
      <c r="AJF2278" s="38"/>
      <c r="AJG2278" s="38"/>
      <c r="AJH2278" s="38"/>
      <c r="AJI2278" s="38"/>
      <c r="AJJ2278" s="38"/>
      <c r="AJK2278" s="38"/>
      <c r="AJL2278" s="38"/>
      <c r="AJM2278" s="38"/>
      <c r="AJN2278" s="38"/>
      <c r="AJO2278" s="38"/>
      <c r="AJP2278" s="38"/>
      <c r="AJQ2278" s="38"/>
      <c r="AJR2278" s="38"/>
      <c r="AJS2278" s="38"/>
      <c r="AJT2278" s="38"/>
      <c r="AJU2278" s="38"/>
      <c r="AJV2278" s="38"/>
      <c r="AJW2278" s="38"/>
      <c r="AJX2278" s="38"/>
      <c r="AJY2278" s="38"/>
      <c r="AJZ2278" s="38"/>
      <c r="AKA2278" s="38"/>
      <c r="AKB2278" s="38"/>
      <c r="AKC2278" s="38"/>
      <c r="AKD2278" s="38"/>
      <c r="AKE2278" s="38"/>
      <c r="AKF2278" s="38"/>
      <c r="AKG2278" s="38"/>
      <c r="AKH2278" s="38"/>
      <c r="AKI2278" s="38"/>
      <c r="AKJ2278" s="38"/>
      <c r="AKK2278" s="38"/>
      <c r="AKL2278" s="38"/>
      <c r="AKM2278" s="38"/>
      <c r="AKN2278" s="38"/>
      <c r="AKO2278" s="38"/>
      <c r="AKP2278" s="38"/>
      <c r="AKQ2278" s="38"/>
      <c r="AKR2278" s="38"/>
      <c r="AKS2278" s="38"/>
      <c r="AKT2278" s="38"/>
      <c r="AKU2278" s="38"/>
      <c r="AKV2278" s="38"/>
      <c r="AKW2278" s="38"/>
      <c r="AKX2278" s="38"/>
      <c r="AKY2278" s="38"/>
      <c r="AKZ2278" s="38"/>
      <c r="ALA2278" s="38"/>
      <c r="ALB2278" s="38"/>
      <c r="ALC2278" s="38"/>
      <c r="ALD2278" s="38"/>
      <c r="ALE2278" s="38"/>
      <c r="ALF2278" s="38"/>
      <c r="ALG2278" s="38"/>
      <c r="ALH2278" s="38"/>
      <c r="ALI2278" s="38"/>
      <c r="ALJ2278" s="38"/>
      <c r="ALK2278" s="38"/>
      <c r="ALL2278" s="38"/>
      <c r="ALM2278" s="38"/>
      <c r="ALN2278" s="38"/>
      <c r="ALO2278" s="38"/>
      <c r="ALP2278" s="38"/>
      <c r="ALQ2278" s="38"/>
      <c r="ALR2278" s="38"/>
      <c r="ALS2278" s="38"/>
      <c r="ALT2278" s="38"/>
      <c r="ALU2278" s="38"/>
      <c r="ALV2278" s="38"/>
      <c r="ALW2278" s="38"/>
      <c r="ALX2278" s="38"/>
      <c r="ALY2278" s="38"/>
      <c r="ALZ2278" s="38"/>
      <c r="AMA2278" s="38"/>
      <c r="AMB2278" s="38"/>
      <c r="AMC2278" s="38"/>
      <c r="AMD2278" s="38"/>
      <c r="AME2278" s="38"/>
      <c r="AMF2278" s="38"/>
      <c r="AMG2278" s="38"/>
      <c r="AMH2278" s="38"/>
      <c r="AMI2278" s="38"/>
      <c r="AMJ2278" s="38"/>
      <c r="AMK2278" s="38"/>
      <c r="AML2278" s="38"/>
      <c r="AMM2278" s="38"/>
      <c r="AMN2278" s="38"/>
      <c r="AMO2278" s="38"/>
      <c r="AMP2278" s="38"/>
      <c r="AMQ2278" s="38"/>
      <c r="AMR2278" s="38"/>
      <c r="AMS2278" s="38"/>
      <c r="AMT2278" s="38"/>
      <c r="AMU2278" s="38"/>
      <c r="AMV2278" s="38"/>
      <c r="AMW2278" s="38"/>
      <c r="AMX2278" s="38"/>
      <c r="AMY2278" s="38"/>
      <c r="AMZ2278" s="38"/>
      <c r="ANA2278" s="38"/>
      <c r="ANB2278" s="38"/>
      <c r="ANC2278" s="38"/>
      <c r="AND2278" s="38"/>
      <c r="ANE2278" s="38"/>
      <c r="ANF2278" s="38"/>
      <c r="ANG2278" s="38"/>
      <c r="ANH2278" s="38"/>
      <c r="ANI2278" s="38"/>
      <c r="ANJ2278" s="38"/>
      <c r="ANK2278" s="38"/>
      <c r="ANL2278" s="38"/>
      <c r="ANM2278" s="38"/>
      <c r="ANN2278" s="38"/>
      <c r="ANO2278" s="38"/>
      <c r="ANP2278" s="38"/>
      <c r="ANQ2278" s="38"/>
      <c r="ANR2278" s="38"/>
      <c r="ANS2278" s="38"/>
      <c r="ANT2278" s="38"/>
      <c r="ANU2278" s="38"/>
      <c r="ANV2278" s="38"/>
      <c r="ANW2278" s="38"/>
      <c r="ANX2278" s="38"/>
      <c r="ANY2278" s="38"/>
      <c r="ANZ2278" s="38"/>
      <c r="AOA2278" s="38"/>
      <c r="AOB2278" s="38"/>
      <c r="AOC2278" s="38"/>
      <c r="AOD2278" s="38"/>
      <c r="AOE2278" s="38"/>
      <c r="AOF2278" s="38"/>
      <c r="AOG2278" s="38"/>
      <c r="AOH2278" s="38"/>
      <c r="AOI2278" s="38"/>
      <c r="AOJ2278" s="38"/>
      <c r="AOK2278" s="38"/>
      <c r="AOL2278" s="38"/>
      <c r="AOM2278" s="38"/>
      <c r="AON2278" s="38"/>
      <c r="AOO2278" s="38"/>
      <c r="AOP2278" s="38"/>
      <c r="AOQ2278" s="38"/>
      <c r="AOR2278" s="38"/>
      <c r="AOS2278" s="38"/>
      <c r="AOT2278" s="38"/>
      <c r="AOU2278" s="38"/>
      <c r="AOV2278" s="38"/>
      <c r="AOW2278" s="38"/>
      <c r="AOX2278" s="38"/>
      <c r="AOY2278" s="38"/>
      <c r="AOZ2278" s="38"/>
      <c r="APA2278" s="38"/>
      <c r="APB2278" s="38"/>
      <c r="APC2278" s="38"/>
    </row>
    <row r="2279" spans="1:1095" s="36" customFormat="1" ht="14.25" customHeight="1">
      <c r="A2279" s="3" t="s">
        <v>1722</v>
      </c>
      <c r="B2279" s="36" t="s">
        <v>2807</v>
      </c>
      <c r="C2279" s="10">
        <v>4099854070563</v>
      </c>
      <c r="D2279" s="224">
        <v>4058075796454</v>
      </c>
      <c r="E2279" s="245" t="s">
        <v>2808</v>
      </c>
      <c r="F2279" s="246"/>
      <c r="G2279" s="66" t="str">
        <f>HYPERLINK("https://ledvance.com/pt/product-datasheet/250988/239201","Ficha de Produto")</f>
        <v>Ficha de Produto</v>
      </c>
      <c r="H2279" s="217">
        <v>10</v>
      </c>
      <c r="I2279" s="34" t="s">
        <v>6389</v>
      </c>
      <c r="J2279" s="34" t="s">
        <v>6364</v>
      </c>
      <c r="K2279" s="34" t="s">
        <v>788</v>
      </c>
      <c r="L2279" s="34" t="s">
        <v>765</v>
      </c>
      <c r="M2279" s="247">
        <v>11.3</v>
      </c>
      <c r="N2279" s="288" t="s">
        <v>722</v>
      </c>
    </row>
    <row r="2280" spans="1:1095" s="36" customFormat="1" ht="14.25" customHeight="1">
      <c r="A2280" s="3" t="s">
        <v>1722</v>
      </c>
      <c r="B2280" s="36" t="s">
        <v>2809</v>
      </c>
      <c r="C2280" s="10">
        <v>4099854070594</v>
      </c>
      <c r="D2280" s="224">
        <v>4058075796478</v>
      </c>
      <c r="E2280" s="245" t="s">
        <v>2810</v>
      </c>
      <c r="F2280" s="246"/>
      <c r="G2280" s="66" t="str">
        <f>HYPERLINK("https://ledvance.com/pt/product-datasheet/250988/239204","Ficha de Produto")</f>
        <v>Ficha de Produto</v>
      </c>
      <c r="H2280" s="217">
        <v>10</v>
      </c>
      <c r="I2280" s="34" t="s">
        <v>6389</v>
      </c>
      <c r="J2280" s="34" t="s">
        <v>6364</v>
      </c>
      <c r="K2280" s="34" t="s">
        <v>788</v>
      </c>
      <c r="L2280" s="34" t="s">
        <v>765</v>
      </c>
      <c r="M2280" s="247">
        <v>11.3</v>
      </c>
      <c r="N2280" s="288" t="s">
        <v>722</v>
      </c>
    </row>
    <row r="2281" spans="1:1095" s="36" customFormat="1" ht="14.25" customHeight="1">
      <c r="A2281" s="3" t="s">
        <v>1722</v>
      </c>
      <c r="B2281" s="36" t="s">
        <v>2811</v>
      </c>
      <c r="C2281" s="10">
        <v>4099854070617</v>
      </c>
      <c r="D2281" s="224">
        <v>4058075796492</v>
      </c>
      <c r="E2281" s="245" t="s">
        <v>2812</v>
      </c>
      <c r="F2281" s="246"/>
      <c r="G2281" s="66" t="str">
        <f>HYPERLINK("https://ledvance.com/pt/product-datasheet/250988/239207","Ficha de Produto")</f>
        <v>Ficha de Produto</v>
      </c>
      <c r="H2281" s="217">
        <v>10</v>
      </c>
      <c r="I2281" s="34" t="s">
        <v>6389</v>
      </c>
      <c r="J2281" s="34" t="s">
        <v>6364</v>
      </c>
      <c r="K2281" s="34" t="s">
        <v>788</v>
      </c>
      <c r="L2281" s="34" t="s">
        <v>765</v>
      </c>
      <c r="M2281" s="247">
        <v>11.3</v>
      </c>
      <c r="N2281" s="288" t="s">
        <v>722</v>
      </c>
    </row>
    <row r="2282" spans="1:1095" s="36" customFormat="1" ht="14.25" customHeight="1">
      <c r="A2282" s="3" t="s">
        <v>1722</v>
      </c>
      <c r="B2282" s="36" t="s">
        <v>2813</v>
      </c>
      <c r="C2282" s="10">
        <v>4099854059698</v>
      </c>
      <c r="D2282" s="224">
        <v>4058075796515</v>
      </c>
      <c r="E2282" s="245" t="s">
        <v>2814</v>
      </c>
      <c r="F2282" s="246"/>
      <c r="G2282" s="66" t="str">
        <f>HYPERLINK("https://ledvance.com/pt/product-datasheet/250988/236931","Ficha de Produto")</f>
        <v>Ficha de Produto</v>
      </c>
      <c r="H2282" s="217">
        <v>10</v>
      </c>
      <c r="I2282" s="34" t="s">
        <v>6401</v>
      </c>
      <c r="J2282" s="34" t="s">
        <v>1051</v>
      </c>
      <c r="K2282" s="34" t="s">
        <v>788</v>
      </c>
      <c r="L2282" s="34" t="s">
        <v>765</v>
      </c>
      <c r="M2282" s="247">
        <v>12.3</v>
      </c>
      <c r="N2282" s="288" t="s">
        <v>722</v>
      </c>
    </row>
    <row r="2283" spans="1:1095" s="36" customFormat="1" ht="14.25" customHeight="1">
      <c r="A2283" s="3" t="s">
        <v>1722</v>
      </c>
      <c r="B2283" s="36" t="s">
        <v>2815</v>
      </c>
      <c r="C2283" s="10">
        <v>4099854059711</v>
      </c>
      <c r="D2283" s="224">
        <v>4058075796539</v>
      </c>
      <c r="E2283" s="245" t="s">
        <v>2816</v>
      </c>
      <c r="F2283" s="246"/>
      <c r="G2283" s="66" t="str">
        <f>HYPERLINK("https://ledvance.com/pt/product-datasheet/250988/236937","Ficha de Produto")</f>
        <v>Ficha de Produto</v>
      </c>
      <c r="H2283" s="217">
        <v>10</v>
      </c>
      <c r="I2283" s="34" t="s">
        <v>6401</v>
      </c>
      <c r="J2283" s="34" t="s">
        <v>1051</v>
      </c>
      <c r="K2283" s="34" t="s">
        <v>788</v>
      </c>
      <c r="L2283" s="34" t="s">
        <v>765</v>
      </c>
      <c r="M2283" s="247">
        <v>12.3</v>
      </c>
      <c r="N2283" s="288" t="s">
        <v>722</v>
      </c>
    </row>
    <row r="2284" spans="1:1095" s="36" customFormat="1" ht="14.25" customHeight="1">
      <c r="A2284" s="3" t="s">
        <v>1722</v>
      </c>
      <c r="B2284" s="36" t="s">
        <v>2817</v>
      </c>
      <c r="C2284" s="10">
        <v>4099854059735</v>
      </c>
      <c r="D2284" s="224">
        <v>4058075796553</v>
      </c>
      <c r="E2284" s="245" t="s">
        <v>2818</v>
      </c>
      <c r="F2284" s="246"/>
      <c r="G2284" s="66" t="str">
        <f>HYPERLINK("https://ledvance.com/pt/product-datasheet/250988/236940","Ficha de Produto")</f>
        <v>Ficha de Produto</v>
      </c>
      <c r="H2284" s="217">
        <v>10</v>
      </c>
      <c r="I2284" s="34" t="s">
        <v>6401</v>
      </c>
      <c r="J2284" s="34" t="s">
        <v>1051</v>
      </c>
      <c r="K2284" s="34" t="s">
        <v>788</v>
      </c>
      <c r="L2284" s="34" t="s">
        <v>765</v>
      </c>
      <c r="M2284" s="247">
        <v>12.3</v>
      </c>
      <c r="N2284" s="288" t="s">
        <v>722</v>
      </c>
    </row>
    <row r="2285" spans="1:1095" s="36" customFormat="1" ht="14.25" customHeight="1">
      <c r="A2285" s="3" t="s">
        <v>1722</v>
      </c>
      <c r="B2285" s="36" t="s">
        <v>2819</v>
      </c>
      <c r="C2285" s="10">
        <v>4099854050473</v>
      </c>
      <c r="D2285" s="224">
        <v>4058075609310</v>
      </c>
      <c r="E2285" s="245" t="s">
        <v>2820</v>
      </c>
      <c r="F2285" s="246"/>
      <c r="G2285" s="66" t="str">
        <f>HYPERLINK("https://ledvance.com/pt/product-datasheet/250988/235960","Ficha de Produto")</f>
        <v>Ficha de Produto</v>
      </c>
      <c r="H2285" s="217">
        <v>10</v>
      </c>
      <c r="I2285" s="34" t="s">
        <v>6403</v>
      </c>
      <c r="J2285" s="34" t="s">
        <v>807</v>
      </c>
      <c r="K2285" s="34" t="s">
        <v>788</v>
      </c>
      <c r="L2285" s="34" t="s">
        <v>765</v>
      </c>
      <c r="M2285" s="247">
        <v>17.7</v>
      </c>
      <c r="N2285" s="288" t="s">
        <v>722</v>
      </c>
    </row>
    <row r="2286" spans="1:1095" s="36" customFormat="1" ht="14.25" customHeight="1">
      <c r="A2286" s="3" t="s">
        <v>1722</v>
      </c>
      <c r="B2286" s="36" t="s">
        <v>2821</v>
      </c>
      <c r="C2286" s="10">
        <v>4099854050497</v>
      </c>
      <c r="D2286" s="224">
        <v>4058075609297</v>
      </c>
      <c r="E2286" s="245" t="s">
        <v>2822</v>
      </c>
      <c r="F2286" s="246"/>
      <c r="G2286" s="66" t="str">
        <f>HYPERLINK("https://ledvance.com/pt/product-datasheet/250988/235969","Ficha de Produto")</f>
        <v>Ficha de Produto</v>
      </c>
      <c r="H2286" s="217">
        <v>10</v>
      </c>
      <c r="I2286" s="34" t="s">
        <v>6403</v>
      </c>
      <c r="J2286" s="34" t="s">
        <v>807</v>
      </c>
      <c r="K2286" s="34" t="s">
        <v>788</v>
      </c>
      <c r="L2286" s="34" t="s">
        <v>765</v>
      </c>
      <c r="M2286" s="247">
        <v>17.7</v>
      </c>
      <c r="N2286" s="288" t="s">
        <v>722</v>
      </c>
    </row>
    <row r="2287" spans="1:1095" s="36" customFormat="1" ht="14.25" customHeight="1">
      <c r="A2287" s="3" t="s">
        <v>1722</v>
      </c>
      <c r="B2287" s="36" t="s">
        <v>2823</v>
      </c>
      <c r="C2287" s="10">
        <v>4099854050510</v>
      </c>
      <c r="D2287" s="224">
        <v>4058075609273</v>
      </c>
      <c r="E2287" s="245" t="s">
        <v>2824</v>
      </c>
      <c r="F2287" s="246"/>
      <c r="G2287" s="66" t="str">
        <f>HYPERLINK("https://ledvance.com/pt/product-datasheet/250988/235972","Ficha de Produto")</f>
        <v>Ficha de Produto</v>
      </c>
      <c r="H2287" s="217">
        <v>10</v>
      </c>
      <c r="I2287" s="34" t="s">
        <v>6403</v>
      </c>
      <c r="J2287" s="34" t="s">
        <v>807</v>
      </c>
      <c r="K2287" s="34" t="s">
        <v>788</v>
      </c>
      <c r="L2287" s="34" t="s">
        <v>765</v>
      </c>
      <c r="M2287" s="247">
        <v>17.7</v>
      </c>
      <c r="N2287" s="288" t="s">
        <v>722</v>
      </c>
    </row>
    <row r="2288" spans="1:1095" s="39" customFormat="1" ht="14.25" customHeight="1">
      <c r="A2288" s="8" t="s">
        <v>1722</v>
      </c>
      <c r="B2288" s="244" t="s">
        <v>2825</v>
      </c>
      <c r="C2288" s="8"/>
      <c r="D2288" s="7"/>
      <c r="E2288" s="230"/>
      <c r="F2288" s="7"/>
      <c r="G2288" s="68"/>
      <c r="H2288" s="230"/>
      <c r="I2288" s="230"/>
      <c r="J2288" s="230"/>
      <c r="K2288" s="230"/>
      <c r="L2288" s="230"/>
      <c r="M2288" s="248"/>
      <c r="N2288" s="284"/>
      <c r="O2288" s="38"/>
      <c r="P2288" s="38"/>
      <c r="Q2288" s="38"/>
      <c r="R2288" s="38"/>
      <c r="S2288" s="38"/>
      <c r="T2288" s="38"/>
      <c r="U2288" s="38"/>
      <c r="V2288" s="38"/>
      <c r="W2288" s="38"/>
      <c r="X2288" s="38"/>
      <c r="Y2288" s="38"/>
      <c r="Z2288" s="38"/>
      <c r="AA2288" s="38"/>
      <c r="AB2288" s="38"/>
      <c r="AC2288" s="38"/>
      <c r="AD2288" s="38"/>
      <c r="AE2288" s="38"/>
      <c r="AF2288" s="38"/>
      <c r="AG2288" s="38"/>
      <c r="AH2288" s="38"/>
      <c r="AI2288" s="38"/>
      <c r="AJ2288" s="38"/>
      <c r="AK2288" s="38"/>
      <c r="AL2288" s="38"/>
      <c r="AM2288" s="38"/>
      <c r="AN2288" s="38"/>
      <c r="AO2288" s="38"/>
      <c r="AP2288" s="38"/>
      <c r="AQ2288" s="38"/>
      <c r="AR2288" s="38"/>
      <c r="AS2288" s="38"/>
      <c r="AT2288" s="38"/>
      <c r="AU2288" s="38"/>
      <c r="AV2288" s="38"/>
      <c r="AW2288" s="38"/>
      <c r="AX2288" s="38"/>
      <c r="AY2288" s="38"/>
      <c r="AZ2288" s="38"/>
      <c r="BA2288" s="38"/>
      <c r="BB2288" s="38"/>
      <c r="BC2288" s="38"/>
      <c r="BD2288" s="38"/>
      <c r="BE2288" s="38"/>
      <c r="BF2288" s="38"/>
      <c r="BG2288" s="38"/>
      <c r="BH2288" s="38"/>
      <c r="BI2288" s="38"/>
      <c r="BJ2288" s="38"/>
      <c r="BK2288" s="38"/>
      <c r="BL2288" s="38"/>
      <c r="BM2288" s="38"/>
      <c r="BN2288" s="38"/>
      <c r="BO2288" s="38"/>
      <c r="BP2288" s="38"/>
      <c r="BQ2288" s="38"/>
      <c r="BR2288" s="38"/>
      <c r="BS2288" s="38"/>
      <c r="BT2288" s="38"/>
      <c r="BU2288" s="38"/>
      <c r="BV2288" s="38"/>
      <c r="BW2288" s="38"/>
      <c r="BX2288" s="38"/>
      <c r="BY2288" s="38"/>
      <c r="BZ2288" s="38"/>
      <c r="CA2288" s="38"/>
      <c r="CB2288" s="38"/>
      <c r="CC2288" s="38"/>
      <c r="CD2288" s="38"/>
      <c r="CE2288" s="38"/>
      <c r="CF2288" s="38"/>
      <c r="CG2288" s="38"/>
      <c r="CH2288" s="38"/>
      <c r="CI2288" s="38"/>
      <c r="CJ2288" s="38"/>
      <c r="CK2288" s="38"/>
      <c r="CL2288" s="38"/>
      <c r="CM2288" s="38"/>
      <c r="CN2288" s="38"/>
      <c r="CO2288" s="38"/>
      <c r="CP2288" s="38"/>
      <c r="CQ2288" s="38"/>
      <c r="CR2288" s="38"/>
      <c r="CS2288" s="38"/>
      <c r="CT2288" s="38"/>
      <c r="CU2288" s="38"/>
      <c r="CV2288" s="38"/>
      <c r="CW2288" s="38"/>
      <c r="CX2288" s="38"/>
      <c r="CY2288" s="38"/>
      <c r="CZ2288" s="38"/>
      <c r="DA2288" s="38"/>
      <c r="DB2288" s="38"/>
      <c r="DC2288" s="38"/>
      <c r="DD2288" s="38"/>
      <c r="DE2288" s="38"/>
      <c r="DF2288" s="38"/>
      <c r="DG2288" s="38"/>
      <c r="DH2288" s="38"/>
      <c r="DI2288" s="38"/>
      <c r="DJ2288" s="38"/>
      <c r="DK2288" s="38"/>
      <c r="DL2288" s="38"/>
      <c r="DM2288" s="38"/>
      <c r="DN2288" s="38"/>
      <c r="DO2288" s="38"/>
      <c r="DP2288" s="38"/>
      <c r="DQ2288" s="38"/>
      <c r="DR2288" s="38"/>
      <c r="DS2288" s="38"/>
      <c r="DT2288" s="38"/>
      <c r="DU2288" s="38"/>
      <c r="DV2288" s="38"/>
      <c r="DW2288" s="38"/>
      <c r="DX2288" s="38"/>
      <c r="DY2288" s="38"/>
      <c r="DZ2288" s="38"/>
      <c r="EA2288" s="38"/>
      <c r="EB2288" s="38"/>
      <c r="EC2288" s="38"/>
      <c r="ED2288" s="38"/>
      <c r="EE2288" s="38"/>
      <c r="EF2288" s="38"/>
      <c r="EG2288" s="38"/>
      <c r="EH2288" s="38"/>
      <c r="EI2288" s="38"/>
      <c r="EJ2288" s="38"/>
      <c r="EK2288" s="38"/>
      <c r="EL2288" s="38"/>
      <c r="EM2288" s="38"/>
      <c r="EN2288" s="38"/>
      <c r="EO2288" s="38"/>
      <c r="EP2288" s="38"/>
      <c r="EQ2288" s="38"/>
      <c r="ER2288" s="38"/>
      <c r="ES2288" s="38"/>
      <c r="ET2288" s="38"/>
      <c r="EU2288" s="38"/>
      <c r="EV2288" s="38"/>
      <c r="EW2288" s="38"/>
      <c r="EX2288" s="38"/>
      <c r="EY2288" s="38"/>
      <c r="EZ2288" s="38"/>
      <c r="FA2288" s="38"/>
      <c r="FB2288" s="38"/>
      <c r="FC2288" s="38"/>
      <c r="FD2288" s="38"/>
      <c r="FE2288" s="38"/>
      <c r="FF2288" s="38"/>
      <c r="FG2288" s="38"/>
      <c r="FH2288" s="38"/>
      <c r="FI2288" s="38"/>
      <c r="FJ2288" s="38"/>
      <c r="FK2288" s="38"/>
      <c r="FL2288" s="38"/>
      <c r="FM2288" s="38"/>
      <c r="FN2288" s="38"/>
      <c r="FO2288" s="38"/>
      <c r="FP2288" s="38"/>
      <c r="FQ2288" s="38"/>
      <c r="FR2288" s="38"/>
      <c r="FS2288" s="38"/>
      <c r="FT2288" s="38"/>
      <c r="FU2288" s="38"/>
      <c r="FV2288" s="38"/>
      <c r="FW2288" s="38"/>
      <c r="FX2288" s="38"/>
      <c r="FY2288" s="38"/>
      <c r="FZ2288" s="38"/>
      <c r="GA2288" s="38"/>
      <c r="GB2288" s="38"/>
      <c r="GC2288" s="38"/>
      <c r="GD2288" s="38"/>
      <c r="GE2288" s="38"/>
      <c r="GF2288" s="38"/>
      <c r="GG2288" s="38"/>
      <c r="GH2288" s="38"/>
      <c r="GI2288" s="38"/>
      <c r="GJ2288" s="38"/>
      <c r="GK2288" s="38"/>
      <c r="GL2288" s="38"/>
      <c r="GM2288" s="38"/>
      <c r="GN2288" s="38"/>
      <c r="GO2288" s="38"/>
      <c r="GP2288" s="38"/>
      <c r="GQ2288" s="38"/>
      <c r="GR2288" s="38"/>
      <c r="GS2288" s="38"/>
      <c r="GT2288" s="38"/>
      <c r="GU2288" s="38"/>
      <c r="GV2288" s="38"/>
      <c r="GW2288" s="38"/>
      <c r="GX2288" s="38"/>
      <c r="GY2288" s="38"/>
      <c r="GZ2288" s="38"/>
      <c r="HA2288" s="38"/>
      <c r="HB2288" s="38"/>
      <c r="HC2288" s="38"/>
      <c r="HD2288" s="38"/>
      <c r="HE2288" s="38"/>
      <c r="HF2288" s="38"/>
      <c r="HG2288" s="38"/>
      <c r="HH2288" s="38"/>
      <c r="HI2288" s="38"/>
      <c r="HJ2288" s="38"/>
      <c r="HK2288" s="38"/>
      <c r="HL2288" s="38"/>
      <c r="HM2288" s="38"/>
      <c r="HN2288" s="38"/>
      <c r="HO2288" s="38"/>
      <c r="HP2288" s="38"/>
      <c r="HQ2288" s="38"/>
      <c r="HR2288" s="38"/>
      <c r="HS2288" s="38"/>
      <c r="HT2288" s="38"/>
      <c r="HU2288" s="38"/>
      <c r="HV2288" s="38"/>
      <c r="HW2288" s="38"/>
      <c r="HX2288" s="38"/>
      <c r="HY2288" s="38"/>
      <c r="HZ2288" s="38"/>
      <c r="IA2288" s="38"/>
      <c r="IB2288" s="38"/>
      <c r="IC2288" s="38"/>
      <c r="ID2288" s="38"/>
      <c r="IE2288" s="38"/>
      <c r="IF2288" s="38"/>
      <c r="IG2288" s="38"/>
      <c r="IH2288" s="38"/>
      <c r="II2288" s="38"/>
      <c r="IJ2288" s="38"/>
      <c r="IK2288" s="38"/>
      <c r="IL2288" s="38"/>
      <c r="IM2288" s="38"/>
      <c r="IN2288" s="38"/>
      <c r="IO2288" s="38"/>
      <c r="IP2288" s="38"/>
      <c r="IQ2288" s="38"/>
      <c r="IR2288" s="38"/>
      <c r="IS2288" s="38"/>
      <c r="IT2288" s="38"/>
      <c r="IU2288" s="38"/>
      <c r="IV2288" s="38"/>
      <c r="IW2288" s="38"/>
      <c r="IX2288" s="38"/>
      <c r="IY2288" s="38"/>
      <c r="IZ2288" s="38"/>
      <c r="JA2288" s="38"/>
      <c r="JB2288" s="38"/>
      <c r="JC2288" s="38"/>
      <c r="JD2288" s="38"/>
      <c r="JE2288" s="38"/>
      <c r="JF2288" s="38"/>
      <c r="JG2288" s="38"/>
      <c r="JH2288" s="38"/>
      <c r="JI2288" s="38"/>
      <c r="JJ2288" s="38"/>
      <c r="JK2288" s="38"/>
      <c r="JL2288" s="38"/>
      <c r="JM2288" s="38"/>
      <c r="JN2288" s="38"/>
      <c r="JO2288" s="38"/>
      <c r="JP2288" s="38"/>
      <c r="JQ2288" s="38"/>
      <c r="JR2288" s="38"/>
      <c r="JS2288" s="38"/>
      <c r="JT2288" s="38"/>
      <c r="JU2288" s="38"/>
      <c r="JV2288" s="38"/>
      <c r="JW2288" s="38"/>
      <c r="JX2288" s="38"/>
      <c r="JY2288" s="38"/>
      <c r="JZ2288" s="38"/>
      <c r="KA2288" s="38"/>
      <c r="KB2288" s="38"/>
      <c r="KC2288" s="38"/>
      <c r="KD2288" s="38"/>
      <c r="KE2288" s="38"/>
      <c r="KF2288" s="38"/>
      <c r="KG2288" s="38"/>
      <c r="KH2288" s="38"/>
      <c r="KI2288" s="38"/>
      <c r="KJ2288" s="38"/>
      <c r="KK2288" s="38"/>
      <c r="KL2288" s="38"/>
      <c r="KM2288" s="38"/>
      <c r="KN2288" s="38"/>
      <c r="KO2288" s="38"/>
      <c r="KP2288" s="38"/>
      <c r="KQ2288" s="38"/>
      <c r="KR2288" s="38"/>
      <c r="KS2288" s="38"/>
      <c r="KT2288" s="38"/>
      <c r="KU2288" s="38"/>
      <c r="KV2288" s="38"/>
      <c r="KW2288" s="38"/>
      <c r="KX2288" s="38"/>
      <c r="KY2288" s="38"/>
      <c r="KZ2288" s="38"/>
      <c r="LA2288" s="38"/>
      <c r="LB2288" s="38"/>
      <c r="LC2288" s="38"/>
      <c r="LD2288" s="38"/>
      <c r="LE2288" s="38"/>
      <c r="LF2288" s="38"/>
      <c r="LG2288" s="38"/>
      <c r="LH2288" s="38"/>
      <c r="LI2288" s="38"/>
      <c r="LJ2288" s="38"/>
      <c r="LK2288" s="38"/>
      <c r="LL2288" s="38"/>
      <c r="LM2288" s="38"/>
      <c r="LN2288" s="38"/>
      <c r="LO2288" s="38"/>
      <c r="LP2288" s="38"/>
      <c r="LQ2288" s="38"/>
      <c r="LR2288" s="38"/>
      <c r="LS2288" s="38"/>
      <c r="LT2288" s="38"/>
      <c r="LU2288" s="38"/>
      <c r="LV2288" s="38"/>
      <c r="LW2288" s="38"/>
      <c r="LX2288" s="38"/>
      <c r="LY2288" s="38"/>
      <c r="LZ2288" s="38"/>
      <c r="MA2288" s="38"/>
      <c r="MB2288" s="38"/>
      <c r="MC2288" s="38"/>
      <c r="MD2288" s="38"/>
      <c r="ME2288" s="38"/>
      <c r="MF2288" s="38"/>
      <c r="MG2288" s="38"/>
      <c r="MH2288" s="38"/>
      <c r="MI2288" s="38"/>
      <c r="MJ2288" s="38"/>
      <c r="MK2288" s="38"/>
      <c r="ML2288" s="38"/>
      <c r="MM2288" s="38"/>
      <c r="MN2288" s="38"/>
      <c r="MO2288" s="38"/>
      <c r="MP2288" s="38"/>
      <c r="MQ2288" s="38"/>
      <c r="MR2288" s="38"/>
      <c r="MS2288" s="38"/>
      <c r="MT2288" s="38"/>
      <c r="MU2288" s="38"/>
      <c r="MV2288" s="38"/>
      <c r="MW2288" s="38"/>
      <c r="MX2288" s="38"/>
      <c r="MY2288" s="38"/>
      <c r="MZ2288" s="38"/>
      <c r="NA2288" s="38"/>
      <c r="NB2288" s="38"/>
      <c r="NC2288" s="38"/>
      <c r="ND2288" s="38"/>
      <c r="NE2288" s="38"/>
      <c r="NF2288" s="38"/>
      <c r="NG2288" s="38"/>
      <c r="NH2288" s="38"/>
      <c r="NI2288" s="38"/>
      <c r="NJ2288" s="38"/>
      <c r="NK2288" s="38"/>
      <c r="NL2288" s="38"/>
      <c r="NM2288" s="38"/>
      <c r="NN2288" s="38"/>
      <c r="NO2288" s="38"/>
      <c r="NP2288" s="38"/>
      <c r="NQ2288" s="38"/>
      <c r="NR2288" s="38"/>
      <c r="NS2288" s="38"/>
      <c r="NT2288" s="38"/>
      <c r="NU2288" s="38"/>
      <c r="NV2288" s="38"/>
      <c r="NW2288" s="38"/>
      <c r="NX2288" s="38"/>
      <c r="NY2288" s="38"/>
      <c r="NZ2288" s="38"/>
      <c r="OA2288" s="38"/>
      <c r="OB2288" s="38"/>
      <c r="OC2288" s="38"/>
      <c r="OD2288" s="38"/>
      <c r="OE2288" s="38"/>
      <c r="OF2288" s="38"/>
      <c r="OG2288" s="38"/>
      <c r="OH2288" s="38"/>
      <c r="OI2288" s="38"/>
      <c r="OJ2288" s="38"/>
      <c r="OK2288" s="38"/>
      <c r="OL2288" s="38"/>
      <c r="OM2288" s="38"/>
      <c r="ON2288" s="38"/>
      <c r="OO2288" s="38"/>
      <c r="OP2288" s="38"/>
      <c r="OQ2288" s="38"/>
      <c r="OR2288" s="38"/>
      <c r="OS2288" s="38"/>
      <c r="OT2288" s="38"/>
      <c r="OU2288" s="38"/>
      <c r="OV2288" s="38"/>
      <c r="OW2288" s="38"/>
      <c r="OX2288" s="38"/>
      <c r="OY2288" s="38"/>
      <c r="OZ2288" s="38"/>
      <c r="PA2288" s="38"/>
      <c r="PB2288" s="38"/>
      <c r="PC2288" s="38"/>
      <c r="PD2288" s="38"/>
      <c r="PE2288" s="38"/>
      <c r="PF2288" s="38"/>
      <c r="PG2288" s="38"/>
      <c r="PH2288" s="38"/>
      <c r="PI2288" s="38"/>
      <c r="PJ2288" s="38"/>
      <c r="PK2288" s="38"/>
      <c r="PL2288" s="38"/>
      <c r="PM2288" s="38"/>
      <c r="PN2288" s="38"/>
      <c r="PO2288" s="38"/>
      <c r="PP2288" s="38"/>
      <c r="PQ2288" s="38"/>
      <c r="PR2288" s="38"/>
      <c r="PS2288" s="38"/>
      <c r="PT2288" s="38"/>
      <c r="PU2288" s="38"/>
      <c r="PV2288" s="38"/>
      <c r="PW2288" s="38"/>
      <c r="PX2288" s="38"/>
      <c r="PY2288" s="38"/>
      <c r="PZ2288" s="38"/>
      <c r="QA2288" s="38"/>
      <c r="QB2288" s="38"/>
      <c r="QC2288" s="38"/>
      <c r="QD2288" s="38"/>
      <c r="QE2288" s="38"/>
      <c r="QF2288" s="38"/>
      <c r="QG2288" s="38"/>
      <c r="QH2288" s="38"/>
      <c r="QI2288" s="38"/>
      <c r="QJ2288" s="38"/>
      <c r="QK2288" s="38"/>
      <c r="QL2288" s="38"/>
      <c r="QM2288" s="38"/>
      <c r="QN2288" s="38"/>
      <c r="QO2288" s="38"/>
      <c r="QP2288" s="38"/>
      <c r="QQ2288" s="38"/>
      <c r="QR2288" s="38"/>
      <c r="QS2288" s="38"/>
      <c r="QT2288" s="38"/>
      <c r="QU2288" s="38"/>
      <c r="QV2288" s="38"/>
      <c r="QW2288" s="38"/>
      <c r="QX2288" s="38"/>
      <c r="QY2288" s="38"/>
      <c r="QZ2288" s="38"/>
      <c r="RA2288" s="38"/>
      <c r="RB2288" s="38"/>
      <c r="RC2288" s="38"/>
      <c r="RD2288" s="38"/>
      <c r="RE2288" s="38"/>
      <c r="RF2288" s="38"/>
      <c r="RG2288" s="38"/>
      <c r="RH2288" s="38"/>
      <c r="RI2288" s="38"/>
      <c r="RJ2288" s="38"/>
      <c r="RK2288" s="38"/>
      <c r="RL2288" s="38"/>
      <c r="RM2288" s="38"/>
      <c r="RN2288" s="38"/>
      <c r="RO2288" s="38"/>
      <c r="RP2288" s="38"/>
      <c r="RQ2288" s="38"/>
      <c r="RR2288" s="38"/>
      <c r="RS2288" s="38"/>
      <c r="RT2288" s="38"/>
      <c r="RU2288" s="38"/>
      <c r="RV2288" s="38"/>
      <c r="RW2288" s="38"/>
      <c r="RX2288" s="38"/>
      <c r="RY2288" s="38"/>
      <c r="RZ2288" s="38"/>
      <c r="SA2288" s="38"/>
      <c r="SB2288" s="38"/>
      <c r="SC2288" s="38"/>
      <c r="SD2288" s="38"/>
      <c r="SE2288" s="38"/>
      <c r="SF2288" s="38"/>
      <c r="SG2288" s="38"/>
      <c r="SH2288" s="38"/>
      <c r="SI2288" s="38"/>
      <c r="SJ2288" s="38"/>
      <c r="SK2288" s="38"/>
      <c r="SL2288" s="38"/>
      <c r="SM2288" s="38"/>
      <c r="SN2288" s="38"/>
      <c r="SO2288" s="38"/>
      <c r="SP2288" s="38"/>
      <c r="SQ2288" s="38"/>
      <c r="SR2288" s="38"/>
      <c r="SS2288" s="38"/>
      <c r="ST2288" s="38"/>
      <c r="SU2288" s="38"/>
      <c r="SV2288" s="38"/>
      <c r="SW2288" s="38"/>
      <c r="SX2288" s="38"/>
      <c r="SY2288" s="38"/>
      <c r="SZ2288" s="38"/>
      <c r="TA2288" s="38"/>
      <c r="TB2288" s="38"/>
      <c r="TC2288" s="38"/>
      <c r="TD2288" s="38"/>
      <c r="TE2288" s="38"/>
      <c r="TF2288" s="38"/>
      <c r="TG2288" s="38"/>
      <c r="TH2288" s="38"/>
      <c r="TI2288" s="38"/>
      <c r="TJ2288" s="38"/>
      <c r="TK2288" s="38"/>
      <c r="TL2288" s="38"/>
      <c r="TM2288" s="38"/>
      <c r="TN2288" s="38"/>
      <c r="TO2288" s="38"/>
      <c r="TP2288" s="38"/>
      <c r="TQ2288" s="38"/>
      <c r="TR2288" s="38"/>
      <c r="TS2288" s="38"/>
      <c r="TT2288" s="38"/>
      <c r="TU2288" s="38"/>
      <c r="TV2288" s="38"/>
      <c r="TW2288" s="38"/>
      <c r="TX2288" s="38"/>
      <c r="TY2288" s="38"/>
      <c r="TZ2288" s="38"/>
      <c r="UA2288" s="38"/>
      <c r="UB2288" s="38"/>
      <c r="UC2288" s="38"/>
      <c r="UD2288" s="38"/>
      <c r="UE2288" s="38"/>
      <c r="UF2288" s="38"/>
      <c r="UG2288" s="38"/>
      <c r="UH2288" s="38"/>
      <c r="UI2288" s="38"/>
      <c r="UJ2288" s="38"/>
      <c r="UK2288" s="38"/>
      <c r="UL2288" s="38"/>
      <c r="UM2288" s="38"/>
      <c r="UN2288" s="38"/>
      <c r="UO2288" s="38"/>
      <c r="UP2288" s="38"/>
      <c r="UQ2288" s="38"/>
      <c r="UR2288" s="38"/>
      <c r="US2288" s="38"/>
      <c r="UT2288" s="38"/>
      <c r="UU2288" s="38"/>
      <c r="UV2288" s="38"/>
      <c r="UW2288" s="38"/>
      <c r="UX2288" s="38"/>
      <c r="UY2288" s="38"/>
      <c r="UZ2288" s="38"/>
      <c r="VA2288" s="38"/>
      <c r="VB2288" s="38"/>
      <c r="VC2288" s="38"/>
      <c r="VD2288" s="38"/>
      <c r="VE2288" s="38"/>
      <c r="VF2288" s="38"/>
      <c r="VG2288" s="38"/>
      <c r="VH2288" s="38"/>
      <c r="VI2288" s="38"/>
      <c r="VJ2288" s="38"/>
      <c r="VK2288" s="38"/>
      <c r="VL2288" s="38"/>
      <c r="VM2288" s="38"/>
      <c r="VN2288" s="38"/>
      <c r="VO2288" s="38"/>
      <c r="VP2288" s="38"/>
      <c r="VQ2288" s="38"/>
      <c r="VR2288" s="38"/>
      <c r="VS2288" s="38"/>
      <c r="VT2288" s="38"/>
      <c r="VU2288" s="38"/>
      <c r="VV2288" s="38"/>
      <c r="VW2288" s="38"/>
      <c r="VX2288" s="38"/>
      <c r="VY2288" s="38"/>
      <c r="VZ2288" s="38"/>
      <c r="WA2288" s="38"/>
      <c r="WB2288" s="38"/>
      <c r="WC2288" s="38"/>
      <c r="WD2288" s="38"/>
      <c r="WE2288" s="38"/>
      <c r="WF2288" s="38"/>
      <c r="WG2288" s="38"/>
      <c r="WH2288" s="38"/>
      <c r="WI2288" s="38"/>
      <c r="WJ2288" s="38"/>
      <c r="WK2288" s="38"/>
      <c r="WL2288" s="38"/>
      <c r="WM2288" s="38"/>
      <c r="WN2288" s="38"/>
      <c r="WO2288" s="38"/>
      <c r="WP2288" s="38"/>
      <c r="WQ2288" s="38"/>
      <c r="WR2288" s="38"/>
      <c r="WS2288" s="38"/>
      <c r="WT2288" s="38"/>
      <c r="WU2288" s="38"/>
      <c r="WV2288" s="38"/>
      <c r="WW2288" s="38"/>
      <c r="WX2288" s="38"/>
      <c r="WY2288" s="38"/>
      <c r="WZ2288" s="38"/>
      <c r="XA2288" s="38"/>
      <c r="XB2288" s="38"/>
      <c r="XC2288" s="38"/>
      <c r="XD2288" s="38"/>
      <c r="XE2288" s="38"/>
      <c r="XF2288" s="38"/>
      <c r="XG2288" s="38"/>
      <c r="XH2288" s="38"/>
      <c r="XI2288" s="38"/>
      <c r="XJ2288" s="38"/>
      <c r="XK2288" s="38"/>
      <c r="XL2288" s="38"/>
      <c r="XM2288" s="38"/>
      <c r="XN2288" s="38"/>
      <c r="XO2288" s="38"/>
      <c r="XP2288" s="38"/>
      <c r="XQ2288" s="38"/>
      <c r="XR2288" s="38"/>
      <c r="XS2288" s="38"/>
      <c r="XT2288" s="38"/>
      <c r="XU2288" s="38"/>
      <c r="XV2288" s="38"/>
      <c r="XW2288" s="38"/>
      <c r="XX2288" s="38"/>
      <c r="XY2288" s="38"/>
      <c r="XZ2288" s="38"/>
      <c r="YA2288" s="38"/>
      <c r="YB2288" s="38"/>
      <c r="YC2288" s="38"/>
      <c r="YD2288" s="38"/>
      <c r="YE2288" s="38"/>
      <c r="YF2288" s="38"/>
      <c r="YG2288" s="38"/>
      <c r="YH2288" s="38"/>
      <c r="YI2288" s="38"/>
      <c r="YJ2288" s="38"/>
      <c r="YK2288" s="38"/>
      <c r="YL2288" s="38"/>
      <c r="YM2288" s="38"/>
      <c r="YN2288" s="38"/>
      <c r="YO2288" s="38"/>
      <c r="YP2288" s="38"/>
      <c r="YQ2288" s="38"/>
      <c r="YR2288" s="38"/>
      <c r="YS2288" s="38"/>
      <c r="YT2288" s="38"/>
      <c r="YU2288" s="38"/>
      <c r="YV2288" s="38"/>
      <c r="YW2288" s="38"/>
      <c r="YX2288" s="38"/>
      <c r="YY2288" s="38"/>
      <c r="YZ2288" s="38"/>
      <c r="ZA2288" s="38"/>
      <c r="ZB2288" s="38"/>
      <c r="ZC2288" s="38"/>
      <c r="ZD2288" s="38"/>
      <c r="ZE2288" s="38"/>
      <c r="ZF2288" s="38"/>
      <c r="ZG2288" s="38"/>
      <c r="ZH2288" s="38"/>
      <c r="ZI2288" s="38"/>
      <c r="ZJ2288" s="38"/>
      <c r="ZK2288" s="38"/>
      <c r="ZL2288" s="38"/>
      <c r="ZM2288" s="38"/>
      <c r="ZN2288" s="38"/>
      <c r="ZO2288" s="38"/>
      <c r="ZP2288" s="38"/>
      <c r="ZQ2288" s="38"/>
      <c r="ZR2288" s="38"/>
      <c r="ZS2288" s="38"/>
      <c r="ZT2288" s="38"/>
      <c r="ZU2288" s="38"/>
      <c r="ZV2288" s="38"/>
      <c r="ZW2288" s="38"/>
      <c r="ZX2288" s="38"/>
      <c r="ZY2288" s="38"/>
      <c r="ZZ2288" s="38"/>
      <c r="AAA2288" s="38"/>
      <c r="AAB2288" s="38"/>
      <c r="AAC2288" s="38"/>
      <c r="AAD2288" s="38"/>
      <c r="AAE2288" s="38"/>
      <c r="AAF2288" s="38"/>
      <c r="AAG2288" s="38"/>
      <c r="AAH2288" s="38"/>
      <c r="AAI2288" s="38"/>
      <c r="AAJ2288" s="38"/>
      <c r="AAK2288" s="38"/>
      <c r="AAL2288" s="38"/>
      <c r="AAM2288" s="38"/>
      <c r="AAN2288" s="38"/>
      <c r="AAO2288" s="38"/>
      <c r="AAP2288" s="38"/>
      <c r="AAQ2288" s="38"/>
      <c r="AAR2288" s="38"/>
      <c r="AAS2288" s="38"/>
      <c r="AAT2288" s="38"/>
      <c r="AAU2288" s="38"/>
      <c r="AAV2288" s="38"/>
      <c r="AAW2288" s="38"/>
      <c r="AAX2288" s="38"/>
      <c r="AAY2288" s="38"/>
      <c r="AAZ2288" s="38"/>
      <c r="ABA2288" s="38"/>
      <c r="ABB2288" s="38"/>
      <c r="ABC2288" s="38"/>
      <c r="ABD2288" s="38"/>
      <c r="ABE2288" s="38"/>
      <c r="ABF2288" s="38"/>
      <c r="ABG2288" s="38"/>
      <c r="ABH2288" s="38"/>
      <c r="ABI2288" s="38"/>
      <c r="ABJ2288" s="38"/>
      <c r="ABK2288" s="38"/>
      <c r="ABL2288" s="38"/>
      <c r="ABM2288" s="38"/>
      <c r="ABN2288" s="38"/>
      <c r="ABO2288" s="38"/>
      <c r="ABP2288" s="38"/>
      <c r="ABQ2288" s="38"/>
      <c r="ABR2288" s="38"/>
      <c r="ABS2288" s="38"/>
      <c r="ABT2288" s="38"/>
      <c r="ABU2288" s="38"/>
      <c r="ABV2288" s="38"/>
      <c r="ABW2288" s="38"/>
      <c r="ABX2288" s="38"/>
      <c r="ABY2288" s="38"/>
      <c r="ABZ2288" s="38"/>
      <c r="ACA2288" s="38"/>
      <c r="ACB2288" s="38"/>
      <c r="ACC2288" s="38"/>
      <c r="ACD2288" s="38"/>
      <c r="ACE2288" s="38"/>
      <c r="ACF2288" s="38"/>
      <c r="ACG2288" s="38"/>
      <c r="ACH2288" s="38"/>
      <c r="ACI2288" s="38"/>
      <c r="ACJ2288" s="38"/>
      <c r="ACK2288" s="38"/>
      <c r="ACL2288" s="38"/>
      <c r="ACM2288" s="38"/>
      <c r="ACN2288" s="38"/>
      <c r="ACO2288" s="38"/>
      <c r="ACP2288" s="38"/>
      <c r="ACQ2288" s="38"/>
      <c r="ACR2288" s="38"/>
      <c r="ACS2288" s="38"/>
      <c r="ACT2288" s="38"/>
      <c r="ACU2288" s="38"/>
      <c r="ACV2288" s="38"/>
      <c r="ACW2288" s="38"/>
      <c r="ACX2288" s="38"/>
      <c r="ACY2288" s="38"/>
      <c r="ACZ2288" s="38"/>
      <c r="ADA2288" s="38"/>
      <c r="ADB2288" s="38"/>
      <c r="ADC2288" s="38"/>
      <c r="ADD2288" s="38"/>
      <c r="ADE2288" s="38"/>
      <c r="ADF2288" s="38"/>
      <c r="ADG2288" s="38"/>
      <c r="ADH2288" s="38"/>
      <c r="ADI2288" s="38"/>
      <c r="ADJ2288" s="38"/>
      <c r="ADK2288" s="38"/>
      <c r="ADL2288" s="38"/>
      <c r="ADM2288" s="38"/>
      <c r="ADN2288" s="38"/>
      <c r="ADO2288" s="38"/>
      <c r="ADP2288" s="38"/>
      <c r="ADQ2288" s="38"/>
      <c r="ADR2288" s="38"/>
      <c r="ADS2288" s="38"/>
      <c r="ADT2288" s="38"/>
      <c r="ADU2288" s="38"/>
      <c r="ADV2288" s="38"/>
      <c r="ADW2288" s="38"/>
      <c r="ADX2288" s="38"/>
      <c r="ADY2288" s="38"/>
      <c r="ADZ2288" s="38"/>
      <c r="AEA2288" s="38"/>
      <c r="AEB2288" s="38"/>
      <c r="AEC2288" s="38"/>
      <c r="AED2288" s="38"/>
      <c r="AEE2288" s="38"/>
      <c r="AEF2288" s="38"/>
      <c r="AEG2288" s="38"/>
      <c r="AEH2288" s="38"/>
      <c r="AEI2288" s="38"/>
      <c r="AEJ2288" s="38"/>
      <c r="AEK2288" s="38"/>
      <c r="AEL2288" s="38"/>
      <c r="AEM2288" s="38"/>
      <c r="AEN2288" s="38"/>
      <c r="AEO2288" s="38"/>
      <c r="AEP2288" s="38"/>
      <c r="AEQ2288" s="38"/>
      <c r="AER2288" s="38"/>
      <c r="AES2288" s="38"/>
      <c r="AET2288" s="38"/>
      <c r="AEU2288" s="38"/>
      <c r="AEV2288" s="38"/>
      <c r="AEW2288" s="38"/>
      <c r="AEX2288" s="38"/>
      <c r="AEY2288" s="38"/>
      <c r="AEZ2288" s="38"/>
      <c r="AFA2288" s="38"/>
      <c r="AFB2288" s="38"/>
      <c r="AFC2288" s="38"/>
      <c r="AFD2288" s="38"/>
      <c r="AFE2288" s="38"/>
      <c r="AFF2288" s="38"/>
      <c r="AFG2288" s="38"/>
      <c r="AFH2288" s="38"/>
      <c r="AFI2288" s="38"/>
      <c r="AFJ2288" s="38"/>
      <c r="AFK2288" s="38"/>
      <c r="AFL2288" s="38"/>
      <c r="AFM2288" s="38"/>
      <c r="AFN2288" s="38"/>
      <c r="AFO2288" s="38"/>
      <c r="AFP2288" s="38"/>
      <c r="AFQ2288" s="38"/>
      <c r="AFR2288" s="38"/>
      <c r="AFS2288" s="38"/>
      <c r="AFT2288" s="38"/>
      <c r="AFU2288" s="38"/>
      <c r="AFV2288" s="38"/>
      <c r="AFW2288" s="38"/>
      <c r="AFX2288" s="38"/>
      <c r="AFY2288" s="38"/>
      <c r="AFZ2288" s="38"/>
      <c r="AGA2288" s="38"/>
      <c r="AGB2288" s="38"/>
      <c r="AGC2288" s="38"/>
      <c r="AGD2288" s="38"/>
      <c r="AGE2288" s="38"/>
      <c r="AGF2288" s="38"/>
      <c r="AGG2288" s="38"/>
      <c r="AGH2288" s="38"/>
      <c r="AGI2288" s="38"/>
      <c r="AGJ2288" s="38"/>
      <c r="AGK2288" s="38"/>
      <c r="AGL2288" s="38"/>
      <c r="AGM2288" s="38"/>
      <c r="AGN2288" s="38"/>
      <c r="AGO2288" s="38"/>
      <c r="AGP2288" s="38"/>
      <c r="AGQ2288" s="38"/>
      <c r="AGR2288" s="38"/>
      <c r="AGS2288" s="38"/>
      <c r="AGT2288" s="38"/>
      <c r="AGU2288" s="38"/>
      <c r="AGV2288" s="38"/>
      <c r="AGW2288" s="38"/>
      <c r="AGX2288" s="38"/>
      <c r="AGY2288" s="38"/>
      <c r="AGZ2288" s="38"/>
      <c r="AHA2288" s="38"/>
      <c r="AHB2288" s="38"/>
      <c r="AHC2288" s="38"/>
      <c r="AHD2288" s="38"/>
      <c r="AHE2288" s="38"/>
      <c r="AHF2288" s="38"/>
      <c r="AHG2288" s="38"/>
      <c r="AHH2288" s="38"/>
      <c r="AHI2288" s="38"/>
      <c r="AHJ2288" s="38"/>
      <c r="AHK2288" s="38"/>
      <c r="AHL2288" s="38"/>
      <c r="AHM2288" s="38"/>
      <c r="AHN2288" s="38"/>
      <c r="AHO2288" s="38"/>
      <c r="AHP2288" s="38"/>
      <c r="AHQ2288" s="38"/>
      <c r="AHR2288" s="38"/>
      <c r="AHS2288" s="38"/>
      <c r="AHT2288" s="38"/>
      <c r="AHU2288" s="38"/>
      <c r="AHV2288" s="38"/>
      <c r="AHW2288" s="38"/>
      <c r="AHX2288" s="38"/>
      <c r="AHY2288" s="38"/>
      <c r="AHZ2288" s="38"/>
      <c r="AIA2288" s="38"/>
      <c r="AIB2288" s="38"/>
      <c r="AIC2288" s="38"/>
      <c r="AID2288" s="38"/>
      <c r="AIE2288" s="38"/>
      <c r="AIF2288" s="38"/>
      <c r="AIG2288" s="38"/>
      <c r="AIH2288" s="38"/>
      <c r="AII2288" s="38"/>
      <c r="AIJ2288" s="38"/>
      <c r="AIK2288" s="38"/>
      <c r="AIL2288" s="38"/>
      <c r="AIM2288" s="38"/>
      <c r="AIN2288" s="38"/>
      <c r="AIO2288" s="38"/>
      <c r="AIP2288" s="38"/>
      <c r="AIQ2288" s="38"/>
      <c r="AIR2288" s="38"/>
      <c r="AIS2288" s="38"/>
      <c r="AIT2288" s="38"/>
      <c r="AIU2288" s="38"/>
      <c r="AIV2288" s="38"/>
      <c r="AIW2288" s="38"/>
      <c r="AIX2288" s="38"/>
      <c r="AIY2288" s="38"/>
      <c r="AIZ2288" s="38"/>
      <c r="AJA2288" s="38"/>
      <c r="AJB2288" s="38"/>
      <c r="AJC2288" s="38"/>
      <c r="AJD2288" s="38"/>
      <c r="AJE2288" s="38"/>
      <c r="AJF2288" s="38"/>
      <c r="AJG2288" s="38"/>
      <c r="AJH2288" s="38"/>
      <c r="AJI2288" s="38"/>
      <c r="AJJ2288" s="38"/>
      <c r="AJK2288" s="38"/>
      <c r="AJL2288" s="38"/>
      <c r="AJM2288" s="38"/>
      <c r="AJN2288" s="38"/>
      <c r="AJO2288" s="38"/>
      <c r="AJP2288" s="38"/>
      <c r="AJQ2288" s="38"/>
      <c r="AJR2288" s="38"/>
      <c r="AJS2288" s="38"/>
      <c r="AJT2288" s="38"/>
      <c r="AJU2288" s="38"/>
      <c r="AJV2288" s="38"/>
      <c r="AJW2288" s="38"/>
      <c r="AJX2288" s="38"/>
      <c r="AJY2288" s="38"/>
      <c r="AJZ2288" s="38"/>
      <c r="AKA2288" s="38"/>
      <c r="AKB2288" s="38"/>
      <c r="AKC2288" s="38"/>
      <c r="AKD2288" s="38"/>
      <c r="AKE2288" s="38"/>
      <c r="AKF2288" s="38"/>
      <c r="AKG2288" s="38"/>
      <c r="AKH2288" s="38"/>
      <c r="AKI2288" s="38"/>
      <c r="AKJ2288" s="38"/>
      <c r="AKK2288" s="38"/>
      <c r="AKL2288" s="38"/>
      <c r="AKM2288" s="38"/>
      <c r="AKN2288" s="38"/>
      <c r="AKO2288" s="38"/>
      <c r="AKP2288" s="38"/>
      <c r="AKQ2288" s="38"/>
      <c r="AKR2288" s="38"/>
      <c r="AKS2288" s="38"/>
      <c r="AKT2288" s="38"/>
      <c r="AKU2288" s="38"/>
      <c r="AKV2288" s="38"/>
      <c r="AKW2288" s="38"/>
      <c r="AKX2288" s="38"/>
      <c r="AKY2288" s="38"/>
      <c r="AKZ2288" s="38"/>
      <c r="ALA2288" s="38"/>
      <c r="ALB2288" s="38"/>
      <c r="ALC2288" s="38"/>
      <c r="ALD2288" s="38"/>
      <c r="ALE2288" s="38"/>
      <c r="ALF2288" s="38"/>
      <c r="ALG2288" s="38"/>
      <c r="ALH2288" s="38"/>
      <c r="ALI2288" s="38"/>
      <c r="ALJ2288" s="38"/>
      <c r="ALK2288" s="38"/>
      <c r="ALL2288" s="38"/>
      <c r="ALM2288" s="38"/>
      <c r="ALN2288" s="38"/>
      <c r="ALO2288" s="38"/>
      <c r="ALP2288" s="38"/>
      <c r="ALQ2288" s="38"/>
      <c r="ALR2288" s="38"/>
      <c r="ALS2288" s="38"/>
      <c r="ALT2288" s="38"/>
      <c r="ALU2288" s="38"/>
      <c r="ALV2288" s="38"/>
      <c r="ALW2288" s="38"/>
      <c r="ALX2288" s="38"/>
      <c r="ALY2288" s="38"/>
      <c r="ALZ2288" s="38"/>
      <c r="AMA2288" s="38"/>
      <c r="AMB2288" s="38"/>
      <c r="AMC2288" s="38"/>
      <c r="AMD2288" s="38"/>
      <c r="AME2288" s="38"/>
      <c r="AMF2288" s="38"/>
      <c r="AMG2288" s="38"/>
      <c r="AMH2288" s="38"/>
      <c r="AMI2288" s="38"/>
      <c r="AMJ2288" s="38"/>
      <c r="AMK2288" s="38"/>
      <c r="AML2288" s="38"/>
      <c r="AMM2288" s="38"/>
      <c r="AMN2288" s="38"/>
      <c r="AMO2288" s="38"/>
      <c r="AMP2288" s="38"/>
      <c r="AMQ2288" s="38"/>
      <c r="AMR2288" s="38"/>
      <c r="AMS2288" s="38"/>
      <c r="AMT2288" s="38"/>
      <c r="AMU2288" s="38"/>
      <c r="AMV2288" s="38"/>
      <c r="AMW2288" s="38"/>
      <c r="AMX2288" s="38"/>
      <c r="AMY2288" s="38"/>
      <c r="AMZ2288" s="38"/>
      <c r="ANA2288" s="38"/>
      <c r="ANB2288" s="38"/>
      <c r="ANC2288" s="38"/>
      <c r="AND2288" s="38"/>
      <c r="ANE2288" s="38"/>
      <c r="ANF2288" s="38"/>
      <c r="ANG2288" s="38"/>
      <c r="ANH2288" s="38"/>
      <c r="ANI2288" s="38"/>
      <c r="ANJ2288" s="38"/>
      <c r="ANK2288" s="38"/>
      <c r="ANL2288" s="38"/>
      <c r="ANM2288" s="38"/>
      <c r="ANN2288" s="38"/>
      <c r="ANO2288" s="38"/>
      <c r="ANP2288" s="38"/>
      <c r="ANQ2288" s="38"/>
      <c r="ANR2288" s="38"/>
      <c r="ANS2288" s="38"/>
      <c r="ANT2288" s="38"/>
      <c r="ANU2288" s="38"/>
      <c r="ANV2288" s="38"/>
      <c r="ANW2288" s="38"/>
      <c r="ANX2288" s="38"/>
      <c r="ANY2288" s="38"/>
      <c r="ANZ2288" s="38"/>
      <c r="AOA2288" s="38"/>
      <c r="AOB2288" s="38"/>
      <c r="AOC2288" s="38"/>
      <c r="AOD2288" s="38"/>
      <c r="AOE2288" s="38"/>
      <c r="AOF2288" s="38"/>
      <c r="AOG2288" s="38"/>
      <c r="AOH2288" s="38"/>
      <c r="AOI2288" s="38"/>
      <c r="AOJ2288" s="38"/>
      <c r="AOK2288" s="38"/>
      <c r="AOL2288" s="38"/>
      <c r="AOM2288" s="38"/>
      <c r="AON2288" s="38"/>
      <c r="AOO2288" s="38"/>
      <c r="AOP2288" s="38"/>
      <c r="AOQ2288" s="38"/>
      <c r="AOR2288" s="38"/>
      <c r="AOS2288" s="38"/>
      <c r="AOT2288" s="38"/>
      <c r="AOU2288" s="38"/>
      <c r="AOV2288" s="38"/>
      <c r="AOW2288" s="38"/>
      <c r="AOX2288" s="38"/>
      <c r="AOY2288" s="38"/>
      <c r="AOZ2288" s="38"/>
      <c r="APA2288" s="38"/>
      <c r="APB2288" s="38"/>
      <c r="APC2288" s="38"/>
    </row>
    <row r="2289" spans="1:1095" s="36" customFormat="1" ht="14.25" customHeight="1">
      <c r="A2289" s="3" t="s">
        <v>1722</v>
      </c>
      <c r="B2289" s="36" t="s">
        <v>2826</v>
      </c>
      <c r="C2289" s="10">
        <v>4099854059759</v>
      </c>
      <c r="D2289" s="224">
        <v>4058075796577</v>
      </c>
      <c r="E2289" s="245" t="s">
        <v>2827</v>
      </c>
      <c r="F2289" s="246"/>
      <c r="G2289" s="66" t="str">
        <f>HYPERLINK("https://ledvance.com/pt/product-datasheet/250981/236783","Ficha de Produto")</f>
        <v>Ficha de Produto</v>
      </c>
      <c r="H2289" s="217">
        <v>10</v>
      </c>
      <c r="I2289" s="34" t="s">
        <v>6404</v>
      </c>
      <c r="J2289" s="34" t="s">
        <v>6360</v>
      </c>
      <c r="K2289" s="34" t="s">
        <v>788</v>
      </c>
      <c r="L2289" s="34" t="s">
        <v>6506</v>
      </c>
      <c r="M2289" s="247">
        <v>8.1</v>
      </c>
      <c r="N2289" s="288" t="s">
        <v>722</v>
      </c>
    </row>
    <row r="2290" spans="1:1095" s="36" customFormat="1" ht="14.25" customHeight="1">
      <c r="A2290" s="3" t="s">
        <v>1722</v>
      </c>
      <c r="B2290" s="36" t="s">
        <v>2828</v>
      </c>
      <c r="C2290" s="10">
        <v>4099854059773</v>
      </c>
      <c r="D2290" s="224">
        <v>4058075796591</v>
      </c>
      <c r="E2290" s="245" t="s">
        <v>2829</v>
      </c>
      <c r="F2290" s="246"/>
      <c r="G2290" s="66" t="str">
        <f>HYPERLINK("https://ledvance.com/pt/product-datasheet/250981/236789","Ficha de Produto")</f>
        <v>Ficha de Produto</v>
      </c>
      <c r="H2290" s="217">
        <v>10</v>
      </c>
      <c r="I2290" s="34" t="s">
        <v>6404</v>
      </c>
      <c r="J2290" s="34" t="s">
        <v>6360</v>
      </c>
      <c r="K2290" s="34" t="s">
        <v>788</v>
      </c>
      <c r="L2290" s="34" t="s">
        <v>6506</v>
      </c>
      <c r="M2290" s="247">
        <v>8.1</v>
      </c>
      <c r="N2290" s="288" t="s">
        <v>722</v>
      </c>
    </row>
    <row r="2291" spans="1:1095" s="36" customFormat="1" ht="14.25" customHeight="1">
      <c r="A2291" s="3" t="s">
        <v>1722</v>
      </c>
      <c r="B2291" s="36" t="s">
        <v>2830</v>
      </c>
      <c r="C2291" s="10">
        <v>4099854059797</v>
      </c>
      <c r="D2291" s="224">
        <v>4058075796614</v>
      </c>
      <c r="E2291" s="245" t="s">
        <v>2831</v>
      </c>
      <c r="F2291" s="246"/>
      <c r="G2291" s="66" t="str">
        <f>HYPERLINK("https://ledvance.com/pt/product-datasheet/250981/236792","Ficha de Produto")</f>
        <v>Ficha de Produto</v>
      </c>
      <c r="H2291" s="217">
        <v>10</v>
      </c>
      <c r="I2291" s="34" t="s">
        <v>6404</v>
      </c>
      <c r="J2291" s="34" t="s">
        <v>6360</v>
      </c>
      <c r="K2291" s="34" t="s">
        <v>788</v>
      </c>
      <c r="L2291" s="34" t="s">
        <v>6506</v>
      </c>
      <c r="M2291" s="247">
        <v>8.1</v>
      </c>
      <c r="N2291" s="288" t="s">
        <v>722</v>
      </c>
    </row>
    <row r="2292" spans="1:1095" s="36" customFormat="1" ht="14.25" customHeight="1">
      <c r="A2292" s="3" t="s">
        <v>1722</v>
      </c>
      <c r="B2292" s="36" t="s">
        <v>2832</v>
      </c>
      <c r="C2292" s="10">
        <v>4099854068058</v>
      </c>
      <c r="D2292" s="224">
        <v>4058075796638</v>
      </c>
      <c r="E2292" s="245" t="s">
        <v>2833</v>
      </c>
      <c r="F2292" s="246"/>
      <c r="G2292" s="66" t="str">
        <f>HYPERLINK("https://ledvance.com/pt/product-datasheet/250981/238447","Ficha de Produto")</f>
        <v>Ficha de Produto</v>
      </c>
      <c r="H2292" s="217">
        <v>10</v>
      </c>
      <c r="I2292" s="34" t="s">
        <v>6401</v>
      </c>
      <c r="J2292" s="34" t="s">
        <v>6356</v>
      </c>
      <c r="K2292" s="34" t="s">
        <v>788</v>
      </c>
      <c r="L2292" s="34" t="s">
        <v>6506</v>
      </c>
      <c r="M2292" s="247">
        <v>8.6</v>
      </c>
      <c r="N2292" s="288" t="s">
        <v>722</v>
      </c>
    </row>
    <row r="2293" spans="1:1095" s="36" customFormat="1" ht="14.25" customHeight="1">
      <c r="A2293" s="3" t="s">
        <v>1722</v>
      </c>
      <c r="B2293" s="36" t="s">
        <v>2834</v>
      </c>
      <c r="C2293" s="10">
        <v>4099854068072</v>
      </c>
      <c r="D2293" s="224">
        <v>4058075796652</v>
      </c>
      <c r="E2293" s="245" t="s">
        <v>2835</v>
      </c>
      <c r="F2293" s="246"/>
      <c r="G2293" s="66" t="str">
        <f>HYPERLINK("https://ledvance.com/pt/product-datasheet/250981/238456","Ficha de Produto")</f>
        <v>Ficha de Produto</v>
      </c>
      <c r="H2293" s="217">
        <v>10</v>
      </c>
      <c r="I2293" s="34" t="s">
        <v>6401</v>
      </c>
      <c r="J2293" s="34" t="s">
        <v>6356</v>
      </c>
      <c r="K2293" s="34" t="s">
        <v>788</v>
      </c>
      <c r="L2293" s="34" t="s">
        <v>6506</v>
      </c>
      <c r="M2293" s="247">
        <v>8.6</v>
      </c>
      <c r="N2293" s="288" t="s">
        <v>722</v>
      </c>
    </row>
    <row r="2294" spans="1:1095" s="36" customFormat="1" ht="14.25" customHeight="1">
      <c r="A2294" s="3" t="s">
        <v>1722</v>
      </c>
      <c r="B2294" s="36" t="s">
        <v>2836</v>
      </c>
      <c r="C2294" s="10">
        <v>4099854068096</v>
      </c>
      <c r="D2294" s="224">
        <v>4058075796676</v>
      </c>
      <c r="E2294" s="245" t="s">
        <v>2837</v>
      </c>
      <c r="F2294" s="246"/>
      <c r="G2294" s="66" t="str">
        <f>HYPERLINK("https://ledvance.com/pt/product-datasheet/250981/238459","Ficha de Produto")</f>
        <v>Ficha de Produto</v>
      </c>
      <c r="H2294" s="217">
        <v>10</v>
      </c>
      <c r="I2294" s="34" t="s">
        <v>6401</v>
      </c>
      <c r="J2294" s="34" t="s">
        <v>6356</v>
      </c>
      <c r="K2294" s="34" t="s">
        <v>788</v>
      </c>
      <c r="L2294" s="34" t="s">
        <v>6506</v>
      </c>
      <c r="M2294" s="247">
        <v>8.6</v>
      </c>
      <c r="N2294" s="288" t="s">
        <v>722</v>
      </c>
    </row>
    <row r="2295" spans="1:1095" s="36" customFormat="1" ht="14.25" customHeight="1">
      <c r="A2295" s="3" t="s">
        <v>1722</v>
      </c>
      <c r="B2295" s="36" t="s">
        <v>2838</v>
      </c>
      <c r="C2295" s="10">
        <v>4099854047817</v>
      </c>
      <c r="D2295" s="224">
        <v>4058075609259</v>
      </c>
      <c r="E2295" s="245" t="s">
        <v>2839</v>
      </c>
      <c r="F2295" s="246"/>
      <c r="G2295" s="66" t="str">
        <f>HYPERLINK("https://ledvance.com/pt/product-datasheet/250981/235833","Ficha de Produto")</f>
        <v>Ficha de Produto</v>
      </c>
      <c r="H2295" s="217">
        <v>10</v>
      </c>
      <c r="I2295" s="34" t="s">
        <v>6403</v>
      </c>
      <c r="J2295" s="34" t="s">
        <v>6367</v>
      </c>
      <c r="K2295" s="34" t="s">
        <v>788</v>
      </c>
      <c r="L2295" s="34" t="s">
        <v>6506</v>
      </c>
      <c r="M2295" s="247">
        <v>14.3</v>
      </c>
      <c r="N2295" s="288" t="s">
        <v>722</v>
      </c>
    </row>
    <row r="2296" spans="1:1095" s="36" customFormat="1" ht="14.25" customHeight="1">
      <c r="A2296" s="3" t="s">
        <v>1722</v>
      </c>
      <c r="B2296" s="36" t="s">
        <v>2840</v>
      </c>
      <c r="C2296" s="10">
        <v>4099854047992</v>
      </c>
      <c r="D2296" s="224">
        <v>4058075609235</v>
      </c>
      <c r="E2296" s="245" t="s">
        <v>2841</v>
      </c>
      <c r="F2296" s="246"/>
      <c r="G2296" s="66" t="str">
        <f>HYPERLINK("https://ledvance.com/pt/product-datasheet/250981/235860","Ficha de Produto")</f>
        <v>Ficha de Produto</v>
      </c>
      <c r="H2296" s="217">
        <v>10</v>
      </c>
      <c r="I2296" s="34" t="s">
        <v>6403</v>
      </c>
      <c r="J2296" s="34" t="s">
        <v>6367</v>
      </c>
      <c r="K2296" s="34" t="s">
        <v>788</v>
      </c>
      <c r="L2296" s="34" t="s">
        <v>6506</v>
      </c>
      <c r="M2296" s="247">
        <v>14.3</v>
      </c>
      <c r="N2296" s="288" t="s">
        <v>722</v>
      </c>
    </row>
    <row r="2297" spans="1:1095" s="36" customFormat="1" ht="14.25" customHeight="1">
      <c r="A2297" s="3" t="s">
        <v>1722</v>
      </c>
      <c r="B2297" s="36" t="s">
        <v>2842</v>
      </c>
      <c r="C2297" s="10">
        <v>4099854048036</v>
      </c>
      <c r="D2297" s="224">
        <v>4058075609211</v>
      </c>
      <c r="E2297" s="245" t="s">
        <v>2843</v>
      </c>
      <c r="F2297" s="246"/>
      <c r="G2297" s="66" t="str">
        <f>HYPERLINK("https://ledvance.com/pt/product-datasheet/250981/235879","Ficha de Produto")</f>
        <v>Ficha de Produto</v>
      </c>
      <c r="H2297" s="217">
        <v>10</v>
      </c>
      <c r="I2297" s="34" t="s">
        <v>6403</v>
      </c>
      <c r="J2297" s="34" t="s">
        <v>6367</v>
      </c>
      <c r="K2297" s="34" t="s">
        <v>788</v>
      </c>
      <c r="L2297" s="34" t="s">
        <v>6506</v>
      </c>
      <c r="M2297" s="247">
        <v>14.3</v>
      </c>
      <c r="N2297" s="288" t="s">
        <v>722</v>
      </c>
    </row>
    <row r="2298" spans="1:1095" s="39" customFormat="1" ht="14.25" customHeight="1">
      <c r="A2298" s="8" t="s">
        <v>1722</v>
      </c>
      <c r="B2298" s="244" t="s">
        <v>2844</v>
      </c>
      <c r="C2298" s="8"/>
      <c r="D2298" s="7"/>
      <c r="E2298" s="230"/>
      <c r="F2298" s="7"/>
      <c r="G2298" s="68" t="s">
        <v>6505</v>
      </c>
      <c r="H2298" s="230"/>
      <c r="I2298" s="230"/>
      <c r="J2298" s="230"/>
      <c r="K2298" s="230"/>
      <c r="L2298" s="230"/>
      <c r="M2298" s="248"/>
      <c r="N2298" s="292"/>
      <c r="O2298" s="38"/>
      <c r="P2298" s="38"/>
      <c r="Q2298" s="38"/>
      <c r="R2298" s="38"/>
      <c r="S2298" s="38"/>
      <c r="T2298" s="38"/>
      <c r="U2298" s="38"/>
      <c r="V2298" s="38"/>
      <c r="W2298" s="38"/>
      <c r="X2298" s="38"/>
      <c r="Y2298" s="38"/>
      <c r="Z2298" s="38"/>
      <c r="AA2298" s="38"/>
      <c r="AB2298" s="38"/>
      <c r="AC2298" s="38"/>
      <c r="AD2298" s="38"/>
      <c r="AE2298" s="38"/>
      <c r="AF2298" s="38"/>
      <c r="AG2298" s="38"/>
      <c r="AH2298" s="38"/>
      <c r="AI2298" s="38"/>
      <c r="AJ2298" s="38"/>
      <c r="AK2298" s="38"/>
      <c r="AL2298" s="38"/>
      <c r="AM2298" s="38"/>
      <c r="AN2298" s="38"/>
      <c r="AO2298" s="38"/>
      <c r="AP2298" s="38"/>
      <c r="AQ2298" s="38"/>
      <c r="AR2298" s="38"/>
      <c r="AS2298" s="38"/>
      <c r="AT2298" s="38"/>
      <c r="AU2298" s="38"/>
      <c r="AV2298" s="38"/>
      <c r="AW2298" s="38"/>
      <c r="AX2298" s="38"/>
      <c r="AY2298" s="38"/>
      <c r="AZ2298" s="38"/>
      <c r="BA2298" s="38"/>
      <c r="BB2298" s="38"/>
      <c r="BC2298" s="38"/>
      <c r="BD2298" s="38"/>
      <c r="BE2298" s="38"/>
      <c r="BF2298" s="38"/>
      <c r="BG2298" s="38"/>
      <c r="BH2298" s="38"/>
      <c r="BI2298" s="38"/>
      <c r="BJ2298" s="38"/>
      <c r="BK2298" s="38"/>
      <c r="BL2298" s="38"/>
      <c r="BM2298" s="38"/>
      <c r="BN2298" s="38"/>
      <c r="BO2298" s="38"/>
      <c r="BP2298" s="38"/>
      <c r="BQ2298" s="38"/>
      <c r="BR2298" s="38"/>
      <c r="BS2298" s="38"/>
      <c r="BT2298" s="38"/>
      <c r="BU2298" s="38"/>
      <c r="BV2298" s="38"/>
      <c r="BW2298" s="38"/>
      <c r="BX2298" s="38"/>
      <c r="BY2298" s="38"/>
      <c r="BZ2298" s="38"/>
      <c r="CA2298" s="38"/>
      <c r="CB2298" s="38"/>
      <c r="CC2298" s="38"/>
      <c r="CD2298" s="38"/>
      <c r="CE2298" s="38"/>
      <c r="CF2298" s="38"/>
      <c r="CG2298" s="38"/>
      <c r="CH2298" s="38"/>
      <c r="CI2298" s="38"/>
      <c r="CJ2298" s="38"/>
      <c r="CK2298" s="38"/>
      <c r="CL2298" s="38"/>
      <c r="CM2298" s="38"/>
      <c r="CN2298" s="38"/>
      <c r="CO2298" s="38"/>
      <c r="CP2298" s="38"/>
      <c r="CQ2298" s="38"/>
      <c r="CR2298" s="38"/>
      <c r="CS2298" s="38"/>
      <c r="CT2298" s="38"/>
      <c r="CU2298" s="38"/>
      <c r="CV2298" s="38"/>
      <c r="CW2298" s="38"/>
      <c r="CX2298" s="38"/>
      <c r="CY2298" s="38"/>
      <c r="CZ2298" s="38"/>
      <c r="DA2298" s="38"/>
      <c r="DB2298" s="38"/>
      <c r="DC2298" s="38"/>
      <c r="DD2298" s="38"/>
      <c r="DE2298" s="38"/>
      <c r="DF2298" s="38"/>
      <c r="DG2298" s="38"/>
      <c r="DH2298" s="38"/>
      <c r="DI2298" s="38"/>
      <c r="DJ2298" s="38"/>
      <c r="DK2298" s="38"/>
      <c r="DL2298" s="38"/>
      <c r="DM2298" s="38"/>
      <c r="DN2298" s="38"/>
      <c r="DO2298" s="38"/>
      <c r="DP2298" s="38"/>
      <c r="DQ2298" s="38"/>
      <c r="DR2298" s="38"/>
      <c r="DS2298" s="38"/>
      <c r="DT2298" s="38"/>
      <c r="DU2298" s="38"/>
      <c r="DV2298" s="38"/>
      <c r="DW2298" s="38"/>
      <c r="DX2298" s="38"/>
      <c r="DY2298" s="38"/>
      <c r="DZ2298" s="38"/>
      <c r="EA2298" s="38"/>
      <c r="EB2298" s="38"/>
      <c r="EC2298" s="38"/>
      <c r="ED2298" s="38"/>
      <c r="EE2298" s="38"/>
      <c r="EF2298" s="38"/>
      <c r="EG2298" s="38"/>
      <c r="EH2298" s="38"/>
      <c r="EI2298" s="38"/>
      <c r="EJ2298" s="38"/>
      <c r="EK2298" s="38"/>
      <c r="EL2298" s="38"/>
      <c r="EM2298" s="38"/>
      <c r="EN2298" s="38"/>
      <c r="EO2298" s="38"/>
      <c r="EP2298" s="38"/>
      <c r="EQ2298" s="38"/>
      <c r="ER2298" s="38"/>
      <c r="ES2298" s="38"/>
      <c r="ET2298" s="38"/>
      <c r="EU2298" s="38"/>
      <c r="EV2298" s="38"/>
      <c r="EW2298" s="38"/>
      <c r="EX2298" s="38"/>
      <c r="EY2298" s="38"/>
      <c r="EZ2298" s="38"/>
      <c r="FA2298" s="38"/>
      <c r="FB2298" s="38"/>
      <c r="FC2298" s="38"/>
      <c r="FD2298" s="38"/>
      <c r="FE2298" s="38"/>
      <c r="FF2298" s="38"/>
      <c r="FG2298" s="38"/>
      <c r="FH2298" s="38"/>
      <c r="FI2298" s="38"/>
      <c r="FJ2298" s="38"/>
      <c r="FK2298" s="38"/>
      <c r="FL2298" s="38"/>
      <c r="FM2298" s="38"/>
      <c r="FN2298" s="38"/>
      <c r="FO2298" s="38"/>
      <c r="FP2298" s="38"/>
      <c r="FQ2298" s="38"/>
      <c r="FR2298" s="38"/>
      <c r="FS2298" s="38"/>
      <c r="FT2298" s="38"/>
      <c r="FU2298" s="38"/>
      <c r="FV2298" s="38"/>
      <c r="FW2298" s="38"/>
      <c r="FX2298" s="38"/>
      <c r="FY2298" s="38"/>
      <c r="FZ2298" s="38"/>
      <c r="GA2298" s="38"/>
      <c r="GB2298" s="38"/>
      <c r="GC2298" s="38"/>
      <c r="GD2298" s="38"/>
      <c r="GE2298" s="38"/>
      <c r="GF2298" s="38"/>
      <c r="GG2298" s="38"/>
      <c r="GH2298" s="38"/>
      <c r="GI2298" s="38"/>
      <c r="GJ2298" s="38"/>
      <c r="GK2298" s="38"/>
      <c r="GL2298" s="38"/>
      <c r="GM2298" s="38"/>
      <c r="GN2298" s="38"/>
      <c r="GO2298" s="38"/>
      <c r="GP2298" s="38"/>
      <c r="GQ2298" s="38"/>
      <c r="GR2298" s="38"/>
      <c r="GS2298" s="38"/>
      <c r="GT2298" s="38"/>
      <c r="GU2298" s="38"/>
      <c r="GV2298" s="38"/>
      <c r="GW2298" s="38"/>
      <c r="GX2298" s="38"/>
      <c r="GY2298" s="38"/>
      <c r="GZ2298" s="38"/>
      <c r="HA2298" s="38"/>
      <c r="HB2298" s="38"/>
      <c r="HC2298" s="38"/>
      <c r="HD2298" s="38"/>
      <c r="HE2298" s="38"/>
      <c r="HF2298" s="38"/>
      <c r="HG2298" s="38"/>
      <c r="HH2298" s="38"/>
      <c r="HI2298" s="38"/>
      <c r="HJ2298" s="38"/>
      <c r="HK2298" s="38"/>
      <c r="HL2298" s="38"/>
      <c r="HM2298" s="38"/>
      <c r="HN2298" s="38"/>
      <c r="HO2298" s="38"/>
      <c r="HP2298" s="38"/>
      <c r="HQ2298" s="38"/>
      <c r="HR2298" s="38"/>
      <c r="HS2298" s="38"/>
      <c r="HT2298" s="38"/>
      <c r="HU2298" s="38"/>
      <c r="HV2298" s="38"/>
      <c r="HW2298" s="38"/>
      <c r="HX2298" s="38"/>
      <c r="HY2298" s="38"/>
      <c r="HZ2298" s="38"/>
      <c r="IA2298" s="38"/>
      <c r="IB2298" s="38"/>
      <c r="IC2298" s="38"/>
      <c r="ID2298" s="38"/>
      <c r="IE2298" s="38"/>
      <c r="IF2298" s="38"/>
      <c r="IG2298" s="38"/>
      <c r="IH2298" s="38"/>
      <c r="II2298" s="38"/>
      <c r="IJ2298" s="38"/>
      <c r="IK2298" s="38"/>
      <c r="IL2298" s="38"/>
      <c r="IM2298" s="38"/>
      <c r="IN2298" s="38"/>
      <c r="IO2298" s="38"/>
      <c r="IP2298" s="38"/>
      <c r="IQ2298" s="38"/>
      <c r="IR2298" s="38"/>
      <c r="IS2298" s="38"/>
      <c r="IT2298" s="38"/>
      <c r="IU2298" s="38"/>
      <c r="IV2298" s="38"/>
      <c r="IW2298" s="38"/>
      <c r="IX2298" s="38"/>
      <c r="IY2298" s="38"/>
      <c r="IZ2298" s="38"/>
      <c r="JA2298" s="38"/>
      <c r="JB2298" s="38"/>
      <c r="JC2298" s="38"/>
      <c r="JD2298" s="38"/>
      <c r="JE2298" s="38"/>
      <c r="JF2298" s="38"/>
      <c r="JG2298" s="38"/>
      <c r="JH2298" s="38"/>
      <c r="JI2298" s="38"/>
      <c r="JJ2298" s="38"/>
      <c r="JK2298" s="38"/>
      <c r="JL2298" s="38"/>
      <c r="JM2298" s="38"/>
      <c r="JN2298" s="38"/>
      <c r="JO2298" s="38"/>
      <c r="JP2298" s="38"/>
      <c r="JQ2298" s="38"/>
      <c r="JR2298" s="38"/>
      <c r="JS2298" s="38"/>
      <c r="JT2298" s="38"/>
      <c r="JU2298" s="38"/>
      <c r="JV2298" s="38"/>
      <c r="JW2298" s="38"/>
      <c r="JX2298" s="38"/>
      <c r="JY2298" s="38"/>
      <c r="JZ2298" s="38"/>
      <c r="KA2298" s="38"/>
      <c r="KB2298" s="38"/>
      <c r="KC2298" s="38"/>
      <c r="KD2298" s="38"/>
      <c r="KE2298" s="38"/>
      <c r="KF2298" s="38"/>
      <c r="KG2298" s="38"/>
      <c r="KH2298" s="38"/>
      <c r="KI2298" s="38"/>
      <c r="KJ2298" s="38"/>
      <c r="KK2298" s="38"/>
      <c r="KL2298" s="38"/>
      <c r="KM2298" s="38"/>
      <c r="KN2298" s="38"/>
      <c r="KO2298" s="38"/>
      <c r="KP2298" s="38"/>
      <c r="KQ2298" s="38"/>
      <c r="KR2298" s="38"/>
      <c r="KS2298" s="38"/>
      <c r="KT2298" s="38"/>
      <c r="KU2298" s="38"/>
      <c r="KV2298" s="38"/>
      <c r="KW2298" s="38"/>
      <c r="KX2298" s="38"/>
      <c r="KY2298" s="38"/>
      <c r="KZ2298" s="38"/>
      <c r="LA2298" s="38"/>
      <c r="LB2298" s="38"/>
      <c r="LC2298" s="38"/>
      <c r="LD2298" s="38"/>
      <c r="LE2298" s="38"/>
      <c r="LF2298" s="38"/>
      <c r="LG2298" s="38"/>
      <c r="LH2298" s="38"/>
      <c r="LI2298" s="38"/>
      <c r="LJ2298" s="38"/>
      <c r="LK2298" s="38"/>
      <c r="LL2298" s="38"/>
      <c r="LM2298" s="38"/>
      <c r="LN2298" s="38"/>
      <c r="LO2298" s="38"/>
      <c r="LP2298" s="38"/>
      <c r="LQ2298" s="38"/>
      <c r="LR2298" s="38"/>
      <c r="LS2298" s="38"/>
      <c r="LT2298" s="38"/>
      <c r="LU2298" s="38"/>
      <c r="LV2298" s="38"/>
      <c r="LW2298" s="38"/>
      <c r="LX2298" s="38"/>
      <c r="LY2298" s="38"/>
      <c r="LZ2298" s="38"/>
      <c r="MA2298" s="38"/>
      <c r="MB2298" s="38"/>
      <c r="MC2298" s="38"/>
      <c r="MD2298" s="38"/>
      <c r="ME2298" s="38"/>
      <c r="MF2298" s="38"/>
      <c r="MG2298" s="38"/>
      <c r="MH2298" s="38"/>
      <c r="MI2298" s="38"/>
      <c r="MJ2298" s="38"/>
      <c r="MK2298" s="38"/>
      <c r="ML2298" s="38"/>
      <c r="MM2298" s="38"/>
      <c r="MN2298" s="38"/>
      <c r="MO2298" s="38"/>
      <c r="MP2298" s="38"/>
      <c r="MQ2298" s="38"/>
      <c r="MR2298" s="38"/>
      <c r="MS2298" s="38"/>
      <c r="MT2298" s="38"/>
      <c r="MU2298" s="38"/>
      <c r="MV2298" s="38"/>
      <c r="MW2298" s="38"/>
      <c r="MX2298" s="38"/>
      <c r="MY2298" s="38"/>
      <c r="MZ2298" s="38"/>
      <c r="NA2298" s="38"/>
      <c r="NB2298" s="38"/>
      <c r="NC2298" s="38"/>
      <c r="ND2298" s="38"/>
      <c r="NE2298" s="38"/>
      <c r="NF2298" s="38"/>
      <c r="NG2298" s="38"/>
      <c r="NH2298" s="38"/>
      <c r="NI2298" s="38"/>
      <c r="NJ2298" s="38"/>
      <c r="NK2298" s="38"/>
      <c r="NL2298" s="38"/>
      <c r="NM2298" s="38"/>
      <c r="NN2298" s="38"/>
      <c r="NO2298" s="38"/>
      <c r="NP2298" s="38"/>
      <c r="NQ2298" s="38"/>
      <c r="NR2298" s="38"/>
      <c r="NS2298" s="38"/>
      <c r="NT2298" s="38"/>
      <c r="NU2298" s="38"/>
      <c r="NV2298" s="38"/>
      <c r="NW2298" s="38"/>
      <c r="NX2298" s="38"/>
      <c r="NY2298" s="38"/>
      <c r="NZ2298" s="38"/>
      <c r="OA2298" s="38"/>
      <c r="OB2298" s="38"/>
      <c r="OC2298" s="38"/>
      <c r="OD2298" s="38"/>
      <c r="OE2298" s="38"/>
      <c r="OF2298" s="38"/>
      <c r="OG2298" s="38"/>
      <c r="OH2298" s="38"/>
      <c r="OI2298" s="38"/>
      <c r="OJ2298" s="38"/>
      <c r="OK2298" s="38"/>
      <c r="OL2298" s="38"/>
      <c r="OM2298" s="38"/>
      <c r="ON2298" s="38"/>
      <c r="OO2298" s="38"/>
      <c r="OP2298" s="38"/>
      <c r="OQ2298" s="38"/>
      <c r="OR2298" s="38"/>
      <c r="OS2298" s="38"/>
      <c r="OT2298" s="38"/>
      <c r="OU2298" s="38"/>
      <c r="OV2298" s="38"/>
      <c r="OW2298" s="38"/>
      <c r="OX2298" s="38"/>
      <c r="OY2298" s="38"/>
      <c r="OZ2298" s="38"/>
      <c r="PA2298" s="38"/>
      <c r="PB2298" s="38"/>
      <c r="PC2298" s="38"/>
      <c r="PD2298" s="38"/>
      <c r="PE2298" s="38"/>
      <c r="PF2298" s="38"/>
      <c r="PG2298" s="38"/>
      <c r="PH2298" s="38"/>
      <c r="PI2298" s="38"/>
      <c r="PJ2298" s="38"/>
      <c r="PK2298" s="38"/>
      <c r="PL2298" s="38"/>
      <c r="PM2298" s="38"/>
      <c r="PN2298" s="38"/>
      <c r="PO2298" s="38"/>
      <c r="PP2298" s="38"/>
      <c r="PQ2298" s="38"/>
      <c r="PR2298" s="38"/>
      <c r="PS2298" s="38"/>
      <c r="PT2298" s="38"/>
      <c r="PU2298" s="38"/>
      <c r="PV2298" s="38"/>
      <c r="PW2298" s="38"/>
      <c r="PX2298" s="38"/>
      <c r="PY2298" s="38"/>
      <c r="PZ2298" s="38"/>
      <c r="QA2298" s="38"/>
      <c r="QB2298" s="38"/>
      <c r="QC2298" s="38"/>
      <c r="QD2298" s="38"/>
      <c r="QE2298" s="38"/>
      <c r="QF2298" s="38"/>
      <c r="QG2298" s="38"/>
      <c r="QH2298" s="38"/>
      <c r="QI2298" s="38"/>
      <c r="QJ2298" s="38"/>
      <c r="QK2298" s="38"/>
      <c r="QL2298" s="38"/>
      <c r="QM2298" s="38"/>
      <c r="QN2298" s="38"/>
      <c r="QO2298" s="38"/>
      <c r="QP2298" s="38"/>
      <c r="QQ2298" s="38"/>
      <c r="QR2298" s="38"/>
      <c r="QS2298" s="38"/>
      <c r="QT2298" s="38"/>
      <c r="QU2298" s="38"/>
      <c r="QV2298" s="38"/>
      <c r="QW2298" s="38"/>
      <c r="QX2298" s="38"/>
      <c r="QY2298" s="38"/>
      <c r="QZ2298" s="38"/>
      <c r="RA2298" s="38"/>
      <c r="RB2298" s="38"/>
      <c r="RC2298" s="38"/>
      <c r="RD2298" s="38"/>
      <c r="RE2298" s="38"/>
      <c r="RF2298" s="38"/>
      <c r="RG2298" s="38"/>
      <c r="RH2298" s="38"/>
      <c r="RI2298" s="38"/>
      <c r="RJ2298" s="38"/>
      <c r="RK2298" s="38"/>
      <c r="RL2298" s="38"/>
      <c r="RM2298" s="38"/>
      <c r="RN2298" s="38"/>
      <c r="RO2298" s="38"/>
      <c r="RP2298" s="38"/>
      <c r="RQ2298" s="38"/>
      <c r="RR2298" s="38"/>
      <c r="RS2298" s="38"/>
      <c r="RT2298" s="38"/>
      <c r="RU2298" s="38"/>
      <c r="RV2298" s="38"/>
      <c r="RW2298" s="38"/>
      <c r="RX2298" s="38"/>
      <c r="RY2298" s="38"/>
      <c r="RZ2298" s="38"/>
      <c r="SA2298" s="38"/>
      <c r="SB2298" s="38"/>
      <c r="SC2298" s="38"/>
      <c r="SD2298" s="38"/>
      <c r="SE2298" s="38"/>
      <c r="SF2298" s="38"/>
      <c r="SG2298" s="38"/>
      <c r="SH2298" s="38"/>
      <c r="SI2298" s="38"/>
      <c r="SJ2298" s="38"/>
      <c r="SK2298" s="38"/>
      <c r="SL2298" s="38"/>
      <c r="SM2298" s="38"/>
      <c r="SN2298" s="38"/>
      <c r="SO2298" s="38"/>
      <c r="SP2298" s="38"/>
      <c r="SQ2298" s="38"/>
      <c r="SR2298" s="38"/>
      <c r="SS2298" s="38"/>
      <c r="ST2298" s="38"/>
      <c r="SU2298" s="38"/>
      <c r="SV2298" s="38"/>
      <c r="SW2298" s="38"/>
      <c r="SX2298" s="38"/>
      <c r="SY2298" s="38"/>
      <c r="SZ2298" s="38"/>
      <c r="TA2298" s="38"/>
      <c r="TB2298" s="38"/>
      <c r="TC2298" s="38"/>
      <c r="TD2298" s="38"/>
      <c r="TE2298" s="38"/>
      <c r="TF2298" s="38"/>
      <c r="TG2298" s="38"/>
      <c r="TH2298" s="38"/>
      <c r="TI2298" s="38"/>
      <c r="TJ2298" s="38"/>
      <c r="TK2298" s="38"/>
      <c r="TL2298" s="38"/>
      <c r="TM2298" s="38"/>
      <c r="TN2298" s="38"/>
      <c r="TO2298" s="38"/>
      <c r="TP2298" s="38"/>
      <c r="TQ2298" s="38"/>
      <c r="TR2298" s="38"/>
      <c r="TS2298" s="38"/>
      <c r="TT2298" s="38"/>
      <c r="TU2298" s="38"/>
      <c r="TV2298" s="38"/>
      <c r="TW2298" s="38"/>
      <c r="TX2298" s="38"/>
      <c r="TY2298" s="38"/>
      <c r="TZ2298" s="38"/>
      <c r="UA2298" s="38"/>
      <c r="UB2298" s="38"/>
      <c r="UC2298" s="38"/>
      <c r="UD2298" s="38"/>
      <c r="UE2298" s="38"/>
      <c r="UF2298" s="38"/>
      <c r="UG2298" s="38"/>
      <c r="UH2298" s="38"/>
      <c r="UI2298" s="38"/>
      <c r="UJ2298" s="38"/>
      <c r="UK2298" s="38"/>
      <c r="UL2298" s="38"/>
      <c r="UM2298" s="38"/>
      <c r="UN2298" s="38"/>
      <c r="UO2298" s="38"/>
      <c r="UP2298" s="38"/>
      <c r="UQ2298" s="38"/>
      <c r="UR2298" s="38"/>
      <c r="US2298" s="38"/>
      <c r="UT2298" s="38"/>
      <c r="UU2298" s="38"/>
      <c r="UV2298" s="38"/>
      <c r="UW2298" s="38"/>
      <c r="UX2298" s="38"/>
      <c r="UY2298" s="38"/>
      <c r="UZ2298" s="38"/>
      <c r="VA2298" s="38"/>
      <c r="VB2298" s="38"/>
      <c r="VC2298" s="38"/>
      <c r="VD2298" s="38"/>
      <c r="VE2298" s="38"/>
      <c r="VF2298" s="38"/>
      <c r="VG2298" s="38"/>
      <c r="VH2298" s="38"/>
      <c r="VI2298" s="38"/>
      <c r="VJ2298" s="38"/>
      <c r="VK2298" s="38"/>
      <c r="VL2298" s="38"/>
      <c r="VM2298" s="38"/>
      <c r="VN2298" s="38"/>
      <c r="VO2298" s="38"/>
      <c r="VP2298" s="38"/>
      <c r="VQ2298" s="38"/>
      <c r="VR2298" s="38"/>
      <c r="VS2298" s="38"/>
      <c r="VT2298" s="38"/>
      <c r="VU2298" s="38"/>
      <c r="VV2298" s="38"/>
      <c r="VW2298" s="38"/>
      <c r="VX2298" s="38"/>
      <c r="VY2298" s="38"/>
      <c r="VZ2298" s="38"/>
      <c r="WA2298" s="38"/>
      <c r="WB2298" s="38"/>
      <c r="WC2298" s="38"/>
      <c r="WD2298" s="38"/>
      <c r="WE2298" s="38"/>
      <c r="WF2298" s="38"/>
      <c r="WG2298" s="38"/>
      <c r="WH2298" s="38"/>
      <c r="WI2298" s="38"/>
      <c r="WJ2298" s="38"/>
      <c r="WK2298" s="38"/>
      <c r="WL2298" s="38"/>
      <c r="WM2298" s="38"/>
      <c r="WN2298" s="38"/>
      <c r="WO2298" s="38"/>
      <c r="WP2298" s="38"/>
      <c r="WQ2298" s="38"/>
      <c r="WR2298" s="38"/>
      <c r="WS2298" s="38"/>
      <c r="WT2298" s="38"/>
      <c r="WU2298" s="38"/>
      <c r="WV2298" s="38"/>
      <c r="WW2298" s="38"/>
      <c r="WX2298" s="38"/>
      <c r="WY2298" s="38"/>
      <c r="WZ2298" s="38"/>
      <c r="XA2298" s="38"/>
      <c r="XB2298" s="38"/>
      <c r="XC2298" s="38"/>
      <c r="XD2298" s="38"/>
      <c r="XE2298" s="38"/>
      <c r="XF2298" s="38"/>
      <c r="XG2298" s="38"/>
      <c r="XH2298" s="38"/>
      <c r="XI2298" s="38"/>
      <c r="XJ2298" s="38"/>
      <c r="XK2298" s="38"/>
      <c r="XL2298" s="38"/>
      <c r="XM2298" s="38"/>
      <c r="XN2298" s="38"/>
      <c r="XO2298" s="38"/>
      <c r="XP2298" s="38"/>
      <c r="XQ2298" s="38"/>
      <c r="XR2298" s="38"/>
      <c r="XS2298" s="38"/>
      <c r="XT2298" s="38"/>
      <c r="XU2298" s="38"/>
      <c r="XV2298" s="38"/>
      <c r="XW2298" s="38"/>
      <c r="XX2298" s="38"/>
      <c r="XY2298" s="38"/>
      <c r="XZ2298" s="38"/>
      <c r="YA2298" s="38"/>
      <c r="YB2298" s="38"/>
      <c r="YC2298" s="38"/>
      <c r="YD2298" s="38"/>
      <c r="YE2298" s="38"/>
      <c r="YF2298" s="38"/>
      <c r="YG2298" s="38"/>
      <c r="YH2298" s="38"/>
      <c r="YI2298" s="38"/>
      <c r="YJ2298" s="38"/>
      <c r="YK2298" s="38"/>
      <c r="YL2298" s="38"/>
      <c r="YM2298" s="38"/>
      <c r="YN2298" s="38"/>
      <c r="YO2298" s="38"/>
      <c r="YP2298" s="38"/>
      <c r="YQ2298" s="38"/>
      <c r="YR2298" s="38"/>
      <c r="YS2298" s="38"/>
      <c r="YT2298" s="38"/>
      <c r="YU2298" s="38"/>
      <c r="YV2298" s="38"/>
      <c r="YW2298" s="38"/>
      <c r="YX2298" s="38"/>
      <c r="YY2298" s="38"/>
      <c r="YZ2298" s="38"/>
      <c r="ZA2298" s="38"/>
      <c r="ZB2298" s="38"/>
      <c r="ZC2298" s="38"/>
      <c r="ZD2298" s="38"/>
      <c r="ZE2298" s="38"/>
      <c r="ZF2298" s="38"/>
      <c r="ZG2298" s="38"/>
      <c r="ZH2298" s="38"/>
      <c r="ZI2298" s="38"/>
      <c r="ZJ2298" s="38"/>
      <c r="ZK2298" s="38"/>
      <c r="ZL2298" s="38"/>
      <c r="ZM2298" s="38"/>
      <c r="ZN2298" s="38"/>
      <c r="ZO2298" s="38"/>
      <c r="ZP2298" s="38"/>
      <c r="ZQ2298" s="38"/>
      <c r="ZR2298" s="38"/>
      <c r="ZS2298" s="38"/>
      <c r="ZT2298" s="38"/>
      <c r="ZU2298" s="38"/>
      <c r="ZV2298" s="38"/>
      <c r="ZW2298" s="38"/>
      <c r="ZX2298" s="38"/>
      <c r="ZY2298" s="38"/>
      <c r="ZZ2298" s="38"/>
      <c r="AAA2298" s="38"/>
      <c r="AAB2298" s="38"/>
      <c r="AAC2298" s="38"/>
      <c r="AAD2298" s="38"/>
      <c r="AAE2298" s="38"/>
      <c r="AAF2298" s="38"/>
      <c r="AAG2298" s="38"/>
      <c r="AAH2298" s="38"/>
      <c r="AAI2298" s="38"/>
      <c r="AAJ2298" s="38"/>
      <c r="AAK2298" s="38"/>
      <c r="AAL2298" s="38"/>
      <c r="AAM2298" s="38"/>
      <c r="AAN2298" s="38"/>
      <c r="AAO2298" s="38"/>
      <c r="AAP2298" s="38"/>
      <c r="AAQ2298" s="38"/>
      <c r="AAR2298" s="38"/>
      <c r="AAS2298" s="38"/>
      <c r="AAT2298" s="38"/>
      <c r="AAU2298" s="38"/>
      <c r="AAV2298" s="38"/>
      <c r="AAW2298" s="38"/>
      <c r="AAX2298" s="38"/>
      <c r="AAY2298" s="38"/>
      <c r="AAZ2298" s="38"/>
      <c r="ABA2298" s="38"/>
      <c r="ABB2298" s="38"/>
      <c r="ABC2298" s="38"/>
      <c r="ABD2298" s="38"/>
      <c r="ABE2298" s="38"/>
      <c r="ABF2298" s="38"/>
      <c r="ABG2298" s="38"/>
      <c r="ABH2298" s="38"/>
      <c r="ABI2298" s="38"/>
      <c r="ABJ2298" s="38"/>
      <c r="ABK2298" s="38"/>
      <c r="ABL2298" s="38"/>
      <c r="ABM2298" s="38"/>
      <c r="ABN2298" s="38"/>
      <c r="ABO2298" s="38"/>
      <c r="ABP2298" s="38"/>
      <c r="ABQ2298" s="38"/>
      <c r="ABR2298" s="38"/>
      <c r="ABS2298" s="38"/>
      <c r="ABT2298" s="38"/>
      <c r="ABU2298" s="38"/>
      <c r="ABV2298" s="38"/>
      <c r="ABW2298" s="38"/>
      <c r="ABX2298" s="38"/>
      <c r="ABY2298" s="38"/>
      <c r="ABZ2298" s="38"/>
      <c r="ACA2298" s="38"/>
      <c r="ACB2298" s="38"/>
      <c r="ACC2298" s="38"/>
      <c r="ACD2298" s="38"/>
      <c r="ACE2298" s="38"/>
      <c r="ACF2298" s="38"/>
      <c r="ACG2298" s="38"/>
      <c r="ACH2298" s="38"/>
      <c r="ACI2298" s="38"/>
      <c r="ACJ2298" s="38"/>
      <c r="ACK2298" s="38"/>
      <c r="ACL2298" s="38"/>
      <c r="ACM2298" s="38"/>
      <c r="ACN2298" s="38"/>
      <c r="ACO2298" s="38"/>
      <c r="ACP2298" s="38"/>
      <c r="ACQ2298" s="38"/>
      <c r="ACR2298" s="38"/>
      <c r="ACS2298" s="38"/>
      <c r="ACT2298" s="38"/>
      <c r="ACU2298" s="38"/>
      <c r="ACV2298" s="38"/>
      <c r="ACW2298" s="38"/>
      <c r="ACX2298" s="38"/>
      <c r="ACY2298" s="38"/>
      <c r="ACZ2298" s="38"/>
      <c r="ADA2298" s="38"/>
      <c r="ADB2298" s="38"/>
      <c r="ADC2298" s="38"/>
      <c r="ADD2298" s="38"/>
      <c r="ADE2298" s="38"/>
      <c r="ADF2298" s="38"/>
      <c r="ADG2298" s="38"/>
      <c r="ADH2298" s="38"/>
      <c r="ADI2298" s="38"/>
      <c r="ADJ2298" s="38"/>
      <c r="ADK2298" s="38"/>
      <c r="ADL2298" s="38"/>
      <c r="ADM2298" s="38"/>
      <c r="ADN2298" s="38"/>
      <c r="ADO2298" s="38"/>
      <c r="ADP2298" s="38"/>
      <c r="ADQ2298" s="38"/>
      <c r="ADR2298" s="38"/>
      <c r="ADS2298" s="38"/>
      <c r="ADT2298" s="38"/>
      <c r="ADU2298" s="38"/>
      <c r="ADV2298" s="38"/>
      <c r="ADW2298" s="38"/>
      <c r="ADX2298" s="38"/>
      <c r="ADY2298" s="38"/>
      <c r="ADZ2298" s="38"/>
      <c r="AEA2298" s="38"/>
      <c r="AEB2298" s="38"/>
      <c r="AEC2298" s="38"/>
      <c r="AED2298" s="38"/>
      <c r="AEE2298" s="38"/>
      <c r="AEF2298" s="38"/>
      <c r="AEG2298" s="38"/>
      <c r="AEH2298" s="38"/>
      <c r="AEI2298" s="38"/>
      <c r="AEJ2298" s="38"/>
      <c r="AEK2298" s="38"/>
      <c r="AEL2298" s="38"/>
      <c r="AEM2298" s="38"/>
      <c r="AEN2298" s="38"/>
      <c r="AEO2298" s="38"/>
      <c r="AEP2298" s="38"/>
      <c r="AEQ2298" s="38"/>
      <c r="AER2298" s="38"/>
      <c r="AES2298" s="38"/>
      <c r="AET2298" s="38"/>
      <c r="AEU2298" s="38"/>
      <c r="AEV2298" s="38"/>
      <c r="AEW2298" s="38"/>
      <c r="AEX2298" s="38"/>
      <c r="AEY2298" s="38"/>
      <c r="AEZ2298" s="38"/>
      <c r="AFA2298" s="38"/>
      <c r="AFB2298" s="38"/>
      <c r="AFC2298" s="38"/>
      <c r="AFD2298" s="38"/>
      <c r="AFE2298" s="38"/>
      <c r="AFF2298" s="38"/>
      <c r="AFG2298" s="38"/>
      <c r="AFH2298" s="38"/>
      <c r="AFI2298" s="38"/>
      <c r="AFJ2298" s="38"/>
      <c r="AFK2298" s="38"/>
      <c r="AFL2298" s="38"/>
      <c r="AFM2298" s="38"/>
      <c r="AFN2298" s="38"/>
      <c r="AFO2298" s="38"/>
      <c r="AFP2298" s="38"/>
      <c r="AFQ2298" s="38"/>
      <c r="AFR2298" s="38"/>
      <c r="AFS2298" s="38"/>
      <c r="AFT2298" s="38"/>
      <c r="AFU2298" s="38"/>
      <c r="AFV2298" s="38"/>
      <c r="AFW2298" s="38"/>
      <c r="AFX2298" s="38"/>
      <c r="AFY2298" s="38"/>
      <c r="AFZ2298" s="38"/>
      <c r="AGA2298" s="38"/>
      <c r="AGB2298" s="38"/>
      <c r="AGC2298" s="38"/>
      <c r="AGD2298" s="38"/>
      <c r="AGE2298" s="38"/>
      <c r="AGF2298" s="38"/>
      <c r="AGG2298" s="38"/>
      <c r="AGH2298" s="38"/>
      <c r="AGI2298" s="38"/>
      <c r="AGJ2298" s="38"/>
      <c r="AGK2298" s="38"/>
      <c r="AGL2298" s="38"/>
      <c r="AGM2298" s="38"/>
      <c r="AGN2298" s="38"/>
      <c r="AGO2298" s="38"/>
      <c r="AGP2298" s="38"/>
      <c r="AGQ2298" s="38"/>
      <c r="AGR2298" s="38"/>
      <c r="AGS2298" s="38"/>
      <c r="AGT2298" s="38"/>
      <c r="AGU2298" s="38"/>
      <c r="AGV2298" s="38"/>
      <c r="AGW2298" s="38"/>
      <c r="AGX2298" s="38"/>
      <c r="AGY2298" s="38"/>
      <c r="AGZ2298" s="38"/>
      <c r="AHA2298" s="38"/>
      <c r="AHB2298" s="38"/>
      <c r="AHC2298" s="38"/>
      <c r="AHD2298" s="38"/>
      <c r="AHE2298" s="38"/>
      <c r="AHF2298" s="38"/>
      <c r="AHG2298" s="38"/>
      <c r="AHH2298" s="38"/>
      <c r="AHI2298" s="38"/>
      <c r="AHJ2298" s="38"/>
      <c r="AHK2298" s="38"/>
      <c r="AHL2298" s="38"/>
      <c r="AHM2298" s="38"/>
      <c r="AHN2298" s="38"/>
      <c r="AHO2298" s="38"/>
      <c r="AHP2298" s="38"/>
      <c r="AHQ2298" s="38"/>
      <c r="AHR2298" s="38"/>
      <c r="AHS2298" s="38"/>
      <c r="AHT2298" s="38"/>
      <c r="AHU2298" s="38"/>
      <c r="AHV2298" s="38"/>
      <c r="AHW2298" s="38"/>
      <c r="AHX2298" s="38"/>
      <c r="AHY2298" s="38"/>
      <c r="AHZ2298" s="38"/>
      <c r="AIA2298" s="38"/>
      <c r="AIB2298" s="38"/>
      <c r="AIC2298" s="38"/>
      <c r="AID2298" s="38"/>
      <c r="AIE2298" s="38"/>
      <c r="AIF2298" s="38"/>
      <c r="AIG2298" s="38"/>
      <c r="AIH2298" s="38"/>
      <c r="AII2298" s="38"/>
      <c r="AIJ2298" s="38"/>
      <c r="AIK2298" s="38"/>
      <c r="AIL2298" s="38"/>
      <c r="AIM2298" s="38"/>
      <c r="AIN2298" s="38"/>
      <c r="AIO2298" s="38"/>
      <c r="AIP2298" s="38"/>
      <c r="AIQ2298" s="38"/>
      <c r="AIR2298" s="38"/>
      <c r="AIS2298" s="38"/>
      <c r="AIT2298" s="38"/>
      <c r="AIU2298" s="38"/>
      <c r="AIV2298" s="38"/>
      <c r="AIW2298" s="38"/>
      <c r="AIX2298" s="38"/>
      <c r="AIY2298" s="38"/>
      <c r="AIZ2298" s="38"/>
      <c r="AJA2298" s="38"/>
      <c r="AJB2298" s="38"/>
      <c r="AJC2298" s="38"/>
      <c r="AJD2298" s="38"/>
      <c r="AJE2298" s="38"/>
      <c r="AJF2298" s="38"/>
      <c r="AJG2298" s="38"/>
      <c r="AJH2298" s="38"/>
      <c r="AJI2298" s="38"/>
      <c r="AJJ2298" s="38"/>
      <c r="AJK2298" s="38"/>
      <c r="AJL2298" s="38"/>
      <c r="AJM2298" s="38"/>
      <c r="AJN2298" s="38"/>
      <c r="AJO2298" s="38"/>
      <c r="AJP2298" s="38"/>
      <c r="AJQ2298" s="38"/>
      <c r="AJR2298" s="38"/>
      <c r="AJS2298" s="38"/>
      <c r="AJT2298" s="38"/>
      <c r="AJU2298" s="38"/>
      <c r="AJV2298" s="38"/>
      <c r="AJW2298" s="38"/>
      <c r="AJX2298" s="38"/>
      <c r="AJY2298" s="38"/>
      <c r="AJZ2298" s="38"/>
      <c r="AKA2298" s="38"/>
      <c r="AKB2298" s="38"/>
      <c r="AKC2298" s="38"/>
      <c r="AKD2298" s="38"/>
      <c r="AKE2298" s="38"/>
      <c r="AKF2298" s="38"/>
      <c r="AKG2298" s="38"/>
      <c r="AKH2298" s="38"/>
      <c r="AKI2298" s="38"/>
      <c r="AKJ2298" s="38"/>
      <c r="AKK2298" s="38"/>
      <c r="AKL2298" s="38"/>
      <c r="AKM2298" s="38"/>
      <c r="AKN2298" s="38"/>
      <c r="AKO2298" s="38"/>
      <c r="AKP2298" s="38"/>
      <c r="AKQ2298" s="38"/>
      <c r="AKR2298" s="38"/>
      <c r="AKS2298" s="38"/>
      <c r="AKT2298" s="38"/>
      <c r="AKU2298" s="38"/>
      <c r="AKV2298" s="38"/>
      <c r="AKW2298" s="38"/>
      <c r="AKX2298" s="38"/>
      <c r="AKY2298" s="38"/>
      <c r="AKZ2298" s="38"/>
      <c r="ALA2298" s="38"/>
      <c r="ALB2298" s="38"/>
      <c r="ALC2298" s="38"/>
      <c r="ALD2298" s="38"/>
      <c r="ALE2298" s="38"/>
      <c r="ALF2298" s="38"/>
      <c r="ALG2298" s="38"/>
      <c r="ALH2298" s="38"/>
      <c r="ALI2298" s="38"/>
      <c r="ALJ2298" s="38"/>
      <c r="ALK2298" s="38"/>
      <c r="ALL2298" s="38"/>
      <c r="ALM2298" s="38"/>
      <c r="ALN2298" s="38"/>
      <c r="ALO2298" s="38"/>
      <c r="ALP2298" s="38"/>
      <c r="ALQ2298" s="38"/>
      <c r="ALR2298" s="38"/>
      <c r="ALS2298" s="38"/>
      <c r="ALT2298" s="38"/>
      <c r="ALU2298" s="38"/>
      <c r="ALV2298" s="38"/>
      <c r="ALW2298" s="38"/>
      <c r="ALX2298" s="38"/>
      <c r="ALY2298" s="38"/>
      <c r="ALZ2298" s="38"/>
      <c r="AMA2298" s="38"/>
      <c r="AMB2298" s="38"/>
      <c r="AMC2298" s="38"/>
      <c r="AMD2298" s="38"/>
      <c r="AME2298" s="38"/>
      <c r="AMF2298" s="38"/>
      <c r="AMG2298" s="38"/>
      <c r="AMH2298" s="38"/>
      <c r="AMI2298" s="38"/>
      <c r="AMJ2298" s="38"/>
      <c r="AMK2298" s="38"/>
      <c r="AML2298" s="38"/>
      <c r="AMM2298" s="38"/>
      <c r="AMN2298" s="38"/>
      <c r="AMO2298" s="38"/>
      <c r="AMP2298" s="38"/>
      <c r="AMQ2298" s="38"/>
      <c r="AMR2298" s="38"/>
      <c r="AMS2298" s="38"/>
      <c r="AMT2298" s="38"/>
      <c r="AMU2298" s="38"/>
      <c r="AMV2298" s="38"/>
      <c r="AMW2298" s="38"/>
      <c r="AMX2298" s="38"/>
      <c r="AMY2298" s="38"/>
      <c r="AMZ2298" s="38"/>
      <c r="ANA2298" s="38"/>
      <c r="ANB2298" s="38"/>
      <c r="ANC2298" s="38"/>
      <c r="AND2298" s="38"/>
      <c r="ANE2298" s="38"/>
      <c r="ANF2298" s="38"/>
      <c r="ANG2298" s="38"/>
      <c r="ANH2298" s="38"/>
      <c r="ANI2298" s="38"/>
      <c r="ANJ2298" s="38"/>
      <c r="ANK2298" s="38"/>
      <c r="ANL2298" s="38"/>
      <c r="ANM2298" s="38"/>
      <c r="ANN2298" s="38"/>
      <c r="ANO2298" s="38"/>
      <c r="ANP2298" s="38"/>
      <c r="ANQ2298" s="38"/>
      <c r="ANR2298" s="38"/>
      <c r="ANS2298" s="38"/>
      <c r="ANT2298" s="38"/>
      <c r="ANU2298" s="38"/>
      <c r="ANV2298" s="38"/>
      <c r="ANW2298" s="38"/>
      <c r="ANX2298" s="38"/>
      <c r="ANY2298" s="38"/>
      <c r="ANZ2298" s="38"/>
      <c r="AOA2298" s="38"/>
      <c r="AOB2298" s="38"/>
      <c r="AOC2298" s="38"/>
      <c r="AOD2298" s="38"/>
      <c r="AOE2298" s="38"/>
      <c r="AOF2298" s="38"/>
      <c r="AOG2298" s="38"/>
      <c r="AOH2298" s="38"/>
      <c r="AOI2298" s="38"/>
      <c r="AOJ2298" s="38"/>
      <c r="AOK2298" s="38"/>
      <c r="AOL2298" s="38"/>
      <c r="AOM2298" s="38"/>
      <c r="AON2298" s="38"/>
      <c r="AOO2298" s="38"/>
      <c r="AOP2298" s="38"/>
      <c r="AOQ2298" s="38"/>
      <c r="AOR2298" s="38"/>
      <c r="AOS2298" s="38"/>
      <c r="AOT2298" s="38"/>
      <c r="AOU2298" s="38"/>
      <c r="AOV2298" s="38"/>
      <c r="AOW2298" s="38"/>
      <c r="AOX2298" s="38"/>
      <c r="AOY2298" s="38"/>
      <c r="AOZ2298" s="38"/>
      <c r="APA2298" s="38"/>
      <c r="APB2298" s="38"/>
      <c r="APC2298" s="38"/>
    </row>
    <row r="2299" spans="1:1095" s="36" customFormat="1" ht="14.25" customHeight="1">
      <c r="A2299" s="3" t="s">
        <v>1722</v>
      </c>
      <c r="B2299" s="36" t="s">
        <v>2845</v>
      </c>
      <c r="C2299" s="10">
        <v>4099854103544</v>
      </c>
      <c r="D2299" s="246"/>
      <c r="E2299" s="249"/>
      <c r="F2299" s="222" t="s">
        <v>3136</v>
      </c>
      <c r="G2299" s="66" t="str">
        <f>HYPERLINK("https://ledvance.com/pt/product-datasheet/250981/250390","Ficha de Produto")</f>
        <v>Ficha de Produto</v>
      </c>
      <c r="H2299" s="217">
        <v>10</v>
      </c>
      <c r="I2299" s="34" t="s">
        <v>6388</v>
      </c>
      <c r="J2299" s="34" t="s">
        <v>6360</v>
      </c>
      <c r="K2299" s="34" t="s">
        <v>788</v>
      </c>
      <c r="L2299" s="34" t="s">
        <v>6506</v>
      </c>
      <c r="M2299" s="247">
        <v>8.7999999999999989</v>
      </c>
      <c r="N2299" s="288" t="s">
        <v>722</v>
      </c>
    </row>
    <row r="2300" spans="1:1095" s="36" customFormat="1" ht="14.25" customHeight="1">
      <c r="A2300" s="3" t="s">
        <v>1722</v>
      </c>
      <c r="B2300" s="36" t="s">
        <v>2846</v>
      </c>
      <c r="C2300" s="10">
        <v>4099854103568</v>
      </c>
      <c r="D2300" s="246"/>
      <c r="E2300" s="249"/>
      <c r="F2300" s="222" t="s">
        <v>3136</v>
      </c>
      <c r="G2300" s="66" t="str">
        <f>HYPERLINK("https://ledvance.com/pt/product-datasheet/250981/250393","Ficha de Produto")</f>
        <v>Ficha de Produto</v>
      </c>
      <c r="H2300" s="217">
        <v>10</v>
      </c>
      <c r="I2300" s="34" t="s">
        <v>6405</v>
      </c>
      <c r="J2300" s="34" t="s">
        <v>6358</v>
      </c>
      <c r="K2300" s="34" t="s">
        <v>788</v>
      </c>
      <c r="L2300" s="34" t="s">
        <v>6506</v>
      </c>
      <c r="M2300" s="247">
        <v>9.2999999999999989</v>
      </c>
      <c r="N2300" s="288" t="s">
        <v>722</v>
      </c>
    </row>
    <row r="2301" spans="1:1095" s="36" customFormat="1" ht="14.25" customHeight="1">
      <c r="A2301" s="3" t="s">
        <v>1722</v>
      </c>
      <c r="B2301" s="36" t="s">
        <v>2847</v>
      </c>
      <c r="C2301" s="10">
        <v>4099854103582</v>
      </c>
      <c r="D2301" s="246"/>
      <c r="E2301" s="249"/>
      <c r="F2301" s="222" t="s">
        <v>3136</v>
      </c>
      <c r="G2301" s="66" t="str">
        <f>HYPERLINK("https://ledvance.com/pt/product-datasheet/250981/250396","Ficha de Produto")</f>
        <v>Ficha de Produto</v>
      </c>
      <c r="H2301" s="217">
        <v>10</v>
      </c>
      <c r="I2301" s="34" t="s">
        <v>6341</v>
      </c>
      <c r="J2301" s="34" t="s">
        <v>6367</v>
      </c>
      <c r="K2301" s="34" t="s">
        <v>788</v>
      </c>
      <c r="L2301" s="34" t="s">
        <v>6506</v>
      </c>
      <c r="M2301" s="247">
        <v>15.4</v>
      </c>
      <c r="N2301" s="288" t="s">
        <v>722</v>
      </c>
    </row>
    <row r="2302" spans="1:1095" s="39" customFormat="1" ht="14.25" customHeight="1">
      <c r="A2302" s="8" t="s">
        <v>1722</v>
      </c>
      <c r="B2302" s="244" t="s">
        <v>2848</v>
      </c>
      <c r="C2302" s="8"/>
      <c r="D2302" s="7"/>
      <c r="E2302" s="230"/>
      <c r="F2302" s="7"/>
      <c r="G2302" s="68" t="s">
        <v>6505</v>
      </c>
      <c r="H2302" s="230"/>
      <c r="I2302" s="230"/>
      <c r="J2302" s="230"/>
      <c r="K2302" s="230"/>
      <c r="L2302" s="230"/>
      <c r="M2302" s="248"/>
      <c r="N2302" s="289"/>
      <c r="O2302" s="38"/>
      <c r="P2302" s="38"/>
      <c r="Q2302" s="38"/>
      <c r="R2302" s="38"/>
      <c r="S2302" s="38"/>
      <c r="T2302" s="38"/>
      <c r="U2302" s="38"/>
      <c r="V2302" s="38"/>
      <c r="W2302" s="38"/>
      <c r="X2302" s="38"/>
      <c r="Y2302" s="38"/>
      <c r="Z2302" s="38"/>
      <c r="AA2302" s="38"/>
      <c r="AB2302" s="38"/>
      <c r="AC2302" s="38"/>
      <c r="AD2302" s="38"/>
      <c r="AE2302" s="38"/>
      <c r="AF2302" s="38"/>
      <c r="AG2302" s="38"/>
      <c r="AH2302" s="38"/>
      <c r="AI2302" s="38"/>
      <c r="AJ2302" s="38"/>
      <c r="AK2302" s="38"/>
      <c r="AL2302" s="38"/>
      <c r="AM2302" s="38"/>
      <c r="AN2302" s="38"/>
      <c r="AO2302" s="38"/>
      <c r="AP2302" s="38"/>
      <c r="AQ2302" s="38"/>
      <c r="AR2302" s="38"/>
      <c r="AS2302" s="38"/>
      <c r="AT2302" s="38"/>
      <c r="AU2302" s="38"/>
      <c r="AV2302" s="38"/>
      <c r="AW2302" s="38"/>
      <c r="AX2302" s="38"/>
      <c r="AY2302" s="38"/>
      <c r="AZ2302" s="38"/>
      <c r="BA2302" s="38"/>
      <c r="BB2302" s="38"/>
      <c r="BC2302" s="38"/>
      <c r="BD2302" s="38"/>
      <c r="BE2302" s="38"/>
      <c r="BF2302" s="38"/>
      <c r="BG2302" s="38"/>
      <c r="BH2302" s="38"/>
      <c r="BI2302" s="38"/>
      <c r="BJ2302" s="38"/>
      <c r="BK2302" s="38"/>
      <c r="BL2302" s="38"/>
      <c r="BM2302" s="38"/>
      <c r="BN2302" s="38"/>
      <c r="BO2302" s="38"/>
      <c r="BP2302" s="38"/>
      <c r="BQ2302" s="38"/>
      <c r="BR2302" s="38"/>
      <c r="BS2302" s="38"/>
      <c r="BT2302" s="38"/>
      <c r="BU2302" s="38"/>
      <c r="BV2302" s="38"/>
      <c r="BW2302" s="38"/>
      <c r="BX2302" s="38"/>
      <c r="BY2302" s="38"/>
      <c r="BZ2302" s="38"/>
      <c r="CA2302" s="38"/>
      <c r="CB2302" s="38"/>
      <c r="CC2302" s="38"/>
      <c r="CD2302" s="38"/>
      <c r="CE2302" s="38"/>
      <c r="CF2302" s="38"/>
      <c r="CG2302" s="38"/>
      <c r="CH2302" s="38"/>
      <c r="CI2302" s="38"/>
      <c r="CJ2302" s="38"/>
      <c r="CK2302" s="38"/>
      <c r="CL2302" s="38"/>
      <c r="CM2302" s="38"/>
      <c r="CN2302" s="38"/>
      <c r="CO2302" s="38"/>
      <c r="CP2302" s="38"/>
      <c r="CQ2302" s="38"/>
      <c r="CR2302" s="38"/>
      <c r="CS2302" s="38"/>
      <c r="CT2302" s="38"/>
      <c r="CU2302" s="38"/>
      <c r="CV2302" s="38"/>
      <c r="CW2302" s="38"/>
      <c r="CX2302" s="38"/>
      <c r="CY2302" s="38"/>
      <c r="CZ2302" s="38"/>
      <c r="DA2302" s="38"/>
      <c r="DB2302" s="38"/>
      <c r="DC2302" s="38"/>
      <c r="DD2302" s="38"/>
      <c r="DE2302" s="38"/>
      <c r="DF2302" s="38"/>
      <c r="DG2302" s="38"/>
      <c r="DH2302" s="38"/>
      <c r="DI2302" s="38"/>
      <c r="DJ2302" s="38"/>
      <c r="DK2302" s="38"/>
      <c r="DL2302" s="38"/>
      <c r="DM2302" s="38"/>
      <c r="DN2302" s="38"/>
      <c r="DO2302" s="38"/>
      <c r="DP2302" s="38"/>
      <c r="DQ2302" s="38"/>
      <c r="DR2302" s="38"/>
      <c r="DS2302" s="38"/>
      <c r="DT2302" s="38"/>
      <c r="DU2302" s="38"/>
      <c r="DV2302" s="38"/>
      <c r="DW2302" s="38"/>
      <c r="DX2302" s="38"/>
      <c r="DY2302" s="38"/>
      <c r="DZ2302" s="38"/>
      <c r="EA2302" s="38"/>
      <c r="EB2302" s="38"/>
      <c r="EC2302" s="38"/>
      <c r="ED2302" s="38"/>
      <c r="EE2302" s="38"/>
      <c r="EF2302" s="38"/>
      <c r="EG2302" s="38"/>
      <c r="EH2302" s="38"/>
      <c r="EI2302" s="38"/>
      <c r="EJ2302" s="38"/>
      <c r="EK2302" s="38"/>
      <c r="EL2302" s="38"/>
      <c r="EM2302" s="38"/>
      <c r="EN2302" s="38"/>
      <c r="EO2302" s="38"/>
      <c r="EP2302" s="38"/>
      <c r="EQ2302" s="38"/>
      <c r="ER2302" s="38"/>
      <c r="ES2302" s="38"/>
      <c r="ET2302" s="38"/>
      <c r="EU2302" s="38"/>
      <c r="EV2302" s="38"/>
      <c r="EW2302" s="38"/>
      <c r="EX2302" s="38"/>
      <c r="EY2302" s="38"/>
      <c r="EZ2302" s="38"/>
      <c r="FA2302" s="38"/>
      <c r="FB2302" s="38"/>
      <c r="FC2302" s="38"/>
      <c r="FD2302" s="38"/>
      <c r="FE2302" s="38"/>
      <c r="FF2302" s="38"/>
      <c r="FG2302" s="38"/>
      <c r="FH2302" s="38"/>
      <c r="FI2302" s="38"/>
      <c r="FJ2302" s="38"/>
      <c r="FK2302" s="38"/>
      <c r="FL2302" s="38"/>
      <c r="FM2302" s="38"/>
      <c r="FN2302" s="38"/>
      <c r="FO2302" s="38"/>
      <c r="FP2302" s="38"/>
      <c r="FQ2302" s="38"/>
      <c r="FR2302" s="38"/>
      <c r="FS2302" s="38"/>
      <c r="FT2302" s="38"/>
      <c r="FU2302" s="38"/>
      <c r="FV2302" s="38"/>
      <c r="FW2302" s="38"/>
      <c r="FX2302" s="38"/>
      <c r="FY2302" s="38"/>
      <c r="FZ2302" s="38"/>
      <c r="GA2302" s="38"/>
      <c r="GB2302" s="38"/>
      <c r="GC2302" s="38"/>
      <c r="GD2302" s="38"/>
      <c r="GE2302" s="38"/>
      <c r="GF2302" s="38"/>
      <c r="GG2302" s="38"/>
      <c r="GH2302" s="38"/>
      <c r="GI2302" s="38"/>
      <c r="GJ2302" s="38"/>
      <c r="GK2302" s="38"/>
      <c r="GL2302" s="38"/>
      <c r="GM2302" s="38"/>
      <c r="GN2302" s="38"/>
      <c r="GO2302" s="38"/>
      <c r="GP2302" s="38"/>
      <c r="GQ2302" s="38"/>
      <c r="GR2302" s="38"/>
      <c r="GS2302" s="38"/>
      <c r="GT2302" s="38"/>
      <c r="GU2302" s="38"/>
      <c r="GV2302" s="38"/>
      <c r="GW2302" s="38"/>
      <c r="GX2302" s="38"/>
      <c r="GY2302" s="38"/>
      <c r="GZ2302" s="38"/>
      <c r="HA2302" s="38"/>
      <c r="HB2302" s="38"/>
      <c r="HC2302" s="38"/>
      <c r="HD2302" s="38"/>
      <c r="HE2302" s="38"/>
      <c r="HF2302" s="38"/>
      <c r="HG2302" s="38"/>
      <c r="HH2302" s="38"/>
      <c r="HI2302" s="38"/>
      <c r="HJ2302" s="38"/>
      <c r="HK2302" s="38"/>
      <c r="HL2302" s="38"/>
      <c r="HM2302" s="38"/>
      <c r="HN2302" s="38"/>
      <c r="HO2302" s="38"/>
      <c r="HP2302" s="38"/>
      <c r="HQ2302" s="38"/>
      <c r="HR2302" s="38"/>
      <c r="HS2302" s="38"/>
      <c r="HT2302" s="38"/>
      <c r="HU2302" s="38"/>
      <c r="HV2302" s="38"/>
      <c r="HW2302" s="38"/>
      <c r="HX2302" s="38"/>
      <c r="HY2302" s="38"/>
      <c r="HZ2302" s="38"/>
      <c r="IA2302" s="38"/>
      <c r="IB2302" s="38"/>
      <c r="IC2302" s="38"/>
      <c r="ID2302" s="38"/>
      <c r="IE2302" s="38"/>
      <c r="IF2302" s="38"/>
      <c r="IG2302" s="38"/>
      <c r="IH2302" s="38"/>
      <c r="II2302" s="38"/>
      <c r="IJ2302" s="38"/>
      <c r="IK2302" s="38"/>
      <c r="IL2302" s="38"/>
      <c r="IM2302" s="38"/>
      <c r="IN2302" s="38"/>
      <c r="IO2302" s="38"/>
      <c r="IP2302" s="38"/>
      <c r="IQ2302" s="38"/>
      <c r="IR2302" s="38"/>
      <c r="IS2302" s="38"/>
      <c r="IT2302" s="38"/>
      <c r="IU2302" s="38"/>
      <c r="IV2302" s="38"/>
      <c r="IW2302" s="38"/>
      <c r="IX2302" s="38"/>
      <c r="IY2302" s="38"/>
      <c r="IZ2302" s="38"/>
      <c r="JA2302" s="38"/>
      <c r="JB2302" s="38"/>
      <c r="JC2302" s="38"/>
      <c r="JD2302" s="38"/>
      <c r="JE2302" s="38"/>
      <c r="JF2302" s="38"/>
      <c r="JG2302" s="38"/>
      <c r="JH2302" s="38"/>
      <c r="JI2302" s="38"/>
      <c r="JJ2302" s="38"/>
      <c r="JK2302" s="38"/>
      <c r="JL2302" s="38"/>
      <c r="JM2302" s="38"/>
      <c r="JN2302" s="38"/>
      <c r="JO2302" s="38"/>
      <c r="JP2302" s="38"/>
      <c r="JQ2302" s="38"/>
      <c r="JR2302" s="38"/>
      <c r="JS2302" s="38"/>
      <c r="JT2302" s="38"/>
      <c r="JU2302" s="38"/>
      <c r="JV2302" s="38"/>
      <c r="JW2302" s="38"/>
      <c r="JX2302" s="38"/>
      <c r="JY2302" s="38"/>
      <c r="JZ2302" s="38"/>
      <c r="KA2302" s="38"/>
      <c r="KB2302" s="38"/>
      <c r="KC2302" s="38"/>
      <c r="KD2302" s="38"/>
      <c r="KE2302" s="38"/>
      <c r="KF2302" s="38"/>
      <c r="KG2302" s="38"/>
      <c r="KH2302" s="38"/>
      <c r="KI2302" s="38"/>
      <c r="KJ2302" s="38"/>
      <c r="KK2302" s="38"/>
      <c r="KL2302" s="38"/>
      <c r="KM2302" s="38"/>
      <c r="KN2302" s="38"/>
      <c r="KO2302" s="38"/>
      <c r="KP2302" s="38"/>
      <c r="KQ2302" s="38"/>
      <c r="KR2302" s="38"/>
      <c r="KS2302" s="38"/>
      <c r="KT2302" s="38"/>
      <c r="KU2302" s="38"/>
      <c r="KV2302" s="38"/>
      <c r="KW2302" s="38"/>
      <c r="KX2302" s="38"/>
      <c r="KY2302" s="38"/>
      <c r="KZ2302" s="38"/>
      <c r="LA2302" s="38"/>
      <c r="LB2302" s="38"/>
      <c r="LC2302" s="38"/>
      <c r="LD2302" s="38"/>
      <c r="LE2302" s="38"/>
      <c r="LF2302" s="38"/>
      <c r="LG2302" s="38"/>
      <c r="LH2302" s="38"/>
      <c r="LI2302" s="38"/>
      <c r="LJ2302" s="38"/>
      <c r="LK2302" s="38"/>
      <c r="LL2302" s="38"/>
      <c r="LM2302" s="38"/>
      <c r="LN2302" s="38"/>
      <c r="LO2302" s="38"/>
      <c r="LP2302" s="38"/>
      <c r="LQ2302" s="38"/>
      <c r="LR2302" s="38"/>
      <c r="LS2302" s="38"/>
      <c r="LT2302" s="38"/>
      <c r="LU2302" s="38"/>
      <c r="LV2302" s="38"/>
      <c r="LW2302" s="38"/>
      <c r="LX2302" s="38"/>
      <c r="LY2302" s="38"/>
      <c r="LZ2302" s="38"/>
      <c r="MA2302" s="38"/>
      <c r="MB2302" s="38"/>
      <c r="MC2302" s="38"/>
      <c r="MD2302" s="38"/>
      <c r="ME2302" s="38"/>
      <c r="MF2302" s="38"/>
      <c r="MG2302" s="38"/>
      <c r="MH2302" s="38"/>
      <c r="MI2302" s="38"/>
      <c r="MJ2302" s="38"/>
      <c r="MK2302" s="38"/>
      <c r="ML2302" s="38"/>
      <c r="MM2302" s="38"/>
      <c r="MN2302" s="38"/>
      <c r="MO2302" s="38"/>
      <c r="MP2302" s="38"/>
      <c r="MQ2302" s="38"/>
      <c r="MR2302" s="38"/>
      <c r="MS2302" s="38"/>
      <c r="MT2302" s="38"/>
      <c r="MU2302" s="38"/>
      <c r="MV2302" s="38"/>
      <c r="MW2302" s="38"/>
      <c r="MX2302" s="38"/>
      <c r="MY2302" s="38"/>
      <c r="MZ2302" s="38"/>
      <c r="NA2302" s="38"/>
      <c r="NB2302" s="38"/>
      <c r="NC2302" s="38"/>
      <c r="ND2302" s="38"/>
      <c r="NE2302" s="38"/>
      <c r="NF2302" s="38"/>
      <c r="NG2302" s="38"/>
      <c r="NH2302" s="38"/>
      <c r="NI2302" s="38"/>
      <c r="NJ2302" s="38"/>
      <c r="NK2302" s="38"/>
      <c r="NL2302" s="38"/>
      <c r="NM2302" s="38"/>
      <c r="NN2302" s="38"/>
      <c r="NO2302" s="38"/>
      <c r="NP2302" s="38"/>
      <c r="NQ2302" s="38"/>
      <c r="NR2302" s="38"/>
      <c r="NS2302" s="38"/>
      <c r="NT2302" s="38"/>
      <c r="NU2302" s="38"/>
      <c r="NV2302" s="38"/>
      <c r="NW2302" s="38"/>
      <c r="NX2302" s="38"/>
      <c r="NY2302" s="38"/>
      <c r="NZ2302" s="38"/>
      <c r="OA2302" s="38"/>
      <c r="OB2302" s="38"/>
      <c r="OC2302" s="38"/>
      <c r="OD2302" s="38"/>
      <c r="OE2302" s="38"/>
      <c r="OF2302" s="38"/>
      <c r="OG2302" s="38"/>
      <c r="OH2302" s="38"/>
      <c r="OI2302" s="38"/>
      <c r="OJ2302" s="38"/>
      <c r="OK2302" s="38"/>
      <c r="OL2302" s="38"/>
      <c r="OM2302" s="38"/>
      <c r="ON2302" s="38"/>
      <c r="OO2302" s="38"/>
      <c r="OP2302" s="38"/>
      <c r="OQ2302" s="38"/>
      <c r="OR2302" s="38"/>
      <c r="OS2302" s="38"/>
      <c r="OT2302" s="38"/>
      <c r="OU2302" s="38"/>
      <c r="OV2302" s="38"/>
      <c r="OW2302" s="38"/>
      <c r="OX2302" s="38"/>
      <c r="OY2302" s="38"/>
      <c r="OZ2302" s="38"/>
      <c r="PA2302" s="38"/>
      <c r="PB2302" s="38"/>
      <c r="PC2302" s="38"/>
      <c r="PD2302" s="38"/>
      <c r="PE2302" s="38"/>
      <c r="PF2302" s="38"/>
      <c r="PG2302" s="38"/>
      <c r="PH2302" s="38"/>
      <c r="PI2302" s="38"/>
      <c r="PJ2302" s="38"/>
      <c r="PK2302" s="38"/>
      <c r="PL2302" s="38"/>
      <c r="PM2302" s="38"/>
      <c r="PN2302" s="38"/>
      <c r="PO2302" s="38"/>
      <c r="PP2302" s="38"/>
      <c r="PQ2302" s="38"/>
      <c r="PR2302" s="38"/>
      <c r="PS2302" s="38"/>
      <c r="PT2302" s="38"/>
      <c r="PU2302" s="38"/>
      <c r="PV2302" s="38"/>
      <c r="PW2302" s="38"/>
      <c r="PX2302" s="38"/>
      <c r="PY2302" s="38"/>
      <c r="PZ2302" s="38"/>
      <c r="QA2302" s="38"/>
      <c r="QB2302" s="38"/>
      <c r="QC2302" s="38"/>
      <c r="QD2302" s="38"/>
      <c r="QE2302" s="38"/>
      <c r="QF2302" s="38"/>
      <c r="QG2302" s="38"/>
      <c r="QH2302" s="38"/>
      <c r="QI2302" s="38"/>
      <c r="QJ2302" s="38"/>
      <c r="QK2302" s="38"/>
      <c r="QL2302" s="38"/>
      <c r="QM2302" s="38"/>
      <c r="QN2302" s="38"/>
      <c r="QO2302" s="38"/>
      <c r="QP2302" s="38"/>
      <c r="QQ2302" s="38"/>
      <c r="QR2302" s="38"/>
      <c r="QS2302" s="38"/>
      <c r="QT2302" s="38"/>
      <c r="QU2302" s="38"/>
      <c r="QV2302" s="38"/>
      <c r="QW2302" s="38"/>
      <c r="QX2302" s="38"/>
      <c r="QY2302" s="38"/>
      <c r="QZ2302" s="38"/>
      <c r="RA2302" s="38"/>
      <c r="RB2302" s="38"/>
      <c r="RC2302" s="38"/>
      <c r="RD2302" s="38"/>
      <c r="RE2302" s="38"/>
      <c r="RF2302" s="38"/>
      <c r="RG2302" s="38"/>
      <c r="RH2302" s="38"/>
      <c r="RI2302" s="38"/>
      <c r="RJ2302" s="38"/>
      <c r="RK2302" s="38"/>
      <c r="RL2302" s="38"/>
      <c r="RM2302" s="38"/>
      <c r="RN2302" s="38"/>
      <c r="RO2302" s="38"/>
      <c r="RP2302" s="38"/>
      <c r="RQ2302" s="38"/>
      <c r="RR2302" s="38"/>
      <c r="RS2302" s="38"/>
      <c r="RT2302" s="38"/>
      <c r="RU2302" s="38"/>
      <c r="RV2302" s="38"/>
      <c r="RW2302" s="38"/>
      <c r="RX2302" s="38"/>
      <c r="RY2302" s="38"/>
      <c r="RZ2302" s="38"/>
      <c r="SA2302" s="38"/>
      <c r="SB2302" s="38"/>
      <c r="SC2302" s="38"/>
      <c r="SD2302" s="38"/>
      <c r="SE2302" s="38"/>
      <c r="SF2302" s="38"/>
      <c r="SG2302" s="38"/>
      <c r="SH2302" s="38"/>
      <c r="SI2302" s="38"/>
      <c r="SJ2302" s="38"/>
      <c r="SK2302" s="38"/>
      <c r="SL2302" s="38"/>
      <c r="SM2302" s="38"/>
      <c r="SN2302" s="38"/>
      <c r="SO2302" s="38"/>
      <c r="SP2302" s="38"/>
      <c r="SQ2302" s="38"/>
      <c r="SR2302" s="38"/>
      <c r="SS2302" s="38"/>
      <c r="ST2302" s="38"/>
      <c r="SU2302" s="38"/>
      <c r="SV2302" s="38"/>
      <c r="SW2302" s="38"/>
      <c r="SX2302" s="38"/>
      <c r="SY2302" s="38"/>
      <c r="SZ2302" s="38"/>
      <c r="TA2302" s="38"/>
      <c r="TB2302" s="38"/>
      <c r="TC2302" s="38"/>
      <c r="TD2302" s="38"/>
      <c r="TE2302" s="38"/>
      <c r="TF2302" s="38"/>
      <c r="TG2302" s="38"/>
      <c r="TH2302" s="38"/>
      <c r="TI2302" s="38"/>
      <c r="TJ2302" s="38"/>
      <c r="TK2302" s="38"/>
      <c r="TL2302" s="38"/>
      <c r="TM2302" s="38"/>
      <c r="TN2302" s="38"/>
      <c r="TO2302" s="38"/>
      <c r="TP2302" s="38"/>
      <c r="TQ2302" s="38"/>
      <c r="TR2302" s="38"/>
      <c r="TS2302" s="38"/>
      <c r="TT2302" s="38"/>
      <c r="TU2302" s="38"/>
      <c r="TV2302" s="38"/>
      <c r="TW2302" s="38"/>
      <c r="TX2302" s="38"/>
      <c r="TY2302" s="38"/>
      <c r="TZ2302" s="38"/>
      <c r="UA2302" s="38"/>
      <c r="UB2302" s="38"/>
      <c r="UC2302" s="38"/>
      <c r="UD2302" s="38"/>
      <c r="UE2302" s="38"/>
      <c r="UF2302" s="38"/>
      <c r="UG2302" s="38"/>
      <c r="UH2302" s="38"/>
      <c r="UI2302" s="38"/>
      <c r="UJ2302" s="38"/>
      <c r="UK2302" s="38"/>
      <c r="UL2302" s="38"/>
      <c r="UM2302" s="38"/>
      <c r="UN2302" s="38"/>
      <c r="UO2302" s="38"/>
      <c r="UP2302" s="38"/>
      <c r="UQ2302" s="38"/>
      <c r="UR2302" s="38"/>
      <c r="US2302" s="38"/>
      <c r="UT2302" s="38"/>
      <c r="UU2302" s="38"/>
      <c r="UV2302" s="38"/>
      <c r="UW2302" s="38"/>
      <c r="UX2302" s="38"/>
      <c r="UY2302" s="38"/>
      <c r="UZ2302" s="38"/>
      <c r="VA2302" s="38"/>
      <c r="VB2302" s="38"/>
      <c r="VC2302" s="38"/>
      <c r="VD2302" s="38"/>
      <c r="VE2302" s="38"/>
      <c r="VF2302" s="38"/>
      <c r="VG2302" s="38"/>
      <c r="VH2302" s="38"/>
      <c r="VI2302" s="38"/>
      <c r="VJ2302" s="38"/>
      <c r="VK2302" s="38"/>
      <c r="VL2302" s="38"/>
      <c r="VM2302" s="38"/>
      <c r="VN2302" s="38"/>
      <c r="VO2302" s="38"/>
      <c r="VP2302" s="38"/>
      <c r="VQ2302" s="38"/>
      <c r="VR2302" s="38"/>
      <c r="VS2302" s="38"/>
      <c r="VT2302" s="38"/>
      <c r="VU2302" s="38"/>
      <c r="VV2302" s="38"/>
      <c r="VW2302" s="38"/>
      <c r="VX2302" s="38"/>
      <c r="VY2302" s="38"/>
      <c r="VZ2302" s="38"/>
      <c r="WA2302" s="38"/>
      <c r="WB2302" s="38"/>
      <c r="WC2302" s="38"/>
      <c r="WD2302" s="38"/>
      <c r="WE2302" s="38"/>
      <c r="WF2302" s="38"/>
      <c r="WG2302" s="38"/>
      <c r="WH2302" s="38"/>
      <c r="WI2302" s="38"/>
      <c r="WJ2302" s="38"/>
      <c r="WK2302" s="38"/>
      <c r="WL2302" s="38"/>
      <c r="WM2302" s="38"/>
      <c r="WN2302" s="38"/>
      <c r="WO2302" s="38"/>
      <c r="WP2302" s="38"/>
      <c r="WQ2302" s="38"/>
      <c r="WR2302" s="38"/>
      <c r="WS2302" s="38"/>
      <c r="WT2302" s="38"/>
      <c r="WU2302" s="38"/>
      <c r="WV2302" s="38"/>
      <c r="WW2302" s="38"/>
      <c r="WX2302" s="38"/>
      <c r="WY2302" s="38"/>
      <c r="WZ2302" s="38"/>
      <c r="XA2302" s="38"/>
      <c r="XB2302" s="38"/>
      <c r="XC2302" s="38"/>
      <c r="XD2302" s="38"/>
      <c r="XE2302" s="38"/>
      <c r="XF2302" s="38"/>
      <c r="XG2302" s="38"/>
      <c r="XH2302" s="38"/>
      <c r="XI2302" s="38"/>
      <c r="XJ2302" s="38"/>
      <c r="XK2302" s="38"/>
      <c r="XL2302" s="38"/>
      <c r="XM2302" s="38"/>
      <c r="XN2302" s="38"/>
      <c r="XO2302" s="38"/>
      <c r="XP2302" s="38"/>
      <c r="XQ2302" s="38"/>
      <c r="XR2302" s="38"/>
      <c r="XS2302" s="38"/>
      <c r="XT2302" s="38"/>
      <c r="XU2302" s="38"/>
      <c r="XV2302" s="38"/>
      <c r="XW2302" s="38"/>
      <c r="XX2302" s="38"/>
      <c r="XY2302" s="38"/>
      <c r="XZ2302" s="38"/>
      <c r="YA2302" s="38"/>
      <c r="YB2302" s="38"/>
      <c r="YC2302" s="38"/>
      <c r="YD2302" s="38"/>
      <c r="YE2302" s="38"/>
      <c r="YF2302" s="38"/>
      <c r="YG2302" s="38"/>
      <c r="YH2302" s="38"/>
      <c r="YI2302" s="38"/>
      <c r="YJ2302" s="38"/>
      <c r="YK2302" s="38"/>
      <c r="YL2302" s="38"/>
      <c r="YM2302" s="38"/>
      <c r="YN2302" s="38"/>
      <c r="YO2302" s="38"/>
      <c r="YP2302" s="38"/>
      <c r="YQ2302" s="38"/>
      <c r="YR2302" s="38"/>
      <c r="YS2302" s="38"/>
      <c r="YT2302" s="38"/>
      <c r="YU2302" s="38"/>
      <c r="YV2302" s="38"/>
      <c r="YW2302" s="38"/>
      <c r="YX2302" s="38"/>
      <c r="YY2302" s="38"/>
      <c r="YZ2302" s="38"/>
      <c r="ZA2302" s="38"/>
      <c r="ZB2302" s="38"/>
      <c r="ZC2302" s="38"/>
      <c r="ZD2302" s="38"/>
      <c r="ZE2302" s="38"/>
      <c r="ZF2302" s="38"/>
      <c r="ZG2302" s="38"/>
      <c r="ZH2302" s="38"/>
      <c r="ZI2302" s="38"/>
      <c r="ZJ2302" s="38"/>
      <c r="ZK2302" s="38"/>
      <c r="ZL2302" s="38"/>
      <c r="ZM2302" s="38"/>
      <c r="ZN2302" s="38"/>
      <c r="ZO2302" s="38"/>
      <c r="ZP2302" s="38"/>
      <c r="ZQ2302" s="38"/>
      <c r="ZR2302" s="38"/>
      <c r="ZS2302" s="38"/>
      <c r="ZT2302" s="38"/>
      <c r="ZU2302" s="38"/>
      <c r="ZV2302" s="38"/>
      <c r="ZW2302" s="38"/>
      <c r="ZX2302" s="38"/>
      <c r="ZY2302" s="38"/>
      <c r="ZZ2302" s="38"/>
      <c r="AAA2302" s="38"/>
      <c r="AAB2302" s="38"/>
      <c r="AAC2302" s="38"/>
      <c r="AAD2302" s="38"/>
      <c r="AAE2302" s="38"/>
      <c r="AAF2302" s="38"/>
      <c r="AAG2302" s="38"/>
      <c r="AAH2302" s="38"/>
      <c r="AAI2302" s="38"/>
      <c r="AAJ2302" s="38"/>
      <c r="AAK2302" s="38"/>
      <c r="AAL2302" s="38"/>
      <c r="AAM2302" s="38"/>
      <c r="AAN2302" s="38"/>
      <c r="AAO2302" s="38"/>
      <c r="AAP2302" s="38"/>
      <c r="AAQ2302" s="38"/>
      <c r="AAR2302" s="38"/>
      <c r="AAS2302" s="38"/>
      <c r="AAT2302" s="38"/>
      <c r="AAU2302" s="38"/>
      <c r="AAV2302" s="38"/>
      <c r="AAW2302" s="38"/>
      <c r="AAX2302" s="38"/>
      <c r="AAY2302" s="38"/>
      <c r="AAZ2302" s="38"/>
      <c r="ABA2302" s="38"/>
      <c r="ABB2302" s="38"/>
      <c r="ABC2302" s="38"/>
      <c r="ABD2302" s="38"/>
      <c r="ABE2302" s="38"/>
      <c r="ABF2302" s="38"/>
      <c r="ABG2302" s="38"/>
      <c r="ABH2302" s="38"/>
      <c r="ABI2302" s="38"/>
      <c r="ABJ2302" s="38"/>
      <c r="ABK2302" s="38"/>
      <c r="ABL2302" s="38"/>
      <c r="ABM2302" s="38"/>
      <c r="ABN2302" s="38"/>
      <c r="ABO2302" s="38"/>
      <c r="ABP2302" s="38"/>
      <c r="ABQ2302" s="38"/>
      <c r="ABR2302" s="38"/>
      <c r="ABS2302" s="38"/>
      <c r="ABT2302" s="38"/>
      <c r="ABU2302" s="38"/>
      <c r="ABV2302" s="38"/>
      <c r="ABW2302" s="38"/>
      <c r="ABX2302" s="38"/>
      <c r="ABY2302" s="38"/>
      <c r="ABZ2302" s="38"/>
      <c r="ACA2302" s="38"/>
      <c r="ACB2302" s="38"/>
      <c r="ACC2302" s="38"/>
      <c r="ACD2302" s="38"/>
      <c r="ACE2302" s="38"/>
      <c r="ACF2302" s="38"/>
      <c r="ACG2302" s="38"/>
      <c r="ACH2302" s="38"/>
      <c r="ACI2302" s="38"/>
      <c r="ACJ2302" s="38"/>
      <c r="ACK2302" s="38"/>
      <c r="ACL2302" s="38"/>
      <c r="ACM2302" s="38"/>
      <c r="ACN2302" s="38"/>
      <c r="ACO2302" s="38"/>
      <c r="ACP2302" s="38"/>
      <c r="ACQ2302" s="38"/>
      <c r="ACR2302" s="38"/>
      <c r="ACS2302" s="38"/>
      <c r="ACT2302" s="38"/>
      <c r="ACU2302" s="38"/>
      <c r="ACV2302" s="38"/>
      <c r="ACW2302" s="38"/>
      <c r="ACX2302" s="38"/>
      <c r="ACY2302" s="38"/>
      <c r="ACZ2302" s="38"/>
      <c r="ADA2302" s="38"/>
      <c r="ADB2302" s="38"/>
      <c r="ADC2302" s="38"/>
      <c r="ADD2302" s="38"/>
      <c r="ADE2302" s="38"/>
      <c r="ADF2302" s="38"/>
      <c r="ADG2302" s="38"/>
      <c r="ADH2302" s="38"/>
      <c r="ADI2302" s="38"/>
      <c r="ADJ2302" s="38"/>
      <c r="ADK2302" s="38"/>
      <c r="ADL2302" s="38"/>
      <c r="ADM2302" s="38"/>
      <c r="ADN2302" s="38"/>
      <c r="ADO2302" s="38"/>
      <c r="ADP2302" s="38"/>
      <c r="ADQ2302" s="38"/>
      <c r="ADR2302" s="38"/>
      <c r="ADS2302" s="38"/>
      <c r="ADT2302" s="38"/>
      <c r="ADU2302" s="38"/>
      <c r="ADV2302" s="38"/>
      <c r="ADW2302" s="38"/>
      <c r="ADX2302" s="38"/>
      <c r="ADY2302" s="38"/>
      <c r="ADZ2302" s="38"/>
      <c r="AEA2302" s="38"/>
      <c r="AEB2302" s="38"/>
      <c r="AEC2302" s="38"/>
      <c r="AED2302" s="38"/>
      <c r="AEE2302" s="38"/>
      <c r="AEF2302" s="38"/>
      <c r="AEG2302" s="38"/>
      <c r="AEH2302" s="38"/>
      <c r="AEI2302" s="38"/>
      <c r="AEJ2302" s="38"/>
      <c r="AEK2302" s="38"/>
      <c r="AEL2302" s="38"/>
      <c r="AEM2302" s="38"/>
      <c r="AEN2302" s="38"/>
      <c r="AEO2302" s="38"/>
      <c r="AEP2302" s="38"/>
      <c r="AEQ2302" s="38"/>
      <c r="AER2302" s="38"/>
      <c r="AES2302" s="38"/>
      <c r="AET2302" s="38"/>
      <c r="AEU2302" s="38"/>
      <c r="AEV2302" s="38"/>
      <c r="AEW2302" s="38"/>
      <c r="AEX2302" s="38"/>
      <c r="AEY2302" s="38"/>
      <c r="AEZ2302" s="38"/>
      <c r="AFA2302" s="38"/>
      <c r="AFB2302" s="38"/>
      <c r="AFC2302" s="38"/>
      <c r="AFD2302" s="38"/>
      <c r="AFE2302" s="38"/>
      <c r="AFF2302" s="38"/>
      <c r="AFG2302" s="38"/>
      <c r="AFH2302" s="38"/>
      <c r="AFI2302" s="38"/>
      <c r="AFJ2302" s="38"/>
      <c r="AFK2302" s="38"/>
      <c r="AFL2302" s="38"/>
      <c r="AFM2302" s="38"/>
      <c r="AFN2302" s="38"/>
      <c r="AFO2302" s="38"/>
      <c r="AFP2302" s="38"/>
      <c r="AFQ2302" s="38"/>
      <c r="AFR2302" s="38"/>
      <c r="AFS2302" s="38"/>
      <c r="AFT2302" s="38"/>
      <c r="AFU2302" s="38"/>
      <c r="AFV2302" s="38"/>
      <c r="AFW2302" s="38"/>
      <c r="AFX2302" s="38"/>
      <c r="AFY2302" s="38"/>
      <c r="AFZ2302" s="38"/>
      <c r="AGA2302" s="38"/>
      <c r="AGB2302" s="38"/>
      <c r="AGC2302" s="38"/>
      <c r="AGD2302" s="38"/>
      <c r="AGE2302" s="38"/>
      <c r="AGF2302" s="38"/>
      <c r="AGG2302" s="38"/>
      <c r="AGH2302" s="38"/>
      <c r="AGI2302" s="38"/>
      <c r="AGJ2302" s="38"/>
      <c r="AGK2302" s="38"/>
      <c r="AGL2302" s="38"/>
      <c r="AGM2302" s="38"/>
      <c r="AGN2302" s="38"/>
      <c r="AGO2302" s="38"/>
      <c r="AGP2302" s="38"/>
      <c r="AGQ2302" s="38"/>
      <c r="AGR2302" s="38"/>
      <c r="AGS2302" s="38"/>
      <c r="AGT2302" s="38"/>
      <c r="AGU2302" s="38"/>
      <c r="AGV2302" s="38"/>
      <c r="AGW2302" s="38"/>
      <c r="AGX2302" s="38"/>
      <c r="AGY2302" s="38"/>
      <c r="AGZ2302" s="38"/>
      <c r="AHA2302" s="38"/>
      <c r="AHB2302" s="38"/>
      <c r="AHC2302" s="38"/>
      <c r="AHD2302" s="38"/>
      <c r="AHE2302" s="38"/>
      <c r="AHF2302" s="38"/>
      <c r="AHG2302" s="38"/>
      <c r="AHH2302" s="38"/>
      <c r="AHI2302" s="38"/>
      <c r="AHJ2302" s="38"/>
      <c r="AHK2302" s="38"/>
      <c r="AHL2302" s="38"/>
      <c r="AHM2302" s="38"/>
      <c r="AHN2302" s="38"/>
      <c r="AHO2302" s="38"/>
      <c r="AHP2302" s="38"/>
      <c r="AHQ2302" s="38"/>
      <c r="AHR2302" s="38"/>
      <c r="AHS2302" s="38"/>
      <c r="AHT2302" s="38"/>
      <c r="AHU2302" s="38"/>
      <c r="AHV2302" s="38"/>
      <c r="AHW2302" s="38"/>
      <c r="AHX2302" s="38"/>
      <c r="AHY2302" s="38"/>
      <c r="AHZ2302" s="38"/>
      <c r="AIA2302" s="38"/>
      <c r="AIB2302" s="38"/>
      <c r="AIC2302" s="38"/>
      <c r="AID2302" s="38"/>
      <c r="AIE2302" s="38"/>
      <c r="AIF2302" s="38"/>
      <c r="AIG2302" s="38"/>
      <c r="AIH2302" s="38"/>
      <c r="AII2302" s="38"/>
      <c r="AIJ2302" s="38"/>
      <c r="AIK2302" s="38"/>
      <c r="AIL2302" s="38"/>
      <c r="AIM2302" s="38"/>
      <c r="AIN2302" s="38"/>
      <c r="AIO2302" s="38"/>
      <c r="AIP2302" s="38"/>
      <c r="AIQ2302" s="38"/>
      <c r="AIR2302" s="38"/>
      <c r="AIS2302" s="38"/>
      <c r="AIT2302" s="38"/>
      <c r="AIU2302" s="38"/>
      <c r="AIV2302" s="38"/>
      <c r="AIW2302" s="38"/>
      <c r="AIX2302" s="38"/>
      <c r="AIY2302" s="38"/>
      <c r="AIZ2302" s="38"/>
      <c r="AJA2302" s="38"/>
      <c r="AJB2302" s="38"/>
      <c r="AJC2302" s="38"/>
      <c r="AJD2302" s="38"/>
      <c r="AJE2302" s="38"/>
      <c r="AJF2302" s="38"/>
      <c r="AJG2302" s="38"/>
      <c r="AJH2302" s="38"/>
      <c r="AJI2302" s="38"/>
      <c r="AJJ2302" s="38"/>
      <c r="AJK2302" s="38"/>
      <c r="AJL2302" s="38"/>
      <c r="AJM2302" s="38"/>
      <c r="AJN2302" s="38"/>
      <c r="AJO2302" s="38"/>
      <c r="AJP2302" s="38"/>
      <c r="AJQ2302" s="38"/>
      <c r="AJR2302" s="38"/>
      <c r="AJS2302" s="38"/>
      <c r="AJT2302" s="38"/>
      <c r="AJU2302" s="38"/>
      <c r="AJV2302" s="38"/>
      <c r="AJW2302" s="38"/>
      <c r="AJX2302" s="38"/>
      <c r="AJY2302" s="38"/>
      <c r="AJZ2302" s="38"/>
      <c r="AKA2302" s="38"/>
      <c r="AKB2302" s="38"/>
      <c r="AKC2302" s="38"/>
      <c r="AKD2302" s="38"/>
      <c r="AKE2302" s="38"/>
      <c r="AKF2302" s="38"/>
      <c r="AKG2302" s="38"/>
      <c r="AKH2302" s="38"/>
      <c r="AKI2302" s="38"/>
      <c r="AKJ2302" s="38"/>
      <c r="AKK2302" s="38"/>
      <c r="AKL2302" s="38"/>
      <c r="AKM2302" s="38"/>
      <c r="AKN2302" s="38"/>
      <c r="AKO2302" s="38"/>
      <c r="AKP2302" s="38"/>
      <c r="AKQ2302" s="38"/>
      <c r="AKR2302" s="38"/>
      <c r="AKS2302" s="38"/>
      <c r="AKT2302" s="38"/>
      <c r="AKU2302" s="38"/>
      <c r="AKV2302" s="38"/>
      <c r="AKW2302" s="38"/>
      <c r="AKX2302" s="38"/>
      <c r="AKY2302" s="38"/>
      <c r="AKZ2302" s="38"/>
      <c r="ALA2302" s="38"/>
      <c r="ALB2302" s="38"/>
      <c r="ALC2302" s="38"/>
      <c r="ALD2302" s="38"/>
      <c r="ALE2302" s="38"/>
      <c r="ALF2302" s="38"/>
      <c r="ALG2302" s="38"/>
      <c r="ALH2302" s="38"/>
      <c r="ALI2302" s="38"/>
      <c r="ALJ2302" s="38"/>
      <c r="ALK2302" s="38"/>
      <c r="ALL2302" s="38"/>
      <c r="ALM2302" s="38"/>
      <c r="ALN2302" s="38"/>
      <c r="ALO2302" s="38"/>
      <c r="ALP2302" s="38"/>
      <c r="ALQ2302" s="38"/>
      <c r="ALR2302" s="38"/>
      <c r="ALS2302" s="38"/>
      <c r="ALT2302" s="38"/>
      <c r="ALU2302" s="38"/>
      <c r="ALV2302" s="38"/>
      <c r="ALW2302" s="38"/>
      <c r="ALX2302" s="38"/>
      <c r="ALY2302" s="38"/>
      <c r="ALZ2302" s="38"/>
      <c r="AMA2302" s="38"/>
      <c r="AMB2302" s="38"/>
      <c r="AMC2302" s="38"/>
      <c r="AMD2302" s="38"/>
      <c r="AME2302" s="38"/>
      <c r="AMF2302" s="38"/>
      <c r="AMG2302" s="38"/>
      <c r="AMH2302" s="38"/>
      <c r="AMI2302" s="38"/>
      <c r="AMJ2302" s="38"/>
      <c r="AMK2302" s="38"/>
      <c r="AML2302" s="38"/>
      <c r="AMM2302" s="38"/>
      <c r="AMN2302" s="38"/>
      <c r="AMO2302" s="38"/>
      <c r="AMP2302" s="38"/>
      <c r="AMQ2302" s="38"/>
      <c r="AMR2302" s="38"/>
      <c r="AMS2302" s="38"/>
      <c r="AMT2302" s="38"/>
      <c r="AMU2302" s="38"/>
      <c r="AMV2302" s="38"/>
      <c r="AMW2302" s="38"/>
      <c r="AMX2302" s="38"/>
      <c r="AMY2302" s="38"/>
      <c r="AMZ2302" s="38"/>
      <c r="ANA2302" s="38"/>
      <c r="ANB2302" s="38"/>
      <c r="ANC2302" s="38"/>
      <c r="AND2302" s="38"/>
      <c r="ANE2302" s="38"/>
      <c r="ANF2302" s="38"/>
      <c r="ANG2302" s="38"/>
      <c r="ANH2302" s="38"/>
      <c r="ANI2302" s="38"/>
      <c r="ANJ2302" s="38"/>
      <c r="ANK2302" s="38"/>
      <c r="ANL2302" s="38"/>
      <c r="ANM2302" s="38"/>
      <c r="ANN2302" s="38"/>
      <c r="ANO2302" s="38"/>
      <c r="ANP2302" s="38"/>
      <c r="ANQ2302" s="38"/>
      <c r="ANR2302" s="38"/>
      <c r="ANS2302" s="38"/>
      <c r="ANT2302" s="38"/>
      <c r="ANU2302" s="38"/>
      <c r="ANV2302" s="38"/>
      <c r="ANW2302" s="38"/>
      <c r="ANX2302" s="38"/>
      <c r="ANY2302" s="38"/>
      <c r="ANZ2302" s="38"/>
      <c r="AOA2302" s="38"/>
      <c r="AOB2302" s="38"/>
      <c r="AOC2302" s="38"/>
      <c r="AOD2302" s="38"/>
      <c r="AOE2302" s="38"/>
      <c r="AOF2302" s="38"/>
      <c r="AOG2302" s="38"/>
      <c r="AOH2302" s="38"/>
      <c r="AOI2302" s="38"/>
      <c r="AOJ2302" s="38"/>
      <c r="AOK2302" s="38"/>
      <c r="AOL2302" s="38"/>
      <c r="AOM2302" s="38"/>
      <c r="AON2302" s="38"/>
      <c r="AOO2302" s="38"/>
      <c r="AOP2302" s="38"/>
      <c r="AOQ2302" s="38"/>
      <c r="AOR2302" s="38"/>
      <c r="AOS2302" s="38"/>
      <c r="AOT2302" s="38"/>
      <c r="AOU2302" s="38"/>
      <c r="AOV2302" s="38"/>
      <c r="AOW2302" s="38"/>
      <c r="AOX2302" s="38"/>
      <c r="AOY2302" s="38"/>
      <c r="AOZ2302" s="38"/>
      <c r="APA2302" s="38"/>
      <c r="APB2302" s="38"/>
      <c r="APC2302" s="38"/>
    </row>
    <row r="2303" spans="1:1095" s="36" customFormat="1" ht="14.25" customHeight="1">
      <c r="A2303" s="3" t="s">
        <v>1722</v>
      </c>
      <c r="B2303" s="36" t="s">
        <v>2849</v>
      </c>
      <c r="C2303" s="10">
        <v>4099854050268</v>
      </c>
      <c r="D2303" s="224">
        <v>4058075636644</v>
      </c>
      <c r="E2303" s="245" t="s">
        <v>2850</v>
      </c>
      <c r="F2303" s="246"/>
      <c r="G2303" s="66" t="str">
        <f>HYPERLINK("https://ledvance.com/pt/product-datasheet/250976/235952","Ficha de Produto")</f>
        <v>Ficha de Produto</v>
      </c>
      <c r="H2303" s="217">
        <v>10</v>
      </c>
      <c r="I2303" s="34" t="s">
        <v>6401</v>
      </c>
      <c r="J2303" s="34" t="s">
        <v>6383</v>
      </c>
      <c r="K2303" s="34" t="s">
        <v>788</v>
      </c>
      <c r="L2303" s="34" t="s">
        <v>765</v>
      </c>
      <c r="M2303" s="247">
        <v>14.5</v>
      </c>
      <c r="N2303" s="288" t="s">
        <v>722</v>
      </c>
    </row>
    <row r="2304" spans="1:1095" s="36" customFormat="1" ht="14.25" customHeight="1">
      <c r="A2304" s="3" t="s">
        <v>1722</v>
      </c>
      <c r="B2304" s="36" t="s">
        <v>2851</v>
      </c>
      <c r="C2304" s="10">
        <v>4099854050206</v>
      </c>
      <c r="D2304" s="224">
        <v>4058075636620</v>
      </c>
      <c r="E2304" s="245" t="s">
        <v>2852</v>
      </c>
      <c r="F2304" s="246"/>
      <c r="G2304" s="66" t="str">
        <f>HYPERLINK("https://ledvance.com/pt/product-datasheet/250976/235944","Ficha de Produto")</f>
        <v>Ficha de Produto</v>
      </c>
      <c r="H2304" s="217">
        <v>10</v>
      </c>
      <c r="I2304" s="34" t="s">
        <v>6406</v>
      </c>
      <c r="J2304" s="34" t="s">
        <v>6370</v>
      </c>
      <c r="K2304" s="34" t="s">
        <v>788</v>
      </c>
      <c r="L2304" s="34" t="s">
        <v>765</v>
      </c>
      <c r="M2304" s="247">
        <v>11.100000000000001</v>
      </c>
      <c r="N2304" s="288" t="s">
        <v>722</v>
      </c>
    </row>
    <row r="2305" spans="1:1095" s="39" customFormat="1" ht="14.25" customHeight="1">
      <c r="A2305" s="8" t="s">
        <v>1722</v>
      </c>
      <c r="B2305" s="244" t="s">
        <v>2853</v>
      </c>
      <c r="C2305" s="8"/>
      <c r="D2305" s="7"/>
      <c r="E2305" s="230"/>
      <c r="F2305" s="7"/>
      <c r="G2305" s="68"/>
      <c r="H2305" s="230"/>
      <c r="I2305" s="230"/>
      <c r="J2305" s="230"/>
      <c r="K2305" s="230"/>
      <c r="L2305" s="230"/>
      <c r="M2305" s="248"/>
      <c r="N2305" s="284"/>
      <c r="O2305" s="38"/>
      <c r="P2305" s="38"/>
      <c r="Q2305" s="38"/>
      <c r="R2305" s="38"/>
      <c r="S2305" s="38"/>
      <c r="T2305" s="38"/>
      <c r="U2305" s="38"/>
      <c r="V2305" s="38"/>
      <c r="W2305" s="38"/>
      <c r="X2305" s="38"/>
      <c r="Y2305" s="38"/>
      <c r="Z2305" s="38"/>
      <c r="AA2305" s="38"/>
      <c r="AB2305" s="38"/>
      <c r="AC2305" s="38"/>
      <c r="AD2305" s="38"/>
      <c r="AE2305" s="38"/>
      <c r="AF2305" s="38"/>
      <c r="AG2305" s="38"/>
      <c r="AH2305" s="38"/>
      <c r="AI2305" s="38"/>
      <c r="AJ2305" s="38"/>
      <c r="AK2305" s="38"/>
      <c r="AL2305" s="38"/>
      <c r="AM2305" s="38"/>
      <c r="AN2305" s="38"/>
      <c r="AO2305" s="38"/>
      <c r="AP2305" s="38"/>
      <c r="AQ2305" s="38"/>
      <c r="AR2305" s="38"/>
      <c r="AS2305" s="38"/>
      <c r="AT2305" s="38"/>
      <c r="AU2305" s="38"/>
      <c r="AV2305" s="38"/>
      <c r="AW2305" s="38"/>
      <c r="AX2305" s="38"/>
      <c r="AY2305" s="38"/>
      <c r="AZ2305" s="38"/>
      <c r="BA2305" s="38"/>
      <c r="BB2305" s="38"/>
      <c r="BC2305" s="38"/>
      <c r="BD2305" s="38"/>
      <c r="BE2305" s="38"/>
      <c r="BF2305" s="38"/>
      <c r="BG2305" s="38"/>
      <c r="BH2305" s="38"/>
      <c r="BI2305" s="38"/>
      <c r="BJ2305" s="38"/>
      <c r="BK2305" s="38"/>
      <c r="BL2305" s="38"/>
      <c r="BM2305" s="38"/>
      <c r="BN2305" s="38"/>
      <c r="BO2305" s="38"/>
      <c r="BP2305" s="38"/>
      <c r="BQ2305" s="38"/>
      <c r="BR2305" s="38"/>
      <c r="BS2305" s="38"/>
      <c r="BT2305" s="38"/>
      <c r="BU2305" s="38"/>
      <c r="BV2305" s="38"/>
      <c r="BW2305" s="38"/>
      <c r="BX2305" s="38"/>
      <c r="BY2305" s="38"/>
      <c r="BZ2305" s="38"/>
      <c r="CA2305" s="38"/>
      <c r="CB2305" s="38"/>
      <c r="CC2305" s="38"/>
      <c r="CD2305" s="38"/>
      <c r="CE2305" s="38"/>
      <c r="CF2305" s="38"/>
      <c r="CG2305" s="38"/>
      <c r="CH2305" s="38"/>
      <c r="CI2305" s="38"/>
      <c r="CJ2305" s="38"/>
      <c r="CK2305" s="38"/>
      <c r="CL2305" s="38"/>
      <c r="CM2305" s="38"/>
      <c r="CN2305" s="38"/>
      <c r="CO2305" s="38"/>
      <c r="CP2305" s="38"/>
      <c r="CQ2305" s="38"/>
      <c r="CR2305" s="38"/>
      <c r="CS2305" s="38"/>
      <c r="CT2305" s="38"/>
      <c r="CU2305" s="38"/>
      <c r="CV2305" s="38"/>
      <c r="CW2305" s="38"/>
      <c r="CX2305" s="38"/>
      <c r="CY2305" s="38"/>
      <c r="CZ2305" s="38"/>
      <c r="DA2305" s="38"/>
      <c r="DB2305" s="38"/>
      <c r="DC2305" s="38"/>
      <c r="DD2305" s="38"/>
      <c r="DE2305" s="38"/>
      <c r="DF2305" s="38"/>
      <c r="DG2305" s="38"/>
      <c r="DH2305" s="38"/>
      <c r="DI2305" s="38"/>
      <c r="DJ2305" s="38"/>
      <c r="DK2305" s="38"/>
      <c r="DL2305" s="38"/>
      <c r="DM2305" s="38"/>
      <c r="DN2305" s="38"/>
      <c r="DO2305" s="38"/>
      <c r="DP2305" s="38"/>
      <c r="DQ2305" s="38"/>
      <c r="DR2305" s="38"/>
      <c r="DS2305" s="38"/>
      <c r="DT2305" s="38"/>
      <c r="DU2305" s="38"/>
      <c r="DV2305" s="38"/>
      <c r="DW2305" s="38"/>
      <c r="DX2305" s="38"/>
      <c r="DY2305" s="38"/>
      <c r="DZ2305" s="38"/>
      <c r="EA2305" s="38"/>
      <c r="EB2305" s="38"/>
      <c r="EC2305" s="38"/>
      <c r="ED2305" s="38"/>
      <c r="EE2305" s="38"/>
      <c r="EF2305" s="38"/>
      <c r="EG2305" s="38"/>
      <c r="EH2305" s="38"/>
      <c r="EI2305" s="38"/>
      <c r="EJ2305" s="38"/>
      <c r="EK2305" s="38"/>
      <c r="EL2305" s="38"/>
      <c r="EM2305" s="38"/>
      <c r="EN2305" s="38"/>
      <c r="EO2305" s="38"/>
      <c r="EP2305" s="38"/>
      <c r="EQ2305" s="38"/>
      <c r="ER2305" s="38"/>
      <c r="ES2305" s="38"/>
      <c r="ET2305" s="38"/>
      <c r="EU2305" s="38"/>
      <c r="EV2305" s="38"/>
      <c r="EW2305" s="38"/>
      <c r="EX2305" s="38"/>
      <c r="EY2305" s="38"/>
      <c r="EZ2305" s="38"/>
      <c r="FA2305" s="38"/>
      <c r="FB2305" s="38"/>
      <c r="FC2305" s="38"/>
      <c r="FD2305" s="38"/>
      <c r="FE2305" s="38"/>
      <c r="FF2305" s="38"/>
      <c r="FG2305" s="38"/>
      <c r="FH2305" s="38"/>
      <c r="FI2305" s="38"/>
      <c r="FJ2305" s="38"/>
      <c r="FK2305" s="38"/>
      <c r="FL2305" s="38"/>
      <c r="FM2305" s="38"/>
      <c r="FN2305" s="38"/>
      <c r="FO2305" s="38"/>
      <c r="FP2305" s="38"/>
      <c r="FQ2305" s="38"/>
      <c r="FR2305" s="38"/>
      <c r="FS2305" s="38"/>
      <c r="FT2305" s="38"/>
      <c r="FU2305" s="38"/>
      <c r="FV2305" s="38"/>
      <c r="FW2305" s="38"/>
      <c r="FX2305" s="38"/>
      <c r="FY2305" s="38"/>
      <c r="FZ2305" s="38"/>
      <c r="GA2305" s="38"/>
      <c r="GB2305" s="38"/>
      <c r="GC2305" s="38"/>
      <c r="GD2305" s="38"/>
      <c r="GE2305" s="38"/>
      <c r="GF2305" s="38"/>
      <c r="GG2305" s="38"/>
      <c r="GH2305" s="38"/>
      <c r="GI2305" s="38"/>
      <c r="GJ2305" s="38"/>
      <c r="GK2305" s="38"/>
      <c r="GL2305" s="38"/>
      <c r="GM2305" s="38"/>
      <c r="GN2305" s="38"/>
      <c r="GO2305" s="38"/>
      <c r="GP2305" s="38"/>
      <c r="GQ2305" s="38"/>
      <c r="GR2305" s="38"/>
      <c r="GS2305" s="38"/>
      <c r="GT2305" s="38"/>
      <c r="GU2305" s="38"/>
      <c r="GV2305" s="38"/>
      <c r="GW2305" s="38"/>
      <c r="GX2305" s="38"/>
      <c r="GY2305" s="38"/>
      <c r="GZ2305" s="38"/>
      <c r="HA2305" s="38"/>
      <c r="HB2305" s="38"/>
      <c r="HC2305" s="38"/>
      <c r="HD2305" s="38"/>
      <c r="HE2305" s="38"/>
      <c r="HF2305" s="38"/>
      <c r="HG2305" s="38"/>
      <c r="HH2305" s="38"/>
      <c r="HI2305" s="38"/>
      <c r="HJ2305" s="38"/>
      <c r="HK2305" s="38"/>
      <c r="HL2305" s="38"/>
      <c r="HM2305" s="38"/>
      <c r="HN2305" s="38"/>
      <c r="HO2305" s="38"/>
      <c r="HP2305" s="38"/>
      <c r="HQ2305" s="38"/>
      <c r="HR2305" s="38"/>
      <c r="HS2305" s="38"/>
      <c r="HT2305" s="38"/>
      <c r="HU2305" s="38"/>
      <c r="HV2305" s="38"/>
      <c r="HW2305" s="38"/>
      <c r="HX2305" s="38"/>
      <c r="HY2305" s="38"/>
      <c r="HZ2305" s="38"/>
      <c r="IA2305" s="38"/>
      <c r="IB2305" s="38"/>
      <c r="IC2305" s="38"/>
      <c r="ID2305" s="38"/>
      <c r="IE2305" s="38"/>
      <c r="IF2305" s="38"/>
      <c r="IG2305" s="38"/>
      <c r="IH2305" s="38"/>
      <c r="II2305" s="38"/>
      <c r="IJ2305" s="38"/>
      <c r="IK2305" s="38"/>
      <c r="IL2305" s="38"/>
      <c r="IM2305" s="38"/>
      <c r="IN2305" s="38"/>
      <c r="IO2305" s="38"/>
      <c r="IP2305" s="38"/>
      <c r="IQ2305" s="38"/>
      <c r="IR2305" s="38"/>
      <c r="IS2305" s="38"/>
      <c r="IT2305" s="38"/>
      <c r="IU2305" s="38"/>
      <c r="IV2305" s="38"/>
      <c r="IW2305" s="38"/>
      <c r="IX2305" s="38"/>
      <c r="IY2305" s="38"/>
      <c r="IZ2305" s="38"/>
      <c r="JA2305" s="38"/>
      <c r="JB2305" s="38"/>
      <c r="JC2305" s="38"/>
      <c r="JD2305" s="38"/>
      <c r="JE2305" s="38"/>
      <c r="JF2305" s="38"/>
      <c r="JG2305" s="38"/>
      <c r="JH2305" s="38"/>
      <c r="JI2305" s="38"/>
      <c r="JJ2305" s="38"/>
      <c r="JK2305" s="38"/>
      <c r="JL2305" s="38"/>
      <c r="JM2305" s="38"/>
      <c r="JN2305" s="38"/>
      <c r="JO2305" s="38"/>
      <c r="JP2305" s="38"/>
      <c r="JQ2305" s="38"/>
      <c r="JR2305" s="38"/>
      <c r="JS2305" s="38"/>
      <c r="JT2305" s="38"/>
      <c r="JU2305" s="38"/>
      <c r="JV2305" s="38"/>
      <c r="JW2305" s="38"/>
      <c r="JX2305" s="38"/>
      <c r="JY2305" s="38"/>
      <c r="JZ2305" s="38"/>
      <c r="KA2305" s="38"/>
      <c r="KB2305" s="38"/>
      <c r="KC2305" s="38"/>
      <c r="KD2305" s="38"/>
      <c r="KE2305" s="38"/>
      <c r="KF2305" s="38"/>
      <c r="KG2305" s="38"/>
      <c r="KH2305" s="38"/>
      <c r="KI2305" s="38"/>
      <c r="KJ2305" s="38"/>
      <c r="KK2305" s="38"/>
      <c r="KL2305" s="38"/>
      <c r="KM2305" s="38"/>
      <c r="KN2305" s="38"/>
      <c r="KO2305" s="38"/>
      <c r="KP2305" s="38"/>
      <c r="KQ2305" s="38"/>
      <c r="KR2305" s="38"/>
      <c r="KS2305" s="38"/>
      <c r="KT2305" s="38"/>
      <c r="KU2305" s="38"/>
      <c r="KV2305" s="38"/>
      <c r="KW2305" s="38"/>
      <c r="KX2305" s="38"/>
      <c r="KY2305" s="38"/>
      <c r="KZ2305" s="38"/>
      <c r="LA2305" s="38"/>
      <c r="LB2305" s="38"/>
      <c r="LC2305" s="38"/>
      <c r="LD2305" s="38"/>
      <c r="LE2305" s="38"/>
      <c r="LF2305" s="38"/>
      <c r="LG2305" s="38"/>
      <c r="LH2305" s="38"/>
      <c r="LI2305" s="38"/>
      <c r="LJ2305" s="38"/>
      <c r="LK2305" s="38"/>
      <c r="LL2305" s="38"/>
      <c r="LM2305" s="38"/>
      <c r="LN2305" s="38"/>
      <c r="LO2305" s="38"/>
      <c r="LP2305" s="38"/>
      <c r="LQ2305" s="38"/>
      <c r="LR2305" s="38"/>
      <c r="LS2305" s="38"/>
      <c r="LT2305" s="38"/>
      <c r="LU2305" s="38"/>
      <c r="LV2305" s="38"/>
      <c r="LW2305" s="38"/>
      <c r="LX2305" s="38"/>
      <c r="LY2305" s="38"/>
      <c r="LZ2305" s="38"/>
      <c r="MA2305" s="38"/>
      <c r="MB2305" s="38"/>
      <c r="MC2305" s="38"/>
      <c r="MD2305" s="38"/>
      <c r="ME2305" s="38"/>
      <c r="MF2305" s="38"/>
      <c r="MG2305" s="38"/>
      <c r="MH2305" s="38"/>
      <c r="MI2305" s="38"/>
      <c r="MJ2305" s="38"/>
      <c r="MK2305" s="38"/>
      <c r="ML2305" s="38"/>
      <c r="MM2305" s="38"/>
      <c r="MN2305" s="38"/>
      <c r="MO2305" s="38"/>
      <c r="MP2305" s="38"/>
      <c r="MQ2305" s="38"/>
      <c r="MR2305" s="38"/>
      <c r="MS2305" s="38"/>
      <c r="MT2305" s="38"/>
      <c r="MU2305" s="38"/>
      <c r="MV2305" s="38"/>
      <c r="MW2305" s="38"/>
      <c r="MX2305" s="38"/>
      <c r="MY2305" s="38"/>
      <c r="MZ2305" s="38"/>
      <c r="NA2305" s="38"/>
      <c r="NB2305" s="38"/>
      <c r="NC2305" s="38"/>
      <c r="ND2305" s="38"/>
      <c r="NE2305" s="38"/>
      <c r="NF2305" s="38"/>
      <c r="NG2305" s="38"/>
      <c r="NH2305" s="38"/>
      <c r="NI2305" s="38"/>
      <c r="NJ2305" s="38"/>
      <c r="NK2305" s="38"/>
      <c r="NL2305" s="38"/>
      <c r="NM2305" s="38"/>
      <c r="NN2305" s="38"/>
      <c r="NO2305" s="38"/>
      <c r="NP2305" s="38"/>
      <c r="NQ2305" s="38"/>
      <c r="NR2305" s="38"/>
      <c r="NS2305" s="38"/>
      <c r="NT2305" s="38"/>
      <c r="NU2305" s="38"/>
      <c r="NV2305" s="38"/>
      <c r="NW2305" s="38"/>
      <c r="NX2305" s="38"/>
      <c r="NY2305" s="38"/>
      <c r="NZ2305" s="38"/>
      <c r="OA2305" s="38"/>
      <c r="OB2305" s="38"/>
      <c r="OC2305" s="38"/>
      <c r="OD2305" s="38"/>
      <c r="OE2305" s="38"/>
      <c r="OF2305" s="38"/>
      <c r="OG2305" s="38"/>
      <c r="OH2305" s="38"/>
      <c r="OI2305" s="38"/>
      <c r="OJ2305" s="38"/>
      <c r="OK2305" s="38"/>
      <c r="OL2305" s="38"/>
      <c r="OM2305" s="38"/>
      <c r="ON2305" s="38"/>
      <c r="OO2305" s="38"/>
      <c r="OP2305" s="38"/>
      <c r="OQ2305" s="38"/>
      <c r="OR2305" s="38"/>
      <c r="OS2305" s="38"/>
      <c r="OT2305" s="38"/>
      <c r="OU2305" s="38"/>
      <c r="OV2305" s="38"/>
      <c r="OW2305" s="38"/>
      <c r="OX2305" s="38"/>
      <c r="OY2305" s="38"/>
      <c r="OZ2305" s="38"/>
      <c r="PA2305" s="38"/>
      <c r="PB2305" s="38"/>
      <c r="PC2305" s="38"/>
      <c r="PD2305" s="38"/>
      <c r="PE2305" s="38"/>
      <c r="PF2305" s="38"/>
      <c r="PG2305" s="38"/>
      <c r="PH2305" s="38"/>
      <c r="PI2305" s="38"/>
      <c r="PJ2305" s="38"/>
      <c r="PK2305" s="38"/>
      <c r="PL2305" s="38"/>
      <c r="PM2305" s="38"/>
      <c r="PN2305" s="38"/>
      <c r="PO2305" s="38"/>
      <c r="PP2305" s="38"/>
      <c r="PQ2305" s="38"/>
      <c r="PR2305" s="38"/>
      <c r="PS2305" s="38"/>
      <c r="PT2305" s="38"/>
      <c r="PU2305" s="38"/>
      <c r="PV2305" s="38"/>
      <c r="PW2305" s="38"/>
      <c r="PX2305" s="38"/>
      <c r="PY2305" s="38"/>
      <c r="PZ2305" s="38"/>
      <c r="QA2305" s="38"/>
      <c r="QB2305" s="38"/>
      <c r="QC2305" s="38"/>
      <c r="QD2305" s="38"/>
      <c r="QE2305" s="38"/>
      <c r="QF2305" s="38"/>
      <c r="QG2305" s="38"/>
      <c r="QH2305" s="38"/>
      <c r="QI2305" s="38"/>
      <c r="QJ2305" s="38"/>
      <c r="QK2305" s="38"/>
      <c r="QL2305" s="38"/>
      <c r="QM2305" s="38"/>
      <c r="QN2305" s="38"/>
      <c r="QO2305" s="38"/>
      <c r="QP2305" s="38"/>
      <c r="QQ2305" s="38"/>
      <c r="QR2305" s="38"/>
      <c r="QS2305" s="38"/>
      <c r="QT2305" s="38"/>
      <c r="QU2305" s="38"/>
      <c r="QV2305" s="38"/>
      <c r="QW2305" s="38"/>
      <c r="QX2305" s="38"/>
      <c r="QY2305" s="38"/>
      <c r="QZ2305" s="38"/>
      <c r="RA2305" s="38"/>
      <c r="RB2305" s="38"/>
      <c r="RC2305" s="38"/>
      <c r="RD2305" s="38"/>
      <c r="RE2305" s="38"/>
      <c r="RF2305" s="38"/>
      <c r="RG2305" s="38"/>
      <c r="RH2305" s="38"/>
      <c r="RI2305" s="38"/>
      <c r="RJ2305" s="38"/>
      <c r="RK2305" s="38"/>
      <c r="RL2305" s="38"/>
      <c r="RM2305" s="38"/>
      <c r="RN2305" s="38"/>
      <c r="RO2305" s="38"/>
      <c r="RP2305" s="38"/>
      <c r="RQ2305" s="38"/>
      <c r="RR2305" s="38"/>
      <c r="RS2305" s="38"/>
      <c r="RT2305" s="38"/>
      <c r="RU2305" s="38"/>
      <c r="RV2305" s="38"/>
      <c r="RW2305" s="38"/>
      <c r="RX2305" s="38"/>
      <c r="RY2305" s="38"/>
      <c r="RZ2305" s="38"/>
      <c r="SA2305" s="38"/>
      <c r="SB2305" s="38"/>
      <c r="SC2305" s="38"/>
      <c r="SD2305" s="38"/>
      <c r="SE2305" s="38"/>
      <c r="SF2305" s="38"/>
      <c r="SG2305" s="38"/>
      <c r="SH2305" s="38"/>
      <c r="SI2305" s="38"/>
      <c r="SJ2305" s="38"/>
      <c r="SK2305" s="38"/>
      <c r="SL2305" s="38"/>
      <c r="SM2305" s="38"/>
      <c r="SN2305" s="38"/>
      <c r="SO2305" s="38"/>
      <c r="SP2305" s="38"/>
      <c r="SQ2305" s="38"/>
      <c r="SR2305" s="38"/>
      <c r="SS2305" s="38"/>
      <c r="ST2305" s="38"/>
      <c r="SU2305" s="38"/>
      <c r="SV2305" s="38"/>
      <c r="SW2305" s="38"/>
      <c r="SX2305" s="38"/>
      <c r="SY2305" s="38"/>
      <c r="SZ2305" s="38"/>
      <c r="TA2305" s="38"/>
      <c r="TB2305" s="38"/>
      <c r="TC2305" s="38"/>
      <c r="TD2305" s="38"/>
      <c r="TE2305" s="38"/>
      <c r="TF2305" s="38"/>
      <c r="TG2305" s="38"/>
      <c r="TH2305" s="38"/>
      <c r="TI2305" s="38"/>
      <c r="TJ2305" s="38"/>
      <c r="TK2305" s="38"/>
      <c r="TL2305" s="38"/>
      <c r="TM2305" s="38"/>
      <c r="TN2305" s="38"/>
      <c r="TO2305" s="38"/>
      <c r="TP2305" s="38"/>
      <c r="TQ2305" s="38"/>
      <c r="TR2305" s="38"/>
      <c r="TS2305" s="38"/>
      <c r="TT2305" s="38"/>
      <c r="TU2305" s="38"/>
      <c r="TV2305" s="38"/>
      <c r="TW2305" s="38"/>
      <c r="TX2305" s="38"/>
      <c r="TY2305" s="38"/>
      <c r="TZ2305" s="38"/>
      <c r="UA2305" s="38"/>
      <c r="UB2305" s="38"/>
      <c r="UC2305" s="38"/>
      <c r="UD2305" s="38"/>
      <c r="UE2305" s="38"/>
      <c r="UF2305" s="38"/>
      <c r="UG2305" s="38"/>
      <c r="UH2305" s="38"/>
      <c r="UI2305" s="38"/>
      <c r="UJ2305" s="38"/>
      <c r="UK2305" s="38"/>
      <c r="UL2305" s="38"/>
      <c r="UM2305" s="38"/>
      <c r="UN2305" s="38"/>
      <c r="UO2305" s="38"/>
      <c r="UP2305" s="38"/>
      <c r="UQ2305" s="38"/>
      <c r="UR2305" s="38"/>
      <c r="US2305" s="38"/>
      <c r="UT2305" s="38"/>
      <c r="UU2305" s="38"/>
      <c r="UV2305" s="38"/>
      <c r="UW2305" s="38"/>
      <c r="UX2305" s="38"/>
      <c r="UY2305" s="38"/>
      <c r="UZ2305" s="38"/>
      <c r="VA2305" s="38"/>
      <c r="VB2305" s="38"/>
      <c r="VC2305" s="38"/>
      <c r="VD2305" s="38"/>
      <c r="VE2305" s="38"/>
      <c r="VF2305" s="38"/>
      <c r="VG2305" s="38"/>
      <c r="VH2305" s="38"/>
      <c r="VI2305" s="38"/>
      <c r="VJ2305" s="38"/>
      <c r="VK2305" s="38"/>
      <c r="VL2305" s="38"/>
      <c r="VM2305" s="38"/>
      <c r="VN2305" s="38"/>
      <c r="VO2305" s="38"/>
      <c r="VP2305" s="38"/>
      <c r="VQ2305" s="38"/>
      <c r="VR2305" s="38"/>
      <c r="VS2305" s="38"/>
      <c r="VT2305" s="38"/>
      <c r="VU2305" s="38"/>
      <c r="VV2305" s="38"/>
      <c r="VW2305" s="38"/>
      <c r="VX2305" s="38"/>
      <c r="VY2305" s="38"/>
      <c r="VZ2305" s="38"/>
      <c r="WA2305" s="38"/>
      <c r="WB2305" s="38"/>
      <c r="WC2305" s="38"/>
      <c r="WD2305" s="38"/>
      <c r="WE2305" s="38"/>
      <c r="WF2305" s="38"/>
      <c r="WG2305" s="38"/>
      <c r="WH2305" s="38"/>
      <c r="WI2305" s="38"/>
      <c r="WJ2305" s="38"/>
      <c r="WK2305" s="38"/>
      <c r="WL2305" s="38"/>
      <c r="WM2305" s="38"/>
      <c r="WN2305" s="38"/>
      <c r="WO2305" s="38"/>
      <c r="WP2305" s="38"/>
      <c r="WQ2305" s="38"/>
      <c r="WR2305" s="38"/>
      <c r="WS2305" s="38"/>
      <c r="WT2305" s="38"/>
      <c r="WU2305" s="38"/>
      <c r="WV2305" s="38"/>
      <c r="WW2305" s="38"/>
      <c r="WX2305" s="38"/>
      <c r="WY2305" s="38"/>
      <c r="WZ2305" s="38"/>
      <c r="XA2305" s="38"/>
      <c r="XB2305" s="38"/>
      <c r="XC2305" s="38"/>
      <c r="XD2305" s="38"/>
      <c r="XE2305" s="38"/>
      <c r="XF2305" s="38"/>
      <c r="XG2305" s="38"/>
      <c r="XH2305" s="38"/>
      <c r="XI2305" s="38"/>
      <c r="XJ2305" s="38"/>
      <c r="XK2305" s="38"/>
      <c r="XL2305" s="38"/>
      <c r="XM2305" s="38"/>
      <c r="XN2305" s="38"/>
      <c r="XO2305" s="38"/>
      <c r="XP2305" s="38"/>
      <c r="XQ2305" s="38"/>
      <c r="XR2305" s="38"/>
      <c r="XS2305" s="38"/>
      <c r="XT2305" s="38"/>
      <c r="XU2305" s="38"/>
      <c r="XV2305" s="38"/>
      <c r="XW2305" s="38"/>
      <c r="XX2305" s="38"/>
      <c r="XY2305" s="38"/>
      <c r="XZ2305" s="38"/>
      <c r="YA2305" s="38"/>
      <c r="YB2305" s="38"/>
      <c r="YC2305" s="38"/>
      <c r="YD2305" s="38"/>
      <c r="YE2305" s="38"/>
      <c r="YF2305" s="38"/>
      <c r="YG2305" s="38"/>
      <c r="YH2305" s="38"/>
      <c r="YI2305" s="38"/>
      <c r="YJ2305" s="38"/>
      <c r="YK2305" s="38"/>
      <c r="YL2305" s="38"/>
      <c r="YM2305" s="38"/>
      <c r="YN2305" s="38"/>
      <c r="YO2305" s="38"/>
      <c r="YP2305" s="38"/>
      <c r="YQ2305" s="38"/>
      <c r="YR2305" s="38"/>
      <c r="YS2305" s="38"/>
      <c r="YT2305" s="38"/>
      <c r="YU2305" s="38"/>
      <c r="YV2305" s="38"/>
      <c r="YW2305" s="38"/>
      <c r="YX2305" s="38"/>
      <c r="YY2305" s="38"/>
      <c r="YZ2305" s="38"/>
      <c r="ZA2305" s="38"/>
      <c r="ZB2305" s="38"/>
      <c r="ZC2305" s="38"/>
      <c r="ZD2305" s="38"/>
      <c r="ZE2305" s="38"/>
      <c r="ZF2305" s="38"/>
      <c r="ZG2305" s="38"/>
      <c r="ZH2305" s="38"/>
      <c r="ZI2305" s="38"/>
      <c r="ZJ2305" s="38"/>
      <c r="ZK2305" s="38"/>
      <c r="ZL2305" s="38"/>
      <c r="ZM2305" s="38"/>
      <c r="ZN2305" s="38"/>
      <c r="ZO2305" s="38"/>
      <c r="ZP2305" s="38"/>
      <c r="ZQ2305" s="38"/>
      <c r="ZR2305" s="38"/>
      <c r="ZS2305" s="38"/>
      <c r="ZT2305" s="38"/>
      <c r="ZU2305" s="38"/>
      <c r="ZV2305" s="38"/>
      <c r="ZW2305" s="38"/>
      <c r="ZX2305" s="38"/>
      <c r="ZY2305" s="38"/>
      <c r="ZZ2305" s="38"/>
      <c r="AAA2305" s="38"/>
      <c r="AAB2305" s="38"/>
      <c r="AAC2305" s="38"/>
      <c r="AAD2305" s="38"/>
      <c r="AAE2305" s="38"/>
      <c r="AAF2305" s="38"/>
      <c r="AAG2305" s="38"/>
      <c r="AAH2305" s="38"/>
      <c r="AAI2305" s="38"/>
      <c r="AAJ2305" s="38"/>
      <c r="AAK2305" s="38"/>
      <c r="AAL2305" s="38"/>
      <c r="AAM2305" s="38"/>
      <c r="AAN2305" s="38"/>
      <c r="AAO2305" s="38"/>
      <c r="AAP2305" s="38"/>
      <c r="AAQ2305" s="38"/>
      <c r="AAR2305" s="38"/>
      <c r="AAS2305" s="38"/>
      <c r="AAT2305" s="38"/>
      <c r="AAU2305" s="38"/>
      <c r="AAV2305" s="38"/>
      <c r="AAW2305" s="38"/>
      <c r="AAX2305" s="38"/>
      <c r="AAY2305" s="38"/>
      <c r="AAZ2305" s="38"/>
      <c r="ABA2305" s="38"/>
      <c r="ABB2305" s="38"/>
      <c r="ABC2305" s="38"/>
      <c r="ABD2305" s="38"/>
      <c r="ABE2305" s="38"/>
      <c r="ABF2305" s="38"/>
      <c r="ABG2305" s="38"/>
      <c r="ABH2305" s="38"/>
      <c r="ABI2305" s="38"/>
      <c r="ABJ2305" s="38"/>
      <c r="ABK2305" s="38"/>
      <c r="ABL2305" s="38"/>
      <c r="ABM2305" s="38"/>
      <c r="ABN2305" s="38"/>
      <c r="ABO2305" s="38"/>
      <c r="ABP2305" s="38"/>
      <c r="ABQ2305" s="38"/>
      <c r="ABR2305" s="38"/>
      <c r="ABS2305" s="38"/>
      <c r="ABT2305" s="38"/>
      <c r="ABU2305" s="38"/>
      <c r="ABV2305" s="38"/>
      <c r="ABW2305" s="38"/>
      <c r="ABX2305" s="38"/>
      <c r="ABY2305" s="38"/>
      <c r="ABZ2305" s="38"/>
      <c r="ACA2305" s="38"/>
      <c r="ACB2305" s="38"/>
      <c r="ACC2305" s="38"/>
      <c r="ACD2305" s="38"/>
      <c r="ACE2305" s="38"/>
      <c r="ACF2305" s="38"/>
      <c r="ACG2305" s="38"/>
      <c r="ACH2305" s="38"/>
      <c r="ACI2305" s="38"/>
      <c r="ACJ2305" s="38"/>
      <c r="ACK2305" s="38"/>
      <c r="ACL2305" s="38"/>
      <c r="ACM2305" s="38"/>
      <c r="ACN2305" s="38"/>
      <c r="ACO2305" s="38"/>
      <c r="ACP2305" s="38"/>
      <c r="ACQ2305" s="38"/>
      <c r="ACR2305" s="38"/>
      <c r="ACS2305" s="38"/>
      <c r="ACT2305" s="38"/>
      <c r="ACU2305" s="38"/>
      <c r="ACV2305" s="38"/>
      <c r="ACW2305" s="38"/>
      <c r="ACX2305" s="38"/>
      <c r="ACY2305" s="38"/>
      <c r="ACZ2305" s="38"/>
      <c r="ADA2305" s="38"/>
      <c r="ADB2305" s="38"/>
      <c r="ADC2305" s="38"/>
      <c r="ADD2305" s="38"/>
      <c r="ADE2305" s="38"/>
      <c r="ADF2305" s="38"/>
      <c r="ADG2305" s="38"/>
      <c r="ADH2305" s="38"/>
      <c r="ADI2305" s="38"/>
      <c r="ADJ2305" s="38"/>
      <c r="ADK2305" s="38"/>
      <c r="ADL2305" s="38"/>
      <c r="ADM2305" s="38"/>
      <c r="ADN2305" s="38"/>
      <c r="ADO2305" s="38"/>
      <c r="ADP2305" s="38"/>
      <c r="ADQ2305" s="38"/>
      <c r="ADR2305" s="38"/>
      <c r="ADS2305" s="38"/>
      <c r="ADT2305" s="38"/>
      <c r="ADU2305" s="38"/>
      <c r="ADV2305" s="38"/>
      <c r="ADW2305" s="38"/>
      <c r="ADX2305" s="38"/>
      <c r="ADY2305" s="38"/>
      <c r="ADZ2305" s="38"/>
      <c r="AEA2305" s="38"/>
      <c r="AEB2305" s="38"/>
      <c r="AEC2305" s="38"/>
      <c r="AED2305" s="38"/>
      <c r="AEE2305" s="38"/>
      <c r="AEF2305" s="38"/>
      <c r="AEG2305" s="38"/>
      <c r="AEH2305" s="38"/>
      <c r="AEI2305" s="38"/>
      <c r="AEJ2305" s="38"/>
      <c r="AEK2305" s="38"/>
      <c r="AEL2305" s="38"/>
      <c r="AEM2305" s="38"/>
      <c r="AEN2305" s="38"/>
      <c r="AEO2305" s="38"/>
      <c r="AEP2305" s="38"/>
      <c r="AEQ2305" s="38"/>
      <c r="AER2305" s="38"/>
      <c r="AES2305" s="38"/>
      <c r="AET2305" s="38"/>
      <c r="AEU2305" s="38"/>
      <c r="AEV2305" s="38"/>
      <c r="AEW2305" s="38"/>
      <c r="AEX2305" s="38"/>
      <c r="AEY2305" s="38"/>
      <c r="AEZ2305" s="38"/>
      <c r="AFA2305" s="38"/>
      <c r="AFB2305" s="38"/>
      <c r="AFC2305" s="38"/>
      <c r="AFD2305" s="38"/>
      <c r="AFE2305" s="38"/>
      <c r="AFF2305" s="38"/>
      <c r="AFG2305" s="38"/>
      <c r="AFH2305" s="38"/>
      <c r="AFI2305" s="38"/>
      <c r="AFJ2305" s="38"/>
      <c r="AFK2305" s="38"/>
      <c r="AFL2305" s="38"/>
      <c r="AFM2305" s="38"/>
      <c r="AFN2305" s="38"/>
      <c r="AFO2305" s="38"/>
      <c r="AFP2305" s="38"/>
      <c r="AFQ2305" s="38"/>
      <c r="AFR2305" s="38"/>
      <c r="AFS2305" s="38"/>
      <c r="AFT2305" s="38"/>
      <c r="AFU2305" s="38"/>
      <c r="AFV2305" s="38"/>
      <c r="AFW2305" s="38"/>
      <c r="AFX2305" s="38"/>
      <c r="AFY2305" s="38"/>
      <c r="AFZ2305" s="38"/>
      <c r="AGA2305" s="38"/>
      <c r="AGB2305" s="38"/>
      <c r="AGC2305" s="38"/>
      <c r="AGD2305" s="38"/>
      <c r="AGE2305" s="38"/>
      <c r="AGF2305" s="38"/>
      <c r="AGG2305" s="38"/>
      <c r="AGH2305" s="38"/>
      <c r="AGI2305" s="38"/>
      <c r="AGJ2305" s="38"/>
      <c r="AGK2305" s="38"/>
      <c r="AGL2305" s="38"/>
      <c r="AGM2305" s="38"/>
      <c r="AGN2305" s="38"/>
      <c r="AGO2305" s="38"/>
      <c r="AGP2305" s="38"/>
      <c r="AGQ2305" s="38"/>
      <c r="AGR2305" s="38"/>
      <c r="AGS2305" s="38"/>
      <c r="AGT2305" s="38"/>
      <c r="AGU2305" s="38"/>
      <c r="AGV2305" s="38"/>
      <c r="AGW2305" s="38"/>
      <c r="AGX2305" s="38"/>
      <c r="AGY2305" s="38"/>
      <c r="AGZ2305" s="38"/>
      <c r="AHA2305" s="38"/>
      <c r="AHB2305" s="38"/>
      <c r="AHC2305" s="38"/>
      <c r="AHD2305" s="38"/>
      <c r="AHE2305" s="38"/>
      <c r="AHF2305" s="38"/>
      <c r="AHG2305" s="38"/>
      <c r="AHH2305" s="38"/>
      <c r="AHI2305" s="38"/>
      <c r="AHJ2305" s="38"/>
      <c r="AHK2305" s="38"/>
      <c r="AHL2305" s="38"/>
      <c r="AHM2305" s="38"/>
      <c r="AHN2305" s="38"/>
      <c r="AHO2305" s="38"/>
      <c r="AHP2305" s="38"/>
      <c r="AHQ2305" s="38"/>
      <c r="AHR2305" s="38"/>
      <c r="AHS2305" s="38"/>
      <c r="AHT2305" s="38"/>
      <c r="AHU2305" s="38"/>
      <c r="AHV2305" s="38"/>
      <c r="AHW2305" s="38"/>
      <c r="AHX2305" s="38"/>
      <c r="AHY2305" s="38"/>
      <c r="AHZ2305" s="38"/>
      <c r="AIA2305" s="38"/>
      <c r="AIB2305" s="38"/>
      <c r="AIC2305" s="38"/>
      <c r="AID2305" s="38"/>
      <c r="AIE2305" s="38"/>
      <c r="AIF2305" s="38"/>
      <c r="AIG2305" s="38"/>
      <c r="AIH2305" s="38"/>
      <c r="AII2305" s="38"/>
      <c r="AIJ2305" s="38"/>
      <c r="AIK2305" s="38"/>
      <c r="AIL2305" s="38"/>
      <c r="AIM2305" s="38"/>
      <c r="AIN2305" s="38"/>
      <c r="AIO2305" s="38"/>
      <c r="AIP2305" s="38"/>
      <c r="AIQ2305" s="38"/>
      <c r="AIR2305" s="38"/>
      <c r="AIS2305" s="38"/>
      <c r="AIT2305" s="38"/>
      <c r="AIU2305" s="38"/>
      <c r="AIV2305" s="38"/>
      <c r="AIW2305" s="38"/>
      <c r="AIX2305" s="38"/>
      <c r="AIY2305" s="38"/>
      <c r="AIZ2305" s="38"/>
      <c r="AJA2305" s="38"/>
      <c r="AJB2305" s="38"/>
      <c r="AJC2305" s="38"/>
      <c r="AJD2305" s="38"/>
      <c r="AJE2305" s="38"/>
      <c r="AJF2305" s="38"/>
      <c r="AJG2305" s="38"/>
      <c r="AJH2305" s="38"/>
      <c r="AJI2305" s="38"/>
      <c r="AJJ2305" s="38"/>
      <c r="AJK2305" s="38"/>
      <c r="AJL2305" s="38"/>
      <c r="AJM2305" s="38"/>
      <c r="AJN2305" s="38"/>
      <c r="AJO2305" s="38"/>
      <c r="AJP2305" s="38"/>
      <c r="AJQ2305" s="38"/>
      <c r="AJR2305" s="38"/>
      <c r="AJS2305" s="38"/>
      <c r="AJT2305" s="38"/>
      <c r="AJU2305" s="38"/>
      <c r="AJV2305" s="38"/>
      <c r="AJW2305" s="38"/>
      <c r="AJX2305" s="38"/>
      <c r="AJY2305" s="38"/>
      <c r="AJZ2305" s="38"/>
      <c r="AKA2305" s="38"/>
      <c r="AKB2305" s="38"/>
      <c r="AKC2305" s="38"/>
      <c r="AKD2305" s="38"/>
      <c r="AKE2305" s="38"/>
      <c r="AKF2305" s="38"/>
      <c r="AKG2305" s="38"/>
      <c r="AKH2305" s="38"/>
      <c r="AKI2305" s="38"/>
      <c r="AKJ2305" s="38"/>
      <c r="AKK2305" s="38"/>
      <c r="AKL2305" s="38"/>
      <c r="AKM2305" s="38"/>
      <c r="AKN2305" s="38"/>
      <c r="AKO2305" s="38"/>
      <c r="AKP2305" s="38"/>
      <c r="AKQ2305" s="38"/>
      <c r="AKR2305" s="38"/>
      <c r="AKS2305" s="38"/>
      <c r="AKT2305" s="38"/>
      <c r="AKU2305" s="38"/>
      <c r="AKV2305" s="38"/>
      <c r="AKW2305" s="38"/>
      <c r="AKX2305" s="38"/>
      <c r="AKY2305" s="38"/>
      <c r="AKZ2305" s="38"/>
      <c r="ALA2305" s="38"/>
      <c r="ALB2305" s="38"/>
      <c r="ALC2305" s="38"/>
      <c r="ALD2305" s="38"/>
      <c r="ALE2305" s="38"/>
      <c r="ALF2305" s="38"/>
      <c r="ALG2305" s="38"/>
      <c r="ALH2305" s="38"/>
      <c r="ALI2305" s="38"/>
      <c r="ALJ2305" s="38"/>
      <c r="ALK2305" s="38"/>
      <c r="ALL2305" s="38"/>
      <c r="ALM2305" s="38"/>
      <c r="ALN2305" s="38"/>
      <c r="ALO2305" s="38"/>
      <c r="ALP2305" s="38"/>
      <c r="ALQ2305" s="38"/>
      <c r="ALR2305" s="38"/>
      <c r="ALS2305" s="38"/>
      <c r="ALT2305" s="38"/>
      <c r="ALU2305" s="38"/>
      <c r="ALV2305" s="38"/>
      <c r="ALW2305" s="38"/>
      <c r="ALX2305" s="38"/>
      <c r="ALY2305" s="38"/>
      <c r="ALZ2305" s="38"/>
      <c r="AMA2305" s="38"/>
      <c r="AMB2305" s="38"/>
      <c r="AMC2305" s="38"/>
      <c r="AMD2305" s="38"/>
      <c r="AME2305" s="38"/>
      <c r="AMF2305" s="38"/>
      <c r="AMG2305" s="38"/>
      <c r="AMH2305" s="38"/>
      <c r="AMI2305" s="38"/>
      <c r="AMJ2305" s="38"/>
      <c r="AMK2305" s="38"/>
      <c r="AML2305" s="38"/>
      <c r="AMM2305" s="38"/>
      <c r="AMN2305" s="38"/>
      <c r="AMO2305" s="38"/>
      <c r="AMP2305" s="38"/>
      <c r="AMQ2305" s="38"/>
      <c r="AMR2305" s="38"/>
      <c r="AMS2305" s="38"/>
      <c r="AMT2305" s="38"/>
      <c r="AMU2305" s="38"/>
      <c r="AMV2305" s="38"/>
      <c r="AMW2305" s="38"/>
      <c r="AMX2305" s="38"/>
      <c r="AMY2305" s="38"/>
      <c r="AMZ2305" s="38"/>
      <c r="ANA2305" s="38"/>
      <c r="ANB2305" s="38"/>
      <c r="ANC2305" s="38"/>
      <c r="AND2305" s="38"/>
      <c r="ANE2305" s="38"/>
      <c r="ANF2305" s="38"/>
      <c r="ANG2305" s="38"/>
      <c r="ANH2305" s="38"/>
      <c r="ANI2305" s="38"/>
      <c r="ANJ2305" s="38"/>
      <c r="ANK2305" s="38"/>
      <c r="ANL2305" s="38"/>
      <c r="ANM2305" s="38"/>
      <c r="ANN2305" s="38"/>
      <c r="ANO2305" s="38"/>
      <c r="ANP2305" s="38"/>
      <c r="ANQ2305" s="38"/>
      <c r="ANR2305" s="38"/>
      <c r="ANS2305" s="38"/>
      <c r="ANT2305" s="38"/>
      <c r="ANU2305" s="38"/>
      <c r="ANV2305" s="38"/>
      <c r="ANW2305" s="38"/>
      <c r="ANX2305" s="38"/>
      <c r="ANY2305" s="38"/>
      <c r="ANZ2305" s="38"/>
      <c r="AOA2305" s="38"/>
      <c r="AOB2305" s="38"/>
      <c r="AOC2305" s="38"/>
      <c r="AOD2305" s="38"/>
      <c r="AOE2305" s="38"/>
      <c r="AOF2305" s="38"/>
      <c r="AOG2305" s="38"/>
      <c r="AOH2305" s="38"/>
      <c r="AOI2305" s="38"/>
      <c r="AOJ2305" s="38"/>
      <c r="AOK2305" s="38"/>
      <c r="AOL2305" s="38"/>
      <c r="AOM2305" s="38"/>
      <c r="AON2305" s="38"/>
      <c r="AOO2305" s="38"/>
      <c r="AOP2305" s="38"/>
      <c r="AOQ2305" s="38"/>
      <c r="AOR2305" s="38"/>
      <c r="AOS2305" s="38"/>
      <c r="AOT2305" s="38"/>
      <c r="AOU2305" s="38"/>
      <c r="AOV2305" s="38"/>
      <c r="AOW2305" s="38"/>
      <c r="AOX2305" s="38"/>
      <c r="AOY2305" s="38"/>
      <c r="AOZ2305" s="38"/>
      <c r="APA2305" s="38"/>
      <c r="APB2305" s="38"/>
      <c r="APC2305" s="38"/>
    </row>
    <row r="2306" spans="1:1095" s="36" customFormat="1" ht="14.25" customHeight="1">
      <c r="A2306" s="3" t="s">
        <v>1722</v>
      </c>
      <c r="B2306" s="36" t="s">
        <v>2854</v>
      </c>
      <c r="C2306" s="10">
        <v>4099854070365</v>
      </c>
      <c r="D2306" s="224">
        <v>4058075636545</v>
      </c>
      <c r="E2306" s="245" t="s">
        <v>2855</v>
      </c>
      <c r="F2306" s="246"/>
      <c r="G2306" s="66" t="str">
        <f>HYPERLINK("https://ledvance.com/pt/product-datasheet/250940/239228","Ficha de Produto")</f>
        <v>Ficha de Produto</v>
      </c>
      <c r="H2306" s="217">
        <v>10</v>
      </c>
      <c r="I2306" s="34" t="s">
        <v>6406</v>
      </c>
      <c r="J2306" s="34" t="s">
        <v>5840</v>
      </c>
      <c r="K2306" s="34" t="s">
        <v>788</v>
      </c>
      <c r="L2306" s="34" t="s">
        <v>6506</v>
      </c>
      <c r="M2306" s="247">
        <v>9.9</v>
      </c>
      <c r="N2306" s="288" t="s">
        <v>722</v>
      </c>
    </row>
    <row r="2307" spans="1:1095" s="36" customFormat="1" ht="14.25" customHeight="1">
      <c r="A2307" s="3" t="s">
        <v>1722</v>
      </c>
      <c r="B2307" s="36" t="s">
        <v>2856</v>
      </c>
      <c r="C2307" s="10">
        <v>4099854070396</v>
      </c>
      <c r="D2307" s="224">
        <v>4058075636569</v>
      </c>
      <c r="E2307" s="245" t="s">
        <v>2857</v>
      </c>
      <c r="F2307" s="246"/>
      <c r="G2307" s="66" t="str">
        <f>HYPERLINK("https://ledvance.com/pt/product-datasheet/250940/239232","Ficha de Produto")</f>
        <v>Ficha de Produto</v>
      </c>
      <c r="H2307" s="217">
        <v>10</v>
      </c>
      <c r="I2307" s="34" t="s">
        <v>6406</v>
      </c>
      <c r="J2307" s="34" t="s">
        <v>5840</v>
      </c>
      <c r="K2307" s="34" t="s">
        <v>788</v>
      </c>
      <c r="L2307" s="34" t="s">
        <v>6506</v>
      </c>
      <c r="M2307" s="247">
        <v>9.9</v>
      </c>
      <c r="N2307" s="288" t="s">
        <v>722</v>
      </c>
    </row>
    <row r="2308" spans="1:1095" s="36" customFormat="1" ht="14.25" customHeight="1">
      <c r="A2308" s="3" t="s">
        <v>1722</v>
      </c>
      <c r="B2308" s="36" t="s">
        <v>2858</v>
      </c>
      <c r="C2308" s="10">
        <v>4099854050329</v>
      </c>
      <c r="D2308" s="224">
        <v>4058075636583</v>
      </c>
      <c r="E2308" s="245" t="s">
        <v>2859</v>
      </c>
      <c r="F2308" s="246"/>
      <c r="G2308" s="66" t="str">
        <f>HYPERLINK("https://ledvance.com/pt/product-datasheet/250940/235821","Ficha de Produto")</f>
        <v>Ficha de Produto</v>
      </c>
      <c r="H2308" s="217">
        <v>10</v>
      </c>
      <c r="I2308" s="34" t="s">
        <v>6401</v>
      </c>
      <c r="J2308" s="34" t="s">
        <v>6355</v>
      </c>
      <c r="K2308" s="34" t="s">
        <v>788</v>
      </c>
      <c r="L2308" s="34" t="s">
        <v>6506</v>
      </c>
      <c r="M2308" s="247">
        <v>12.200000000000001</v>
      </c>
      <c r="N2308" s="288" t="s">
        <v>722</v>
      </c>
    </row>
    <row r="2309" spans="1:1095" s="36" customFormat="1" ht="14.25" customHeight="1">
      <c r="A2309" s="3" t="s">
        <v>1722</v>
      </c>
      <c r="B2309" s="36" t="s">
        <v>2860</v>
      </c>
      <c r="C2309" s="10">
        <v>4099854050350</v>
      </c>
      <c r="D2309" s="224">
        <v>4058075636606</v>
      </c>
      <c r="E2309" s="245" t="s">
        <v>2861</v>
      </c>
      <c r="F2309" s="246"/>
      <c r="G2309" s="66" t="str">
        <f>HYPERLINK("https://ledvance.com/pt/product-datasheet/250940/235829","Ficha de Produto")</f>
        <v>Ficha de Produto</v>
      </c>
      <c r="H2309" s="217">
        <v>10</v>
      </c>
      <c r="I2309" s="34" t="s">
        <v>6401</v>
      </c>
      <c r="J2309" s="34" t="s">
        <v>6355</v>
      </c>
      <c r="K2309" s="34" t="s">
        <v>788</v>
      </c>
      <c r="L2309" s="34" t="s">
        <v>6506</v>
      </c>
      <c r="M2309" s="247">
        <v>12.200000000000001</v>
      </c>
      <c r="N2309" s="288" t="s">
        <v>722</v>
      </c>
    </row>
    <row r="2310" spans="1:1095" s="39" customFormat="1" ht="14.25" customHeight="1">
      <c r="A2310" s="8" t="s">
        <v>1722</v>
      </c>
      <c r="B2310" s="244" t="s">
        <v>2862</v>
      </c>
      <c r="C2310" s="8"/>
      <c r="D2310" s="7"/>
      <c r="E2310" s="230"/>
      <c r="F2310" s="7"/>
      <c r="G2310" s="68" t="s">
        <v>6505</v>
      </c>
      <c r="H2310" s="230"/>
      <c r="I2310" s="230"/>
      <c r="J2310" s="230"/>
      <c r="K2310" s="230"/>
      <c r="L2310" s="230"/>
      <c r="M2310" s="248"/>
      <c r="N2310" s="292"/>
      <c r="O2310" s="38"/>
      <c r="P2310" s="38"/>
      <c r="Q2310" s="38"/>
      <c r="R2310" s="38"/>
      <c r="S2310" s="38"/>
      <c r="T2310" s="38"/>
      <c r="U2310" s="38"/>
      <c r="V2310" s="38"/>
      <c r="W2310" s="38"/>
      <c r="X2310" s="38"/>
      <c r="Y2310" s="38"/>
      <c r="Z2310" s="38"/>
      <c r="AA2310" s="38"/>
      <c r="AB2310" s="38"/>
      <c r="AC2310" s="38"/>
      <c r="AD2310" s="38"/>
      <c r="AE2310" s="38"/>
      <c r="AF2310" s="38"/>
      <c r="AG2310" s="38"/>
      <c r="AH2310" s="38"/>
      <c r="AI2310" s="38"/>
      <c r="AJ2310" s="38"/>
      <c r="AK2310" s="38"/>
      <c r="AL2310" s="38"/>
      <c r="AM2310" s="38"/>
      <c r="AN2310" s="38"/>
      <c r="AO2310" s="38"/>
      <c r="AP2310" s="38"/>
      <c r="AQ2310" s="38"/>
      <c r="AR2310" s="38"/>
      <c r="AS2310" s="38"/>
      <c r="AT2310" s="38"/>
      <c r="AU2310" s="38"/>
      <c r="AV2310" s="38"/>
      <c r="AW2310" s="38"/>
      <c r="AX2310" s="38"/>
      <c r="AY2310" s="38"/>
      <c r="AZ2310" s="38"/>
      <c r="BA2310" s="38"/>
      <c r="BB2310" s="38"/>
      <c r="BC2310" s="38"/>
      <c r="BD2310" s="38"/>
      <c r="BE2310" s="38"/>
      <c r="BF2310" s="38"/>
      <c r="BG2310" s="38"/>
      <c r="BH2310" s="38"/>
      <c r="BI2310" s="38"/>
      <c r="BJ2310" s="38"/>
      <c r="BK2310" s="38"/>
      <c r="BL2310" s="38"/>
      <c r="BM2310" s="38"/>
      <c r="BN2310" s="38"/>
      <c r="BO2310" s="38"/>
      <c r="BP2310" s="38"/>
      <c r="BQ2310" s="38"/>
      <c r="BR2310" s="38"/>
      <c r="BS2310" s="38"/>
      <c r="BT2310" s="38"/>
      <c r="BU2310" s="38"/>
      <c r="BV2310" s="38"/>
      <c r="BW2310" s="38"/>
      <c r="BX2310" s="38"/>
      <c r="BY2310" s="38"/>
      <c r="BZ2310" s="38"/>
      <c r="CA2310" s="38"/>
      <c r="CB2310" s="38"/>
      <c r="CC2310" s="38"/>
      <c r="CD2310" s="38"/>
      <c r="CE2310" s="38"/>
      <c r="CF2310" s="38"/>
      <c r="CG2310" s="38"/>
      <c r="CH2310" s="38"/>
      <c r="CI2310" s="38"/>
      <c r="CJ2310" s="38"/>
      <c r="CK2310" s="38"/>
      <c r="CL2310" s="38"/>
      <c r="CM2310" s="38"/>
      <c r="CN2310" s="38"/>
      <c r="CO2310" s="38"/>
      <c r="CP2310" s="38"/>
      <c r="CQ2310" s="38"/>
      <c r="CR2310" s="38"/>
      <c r="CS2310" s="38"/>
      <c r="CT2310" s="38"/>
      <c r="CU2310" s="38"/>
      <c r="CV2310" s="38"/>
      <c r="CW2310" s="38"/>
      <c r="CX2310" s="38"/>
      <c r="CY2310" s="38"/>
      <c r="CZ2310" s="38"/>
      <c r="DA2310" s="38"/>
      <c r="DB2310" s="38"/>
      <c r="DC2310" s="38"/>
      <c r="DD2310" s="38"/>
      <c r="DE2310" s="38"/>
      <c r="DF2310" s="38"/>
      <c r="DG2310" s="38"/>
      <c r="DH2310" s="38"/>
      <c r="DI2310" s="38"/>
      <c r="DJ2310" s="38"/>
      <c r="DK2310" s="38"/>
      <c r="DL2310" s="38"/>
      <c r="DM2310" s="38"/>
      <c r="DN2310" s="38"/>
      <c r="DO2310" s="38"/>
      <c r="DP2310" s="38"/>
      <c r="DQ2310" s="38"/>
      <c r="DR2310" s="38"/>
      <c r="DS2310" s="38"/>
      <c r="DT2310" s="38"/>
      <c r="DU2310" s="38"/>
      <c r="DV2310" s="38"/>
      <c r="DW2310" s="38"/>
      <c r="DX2310" s="38"/>
      <c r="DY2310" s="38"/>
      <c r="DZ2310" s="38"/>
      <c r="EA2310" s="38"/>
      <c r="EB2310" s="38"/>
      <c r="EC2310" s="38"/>
      <c r="ED2310" s="38"/>
      <c r="EE2310" s="38"/>
      <c r="EF2310" s="38"/>
      <c r="EG2310" s="38"/>
      <c r="EH2310" s="38"/>
      <c r="EI2310" s="38"/>
      <c r="EJ2310" s="38"/>
      <c r="EK2310" s="38"/>
      <c r="EL2310" s="38"/>
      <c r="EM2310" s="38"/>
      <c r="EN2310" s="38"/>
      <c r="EO2310" s="38"/>
      <c r="EP2310" s="38"/>
      <c r="EQ2310" s="38"/>
      <c r="ER2310" s="38"/>
      <c r="ES2310" s="38"/>
      <c r="ET2310" s="38"/>
      <c r="EU2310" s="38"/>
      <c r="EV2310" s="38"/>
      <c r="EW2310" s="38"/>
      <c r="EX2310" s="38"/>
      <c r="EY2310" s="38"/>
      <c r="EZ2310" s="38"/>
      <c r="FA2310" s="38"/>
      <c r="FB2310" s="38"/>
      <c r="FC2310" s="38"/>
      <c r="FD2310" s="38"/>
      <c r="FE2310" s="38"/>
      <c r="FF2310" s="38"/>
      <c r="FG2310" s="38"/>
      <c r="FH2310" s="38"/>
      <c r="FI2310" s="38"/>
      <c r="FJ2310" s="38"/>
      <c r="FK2310" s="38"/>
      <c r="FL2310" s="38"/>
      <c r="FM2310" s="38"/>
      <c r="FN2310" s="38"/>
      <c r="FO2310" s="38"/>
      <c r="FP2310" s="38"/>
      <c r="FQ2310" s="38"/>
      <c r="FR2310" s="38"/>
      <c r="FS2310" s="38"/>
      <c r="FT2310" s="38"/>
      <c r="FU2310" s="38"/>
      <c r="FV2310" s="38"/>
      <c r="FW2310" s="38"/>
      <c r="FX2310" s="38"/>
      <c r="FY2310" s="38"/>
      <c r="FZ2310" s="38"/>
      <c r="GA2310" s="38"/>
      <c r="GB2310" s="38"/>
      <c r="GC2310" s="38"/>
      <c r="GD2310" s="38"/>
      <c r="GE2310" s="38"/>
      <c r="GF2310" s="38"/>
      <c r="GG2310" s="38"/>
      <c r="GH2310" s="38"/>
      <c r="GI2310" s="38"/>
      <c r="GJ2310" s="38"/>
      <c r="GK2310" s="38"/>
      <c r="GL2310" s="38"/>
      <c r="GM2310" s="38"/>
      <c r="GN2310" s="38"/>
      <c r="GO2310" s="38"/>
      <c r="GP2310" s="38"/>
      <c r="GQ2310" s="38"/>
      <c r="GR2310" s="38"/>
      <c r="GS2310" s="38"/>
      <c r="GT2310" s="38"/>
      <c r="GU2310" s="38"/>
      <c r="GV2310" s="38"/>
      <c r="GW2310" s="38"/>
      <c r="GX2310" s="38"/>
      <c r="GY2310" s="38"/>
      <c r="GZ2310" s="38"/>
      <c r="HA2310" s="38"/>
      <c r="HB2310" s="38"/>
      <c r="HC2310" s="38"/>
      <c r="HD2310" s="38"/>
      <c r="HE2310" s="38"/>
      <c r="HF2310" s="38"/>
      <c r="HG2310" s="38"/>
      <c r="HH2310" s="38"/>
      <c r="HI2310" s="38"/>
      <c r="HJ2310" s="38"/>
      <c r="HK2310" s="38"/>
      <c r="HL2310" s="38"/>
      <c r="HM2310" s="38"/>
      <c r="HN2310" s="38"/>
      <c r="HO2310" s="38"/>
      <c r="HP2310" s="38"/>
      <c r="HQ2310" s="38"/>
      <c r="HR2310" s="38"/>
      <c r="HS2310" s="38"/>
      <c r="HT2310" s="38"/>
      <c r="HU2310" s="38"/>
      <c r="HV2310" s="38"/>
      <c r="HW2310" s="38"/>
      <c r="HX2310" s="38"/>
      <c r="HY2310" s="38"/>
      <c r="HZ2310" s="38"/>
      <c r="IA2310" s="38"/>
      <c r="IB2310" s="38"/>
      <c r="IC2310" s="38"/>
      <c r="ID2310" s="38"/>
      <c r="IE2310" s="38"/>
      <c r="IF2310" s="38"/>
      <c r="IG2310" s="38"/>
      <c r="IH2310" s="38"/>
      <c r="II2310" s="38"/>
      <c r="IJ2310" s="38"/>
      <c r="IK2310" s="38"/>
      <c r="IL2310" s="38"/>
      <c r="IM2310" s="38"/>
      <c r="IN2310" s="38"/>
      <c r="IO2310" s="38"/>
      <c r="IP2310" s="38"/>
      <c r="IQ2310" s="38"/>
      <c r="IR2310" s="38"/>
      <c r="IS2310" s="38"/>
      <c r="IT2310" s="38"/>
      <c r="IU2310" s="38"/>
      <c r="IV2310" s="38"/>
      <c r="IW2310" s="38"/>
      <c r="IX2310" s="38"/>
      <c r="IY2310" s="38"/>
      <c r="IZ2310" s="38"/>
      <c r="JA2310" s="38"/>
      <c r="JB2310" s="38"/>
      <c r="JC2310" s="38"/>
      <c r="JD2310" s="38"/>
      <c r="JE2310" s="38"/>
      <c r="JF2310" s="38"/>
      <c r="JG2310" s="38"/>
      <c r="JH2310" s="38"/>
      <c r="JI2310" s="38"/>
      <c r="JJ2310" s="38"/>
      <c r="JK2310" s="38"/>
      <c r="JL2310" s="38"/>
      <c r="JM2310" s="38"/>
      <c r="JN2310" s="38"/>
      <c r="JO2310" s="38"/>
      <c r="JP2310" s="38"/>
      <c r="JQ2310" s="38"/>
      <c r="JR2310" s="38"/>
      <c r="JS2310" s="38"/>
      <c r="JT2310" s="38"/>
      <c r="JU2310" s="38"/>
      <c r="JV2310" s="38"/>
      <c r="JW2310" s="38"/>
      <c r="JX2310" s="38"/>
      <c r="JY2310" s="38"/>
      <c r="JZ2310" s="38"/>
      <c r="KA2310" s="38"/>
      <c r="KB2310" s="38"/>
      <c r="KC2310" s="38"/>
      <c r="KD2310" s="38"/>
      <c r="KE2310" s="38"/>
      <c r="KF2310" s="38"/>
      <c r="KG2310" s="38"/>
      <c r="KH2310" s="38"/>
      <c r="KI2310" s="38"/>
      <c r="KJ2310" s="38"/>
      <c r="KK2310" s="38"/>
      <c r="KL2310" s="38"/>
      <c r="KM2310" s="38"/>
      <c r="KN2310" s="38"/>
      <c r="KO2310" s="38"/>
      <c r="KP2310" s="38"/>
      <c r="KQ2310" s="38"/>
      <c r="KR2310" s="38"/>
      <c r="KS2310" s="38"/>
      <c r="KT2310" s="38"/>
      <c r="KU2310" s="38"/>
      <c r="KV2310" s="38"/>
      <c r="KW2310" s="38"/>
      <c r="KX2310" s="38"/>
      <c r="KY2310" s="38"/>
      <c r="KZ2310" s="38"/>
      <c r="LA2310" s="38"/>
      <c r="LB2310" s="38"/>
      <c r="LC2310" s="38"/>
      <c r="LD2310" s="38"/>
      <c r="LE2310" s="38"/>
      <c r="LF2310" s="38"/>
      <c r="LG2310" s="38"/>
      <c r="LH2310" s="38"/>
      <c r="LI2310" s="38"/>
      <c r="LJ2310" s="38"/>
      <c r="LK2310" s="38"/>
      <c r="LL2310" s="38"/>
      <c r="LM2310" s="38"/>
      <c r="LN2310" s="38"/>
      <c r="LO2310" s="38"/>
      <c r="LP2310" s="38"/>
      <c r="LQ2310" s="38"/>
      <c r="LR2310" s="38"/>
      <c r="LS2310" s="38"/>
      <c r="LT2310" s="38"/>
      <c r="LU2310" s="38"/>
      <c r="LV2310" s="38"/>
      <c r="LW2310" s="38"/>
      <c r="LX2310" s="38"/>
      <c r="LY2310" s="38"/>
      <c r="LZ2310" s="38"/>
      <c r="MA2310" s="38"/>
      <c r="MB2310" s="38"/>
      <c r="MC2310" s="38"/>
      <c r="MD2310" s="38"/>
      <c r="ME2310" s="38"/>
      <c r="MF2310" s="38"/>
      <c r="MG2310" s="38"/>
      <c r="MH2310" s="38"/>
      <c r="MI2310" s="38"/>
      <c r="MJ2310" s="38"/>
      <c r="MK2310" s="38"/>
      <c r="ML2310" s="38"/>
      <c r="MM2310" s="38"/>
      <c r="MN2310" s="38"/>
      <c r="MO2310" s="38"/>
      <c r="MP2310" s="38"/>
      <c r="MQ2310" s="38"/>
      <c r="MR2310" s="38"/>
      <c r="MS2310" s="38"/>
      <c r="MT2310" s="38"/>
      <c r="MU2310" s="38"/>
      <c r="MV2310" s="38"/>
      <c r="MW2310" s="38"/>
      <c r="MX2310" s="38"/>
      <c r="MY2310" s="38"/>
      <c r="MZ2310" s="38"/>
      <c r="NA2310" s="38"/>
      <c r="NB2310" s="38"/>
      <c r="NC2310" s="38"/>
      <c r="ND2310" s="38"/>
      <c r="NE2310" s="38"/>
      <c r="NF2310" s="38"/>
      <c r="NG2310" s="38"/>
      <c r="NH2310" s="38"/>
      <c r="NI2310" s="38"/>
      <c r="NJ2310" s="38"/>
      <c r="NK2310" s="38"/>
      <c r="NL2310" s="38"/>
      <c r="NM2310" s="38"/>
      <c r="NN2310" s="38"/>
      <c r="NO2310" s="38"/>
      <c r="NP2310" s="38"/>
      <c r="NQ2310" s="38"/>
      <c r="NR2310" s="38"/>
      <c r="NS2310" s="38"/>
      <c r="NT2310" s="38"/>
      <c r="NU2310" s="38"/>
      <c r="NV2310" s="38"/>
      <c r="NW2310" s="38"/>
      <c r="NX2310" s="38"/>
      <c r="NY2310" s="38"/>
      <c r="NZ2310" s="38"/>
      <c r="OA2310" s="38"/>
      <c r="OB2310" s="38"/>
      <c r="OC2310" s="38"/>
      <c r="OD2310" s="38"/>
      <c r="OE2310" s="38"/>
      <c r="OF2310" s="38"/>
      <c r="OG2310" s="38"/>
      <c r="OH2310" s="38"/>
      <c r="OI2310" s="38"/>
      <c r="OJ2310" s="38"/>
      <c r="OK2310" s="38"/>
      <c r="OL2310" s="38"/>
      <c r="OM2310" s="38"/>
      <c r="ON2310" s="38"/>
      <c r="OO2310" s="38"/>
      <c r="OP2310" s="38"/>
      <c r="OQ2310" s="38"/>
      <c r="OR2310" s="38"/>
      <c r="OS2310" s="38"/>
      <c r="OT2310" s="38"/>
      <c r="OU2310" s="38"/>
      <c r="OV2310" s="38"/>
      <c r="OW2310" s="38"/>
      <c r="OX2310" s="38"/>
      <c r="OY2310" s="38"/>
      <c r="OZ2310" s="38"/>
      <c r="PA2310" s="38"/>
      <c r="PB2310" s="38"/>
      <c r="PC2310" s="38"/>
      <c r="PD2310" s="38"/>
      <c r="PE2310" s="38"/>
      <c r="PF2310" s="38"/>
      <c r="PG2310" s="38"/>
      <c r="PH2310" s="38"/>
      <c r="PI2310" s="38"/>
      <c r="PJ2310" s="38"/>
      <c r="PK2310" s="38"/>
      <c r="PL2310" s="38"/>
      <c r="PM2310" s="38"/>
      <c r="PN2310" s="38"/>
      <c r="PO2310" s="38"/>
      <c r="PP2310" s="38"/>
      <c r="PQ2310" s="38"/>
      <c r="PR2310" s="38"/>
      <c r="PS2310" s="38"/>
      <c r="PT2310" s="38"/>
      <c r="PU2310" s="38"/>
      <c r="PV2310" s="38"/>
      <c r="PW2310" s="38"/>
      <c r="PX2310" s="38"/>
      <c r="PY2310" s="38"/>
      <c r="PZ2310" s="38"/>
      <c r="QA2310" s="38"/>
      <c r="QB2310" s="38"/>
      <c r="QC2310" s="38"/>
      <c r="QD2310" s="38"/>
      <c r="QE2310" s="38"/>
      <c r="QF2310" s="38"/>
      <c r="QG2310" s="38"/>
      <c r="QH2310" s="38"/>
      <c r="QI2310" s="38"/>
      <c r="QJ2310" s="38"/>
      <c r="QK2310" s="38"/>
      <c r="QL2310" s="38"/>
      <c r="QM2310" s="38"/>
      <c r="QN2310" s="38"/>
      <c r="QO2310" s="38"/>
      <c r="QP2310" s="38"/>
      <c r="QQ2310" s="38"/>
      <c r="QR2310" s="38"/>
      <c r="QS2310" s="38"/>
      <c r="QT2310" s="38"/>
      <c r="QU2310" s="38"/>
      <c r="QV2310" s="38"/>
      <c r="QW2310" s="38"/>
      <c r="QX2310" s="38"/>
      <c r="QY2310" s="38"/>
      <c r="QZ2310" s="38"/>
      <c r="RA2310" s="38"/>
      <c r="RB2310" s="38"/>
      <c r="RC2310" s="38"/>
      <c r="RD2310" s="38"/>
      <c r="RE2310" s="38"/>
      <c r="RF2310" s="38"/>
      <c r="RG2310" s="38"/>
      <c r="RH2310" s="38"/>
      <c r="RI2310" s="38"/>
      <c r="RJ2310" s="38"/>
      <c r="RK2310" s="38"/>
      <c r="RL2310" s="38"/>
      <c r="RM2310" s="38"/>
      <c r="RN2310" s="38"/>
      <c r="RO2310" s="38"/>
      <c r="RP2310" s="38"/>
      <c r="RQ2310" s="38"/>
      <c r="RR2310" s="38"/>
      <c r="RS2310" s="38"/>
      <c r="RT2310" s="38"/>
      <c r="RU2310" s="38"/>
      <c r="RV2310" s="38"/>
      <c r="RW2310" s="38"/>
      <c r="RX2310" s="38"/>
      <c r="RY2310" s="38"/>
      <c r="RZ2310" s="38"/>
      <c r="SA2310" s="38"/>
      <c r="SB2310" s="38"/>
      <c r="SC2310" s="38"/>
      <c r="SD2310" s="38"/>
      <c r="SE2310" s="38"/>
      <c r="SF2310" s="38"/>
      <c r="SG2310" s="38"/>
      <c r="SH2310" s="38"/>
      <c r="SI2310" s="38"/>
      <c r="SJ2310" s="38"/>
      <c r="SK2310" s="38"/>
      <c r="SL2310" s="38"/>
      <c r="SM2310" s="38"/>
      <c r="SN2310" s="38"/>
      <c r="SO2310" s="38"/>
      <c r="SP2310" s="38"/>
      <c r="SQ2310" s="38"/>
      <c r="SR2310" s="38"/>
      <c r="SS2310" s="38"/>
      <c r="ST2310" s="38"/>
      <c r="SU2310" s="38"/>
      <c r="SV2310" s="38"/>
      <c r="SW2310" s="38"/>
      <c r="SX2310" s="38"/>
      <c r="SY2310" s="38"/>
      <c r="SZ2310" s="38"/>
      <c r="TA2310" s="38"/>
      <c r="TB2310" s="38"/>
      <c r="TC2310" s="38"/>
      <c r="TD2310" s="38"/>
      <c r="TE2310" s="38"/>
      <c r="TF2310" s="38"/>
      <c r="TG2310" s="38"/>
      <c r="TH2310" s="38"/>
      <c r="TI2310" s="38"/>
      <c r="TJ2310" s="38"/>
      <c r="TK2310" s="38"/>
      <c r="TL2310" s="38"/>
      <c r="TM2310" s="38"/>
      <c r="TN2310" s="38"/>
      <c r="TO2310" s="38"/>
      <c r="TP2310" s="38"/>
      <c r="TQ2310" s="38"/>
      <c r="TR2310" s="38"/>
      <c r="TS2310" s="38"/>
      <c r="TT2310" s="38"/>
      <c r="TU2310" s="38"/>
      <c r="TV2310" s="38"/>
      <c r="TW2310" s="38"/>
      <c r="TX2310" s="38"/>
      <c r="TY2310" s="38"/>
      <c r="TZ2310" s="38"/>
      <c r="UA2310" s="38"/>
      <c r="UB2310" s="38"/>
      <c r="UC2310" s="38"/>
      <c r="UD2310" s="38"/>
      <c r="UE2310" s="38"/>
      <c r="UF2310" s="38"/>
      <c r="UG2310" s="38"/>
      <c r="UH2310" s="38"/>
      <c r="UI2310" s="38"/>
      <c r="UJ2310" s="38"/>
      <c r="UK2310" s="38"/>
      <c r="UL2310" s="38"/>
      <c r="UM2310" s="38"/>
      <c r="UN2310" s="38"/>
      <c r="UO2310" s="38"/>
      <c r="UP2310" s="38"/>
      <c r="UQ2310" s="38"/>
      <c r="UR2310" s="38"/>
      <c r="US2310" s="38"/>
      <c r="UT2310" s="38"/>
      <c r="UU2310" s="38"/>
      <c r="UV2310" s="38"/>
      <c r="UW2310" s="38"/>
      <c r="UX2310" s="38"/>
      <c r="UY2310" s="38"/>
      <c r="UZ2310" s="38"/>
      <c r="VA2310" s="38"/>
      <c r="VB2310" s="38"/>
      <c r="VC2310" s="38"/>
      <c r="VD2310" s="38"/>
      <c r="VE2310" s="38"/>
      <c r="VF2310" s="38"/>
      <c r="VG2310" s="38"/>
      <c r="VH2310" s="38"/>
      <c r="VI2310" s="38"/>
      <c r="VJ2310" s="38"/>
      <c r="VK2310" s="38"/>
      <c r="VL2310" s="38"/>
      <c r="VM2310" s="38"/>
      <c r="VN2310" s="38"/>
      <c r="VO2310" s="38"/>
      <c r="VP2310" s="38"/>
      <c r="VQ2310" s="38"/>
      <c r="VR2310" s="38"/>
      <c r="VS2310" s="38"/>
      <c r="VT2310" s="38"/>
      <c r="VU2310" s="38"/>
      <c r="VV2310" s="38"/>
      <c r="VW2310" s="38"/>
      <c r="VX2310" s="38"/>
      <c r="VY2310" s="38"/>
      <c r="VZ2310" s="38"/>
      <c r="WA2310" s="38"/>
      <c r="WB2310" s="38"/>
      <c r="WC2310" s="38"/>
      <c r="WD2310" s="38"/>
      <c r="WE2310" s="38"/>
      <c r="WF2310" s="38"/>
      <c r="WG2310" s="38"/>
      <c r="WH2310" s="38"/>
      <c r="WI2310" s="38"/>
      <c r="WJ2310" s="38"/>
      <c r="WK2310" s="38"/>
      <c r="WL2310" s="38"/>
      <c r="WM2310" s="38"/>
      <c r="WN2310" s="38"/>
      <c r="WO2310" s="38"/>
      <c r="WP2310" s="38"/>
      <c r="WQ2310" s="38"/>
      <c r="WR2310" s="38"/>
      <c r="WS2310" s="38"/>
      <c r="WT2310" s="38"/>
      <c r="WU2310" s="38"/>
      <c r="WV2310" s="38"/>
      <c r="WW2310" s="38"/>
      <c r="WX2310" s="38"/>
      <c r="WY2310" s="38"/>
      <c r="WZ2310" s="38"/>
      <c r="XA2310" s="38"/>
      <c r="XB2310" s="38"/>
      <c r="XC2310" s="38"/>
      <c r="XD2310" s="38"/>
      <c r="XE2310" s="38"/>
      <c r="XF2310" s="38"/>
      <c r="XG2310" s="38"/>
      <c r="XH2310" s="38"/>
      <c r="XI2310" s="38"/>
      <c r="XJ2310" s="38"/>
      <c r="XK2310" s="38"/>
      <c r="XL2310" s="38"/>
      <c r="XM2310" s="38"/>
      <c r="XN2310" s="38"/>
      <c r="XO2310" s="38"/>
      <c r="XP2310" s="38"/>
      <c r="XQ2310" s="38"/>
      <c r="XR2310" s="38"/>
      <c r="XS2310" s="38"/>
      <c r="XT2310" s="38"/>
      <c r="XU2310" s="38"/>
      <c r="XV2310" s="38"/>
      <c r="XW2310" s="38"/>
      <c r="XX2310" s="38"/>
      <c r="XY2310" s="38"/>
      <c r="XZ2310" s="38"/>
      <c r="YA2310" s="38"/>
      <c r="YB2310" s="38"/>
      <c r="YC2310" s="38"/>
      <c r="YD2310" s="38"/>
      <c r="YE2310" s="38"/>
      <c r="YF2310" s="38"/>
      <c r="YG2310" s="38"/>
      <c r="YH2310" s="38"/>
      <c r="YI2310" s="38"/>
      <c r="YJ2310" s="38"/>
      <c r="YK2310" s="38"/>
      <c r="YL2310" s="38"/>
      <c r="YM2310" s="38"/>
      <c r="YN2310" s="38"/>
      <c r="YO2310" s="38"/>
      <c r="YP2310" s="38"/>
      <c r="YQ2310" s="38"/>
      <c r="YR2310" s="38"/>
      <c r="YS2310" s="38"/>
      <c r="YT2310" s="38"/>
      <c r="YU2310" s="38"/>
      <c r="YV2310" s="38"/>
      <c r="YW2310" s="38"/>
      <c r="YX2310" s="38"/>
      <c r="YY2310" s="38"/>
      <c r="YZ2310" s="38"/>
      <c r="ZA2310" s="38"/>
      <c r="ZB2310" s="38"/>
      <c r="ZC2310" s="38"/>
      <c r="ZD2310" s="38"/>
      <c r="ZE2310" s="38"/>
      <c r="ZF2310" s="38"/>
      <c r="ZG2310" s="38"/>
      <c r="ZH2310" s="38"/>
      <c r="ZI2310" s="38"/>
      <c r="ZJ2310" s="38"/>
      <c r="ZK2310" s="38"/>
      <c r="ZL2310" s="38"/>
      <c r="ZM2310" s="38"/>
      <c r="ZN2310" s="38"/>
      <c r="ZO2310" s="38"/>
      <c r="ZP2310" s="38"/>
      <c r="ZQ2310" s="38"/>
      <c r="ZR2310" s="38"/>
      <c r="ZS2310" s="38"/>
      <c r="ZT2310" s="38"/>
      <c r="ZU2310" s="38"/>
      <c r="ZV2310" s="38"/>
      <c r="ZW2310" s="38"/>
      <c r="ZX2310" s="38"/>
      <c r="ZY2310" s="38"/>
      <c r="ZZ2310" s="38"/>
      <c r="AAA2310" s="38"/>
      <c r="AAB2310" s="38"/>
      <c r="AAC2310" s="38"/>
      <c r="AAD2310" s="38"/>
      <c r="AAE2310" s="38"/>
      <c r="AAF2310" s="38"/>
      <c r="AAG2310" s="38"/>
      <c r="AAH2310" s="38"/>
      <c r="AAI2310" s="38"/>
      <c r="AAJ2310" s="38"/>
      <c r="AAK2310" s="38"/>
      <c r="AAL2310" s="38"/>
      <c r="AAM2310" s="38"/>
      <c r="AAN2310" s="38"/>
      <c r="AAO2310" s="38"/>
      <c r="AAP2310" s="38"/>
      <c r="AAQ2310" s="38"/>
      <c r="AAR2310" s="38"/>
      <c r="AAS2310" s="38"/>
      <c r="AAT2310" s="38"/>
      <c r="AAU2310" s="38"/>
      <c r="AAV2310" s="38"/>
      <c r="AAW2310" s="38"/>
      <c r="AAX2310" s="38"/>
      <c r="AAY2310" s="38"/>
      <c r="AAZ2310" s="38"/>
      <c r="ABA2310" s="38"/>
      <c r="ABB2310" s="38"/>
      <c r="ABC2310" s="38"/>
      <c r="ABD2310" s="38"/>
      <c r="ABE2310" s="38"/>
      <c r="ABF2310" s="38"/>
      <c r="ABG2310" s="38"/>
      <c r="ABH2310" s="38"/>
      <c r="ABI2310" s="38"/>
      <c r="ABJ2310" s="38"/>
      <c r="ABK2310" s="38"/>
      <c r="ABL2310" s="38"/>
      <c r="ABM2310" s="38"/>
      <c r="ABN2310" s="38"/>
      <c r="ABO2310" s="38"/>
      <c r="ABP2310" s="38"/>
      <c r="ABQ2310" s="38"/>
      <c r="ABR2310" s="38"/>
      <c r="ABS2310" s="38"/>
      <c r="ABT2310" s="38"/>
      <c r="ABU2310" s="38"/>
      <c r="ABV2310" s="38"/>
      <c r="ABW2310" s="38"/>
      <c r="ABX2310" s="38"/>
      <c r="ABY2310" s="38"/>
      <c r="ABZ2310" s="38"/>
      <c r="ACA2310" s="38"/>
      <c r="ACB2310" s="38"/>
      <c r="ACC2310" s="38"/>
      <c r="ACD2310" s="38"/>
      <c r="ACE2310" s="38"/>
      <c r="ACF2310" s="38"/>
      <c r="ACG2310" s="38"/>
      <c r="ACH2310" s="38"/>
      <c r="ACI2310" s="38"/>
      <c r="ACJ2310" s="38"/>
      <c r="ACK2310" s="38"/>
      <c r="ACL2310" s="38"/>
      <c r="ACM2310" s="38"/>
      <c r="ACN2310" s="38"/>
      <c r="ACO2310" s="38"/>
      <c r="ACP2310" s="38"/>
      <c r="ACQ2310" s="38"/>
      <c r="ACR2310" s="38"/>
      <c r="ACS2310" s="38"/>
      <c r="ACT2310" s="38"/>
      <c r="ACU2310" s="38"/>
      <c r="ACV2310" s="38"/>
      <c r="ACW2310" s="38"/>
      <c r="ACX2310" s="38"/>
      <c r="ACY2310" s="38"/>
      <c r="ACZ2310" s="38"/>
      <c r="ADA2310" s="38"/>
      <c r="ADB2310" s="38"/>
      <c r="ADC2310" s="38"/>
      <c r="ADD2310" s="38"/>
      <c r="ADE2310" s="38"/>
      <c r="ADF2310" s="38"/>
      <c r="ADG2310" s="38"/>
      <c r="ADH2310" s="38"/>
      <c r="ADI2310" s="38"/>
      <c r="ADJ2310" s="38"/>
      <c r="ADK2310" s="38"/>
      <c r="ADL2310" s="38"/>
      <c r="ADM2310" s="38"/>
      <c r="ADN2310" s="38"/>
      <c r="ADO2310" s="38"/>
      <c r="ADP2310" s="38"/>
      <c r="ADQ2310" s="38"/>
      <c r="ADR2310" s="38"/>
      <c r="ADS2310" s="38"/>
      <c r="ADT2310" s="38"/>
      <c r="ADU2310" s="38"/>
      <c r="ADV2310" s="38"/>
      <c r="ADW2310" s="38"/>
      <c r="ADX2310" s="38"/>
      <c r="ADY2310" s="38"/>
      <c r="ADZ2310" s="38"/>
      <c r="AEA2310" s="38"/>
      <c r="AEB2310" s="38"/>
      <c r="AEC2310" s="38"/>
      <c r="AED2310" s="38"/>
      <c r="AEE2310" s="38"/>
      <c r="AEF2310" s="38"/>
      <c r="AEG2310" s="38"/>
      <c r="AEH2310" s="38"/>
      <c r="AEI2310" s="38"/>
      <c r="AEJ2310" s="38"/>
      <c r="AEK2310" s="38"/>
      <c r="AEL2310" s="38"/>
      <c r="AEM2310" s="38"/>
      <c r="AEN2310" s="38"/>
      <c r="AEO2310" s="38"/>
      <c r="AEP2310" s="38"/>
      <c r="AEQ2310" s="38"/>
      <c r="AER2310" s="38"/>
      <c r="AES2310" s="38"/>
      <c r="AET2310" s="38"/>
      <c r="AEU2310" s="38"/>
      <c r="AEV2310" s="38"/>
      <c r="AEW2310" s="38"/>
      <c r="AEX2310" s="38"/>
      <c r="AEY2310" s="38"/>
      <c r="AEZ2310" s="38"/>
      <c r="AFA2310" s="38"/>
      <c r="AFB2310" s="38"/>
      <c r="AFC2310" s="38"/>
      <c r="AFD2310" s="38"/>
      <c r="AFE2310" s="38"/>
      <c r="AFF2310" s="38"/>
      <c r="AFG2310" s="38"/>
      <c r="AFH2310" s="38"/>
      <c r="AFI2310" s="38"/>
      <c r="AFJ2310" s="38"/>
      <c r="AFK2310" s="38"/>
      <c r="AFL2310" s="38"/>
      <c r="AFM2310" s="38"/>
      <c r="AFN2310" s="38"/>
      <c r="AFO2310" s="38"/>
      <c r="AFP2310" s="38"/>
      <c r="AFQ2310" s="38"/>
      <c r="AFR2310" s="38"/>
      <c r="AFS2310" s="38"/>
      <c r="AFT2310" s="38"/>
      <c r="AFU2310" s="38"/>
      <c r="AFV2310" s="38"/>
      <c r="AFW2310" s="38"/>
      <c r="AFX2310" s="38"/>
      <c r="AFY2310" s="38"/>
      <c r="AFZ2310" s="38"/>
      <c r="AGA2310" s="38"/>
      <c r="AGB2310" s="38"/>
      <c r="AGC2310" s="38"/>
      <c r="AGD2310" s="38"/>
      <c r="AGE2310" s="38"/>
      <c r="AGF2310" s="38"/>
      <c r="AGG2310" s="38"/>
      <c r="AGH2310" s="38"/>
      <c r="AGI2310" s="38"/>
      <c r="AGJ2310" s="38"/>
      <c r="AGK2310" s="38"/>
      <c r="AGL2310" s="38"/>
      <c r="AGM2310" s="38"/>
      <c r="AGN2310" s="38"/>
      <c r="AGO2310" s="38"/>
      <c r="AGP2310" s="38"/>
      <c r="AGQ2310" s="38"/>
      <c r="AGR2310" s="38"/>
      <c r="AGS2310" s="38"/>
      <c r="AGT2310" s="38"/>
      <c r="AGU2310" s="38"/>
      <c r="AGV2310" s="38"/>
      <c r="AGW2310" s="38"/>
      <c r="AGX2310" s="38"/>
      <c r="AGY2310" s="38"/>
      <c r="AGZ2310" s="38"/>
      <c r="AHA2310" s="38"/>
      <c r="AHB2310" s="38"/>
      <c r="AHC2310" s="38"/>
      <c r="AHD2310" s="38"/>
      <c r="AHE2310" s="38"/>
      <c r="AHF2310" s="38"/>
      <c r="AHG2310" s="38"/>
      <c r="AHH2310" s="38"/>
      <c r="AHI2310" s="38"/>
      <c r="AHJ2310" s="38"/>
      <c r="AHK2310" s="38"/>
      <c r="AHL2310" s="38"/>
      <c r="AHM2310" s="38"/>
      <c r="AHN2310" s="38"/>
      <c r="AHO2310" s="38"/>
      <c r="AHP2310" s="38"/>
      <c r="AHQ2310" s="38"/>
      <c r="AHR2310" s="38"/>
      <c r="AHS2310" s="38"/>
      <c r="AHT2310" s="38"/>
      <c r="AHU2310" s="38"/>
      <c r="AHV2310" s="38"/>
      <c r="AHW2310" s="38"/>
      <c r="AHX2310" s="38"/>
      <c r="AHY2310" s="38"/>
      <c r="AHZ2310" s="38"/>
      <c r="AIA2310" s="38"/>
      <c r="AIB2310" s="38"/>
      <c r="AIC2310" s="38"/>
      <c r="AID2310" s="38"/>
      <c r="AIE2310" s="38"/>
      <c r="AIF2310" s="38"/>
      <c r="AIG2310" s="38"/>
      <c r="AIH2310" s="38"/>
      <c r="AII2310" s="38"/>
      <c r="AIJ2310" s="38"/>
      <c r="AIK2310" s="38"/>
      <c r="AIL2310" s="38"/>
      <c r="AIM2310" s="38"/>
      <c r="AIN2310" s="38"/>
      <c r="AIO2310" s="38"/>
      <c r="AIP2310" s="38"/>
      <c r="AIQ2310" s="38"/>
      <c r="AIR2310" s="38"/>
      <c r="AIS2310" s="38"/>
      <c r="AIT2310" s="38"/>
      <c r="AIU2310" s="38"/>
      <c r="AIV2310" s="38"/>
      <c r="AIW2310" s="38"/>
      <c r="AIX2310" s="38"/>
      <c r="AIY2310" s="38"/>
      <c r="AIZ2310" s="38"/>
      <c r="AJA2310" s="38"/>
      <c r="AJB2310" s="38"/>
      <c r="AJC2310" s="38"/>
      <c r="AJD2310" s="38"/>
      <c r="AJE2310" s="38"/>
      <c r="AJF2310" s="38"/>
      <c r="AJG2310" s="38"/>
      <c r="AJH2310" s="38"/>
      <c r="AJI2310" s="38"/>
      <c r="AJJ2310" s="38"/>
      <c r="AJK2310" s="38"/>
      <c r="AJL2310" s="38"/>
      <c r="AJM2310" s="38"/>
      <c r="AJN2310" s="38"/>
      <c r="AJO2310" s="38"/>
      <c r="AJP2310" s="38"/>
      <c r="AJQ2310" s="38"/>
      <c r="AJR2310" s="38"/>
      <c r="AJS2310" s="38"/>
      <c r="AJT2310" s="38"/>
      <c r="AJU2310" s="38"/>
      <c r="AJV2310" s="38"/>
      <c r="AJW2310" s="38"/>
      <c r="AJX2310" s="38"/>
      <c r="AJY2310" s="38"/>
      <c r="AJZ2310" s="38"/>
      <c r="AKA2310" s="38"/>
      <c r="AKB2310" s="38"/>
      <c r="AKC2310" s="38"/>
      <c r="AKD2310" s="38"/>
      <c r="AKE2310" s="38"/>
      <c r="AKF2310" s="38"/>
      <c r="AKG2310" s="38"/>
      <c r="AKH2310" s="38"/>
      <c r="AKI2310" s="38"/>
      <c r="AKJ2310" s="38"/>
      <c r="AKK2310" s="38"/>
      <c r="AKL2310" s="38"/>
      <c r="AKM2310" s="38"/>
      <c r="AKN2310" s="38"/>
      <c r="AKO2310" s="38"/>
      <c r="AKP2310" s="38"/>
      <c r="AKQ2310" s="38"/>
      <c r="AKR2310" s="38"/>
      <c r="AKS2310" s="38"/>
      <c r="AKT2310" s="38"/>
      <c r="AKU2310" s="38"/>
      <c r="AKV2310" s="38"/>
      <c r="AKW2310" s="38"/>
      <c r="AKX2310" s="38"/>
      <c r="AKY2310" s="38"/>
      <c r="AKZ2310" s="38"/>
      <c r="ALA2310" s="38"/>
      <c r="ALB2310" s="38"/>
      <c r="ALC2310" s="38"/>
      <c r="ALD2310" s="38"/>
      <c r="ALE2310" s="38"/>
      <c r="ALF2310" s="38"/>
      <c r="ALG2310" s="38"/>
      <c r="ALH2310" s="38"/>
      <c r="ALI2310" s="38"/>
      <c r="ALJ2310" s="38"/>
      <c r="ALK2310" s="38"/>
      <c r="ALL2310" s="38"/>
      <c r="ALM2310" s="38"/>
      <c r="ALN2310" s="38"/>
      <c r="ALO2310" s="38"/>
      <c r="ALP2310" s="38"/>
      <c r="ALQ2310" s="38"/>
      <c r="ALR2310" s="38"/>
      <c r="ALS2310" s="38"/>
      <c r="ALT2310" s="38"/>
      <c r="ALU2310" s="38"/>
      <c r="ALV2310" s="38"/>
      <c r="ALW2310" s="38"/>
      <c r="ALX2310" s="38"/>
      <c r="ALY2310" s="38"/>
      <c r="ALZ2310" s="38"/>
      <c r="AMA2310" s="38"/>
      <c r="AMB2310" s="38"/>
      <c r="AMC2310" s="38"/>
      <c r="AMD2310" s="38"/>
      <c r="AME2310" s="38"/>
      <c r="AMF2310" s="38"/>
      <c r="AMG2310" s="38"/>
      <c r="AMH2310" s="38"/>
      <c r="AMI2310" s="38"/>
      <c r="AMJ2310" s="38"/>
      <c r="AMK2310" s="38"/>
      <c r="AML2310" s="38"/>
      <c r="AMM2310" s="38"/>
      <c r="AMN2310" s="38"/>
      <c r="AMO2310" s="38"/>
      <c r="AMP2310" s="38"/>
      <c r="AMQ2310" s="38"/>
      <c r="AMR2310" s="38"/>
      <c r="AMS2310" s="38"/>
      <c r="AMT2310" s="38"/>
      <c r="AMU2310" s="38"/>
      <c r="AMV2310" s="38"/>
      <c r="AMW2310" s="38"/>
      <c r="AMX2310" s="38"/>
      <c r="AMY2310" s="38"/>
      <c r="AMZ2310" s="38"/>
      <c r="ANA2310" s="38"/>
      <c r="ANB2310" s="38"/>
      <c r="ANC2310" s="38"/>
      <c r="AND2310" s="38"/>
      <c r="ANE2310" s="38"/>
      <c r="ANF2310" s="38"/>
      <c r="ANG2310" s="38"/>
      <c r="ANH2310" s="38"/>
      <c r="ANI2310" s="38"/>
      <c r="ANJ2310" s="38"/>
      <c r="ANK2310" s="38"/>
      <c r="ANL2310" s="38"/>
      <c r="ANM2310" s="38"/>
      <c r="ANN2310" s="38"/>
      <c r="ANO2310" s="38"/>
      <c r="ANP2310" s="38"/>
      <c r="ANQ2310" s="38"/>
      <c r="ANR2310" s="38"/>
      <c r="ANS2310" s="38"/>
      <c r="ANT2310" s="38"/>
      <c r="ANU2310" s="38"/>
      <c r="ANV2310" s="38"/>
      <c r="ANW2310" s="38"/>
      <c r="ANX2310" s="38"/>
      <c r="ANY2310" s="38"/>
      <c r="ANZ2310" s="38"/>
      <c r="AOA2310" s="38"/>
      <c r="AOB2310" s="38"/>
      <c r="AOC2310" s="38"/>
      <c r="AOD2310" s="38"/>
      <c r="AOE2310" s="38"/>
      <c r="AOF2310" s="38"/>
      <c r="AOG2310" s="38"/>
      <c r="AOH2310" s="38"/>
      <c r="AOI2310" s="38"/>
      <c r="AOJ2310" s="38"/>
      <c r="AOK2310" s="38"/>
      <c r="AOL2310" s="38"/>
      <c r="AOM2310" s="38"/>
      <c r="AON2310" s="38"/>
      <c r="AOO2310" s="38"/>
      <c r="AOP2310" s="38"/>
      <c r="AOQ2310" s="38"/>
      <c r="AOR2310" s="38"/>
      <c r="AOS2310" s="38"/>
      <c r="AOT2310" s="38"/>
      <c r="AOU2310" s="38"/>
      <c r="AOV2310" s="38"/>
      <c r="AOW2310" s="38"/>
      <c r="AOX2310" s="38"/>
      <c r="AOY2310" s="38"/>
      <c r="AOZ2310" s="38"/>
      <c r="APA2310" s="38"/>
      <c r="APB2310" s="38"/>
      <c r="APC2310" s="38"/>
    </row>
    <row r="2311" spans="1:1095" s="36" customFormat="1" ht="14.25" customHeight="1">
      <c r="A2311" s="3" t="s">
        <v>1722</v>
      </c>
      <c r="B2311" s="36" t="s">
        <v>2863</v>
      </c>
      <c r="C2311" s="10">
        <v>4058075433441</v>
      </c>
      <c r="D2311" s="246"/>
      <c r="E2311" s="249"/>
      <c r="F2311" s="222" t="s">
        <v>3136</v>
      </c>
      <c r="G2311" s="66" t="str">
        <f>HYPERLINK("https://ledvance.com/pt/product-datasheet/6976/112395","Ficha de Produto")</f>
        <v>Ficha de Produto</v>
      </c>
      <c r="H2311" s="217">
        <v>6</v>
      </c>
      <c r="I2311" s="34" t="s">
        <v>6354</v>
      </c>
      <c r="J2311" s="34" t="s">
        <v>6398</v>
      </c>
      <c r="K2311" s="34" t="s">
        <v>788</v>
      </c>
      <c r="L2311" s="34" t="s">
        <v>793</v>
      </c>
      <c r="M2311" s="247">
        <v>7.8</v>
      </c>
      <c r="N2311" s="288" t="s">
        <v>722</v>
      </c>
    </row>
    <row r="2312" spans="1:1095" s="36" customFormat="1" ht="14.25" customHeight="1">
      <c r="A2312" s="3" t="s">
        <v>1722</v>
      </c>
      <c r="B2312" s="36" t="s">
        <v>2864</v>
      </c>
      <c r="C2312" s="10">
        <v>4058075433465</v>
      </c>
      <c r="D2312" s="246"/>
      <c r="E2312" s="249"/>
      <c r="F2312" s="222" t="s">
        <v>3136</v>
      </c>
      <c r="G2312" s="66" t="str">
        <f>HYPERLINK("https://ledvance.com/pt/product-datasheet/6976/112408","Ficha de Produto")</f>
        <v>Ficha de Produto</v>
      </c>
      <c r="H2312" s="217">
        <v>6</v>
      </c>
      <c r="I2312" s="34" t="s">
        <v>6354</v>
      </c>
      <c r="J2312" s="34" t="s">
        <v>6398</v>
      </c>
      <c r="K2312" s="34" t="s">
        <v>788</v>
      </c>
      <c r="L2312" s="34" t="s">
        <v>793</v>
      </c>
      <c r="M2312" s="247">
        <v>7.8</v>
      </c>
      <c r="N2312" s="288" t="s">
        <v>722</v>
      </c>
    </row>
    <row r="2313" spans="1:1095" s="39" customFormat="1" ht="14.25" customHeight="1">
      <c r="A2313" s="8" t="s">
        <v>1722</v>
      </c>
      <c r="B2313" s="244" t="s">
        <v>2865</v>
      </c>
      <c r="C2313" s="8"/>
      <c r="D2313" s="7"/>
      <c r="E2313" s="230"/>
      <c r="F2313" s="7"/>
      <c r="G2313" s="68"/>
      <c r="H2313" s="230"/>
      <c r="I2313" s="230"/>
      <c r="J2313" s="230"/>
      <c r="K2313" s="230"/>
      <c r="L2313" s="230"/>
      <c r="M2313" s="248"/>
      <c r="N2313" s="292"/>
      <c r="O2313" s="38"/>
      <c r="P2313" s="38"/>
      <c r="Q2313" s="38"/>
      <c r="R2313" s="38"/>
      <c r="S2313" s="38"/>
      <c r="T2313" s="38"/>
      <c r="U2313" s="38"/>
      <c r="V2313" s="38"/>
      <c r="W2313" s="38"/>
      <c r="X2313" s="38"/>
      <c r="Y2313" s="38"/>
      <c r="Z2313" s="38"/>
      <c r="AA2313" s="38"/>
      <c r="AB2313" s="38"/>
      <c r="AC2313" s="38"/>
      <c r="AD2313" s="38"/>
      <c r="AE2313" s="38"/>
      <c r="AF2313" s="38"/>
      <c r="AG2313" s="38"/>
      <c r="AH2313" s="38"/>
      <c r="AI2313" s="38"/>
      <c r="AJ2313" s="38"/>
      <c r="AK2313" s="38"/>
      <c r="AL2313" s="38"/>
      <c r="AM2313" s="38"/>
      <c r="AN2313" s="38"/>
      <c r="AO2313" s="38"/>
      <c r="AP2313" s="38"/>
      <c r="AQ2313" s="38"/>
      <c r="AR2313" s="38"/>
      <c r="AS2313" s="38"/>
      <c r="AT2313" s="38"/>
      <c r="AU2313" s="38"/>
      <c r="AV2313" s="38"/>
      <c r="AW2313" s="38"/>
      <c r="AX2313" s="38"/>
      <c r="AY2313" s="38"/>
      <c r="AZ2313" s="38"/>
      <c r="BA2313" s="38"/>
      <c r="BB2313" s="38"/>
      <c r="BC2313" s="38"/>
      <c r="BD2313" s="38"/>
      <c r="BE2313" s="38"/>
      <c r="BF2313" s="38"/>
      <c r="BG2313" s="38"/>
      <c r="BH2313" s="38"/>
      <c r="BI2313" s="38"/>
      <c r="BJ2313" s="38"/>
      <c r="BK2313" s="38"/>
      <c r="BL2313" s="38"/>
      <c r="BM2313" s="38"/>
      <c r="BN2313" s="38"/>
      <c r="BO2313" s="38"/>
      <c r="BP2313" s="38"/>
      <c r="BQ2313" s="38"/>
      <c r="BR2313" s="38"/>
      <c r="BS2313" s="38"/>
      <c r="BT2313" s="38"/>
      <c r="BU2313" s="38"/>
      <c r="BV2313" s="38"/>
      <c r="BW2313" s="38"/>
      <c r="BX2313" s="38"/>
      <c r="BY2313" s="38"/>
      <c r="BZ2313" s="38"/>
      <c r="CA2313" s="38"/>
      <c r="CB2313" s="38"/>
      <c r="CC2313" s="38"/>
      <c r="CD2313" s="38"/>
      <c r="CE2313" s="38"/>
      <c r="CF2313" s="38"/>
      <c r="CG2313" s="38"/>
      <c r="CH2313" s="38"/>
      <c r="CI2313" s="38"/>
      <c r="CJ2313" s="38"/>
      <c r="CK2313" s="38"/>
      <c r="CL2313" s="38"/>
      <c r="CM2313" s="38"/>
      <c r="CN2313" s="38"/>
      <c r="CO2313" s="38"/>
      <c r="CP2313" s="38"/>
      <c r="CQ2313" s="38"/>
      <c r="CR2313" s="38"/>
      <c r="CS2313" s="38"/>
      <c r="CT2313" s="38"/>
      <c r="CU2313" s="38"/>
      <c r="CV2313" s="38"/>
      <c r="CW2313" s="38"/>
      <c r="CX2313" s="38"/>
      <c r="CY2313" s="38"/>
      <c r="CZ2313" s="38"/>
      <c r="DA2313" s="38"/>
      <c r="DB2313" s="38"/>
      <c r="DC2313" s="38"/>
      <c r="DD2313" s="38"/>
      <c r="DE2313" s="38"/>
      <c r="DF2313" s="38"/>
      <c r="DG2313" s="38"/>
      <c r="DH2313" s="38"/>
      <c r="DI2313" s="38"/>
      <c r="DJ2313" s="38"/>
      <c r="DK2313" s="38"/>
      <c r="DL2313" s="38"/>
      <c r="DM2313" s="38"/>
      <c r="DN2313" s="38"/>
      <c r="DO2313" s="38"/>
      <c r="DP2313" s="38"/>
      <c r="DQ2313" s="38"/>
      <c r="DR2313" s="38"/>
      <c r="DS2313" s="38"/>
      <c r="DT2313" s="38"/>
      <c r="DU2313" s="38"/>
      <c r="DV2313" s="38"/>
      <c r="DW2313" s="38"/>
      <c r="DX2313" s="38"/>
      <c r="DY2313" s="38"/>
      <c r="DZ2313" s="38"/>
      <c r="EA2313" s="38"/>
      <c r="EB2313" s="38"/>
      <c r="EC2313" s="38"/>
      <c r="ED2313" s="38"/>
      <c r="EE2313" s="38"/>
      <c r="EF2313" s="38"/>
      <c r="EG2313" s="38"/>
      <c r="EH2313" s="38"/>
      <c r="EI2313" s="38"/>
      <c r="EJ2313" s="38"/>
      <c r="EK2313" s="38"/>
      <c r="EL2313" s="38"/>
      <c r="EM2313" s="38"/>
      <c r="EN2313" s="38"/>
      <c r="EO2313" s="38"/>
      <c r="EP2313" s="38"/>
      <c r="EQ2313" s="38"/>
      <c r="ER2313" s="38"/>
      <c r="ES2313" s="38"/>
      <c r="ET2313" s="38"/>
      <c r="EU2313" s="38"/>
      <c r="EV2313" s="38"/>
      <c r="EW2313" s="38"/>
      <c r="EX2313" s="38"/>
      <c r="EY2313" s="38"/>
      <c r="EZ2313" s="38"/>
      <c r="FA2313" s="38"/>
      <c r="FB2313" s="38"/>
      <c r="FC2313" s="38"/>
      <c r="FD2313" s="38"/>
      <c r="FE2313" s="38"/>
      <c r="FF2313" s="38"/>
      <c r="FG2313" s="38"/>
      <c r="FH2313" s="38"/>
      <c r="FI2313" s="38"/>
      <c r="FJ2313" s="38"/>
      <c r="FK2313" s="38"/>
      <c r="FL2313" s="38"/>
      <c r="FM2313" s="38"/>
      <c r="FN2313" s="38"/>
      <c r="FO2313" s="38"/>
      <c r="FP2313" s="38"/>
      <c r="FQ2313" s="38"/>
      <c r="FR2313" s="38"/>
      <c r="FS2313" s="38"/>
      <c r="FT2313" s="38"/>
      <c r="FU2313" s="38"/>
      <c r="FV2313" s="38"/>
      <c r="FW2313" s="38"/>
      <c r="FX2313" s="38"/>
      <c r="FY2313" s="38"/>
      <c r="FZ2313" s="38"/>
      <c r="GA2313" s="38"/>
      <c r="GB2313" s="38"/>
      <c r="GC2313" s="38"/>
      <c r="GD2313" s="38"/>
      <c r="GE2313" s="38"/>
      <c r="GF2313" s="38"/>
      <c r="GG2313" s="38"/>
      <c r="GH2313" s="38"/>
      <c r="GI2313" s="38"/>
      <c r="GJ2313" s="38"/>
      <c r="GK2313" s="38"/>
      <c r="GL2313" s="38"/>
      <c r="GM2313" s="38"/>
      <c r="GN2313" s="38"/>
      <c r="GO2313" s="38"/>
      <c r="GP2313" s="38"/>
      <c r="GQ2313" s="38"/>
      <c r="GR2313" s="38"/>
      <c r="GS2313" s="38"/>
      <c r="GT2313" s="38"/>
      <c r="GU2313" s="38"/>
      <c r="GV2313" s="38"/>
      <c r="GW2313" s="38"/>
      <c r="GX2313" s="38"/>
      <c r="GY2313" s="38"/>
      <c r="GZ2313" s="38"/>
      <c r="HA2313" s="38"/>
      <c r="HB2313" s="38"/>
      <c r="HC2313" s="38"/>
      <c r="HD2313" s="38"/>
      <c r="HE2313" s="38"/>
      <c r="HF2313" s="38"/>
      <c r="HG2313" s="38"/>
      <c r="HH2313" s="38"/>
      <c r="HI2313" s="38"/>
      <c r="HJ2313" s="38"/>
      <c r="HK2313" s="38"/>
      <c r="HL2313" s="38"/>
      <c r="HM2313" s="38"/>
      <c r="HN2313" s="38"/>
      <c r="HO2313" s="38"/>
      <c r="HP2313" s="38"/>
      <c r="HQ2313" s="38"/>
      <c r="HR2313" s="38"/>
      <c r="HS2313" s="38"/>
      <c r="HT2313" s="38"/>
      <c r="HU2313" s="38"/>
      <c r="HV2313" s="38"/>
      <c r="HW2313" s="38"/>
      <c r="HX2313" s="38"/>
      <c r="HY2313" s="38"/>
      <c r="HZ2313" s="38"/>
      <c r="IA2313" s="38"/>
      <c r="IB2313" s="38"/>
      <c r="IC2313" s="38"/>
      <c r="ID2313" s="38"/>
      <c r="IE2313" s="38"/>
      <c r="IF2313" s="38"/>
      <c r="IG2313" s="38"/>
      <c r="IH2313" s="38"/>
      <c r="II2313" s="38"/>
      <c r="IJ2313" s="38"/>
      <c r="IK2313" s="38"/>
      <c r="IL2313" s="38"/>
      <c r="IM2313" s="38"/>
      <c r="IN2313" s="38"/>
      <c r="IO2313" s="38"/>
      <c r="IP2313" s="38"/>
      <c r="IQ2313" s="38"/>
      <c r="IR2313" s="38"/>
      <c r="IS2313" s="38"/>
      <c r="IT2313" s="38"/>
      <c r="IU2313" s="38"/>
      <c r="IV2313" s="38"/>
      <c r="IW2313" s="38"/>
      <c r="IX2313" s="38"/>
      <c r="IY2313" s="38"/>
      <c r="IZ2313" s="38"/>
      <c r="JA2313" s="38"/>
      <c r="JB2313" s="38"/>
      <c r="JC2313" s="38"/>
      <c r="JD2313" s="38"/>
      <c r="JE2313" s="38"/>
      <c r="JF2313" s="38"/>
      <c r="JG2313" s="38"/>
      <c r="JH2313" s="38"/>
      <c r="JI2313" s="38"/>
      <c r="JJ2313" s="38"/>
      <c r="JK2313" s="38"/>
      <c r="JL2313" s="38"/>
      <c r="JM2313" s="38"/>
      <c r="JN2313" s="38"/>
      <c r="JO2313" s="38"/>
      <c r="JP2313" s="38"/>
      <c r="JQ2313" s="38"/>
      <c r="JR2313" s="38"/>
      <c r="JS2313" s="38"/>
      <c r="JT2313" s="38"/>
      <c r="JU2313" s="38"/>
      <c r="JV2313" s="38"/>
      <c r="JW2313" s="38"/>
      <c r="JX2313" s="38"/>
      <c r="JY2313" s="38"/>
      <c r="JZ2313" s="38"/>
      <c r="KA2313" s="38"/>
      <c r="KB2313" s="38"/>
      <c r="KC2313" s="38"/>
      <c r="KD2313" s="38"/>
      <c r="KE2313" s="38"/>
      <c r="KF2313" s="38"/>
      <c r="KG2313" s="38"/>
      <c r="KH2313" s="38"/>
      <c r="KI2313" s="38"/>
      <c r="KJ2313" s="38"/>
      <c r="KK2313" s="38"/>
      <c r="KL2313" s="38"/>
      <c r="KM2313" s="38"/>
      <c r="KN2313" s="38"/>
      <c r="KO2313" s="38"/>
      <c r="KP2313" s="38"/>
      <c r="KQ2313" s="38"/>
      <c r="KR2313" s="38"/>
      <c r="KS2313" s="38"/>
      <c r="KT2313" s="38"/>
      <c r="KU2313" s="38"/>
      <c r="KV2313" s="38"/>
      <c r="KW2313" s="38"/>
      <c r="KX2313" s="38"/>
      <c r="KY2313" s="38"/>
      <c r="KZ2313" s="38"/>
      <c r="LA2313" s="38"/>
      <c r="LB2313" s="38"/>
      <c r="LC2313" s="38"/>
      <c r="LD2313" s="38"/>
      <c r="LE2313" s="38"/>
      <c r="LF2313" s="38"/>
      <c r="LG2313" s="38"/>
      <c r="LH2313" s="38"/>
      <c r="LI2313" s="38"/>
      <c r="LJ2313" s="38"/>
      <c r="LK2313" s="38"/>
      <c r="LL2313" s="38"/>
      <c r="LM2313" s="38"/>
      <c r="LN2313" s="38"/>
      <c r="LO2313" s="38"/>
      <c r="LP2313" s="38"/>
      <c r="LQ2313" s="38"/>
      <c r="LR2313" s="38"/>
      <c r="LS2313" s="38"/>
      <c r="LT2313" s="38"/>
      <c r="LU2313" s="38"/>
      <c r="LV2313" s="38"/>
      <c r="LW2313" s="38"/>
      <c r="LX2313" s="38"/>
      <c r="LY2313" s="38"/>
      <c r="LZ2313" s="38"/>
      <c r="MA2313" s="38"/>
      <c r="MB2313" s="38"/>
      <c r="MC2313" s="38"/>
      <c r="MD2313" s="38"/>
      <c r="ME2313" s="38"/>
      <c r="MF2313" s="38"/>
      <c r="MG2313" s="38"/>
      <c r="MH2313" s="38"/>
      <c r="MI2313" s="38"/>
      <c r="MJ2313" s="38"/>
      <c r="MK2313" s="38"/>
      <c r="ML2313" s="38"/>
      <c r="MM2313" s="38"/>
      <c r="MN2313" s="38"/>
      <c r="MO2313" s="38"/>
      <c r="MP2313" s="38"/>
      <c r="MQ2313" s="38"/>
      <c r="MR2313" s="38"/>
      <c r="MS2313" s="38"/>
      <c r="MT2313" s="38"/>
      <c r="MU2313" s="38"/>
      <c r="MV2313" s="38"/>
      <c r="MW2313" s="38"/>
      <c r="MX2313" s="38"/>
      <c r="MY2313" s="38"/>
      <c r="MZ2313" s="38"/>
      <c r="NA2313" s="38"/>
      <c r="NB2313" s="38"/>
      <c r="NC2313" s="38"/>
      <c r="ND2313" s="38"/>
      <c r="NE2313" s="38"/>
      <c r="NF2313" s="38"/>
      <c r="NG2313" s="38"/>
      <c r="NH2313" s="38"/>
      <c r="NI2313" s="38"/>
      <c r="NJ2313" s="38"/>
      <c r="NK2313" s="38"/>
      <c r="NL2313" s="38"/>
      <c r="NM2313" s="38"/>
      <c r="NN2313" s="38"/>
      <c r="NO2313" s="38"/>
      <c r="NP2313" s="38"/>
      <c r="NQ2313" s="38"/>
      <c r="NR2313" s="38"/>
      <c r="NS2313" s="38"/>
      <c r="NT2313" s="38"/>
      <c r="NU2313" s="38"/>
      <c r="NV2313" s="38"/>
      <c r="NW2313" s="38"/>
      <c r="NX2313" s="38"/>
      <c r="NY2313" s="38"/>
      <c r="NZ2313" s="38"/>
      <c r="OA2313" s="38"/>
      <c r="OB2313" s="38"/>
      <c r="OC2313" s="38"/>
      <c r="OD2313" s="38"/>
      <c r="OE2313" s="38"/>
      <c r="OF2313" s="38"/>
      <c r="OG2313" s="38"/>
      <c r="OH2313" s="38"/>
      <c r="OI2313" s="38"/>
      <c r="OJ2313" s="38"/>
      <c r="OK2313" s="38"/>
      <c r="OL2313" s="38"/>
      <c r="OM2313" s="38"/>
      <c r="ON2313" s="38"/>
      <c r="OO2313" s="38"/>
      <c r="OP2313" s="38"/>
      <c r="OQ2313" s="38"/>
      <c r="OR2313" s="38"/>
      <c r="OS2313" s="38"/>
      <c r="OT2313" s="38"/>
      <c r="OU2313" s="38"/>
      <c r="OV2313" s="38"/>
      <c r="OW2313" s="38"/>
      <c r="OX2313" s="38"/>
      <c r="OY2313" s="38"/>
      <c r="OZ2313" s="38"/>
      <c r="PA2313" s="38"/>
      <c r="PB2313" s="38"/>
      <c r="PC2313" s="38"/>
      <c r="PD2313" s="38"/>
      <c r="PE2313" s="38"/>
      <c r="PF2313" s="38"/>
      <c r="PG2313" s="38"/>
      <c r="PH2313" s="38"/>
      <c r="PI2313" s="38"/>
      <c r="PJ2313" s="38"/>
      <c r="PK2313" s="38"/>
      <c r="PL2313" s="38"/>
      <c r="PM2313" s="38"/>
      <c r="PN2313" s="38"/>
      <c r="PO2313" s="38"/>
      <c r="PP2313" s="38"/>
      <c r="PQ2313" s="38"/>
      <c r="PR2313" s="38"/>
      <c r="PS2313" s="38"/>
      <c r="PT2313" s="38"/>
      <c r="PU2313" s="38"/>
      <c r="PV2313" s="38"/>
      <c r="PW2313" s="38"/>
      <c r="PX2313" s="38"/>
      <c r="PY2313" s="38"/>
      <c r="PZ2313" s="38"/>
      <c r="QA2313" s="38"/>
      <c r="QB2313" s="38"/>
      <c r="QC2313" s="38"/>
      <c r="QD2313" s="38"/>
      <c r="QE2313" s="38"/>
      <c r="QF2313" s="38"/>
      <c r="QG2313" s="38"/>
      <c r="QH2313" s="38"/>
      <c r="QI2313" s="38"/>
      <c r="QJ2313" s="38"/>
      <c r="QK2313" s="38"/>
      <c r="QL2313" s="38"/>
      <c r="QM2313" s="38"/>
      <c r="QN2313" s="38"/>
      <c r="QO2313" s="38"/>
      <c r="QP2313" s="38"/>
      <c r="QQ2313" s="38"/>
      <c r="QR2313" s="38"/>
      <c r="QS2313" s="38"/>
      <c r="QT2313" s="38"/>
      <c r="QU2313" s="38"/>
      <c r="QV2313" s="38"/>
      <c r="QW2313" s="38"/>
      <c r="QX2313" s="38"/>
      <c r="QY2313" s="38"/>
      <c r="QZ2313" s="38"/>
      <c r="RA2313" s="38"/>
      <c r="RB2313" s="38"/>
      <c r="RC2313" s="38"/>
      <c r="RD2313" s="38"/>
      <c r="RE2313" s="38"/>
      <c r="RF2313" s="38"/>
      <c r="RG2313" s="38"/>
      <c r="RH2313" s="38"/>
      <c r="RI2313" s="38"/>
      <c r="RJ2313" s="38"/>
      <c r="RK2313" s="38"/>
      <c r="RL2313" s="38"/>
      <c r="RM2313" s="38"/>
      <c r="RN2313" s="38"/>
      <c r="RO2313" s="38"/>
      <c r="RP2313" s="38"/>
      <c r="RQ2313" s="38"/>
      <c r="RR2313" s="38"/>
      <c r="RS2313" s="38"/>
      <c r="RT2313" s="38"/>
      <c r="RU2313" s="38"/>
      <c r="RV2313" s="38"/>
      <c r="RW2313" s="38"/>
      <c r="RX2313" s="38"/>
      <c r="RY2313" s="38"/>
      <c r="RZ2313" s="38"/>
      <c r="SA2313" s="38"/>
      <c r="SB2313" s="38"/>
      <c r="SC2313" s="38"/>
      <c r="SD2313" s="38"/>
      <c r="SE2313" s="38"/>
      <c r="SF2313" s="38"/>
      <c r="SG2313" s="38"/>
      <c r="SH2313" s="38"/>
      <c r="SI2313" s="38"/>
      <c r="SJ2313" s="38"/>
      <c r="SK2313" s="38"/>
      <c r="SL2313" s="38"/>
      <c r="SM2313" s="38"/>
      <c r="SN2313" s="38"/>
      <c r="SO2313" s="38"/>
      <c r="SP2313" s="38"/>
      <c r="SQ2313" s="38"/>
      <c r="SR2313" s="38"/>
      <c r="SS2313" s="38"/>
      <c r="ST2313" s="38"/>
      <c r="SU2313" s="38"/>
      <c r="SV2313" s="38"/>
      <c r="SW2313" s="38"/>
      <c r="SX2313" s="38"/>
      <c r="SY2313" s="38"/>
      <c r="SZ2313" s="38"/>
      <c r="TA2313" s="38"/>
      <c r="TB2313" s="38"/>
      <c r="TC2313" s="38"/>
      <c r="TD2313" s="38"/>
      <c r="TE2313" s="38"/>
      <c r="TF2313" s="38"/>
      <c r="TG2313" s="38"/>
      <c r="TH2313" s="38"/>
      <c r="TI2313" s="38"/>
      <c r="TJ2313" s="38"/>
      <c r="TK2313" s="38"/>
      <c r="TL2313" s="38"/>
      <c r="TM2313" s="38"/>
      <c r="TN2313" s="38"/>
      <c r="TO2313" s="38"/>
      <c r="TP2313" s="38"/>
      <c r="TQ2313" s="38"/>
      <c r="TR2313" s="38"/>
      <c r="TS2313" s="38"/>
      <c r="TT2313" s="38"/>
      <c r="TU2313" s="38"/>
      <c r="TV2313" s="38"/>
      <c r="TW2313" s="38"/>
      <c r="TX2313" s="38"/>
      <c r="TY2313" s="38"/>
      <c r="TZ2313" s="38"/>
      <c r="UA2313" s="38"/>
      <c r="UB2313" s="38"/>
      <c r="UC2313" s="38"/>
      <c r="UD2313" s="38"/>
      <c r="UE2313" s="38"/>
      <c r="UF2313" s="38"/>
      <c r="UG2313" s="38"/>
      <c r="UH2313" s="38"/>
      <c r="UI2313" s="38"/>
      <c r="UJ2313" s="38"/>
      <c r="UK2313" s="38"/>
      <c r="UL2313" s="38"/>
      <c r="UM2313" s="38"/>
      <c r="UN2313" s="38"/>
      <c r="UO2313" s="38"/>
      <c r="UP2313" s="38"/>
      <c r="UQ2313" s="38"/>
      <c r="UR2313" s="38"/>
      <c r="US2313" s="38"/>
      <c r="UT2313" s="38"/>
      <c r="UU2313" s="38"/>
      <c r="UV2313" s="38"/>
      <c r="UW2313" s="38"/>
      <c r="UX2313" s="38"/>
      <c r="UY2313" s="38"/>
      <c r="UZ2313" s="38"/>
      <c r="VA2313" s="38"/>
      <c r="VB2313" s="38"/>
      <c r="VC2313" s="38"/>
      <c r="VD2313" s="38"/>
      <c r="VE2313" s="38"/>
      <c r="VF2313" s="38"/>
      <c r="VG2313" s="38"/>
      <c r="VH2313" s="38"/>
      <c r="VI2313" s="38"/>
      <c r="VJ2313" s="38"/>
      <c r="VK2313" s="38"/>
      <c r="VL2313" s="38"/>
      <c r="VM2313" s="38"/>
      <c r="VN2313" s="38"/>
      <c r="VO2313" s="38"/>
      <c r="VP2313" s="38"/>
      <c r="VQ2313" s="38"/>
      <c r="VR2313" s="38"/>
      <c r="VS2313" s="38"/>
      <c r="VT2313" s="38"/>
      <c r="VU2313" s="38"/>
      <c r="VV2313" s="38"/>
      <c r="VW2313" s="38"/>
      <c r="VX2313" s="38"/>
      <c r="VY2313" s="38"/>
      <c r="VZ2313" s="38"/>
      <c r="WA2313" s="38"/>
      <c r="WB2313" s="38"/>
      <c r="WC2313" s="38"/>
      <c r="WD2313" s="38"/>
      <c r="WE2313" s="38"/>
      <c r="WF2313" s="38"/>
      <c r="WG2313" s="38"/>
      <c r="WH2313" s="38"/>
      <c r="WI2313" s="38"/>
      <c r="WJ2313" s="38"/>
      <c r="WK2313" s="38"/>
      <c r="WL2313" s="38"/>
      <c r="WM2313" s="38"/>
      <c r="WN2313" s="38"/>
      <c r="WO2313" s="38"/>
      <c r="WP2313" s="38"/>
      <c r="WQ2313" s="38"/>
      <c r="WR2313" s="38"/>
      <c r="WS2313" s="38"/>
      <c r="WT2313" s="38"/>
      <c r="WU2313" s="38"/>
      <c r="WV2313" s="38"/>
      <c r="WW2313" s="38"/>
      <c r="WX2313" s="38"/>
      <c r="WY2313" s="38"/>
      <c r="WZ2313" s="38"/>
      <c r="XA2313" s="38"/>
      <c r="XB2313" s="38"/>
      <c r="XC2313" s="38"/>
      <c r="XD2313" s="38"/>
      <c r="XE2313" s="38"/>
      <c r="XF2313" s="38"/>
      <c r="XG2313" s="38"/>
      <c r="XH2313" s="38"/>
      <c r="XI2313" s="38"/>
      <c r="XJ2313" s="38"/>
      <c r="XK2313" s="38"/>
      <c r="XL2313" s="38"/>
      <c r="XM2313" s="38"/>
      <c r="XN2313" s="38"/>
      <c r="XO2313" s="38"/>
      <c r="XP2313" s="38"/>
      <c r="XQ2313" s="38"/>
      <c r="XR2313" s="38"/>
      <c r="XS2313" s="38"/>
      <c r="XT2313" s="38"/>
      <c r="XU2313" s="38"/>
      <c r="XV2313" s="38"/>
      <c r="XW2313" s="38"/>
      <c r="XX2313" s="38"/>
      <c r="XY2313" s="38"/>
      <c r="XZ2313" s="38"/>
      <c r="YA2313" s="38"/>
      <c r="YB2313" s="38"/>
      <c r="YC2313" s="38"/>
      <c r="YD2313" s="38"/>
      <c r="YE2313" s="38"/>
      <c r="YF2313" s="38"/>
      <c r="YG2313" s="38"/>
      <c r="YH2313" s="38"/>
      <c r="YI2313" s="38"/>
      <c r="YJ2313" s="38"/>
      <c r="YK2313" s="38"/>
      <c r="YL2313" s="38"/>
      <c r="YM2313" s="38"/>
      <c r="YN2313" s="38"/>
      <c r="YO2313" s="38"/>
      <c r="YP2313" s="38"/>
      <c r="YQ2313" s="38"/>
      <c r="YR2313" s="38"/>
      <c r="YS2313" s="38"/>
      <c r="YT2313" s="38"/>
      <c r="YU2313" s="38"/>
      <c r="YV2313" s="38"/>
      <c r="YW2313" s="38"/>
      <c r="YX2313" s="38"/>
      <c r="YY2313" s="38"/>
      <c r="YZ2313" s="38"/>
      <c r="ZA2313" s="38"/>
      <c r="ZB2313" s="38"/>
      <c r="ZC2313" s="38"/>
      <c r="ZD2313" s="38"/>
      <c r="ZE2313" s="38"/>
      <c r="ZF2313" s="38"/>
      <c r="ZG2313" s="38"/>
      <c r="ZH2313" s="38"/>
      <c r="ZI2313" s="38"/>
      <c r="ZJ2313" s="38"/>
      <c r="ZK2313" s="38"/>
      <c r="ZL2313" s="38"/>
      <c r="ZM2313" s="38"/>
      <c r="ZN2313" s="38"/>
      <c r="ZO2313" s="38"/>
      <c r="ZP2313" s="38"/>
      <c r="ZQ2313" s="38"/>
      <c r="ZR2313" s="38"/>
      <c r="ZS2313" s="38"/>
      <c r="ZT2313" s="38"/>
      <c r="ZU2313" s="38"/>
      <c r="ZV2313" s="38"/>
      <c r="ZW2313" s="38"/>
      <c r="ZX2313" s="38"/>
      <c r="ZY2313" s="38"/>
      <c r="ZZ2313" s="38"/>
      <c r="AAA2313" s="38"/>
      <c r="AAB2313" s="38"/>
      <c r="AAC2313" s="38"/>
      <c r="AAD2313" s="38"/>
      <c r="AAE2313" s="38"/>
      <c r="AAF2313" s="38"/>
      <c r="AAG2313" s="38"/>
      <c r="AAH2313" s="38"/>
      <c r="AAI2313" s="38"/>
      <c r="AAJ2313" s="38"/>
      <c r="AAK2313" s="38"/>
      <c r="AAL2313" s="38"/>
      <c r="AAM2313" s="38"/>
      <c r="AAN2313" s="38"/>
      <c r="AAO2313" s="38"/>
      <c r="AAP2313" s="38"/>
      <c r="AAQ2313" s="38"/>
      <c r="AAR2313" s="38"/>
      <c r="AAS2313" s="38"/>
      <c r="AAT2313" s="38"/>
      <c r="AAU2313" s="38"/>
      <c r="AAV2313" s="38"/>
      <c r="AAW2313" s="38"/>
      <c r="AAX2313" s="38"/>
      <c r="AAY2313" s="38"/>
      <c r="AAZ2313" s="38"/>
      <c r="ABA2313" s="38"/>
      <c r="ABB2313" s="38"/>
      <c r="ABC2313" s="38"/>
      <c r="ABD2313" s="38"/>
      <c r="ABE2313" s="38"/>
      <c r="ABF2313" s="38"/>
      <c r="ABG2313" s="38"/>
      <c r="ABH2313" s="38"/>
      <c r="ABI2313" s="38"/>
      <c r="ABJ2313" s="38"/>
      <c r="ABK2313" s="38"/>
      <c r="ABL2313" s="38"/>
      <c r="ABM2313" s="38"/>
      <c r="ABN2313" s="38"/>
      <c r="ABO2313" s="38"/>
      <c r="ABP2313" s="38"/>
      <c r="ABQ2313" s="38"/>
      <c r="ABR2313" s="38"/>
      <c r="ABS2313" s="38"/>
      <c r="ABT2313" s="38"/>
      <c r="ABU2313" s="38"/>
      <c r="ABV2313" s="38"/>
      <c r="ABW2313" s="38"/>
      <c r="ABX2313" s="38"/>
      <c r="ABY2313" s="38"/>
      <c r="ABZ2313" s="38"/>
      <c r="ACA2313" s="38"/>
      <c r="ACB2313" s="38"/>
      <c r="ACC2313" s="38"/>
      <c r="ACD2313" s="38"/>
      <c r="ACE2313" s="38"/>
      <c r="ACF2313" s="38"/>
      <c r="ACG2313" s="38"/>
      <c r="ACH2313" s="38"/>
      <c r="ACI2313" s="38"/>
      <c r="ACJ2313" s="38"/>
      <c r="ACK2313" s="38"/>
      <c r="ACL2313" s="38"/>
      <c r="ACM2313" s="38"/>
      <c r="ACN2313" s="38"/>
      <c r="ACO2313" s="38"/>
      <c r="ACP2313" s="38"/>
      <c r="ACQ2313" s="38"/>
      <c r="ACR2313" s="38"/>
      <c r="ACS2313" s="38"/>
      <c r="ACT2313" s="38"/>
      <c r="ACU2313" s="38"/>
      <c r="ACV2313" s="38"/>
      <c r="ACW2313" s="38"/>
      <c r="ACX2313" s="38"/>
      <c r="ACY2313" s="38"/>
      <c r="ACZ2313" s="38"/>
      <c r="ADA2313" s="38"/>
      <c r="ADB2313" s="38"/>
      <c r="ADC2313" s="38"/>
      <c r="ADD2313" s="38"/>
      <c r="ADE2313" s="38"/>
      <c r="ADF2313" s="38"/>
      <c r="ADG2313" s="38"/>
      <c r="ADH2313" s="38"/>
      <c r="ADI2313" s="38"/>
      <c r="ADJ2313" s="38"/>
      <c r="ADK2313" s="38"/>
      <c r="ADL2313" s="38"/>
      <c r="ADM2313" s="38"/>
      <c r="ADN2313" s="38"/>
      <c r="ADO2313" s="38"/>
      <c r="ADP2313" s="38"/>
      <c r="ADQ2313" s="38"/>
      <c r="ADR2313" s="38"/>
      <c r="ADS2313" s="38"/>
      <c r="ADT2313" s="38"/>
      <c r="ADU2313" s="38"/>
      <c r="ADV2313" s="38"/>
      <c r="ADW2313" s="38"/>
      <c r="ADX2313" s="38"/>
      <c r="ADY2313" s="38"/>
      <c r="ADZ2313" s="38"/>
      <c r="AEA2313" s="38"/>
      <c r="AEB2313" s="38"/>
      <c r="AEC2313" s="38"/>
      <c r="AED2313" s="38"/>
      <c r="AEE2313" s="38"/>
      <c r="AEF2313" s="38"/>
      <c r="AEG2313" s="38"/>
      <c r="AEH2313" s="38"/>
      <c r="AEI2313" s="38"/>
      <c r="AEJ2313" s="38"/>
      <c r="AEK2313" s="38"/>
      <c r="AEL2313" s="38"/>
      <c r="AEM2313" s="38"/>
      <c r="AEN2313" s="38"/>
      <c r="AEO2313" s="38"/>
      <c r="AEP2313" s="38"/>
      <c r="AEQ2313" s="38"/>
      <c r="AER2313" s="38"/>
      <c r="AES2313" s="38"/>
      <c r="AET2313" s="38"/>
      <c r="AEU2313" s="38"/>
      <c r="AEV2313" s="38"/>
      <c r="AEW2313" s="38"/>
      <c r="AEX2313" s="38"/>
      <c r="AEY2313" s="38"/>
      <c r="AEZ2313" s="38"/>
      <c r="AFA2313" s="38"/>
      <c r="AFB2313" s="38"/>
      <c r="AFC2313" s="38"/>
      <c r="AFD2313" s="38"/>
      <c r="AFE2313" s="38"/>
      <c r="AFF2313" s="38"/>
      <c r="AFG2313" s="38"/>
      <c r="AFH2313" s="38"/>
      <c r="AFI2313" s="38"/>
      <c r="AFJ2313" s="38"/>
      <c r="AFK2313" s="38"/>
      <c r="AFL2313" s="38"/>
      <c r="AFM2313" s="38"/>
      <c r="AFN2313" s="38"/>
      <c r="AFO2313" s="38"/>
      <c r="AFP2313" s="38"/>
      <c r="AFQ2313" s="38"/>
      <c r="AFR2313" s="38"/>
      <c r="AFS2313" s="38"/>
      <c r="AFT2313" s="38"/>
      <c r="AFU2313" s="38"/>
      <c r="AFV2313" s="38"/>
      <c r="AFW2313" s="38"/>
      <c r="AFX2313" s="38"/>
      <c r="AFY2313" s="38"/>
      <c r="AFZ2313" s="38"/>
      <c r="AGA2313" s="38"/>
      <c r="AGB2313" s="38"/>
      <c r="AGC2313" s="38"/>
      <c r="AGD2313" s="38"/>
      <c r="AGE2313" s="38"/>
      <c r="AGF2313" s="38"/>
      <c r="AGG2313" s="38"/>
      <c r="AGH2313" s="38"/>
      <c r="AGI2313" s="38"/>
      <c r="AGJ2313" s="38"/>
      <c r="AGK2313" s="38"/>
      <c r="AGL2313" s="38"/>
      <c r="AGM2313" s="38"/>
      <c r="AGN2313" s="38"/>
      <c r="AGO2313" s="38"/>
      <c r="AGP2313" s="38"/>
      <c r="AGQ2313" s="38"/>
      <c r="AGR2313" s="38"/>
      <c r="AGS2313" s="38"/>
      <c r="AGT2313" s="38"/>
      <c r="AGU2313" s="38"/>
      <c r="AGV2313" s="38"/>
      <c r="AGW2313" s="38"/>
      <c r="AGX2313" s="38"/>
      <c r="AGY2313" s="38"/>
      <c r="AGZ2313" s="38"/>
      <c r="AHA2313" s="38"/>
      <c r="AHB2313" s="38"/>
      <c r="AHC2313" s="38"/>
      <c r="AHD2313" s="38"/>
      <c r="AHE2313" s="38"/>
      <c r="AHF2313" s="38"/>
      <c r="AHG2313" s="38"/>
      <c r="AHH2313" s="38"/>
      <c r="AHI2313" s="38"/>
      <c r="AHJ2313" s="38"/>
      <c r="AHK2313" s="38"/>
      <c r="AHL2313" s="38"/>
      <c r="AHM2313" s="38"/>
      <c r="AHN2313" s="38"/>
      <c r="AHO2313" s="38"/>
      <c r="AHP2313" s="38"/>
      <c r="AHQ2313" s="38"/>
      <c r="AHR2313" s="38"/>
      <c r="AHS2313" s="38"/>
      <c r="AHT2313" s="38"/>
      <c r="AHU2313" s="38"/>
      <c r="AHV2313" s="38"/>
      <c r="AHW2313" s="38"/>
      <c r="AHX2313" s="38"/>
      <c r="AHY2313" s="38"/>
      <c r="AHZ2313" s="38"/>
      <c r="AIA2313" s="38"/>
      <c r="AIB2313" s="38"/>
      <c r="AIC2313" s="38"/>
      <c r="AID2313" s="38"/>
      <c r="AIE2313" s="38"/>
      <c r="AIF2313" s="38"/>
      <c r="AIG2313" s="38"/>
      <c r="AIH2313" s="38"/>
      <c r="AII2313" s="38"/>
      <c r="AIJ2313" s="38"/>
      <c r="AIK2313" s="38"/>
      <c r="AIL2313" s="38"/>
      <c r="AIM2313" s="38"/>
      <c r="AIN2313" s="38"/>
      <c r="AIO2313" s="38"/>
      <c r="AIP2313" s="38"/>
      <c r="AIQ2313" s="38"/>
      <c r="AIR2313" s="38"/>
      <c r="AIS2313" s="38"/>
      <c r="AIT2313" s="38"/>
      <c r="AIU2313" s="38"/>
      <c r="AIV2313" s="38"/>
      <c r="AIW2313" s="38"/>
      <c r="AIX2313" s="38"/>
      <c r="AIY2313" s="38"/>
      <c r="AIZ2313" s="38"/>
      <c r="AJA2313" s="38"/>
      <c r="AJB2313" s="38"/>
      <c r="AJC2313" s="38"/>
      <c r="AJD2313" s="38"/>
      <c r="AJE2313" s="38"/>
      <c r="AJF2313" s="38"/>
      <c r="AJG2313" s="38"/>
      <c r="AJH2313" s="38"/>
      <c r="AJI2313" s="38"/>
      <c r="AJJ2313" s="38"/>
      <c r="AJK2313" s="38"/>
      <c r="AJL2313" s="38"/>
      <c r="AJM2313" s="38"/>
      <c r="AJN2313" s="38"/>
      <c r="AJO2313" s="38"/>
      <c r="AJP2313" s="38"/>
      <c r="AJQ2313" s="38"/>
      <c r="AJR2313" s="38"/>
      <c r="AJS2313" s="38"/>
      <c r="AJT2313" s="38"/>
      <c r="AJU2313" s="38"/>
      <c r="AJV2313" s="38"/>
      <c r="AJW2313" s="38"/>
      <c r="AJX2313" s="38"/>
      <c r="AJY2313" s="38"/>
      <c r="AJZ2313" s="38"/>
      <c r="AKA2313" s="38"/>
      <c r="AKB2313" s="38"/>
      <c r="AKC2313" s="38"/>
      <c r="AKD2313" s="38"/>
      <c r="AKE2313" s="38"/>
      <c r="AKF2313" s="38"/>
      <c r="AKG2313" s="38"/>
      <c r="AKH2313" s="38"/>
      <c r="AKI2313" s="38"/>
      <c r="AKJ2313" s="38"/>
      <c r="AKK2313" s="38"/>
      <c r="AKL2313" s="38"/>
      <c r="AKM2313" s="38"/>
      <c r="AKN2313" s="38"/>
      <c r="AKO2313" s="38"/>
      <c r="AKP2313" s="38"/>
      <c r="AKQ2313" s="38"/>
      <c r="AKR2313" s="38"/>
      <c r="AKS2313" s="38"/>
      <c r="AKT2313" s="38"/>
      <c r="AKU2313" s="38"/>
      <c r="AKV2313" s="38"/>
      <c r="AKW2313" s="38"/>
      <c r="AKX2313" s="38"/>
      <c r="AKY2313" s="38"/>
      <c r="AKZ2313" s="38"/>
      <c r="ALA2313" s="38"/>
      <c r="ALB2313" s="38"/>
      <c r="ALC2313" s="38"/>
      <c r="ALD2313" s="38"/>
      <c r="ALE2313" s="38"/>
      <c r="ALF2313" s="38"/>
      <c r="ALG2313" s="38"/>
      <c r="ALH2313" s="38"/>
      <c r="ALI2313" s="38"/>
      <c r="ALJ2313" s="38"/>
      <c r="ALK2313" s="38"/>
      <c r="ALL2313" s="38"/>
      <c r="ALM2313" s="38"/>
      <c r="ALN2313" s="38"/>
      <c r="ALO2313" s="38"/>
      <c r="ALP2313" s="38"/>
      <c r="ALQ2313" s="38"/>
      <c r="ALR2313" s="38"/>
      <c r="ALS2313" s="38"/>
      <c r="ALT2313" s="38"/>
      <c r="ALU2313" s="38"/>
      <c r="ALV2313" s="38"/>
      <c r="ALW2313" s="38"/>
      <c r="ALX2313" s="38"/>
      <c r="ALY2313" s="38"/>
      <c r="ALZ2313" s="38"/>
      <c r="AMA2313" s="38"/>
      <c r="AMB2313" s="38"/>
      <c r="AMC2313" s="38"/>
      <c r="AMD2313" s="38"/>
      <c r="AME2313" s="38"/>
      <c r="AMF2313" s="38"/>
      <c r="AMG2313" s="38"/>
      <c r="AMH2313" s="38"/>
      <c r="AMI2313" s="38"/>
      <c r="AMJ2313" s="38"/>
      <c r="AMK2313" s="38"/>
      <c r="AML2313" s="38"/>
      <c r="AMM2313" s="38"/>
      <c r="AMN2313" s="38"/>
      <c r="AMO2313" s="38"/>
      <c r="AMP2313" s="38"/>
      <c r="AMQ2313" s="38"/>
      <c r="AMR2313" s="38"/>
      <c r="AMS2313" s="38"/>
      <c r="AMT2313" s="38"/>
      <c r="AMU2313" s="38"/>
      <c r="AMV2313" s="38"/>
      <c r="AMW2313" s="38"/>
      <c r="AMX2313" s="38"/>
      <c r="AMY2313" s="38"/>
      <c r="AMZ2313" s="38"/>
      <c r="ANA2313" s="38"/>
      <c r="ANB2313" s="38"/>
      <c r="ANC2313" s="38"/>
      <c r="AND2313" s="38"/>
      <c r="ANE2313" s="38"/>
      <c r="ANF2313" s="38"/>
      <c r="ANG2313" s="38"/>
      <c r="ANH2313" s="38"/>
      <c r="ANI2313" s="38"/>
      <c r="ANJ2313" s="38"/>
      <c r="ANK2313" s="38"/>
      <c r="ANL2313" s="38"/>
      <c r="ANM2313" s="38"/>
      <c r="ANN2313" s="38"/>
      <c r="ANO2313" s="38"/>
      <c r="ANP2313" s="38"/>
      <c r="ANQ2313" s="38"/>
      <c r="ANR2313" s="38"/>
      <c r="ANS2313" s="38"/>
      <c r="ANT2313" s="38"/>
      <c r="ANU2313" s="38"/>
      <c r="ANV2313" s="38"/>
      <c r="ANW2313" s="38"/>
      <c r="ANX2313" s="38"/>
      <c r="ANY2313" s="38"/>
      <c r="ANZ2313" s="38"/>
      <c r="AOA2313" s="38"/>
      <c r="AOB2313" s="38"/>
      <c r="AOC2313" s="38"/>
      <c r="AOD2313" s="38"/>
      <c r="AOE2313" s="38"/>
      <c r="AOF2313" s="38"/>
      <c r="AOG2313" s="38"/>
      <c r="AOH2313" s="38"/>
      <c r="AOI2313" s="38"/>
      <c r="AOJ2313" s="38"/>
      <c r="AOK2313" s="38"/>
      <c r="AOL2313" s="38"/>
      <c r="AOM2313" s="38"/>
      <c r="AON2313" s="38"/>
      <c r="AOO2313" s="38"/>
      <c r="AOP2313" s="38"/>
      <c r="AOQ2313" s="38"/>
      <c r="AOR2313" s="38"/>
      <c r="AOS2313" s="38"/>
      <c r="AOT2313" s="38"/>
      <c r="AOU2313" s="38"/>
      <c r="AOV2313" s="38"/>
      <c r="AOW2313" s="38"/>
      <c r="AOX2313" s="38"/>
      <c r="AOY2313" s="38"/>
      <c r="AOZ2313" s="38"/>
      <c r="APA2313" s="38"/>
      <c r="APB2313" s="38"/>
      <c r="APC2313" s="38"/>
    </row>
    <row r="2314" spans="1:1095" s="36" customFormat="1" ht="14.25" customHeight="1">
      <c r="A2314" s="3" t="s">
        <v>1722</v>
      </c>
      <c r="B2314" s="36" t="s">
        <v>2866</v>
      </c>
      <c r="C2314" s="10">
        <v>4099854048524</v>
      </c>
      <c r="D2314" s="224">
        <v>4058075607774</v>
      </c>
      <c r="E2314" s="245" t="s">
        <v>2867</v>
      </c>
      <c r="F2314" s="246"/>
      <c r="G2314" s="66" t="str">
        <f>HYPERLINK("https://ledvance.com/pt/product-datasheet/250926/235861","Ficha de Produto")</f>
        <v>Ficha de Produto</v>
      </c>
      <c r="H2314" s="217">
        <v>6</v>
      </c>
      <c r="I2314" s="34" t="s">
        <v>856</v>
      </c>
      <c r="J2314" s="34" t="s">
        <v>6407</v>
      </c>
      <c r="K2314" s="34" t="s">
        <v>788</v>
      </c>
      <c r="L2314" s="34" t="s">
        <v>765</v>
      </c>
      <c r="M2314" s="247">
        <v>36.300000000000004</v>
      </c>
      <c r="N2314" s="288" t="s">
        <v>722</v>
      </c>
    </row>
    <row r="2315" spans="1:1095" s="36" customFormat="1" ht="14.25" customHeight="1">
      <c r="A2315" s="3" t="s">
        <v>1722</v>
      </c>
      <c r="B2315" s="36" t="s">
        <v>2868</v>
      </c>
      <c r="C2315" s="10">
        <v>4099854048548</v>
      </c>
      <c r="D2315" s="224">
        <v>4058075607798</v>
      </c>
      <c r="E2315" s="245" t="s">
        <v>2869</v>
      </c>
      <c r="F2315" s="246"/>
      <c r="G2315" s="66" t="str">
        <f>HYPERLINK("https://ledvance.com/pt/product-datasheet/250926/235867","Ficha de Produto")</f>
        <v>Ficha de Produto</v>
      </c>
      <c r="H2315" s="217">
        <v>6</v>
      </c>
      <c r="I2315" s="34" t="s">
        <v>856</v>
      </c>
      <c r="J2315" s="34" t="s">
        <v>6407</v>
      </c>
      <c r="K2315" s="34" t="s">
        <v>788</v>
      </c>
      <c r="L2315" s="34" t="s">
        <v>765</v>
      </c>
      <c r="M2315" s="247">
        <v>36.300000000000004</v>
      </c>
      <c r="N2315" s="288" t="s">
        <v>722</v>
      </c>
    </row>
    <row r="2316" spans="1:1095" s="36" customFormat="1" ht="14.25" customHeight="1">
      <c r="A2316" s="3" t="s">
        <v>1722</v>
      </c>
      <c r="B2316" s="36" t="s">
        <v>2868</v>
      </c>
      <c r="C2316" s="10">
        <v>4099854048845</v>
      </c>
      <c r="D2316" s="224">
        <v>4058075607750</v>
      </c>
      <c r="E2316" s="245" t="s">
        <v>2869</v>
      </c>
      <c r="F2316" s="246"/>
      <c r="G2316" s="66" t="str">
        <f>HYPERLINK("https://ledvance.com/pt/product-datasheet/250926/235882","Ficha de Produto")</f>
        <v>Ficha de Produto</v>
      </c>
      <c r="H2316" s="217">
        <v>6</v>
      </c>
      <c r="I2316" s="34" t="s">
        <v>856</v>
      </c>
      <c r="J2316" s="34" t="s">
        <v>6407</v>
      </c>
      <c r="K2316" s="34" t="s">
        <v>788</v>
      </c>
      <c r="L2316" s="34" t="s">
        <v>765</v>
      </c>
      <c r="M2316" s="247">
        <v>36.300000000000004</v>
      </c>
      <c r="N2316" s="288" t="s">
        <v>722</v>
      </c>
    </row>
    <row r="2317" spans="1:1095" s="36" customFormat="1" ht="14.25" customHeight="1">
      <c r="A2317" s="3" t="s">
        <v>1722</v>
      </c>
      <c r="B2317" s="36" t="s">
        <v>2866</v>
      </c>
      <c r="C2317" s="10">
        <v>4099854048708</v>
      </c>
      <c r="D2317" s="224">
        <v>4058075607736</v>
      </c>
      <c r="E2317" s="245" t="s">
        <v>2870</v>
      </c>
      <c r="F2317" s="246"/>
      <c r="G2317" s="66" t="str">
        <f>HYPERLINK("https://ledvance.com/pt/product-datasheet/250926/235875","Ficha de Produto")</f>
        <v>Ficha de Produto</v>
      </c>
      <c r="H2317" s="217">
        <v>6</v>
      </c>
      <c r="I2317" s="34" t="s">
        <v>856</v>
      </c>
      <c r="J2317" s="34" t="s">
        <v>6407</v>
      </c>
      <c r="K2317" s="34" t="s">
        <v>788</v>
      </c>
      <c r="L2317" s="34" t="s">
        <v>765</v>
      </c>
      <c r="M2317" s="247">
        <v>36.300000000000004</v>
      </c>
      <c r="N2317" s="288" t="s">
        <v>722</v>
      </c>
    </row>
    <row r="2318" spans="1:1095" s="36" customFormat="1" ht="14.25" customHeight="1">
      <c r="A2318" s="3" t="s">
        <v>1722</v>
      </c>
      <c r="B2318" s="36" t="s">
        <v>2871</v>
      </c>
      <c r="C2318" s="10">
        <v>4099854048982</v>
      </c>
      <c r="D2318" s="224">
        <v>4058075608559</v>
      </c>
      <c r="E2318" s="245" t="s">
        <v>2872</v>
      </c>
      <c r="F2318" s="246"/>
      <c r="G2318" s="66" t="str">
        <f>HYPERLINK("https://ledvance.com/pt/product-datasheet/250926/235888","Ficha de Produto")</f>
        <v>Ficha de Produto</v>
      </c>
      <c r="H2318" s="217">
        <v>6</v>
      </c>
      <c r="I2318" s="34" t="s">
        <v>827</v>
      </c>
      <c r="J2318" s="34" t="s">
        <v>6408</v>
      </c>
      <c r="K2318" s="34" t="s">
        <v>788</v>
      </c>
      <c r="L2318" s="34" t="s">
        <v>765</v>
      </c>
      <c r="M2318" s="247">
        <v>44.1</v>
      </c>
      <c r="N2318" s="288" t="s">
        <v>722</v>
      </c>
    </row>
    <row r="2319" spans="1:1095" s="36" customFormat="1" ht="14.25" customHeight="1">
      <c r="A2319" s="3" t="s">
        <v>1722</v>
      </c>
      <c r="B2319" s="36" t="s">
        <v>2873</v>
      </c>
      <c r="C2319" s="10">
        <v>4099854049040</v>
      </c>
      <c r="D2319" s="224">
        <v>4058075608573</v>
      </c>
      <c r="E2319" s="245" t="s">
        <v>2874</v>
      </c>
      <c r="F2319" s="246"/>
      <c r="G2319" s="66" t="str">
        <f>HYPERLINK("https://ledvance.com/pt/product-datasheet/250926/235895","Ficha de Produto")</f>
        <v>Ficha de Produto</v>
      </c>
      <c r="H2319" s="217">
        <v>6</v>
      </c>
      <c r="I2319" s="34" t="s">
        <v>827</v>
      </c>
      <c r="J2319" s="34" t="s">
        <v>6408</v>
      </c>
      <c r="K2319" s="34" t="s">
        <v>788</v>
      </c>
      <c r="L2319" s="34" t="s">
        <v>765</v>
      </c>
      <c r="M2319" s="247">
        <v>44.1</v>
      </c>
      <c r="N2319" s="288" t="s">
        <v>722</v>
      </c>
    </row>
    <row r="2320" spans="1:1095" s="36" customFormat="1" ht="14.25" customHeight="1">
      <c r="A2320" s="3" t="s">
        <v>1722</v>
      </c>
      <c r="B2320" s="36" t="s">
        <v>2875</v>
      </c>
      <c r="C2320" s="10">
        <v>4099854049064</v>
      </c>
      <c r="D2320" s="224">
        <v>4058075608597</v>
      </c>
      <c r="E2320" s="245" t="s">
        <v>2876</v>
      </c>
      <c r="F2320" s="246"/>
      <c r="G2320" s="66" t="str">
        <f>HYPERLINK("https://ledvance.com/pt/product-datasheet/250926/235901","Ficha de Produto")</f>
        <v>Ficha de Produto</v>
      </c>
      <c r="H2320" s="217">
        <v>6</v>
      </c>
      <c r="I2320" s="34" t="s">
        <v>827</v>
      </c>
      <c r="J2320" s="34" t="s">
        <v>6408</v>
      </c>
      <c r="K2320" s="34" t="s">
        <v>788</v>
      </c>
      <c r="L2320" s="34" t="s">
        <v>765</v>
      </c>
      <c r="M2320" s="247">
        <v>44.1</v>
      </c>
      <c r="N2320" s="288" t="s">
        <v>722</v>
      </c>
    </row>
    <row r="2321" spans="1:1095" s="36" customFormat="1" ht="14.25" customHeight="1">
      <c r="A2321" s="3" t="s">
        <v>1722</v>
      </c>
      <c r="B2321" s="36" t="s">
        <v>2871</v>
      </c>
      <c r="C2321" s="10">
        <v>4099854049125</v>
      </c>
      <c r="D2321" s="224">
        <v>4058075608511</v>
      </c>
      <c r="E2321" s="245" t="s">
        <v>2872</v>
      </c>
      <c r="F2321" s="246"/>
      <c r="G2321" s="66" t="str">
        <f>HYPERLINK("https://ledvance.com/pt/product-datasheet/250926/235908","Ficha de Produto")</f>
        <v>Ficha de Produto</v>
      </c>
      <c r="H2321" s="217">
        <v>6</v>
      </c>
      <c r="I2321" s="34" t="s">
        <v>827</v>
      </c>
      <c r="J2321" s="34" t="s">
        <v>6408</v>
      </c>
      <c r="K2321" s="34" t="s">
        <v>788</v>
      </c>
      <c r="L2321" s="34" t="s">
        <v>765</v>
      </c>
      <c r="M2321" s="247">
        <v>44.1</v>
      </c>
      <c r="N2321" s="288" t="s">
        <v>722</v>
      </c>
    </row>
    <row r="2322" spans="1:1095" s="36" customFormat="1" ht="14.25" customHeight="1">
      <c r="A2322" s="3" t="s">
        <v>1722</v>
      </c>
      <c r="B2322" s="36" t="s">
        <v>2873</v>
      </c>
      <c r="C2322" s="10">
        <v>4099854049163</v>
      </c>
      <c r="D2322" s="224">
        <v>4058075608535</v>
      </c>
      <c r="E2322" s="245" t="s">
        <v>2874</v>
      </c>
      <c r="F2322" s="246"/>
      <c r="G2322" s="66" t="str">
        <f>HYPERLINK("https://ledvance.com/pt/product-datasheet/250926/235915","Ficha de Produto")</f>
        <v>Ficha de Produto</v>
      </c>
      <c r="H2322" s="217">
        <v>6</v>
      </c>
      <c r="I2322" s="34" t="s">
        <v>827</v>
      </c>
      <c r="J2322" s="34" t="s">
        <v>6408</v>
      </c>
      <c r="K2322" s="34" t="s">
        <v>788</v>
      </c>
      <c r="L2322" s="34" t="s">
        <v>765</v>
      </c>
      <c r="M2322" s="247">
        <v>44.1</v>
      </c>
      <c r="N2322" s="288" t="s">
        <v>722</v>
      </c>
    </row>
    <row r="2323" spans="1:1095" s="36" customFormat="1" ht="14.25" customHeight="1">
      <c r="A2323" s="3" t="s">
        <v>1722</v>
      </c>
      <c r="B2323" s="36" t="s">
        <v>2877</v>
      </c>
      <c r="C2323" s="10">
        <v>4099854070655</v>
      </c>
      <c r="D2323" s="224">
        <v>4058075608474</v>
      </c>
      <c r="E2323" s="245" t="s">
        <v>2878</v>
      </c>
      <c r="F2323" s="246"/>
      <c r="G2323" s="66" t="str">
        <f>HYPERLINK("https://ledvance.com/pt/product-datasheet/250926/239188","Ficha de Produto")</f>
        <v>Ficha de Produto</v>
      </c>
      <c r="H2323" s="217">
        <v>6</v>
      </c>
      <c r="I2323" s="34" t="s">
        <v>1034</v>
      </c>
      <c r="J2323" s="34" t="s">
        <v>6310</v>
      </c>
      <c r="K2323" s="34" t="s">
        <v>788</v>
      </c>
      <c r="L2323" s="34" t="s">
        <v>765</v>
      </c>
      <c r="M2323" s="247">
        <v>52.2</v>
      </c>
      <c r="N2323" s="288" t="s">
        <v>722</v>
      </c>
    </row>
    <row r="2324" spans="1:1095" s="39" customFormat="1" ht="14.25" customHeight="1">
      <c r="A2324" s="8" t="s">
        <v>1722</v>
      </c>
      <c r="B2324" s="244" t="s">
        <v>2879</v>
      </c>
      <c r="C2324" s="8"/>
      <c r="D2324" s="7"/>
      <c r="E2324" s="230"/>
      <c r="F2324" s="7"/>
      <c r="G2324" s="68" t="s">
        <v>6505</v>
      </c>
      <c r="H2324" s="230"/>
      <c r="I2324" s="230"/>
      <c r="J2324" s="230"/>
      <c r="K2324" s="230"/>
      <c r="L2324" s="230"/>
      <c r="M2324" s="248"/>
      <c r="N2324" s="289"/>
      <c r="O2324" s="38"/>
      <c r="P2324" s="38"/>
      <c r="Q2324" s="38"/>
      <c r="R2324" s="38"/>
      <c r="S2324" s="38"/>
      <c r="T2324" s="38"/>
      <c r="U2324" s="38"/>
      <c r="V2324" s="38"/>
      <c r="W2324" s="38"/>
      <c r="X2324" s="38"/>
      <c r="Y2324" s="38"/>
      <c r="Z2324" s="38"/>
      <c r="AA2324" s="38"/>
      <c r="AB2324" s="38"/>
      <c r="AC2324" s="38"/>
      <c r="AD2324" s="38"/>
      <c r="AE2324" s="38"/>
      <c r="AF2324" s="38"/>
      <c r="AG2324" s="38"/>
      <c r="AH2324" s="38"/>
      <c r="AI2324" s="38"/>
      <c r="AJ2324" s="38"/>
      <c r="AK2324" s="38"/>
      <c r="AL2324" s="38"/>
      <c r="AM2324" s="38"/>
      <c r="AN2324" s="38"/>
      <c r="AO2324" s="38"/>
      <c r="AP2324" s="38"/>
      <c r="AQ2324" s="38"/>
      <c r="AR2324" s="38"/>
      <c r="AS2324" s="38"/>
      <c r="AT2324" s="38"/>
      <c r="AU2324" s="38"/>
      <c r="AV2324" s="38"/>
      <c r="AW2324" s="38"/>
      <c r="AX2324" s="38"/>
      <c r="AY2324" s="38"/>
      <c r="AZ2324" s="38"/>
      <c r="BA2324" s="38"/>
      <c r="BB2324" s="38"/>
      <c r="BC2324" s="38"/>
      <c r="BD2324" s="38"/>
      <c r="BE2324" s="38"/>
      <c r="BF2324" s="38"/>
      <c r="BG2324" s="38"/>
      <c r="BH2324" s="38"/>
      <c r="BI2324" s="38"/>
      <c r="BJ2324" s="38"/>
      <c r="BK2324" s="38"/>
      <c r="BL2324" s="38"/>
      <c r="BM2324" s="38"/>
      <c r="BN2324" s="38"/>
      <c r="BO2324" s="38"/>
      <c r="BP2324" s="38"/>
      <c r="BQ2324" s="38"/>
      <c r="BR2324" s="38"/>
      <c r="BS2324" s="38"/>
      <c r="BT2324" s="38"/>
      <c r="BU2324" s="38"/>
      <c r="BV2324" s="38"/>
      <c r="BW2324" s="38"/>
      <c r="BX2324" s="38"/>
      <c r="BY2324" s="38"/>
      <c r="BZ2324" s="38"/>
      <c r="CA2324" s="38"/>
      <c r="CB2324" s="38"/>
      <c r="CC2324" s="38"/>
      <c r="CD2324" s="38"/>
      <c r="CE2324" s="38"/>
      <c r="CF2324" s="38"/>
      <c r="CG2324" s="38"/>
      <c r="CH2324" s="38"/>
      <c r="CI2324" s="38"/>
      <c r="CJ2324" s="38"/>
      <c r="CK2324" s="38"/>
      <c r="CL2324" s="38"/>
      <c r="CM2324" s="38"/>
      <c r="CN2324" s="38"/>
      <c r="CO2324" s="38"/>
      <c r="CP2324" s="38"/>
      <c r="CQ2324" s="38"/>
      <c r="CR2324" s="38"/>
      <c r="CS2324" s="38"/>
      <c r="CT2324" s="38"/>
      <c r="CU2324" s="38"/>
      <c r="CV2324" s="38"/>
      <c r="CW2324" s="38"/>
      <c r="CX2324" s="38"/>
      <c r="CY2324" s="38"/>
      <c r="CZ2324" s="38"/>
      <c r="DA2324" s="38"/>
      <c r="DB2324" s="38"/>
      <c r="DC2324" s="38"/>
      <c r="DD2324" s="38"/>
      <c r="DE2324" s="38"/>
      <c r="DF2324" s="38"/>
      <c r="DG2324" s="38"/>
      <c r="DH2324" s="38"/>
      <c r="DI2324" s="38"/>
      <c r="DJ2324" s="38"/>
      <c r="DK2324" s="38"/>
      <c r="DL2324" s="38"/>
      <c r="DM2324" s="38"/>
      <c r="DN2324" s="38"/>
      <c r="DO2324" s="38"/>
      <c r="DP2324" s="38"/>
      <c r="DQ2324" s="38"/>
      <c r="DR2324" s="38"/>
      <c r="DS2324" s="38"/>
      <c r="DT2324" s="38"/>
      <c r="DU2324" s="38"/>
      <c r="DV2324" s="38"/>
      <c r="DW2324" s="38"/>
      <c r="DX2324" s="38"/>
      <c r="DY2324" s="38"/>
      <c r="DZ2324" s="38"/>
      <c r="EA2324" s="38"/>
      <c r="EB2324" s="38"/>
      <c r="EC2324" s="38"/>
      <c r="ED2324" s="38"/>
      <c r="EE2324" s="38"/>
      <c r="EF2324" s="38"/>
      <c r="EG2324" s="38"/>
      <c r="EH2324" s="38"/>
      <c r="EI2324" s="38"/>
      <c r="EJ2324" s="38"/>
      <c r="EK2324" s="38"/>
      <c r="EL2324" s="38"/>
      <c r="EM2324" s="38"/>
      <c r="EN2324" s="38"/>
      <c r="EO2324" s="38"/>
      <c r="EP2324" s="38"/>
      <c r="EQ2324" s="38"/>
      <c r="ER2324" s="38"/>
      <c r="ES2324" s="38"/>
      <c r="ET2324" s="38"/>
      <c r="EU2324" s="38"/>
      <c r="EV2324" s="38"/>
      <c r="EW2324" s="38"/>
      <c r="EX2324" s="38"/>
      <c r="EY2324" s="38"/>
      <c r="EZ2324" s="38"/>
      <c r="FA2324" s="38"/>
      <c r="FB2324" s="38"/>
      <c r="FC2324" s="38"/>
      <c r="FD2324" s="38"/>
      <c r="FE2324" s="38"/>
      <c r="FF2324" s="38"/>
      <c r="FG2324" s="38"/>
      <c r="FH2324" s="38"/>
      <c r="FI2324" s="38"/>
      <c r="FJ2324" s="38"/>
      <c r="FK2324" s="38"/>
      <c r="FL2324" s="38"/>
      <c r="FM2324" s="38"/>
      <c r="FN2324" s="38"/>
      <c r="FO2324" s="38"/>
      <c r="FP2324" s="38"/>
      <c r="FQ2324" s="38"/>
      <c r="FR2324" s="38"/>
      <c r="FS2324" s="38"/>
      <c r="FT2324" s="38"/>
      <c r="FU2324" s="38"/>
      <c r="FV2324" s="38"/>
      <c r="FW2324" s="38"/>
      <c r="FX2324" s="38"/>
      <c r="FY2324" s="38"/>
      <c r="FZ2324" s="38"/>
      <c r="GA2324" s="38"/>
      <c r="GB2324" s="38"/>
      <c r="GC2324" s="38"/>
      <c r="GD2324" s="38"/>
      <c r="GE2324" s="38"/>
      <c r="GF2324" s="38"/>
      <c r="GG2324" s="38"/>
      <c r="GH2324" s="38"/>
      <c r="GI2324" s="38"/>
      <c r="GJ2324" s="38"/>
      <c r="GK2324" s="38"/>
      <c r="GL2324" s="38"/>
      <c r="GM2324" s="38"/>
      <c r="GN2324" s="38"/>
      <c r="GO2324" s="38"/>
      <c r="GP2324" s="38"/>
      <c r="GQ2324" s="38"/>
      <c r="GR2324" s="38"/>
      <c r="GS2324" s="38"/>
      <c r="GT2324" s="38"/>
      <c r="GU2324" s="38"/>
      <c r="GV2324" s="38"/>
      <c r="GW2324" s="38"/>
      <c r="GX2324" s="38"/>
      <c r="GY2324" s="38"/>
      <c r="GZ2324" s="38"/>
      <c r="HA2324" s="38"/>
      <c r="HB2324" s="38"/>
      <c r="HC2324" s="38"/>
      <c r="HD2324" s="38"/>
      <c r="HE2324" s="38"/>
      <c r="HF2324" s="38"/>
      <c r="HG2324" s="38"/>
      <c r="HH2324" s="38"/>
      <c r="HI2324" s="38"/>
      <c r="HJ2324" s="38"/>
      <c r="HK2324" s="38"/>
      <c r="HL2324" s="38"/>
      <c r="HM2324" s="38"/>
      <c r="HN2324" s="38"/>
      <c r="HO2324" s="38"/>
      <c r="HP2324" s="38"/>
      <c r="HQ2324" s="38"/>
      <c r="HR2324" s="38"/>
      <c r="HS2324" s="38"/>
      <c r="HT2324" s="38"/>
      <c r="HU2324" s="38"/>
      <c r="HV2324" s="38"/>
      <c r="HW2324" s="38"/>
      <c r="HX2324" s="38"/>
      <c r="HY2324" s="38"/>
      <c r="HZ2324" s="38"/>
      <c r="IA2324" s="38"/>
      <c r="IB2324" s="38"/>
      <c r="IC2324" s="38"/>
      <c r="ID2324" s="38"/>
      <c r="IE2324" s="38"/>
      <c r="IF2324" s="38"/>
      <c r="IG2324" s="38"/>
      <c r="IH2324" s="38"/>
      <c r="II2324" s="38"/>
      <c r="IJ2324" s="38"/>
      <c r="IK2324" s="38"/>
      <c r="IL2324" s="38"/>
      <c r="IM2324" s="38"/>
      <c r="IN2324" s="38"/>
      <c r="IO2324" s="38"/>
      <c r="IP2324" s="38"/>
      <c r="IQ2324" s="38"/>
      <c r="IR2324" s="38"/>
      <c r="IS2324" s="38"/>
      <c r="IT2324" s="38"/>
      <c r="IU2324" s="38"/>
      <c r="IV2324" s="38"/>
      <c r="IW2324" s="38"/>
      <c r="IX2324" s="38"/>
      <c r="IY2324" s="38"/>
      <c r="IZ2324" s="38"/>
      <c r="JA2324" s="38"/>
      <c r="JB2324" s="38"/>
      <c r="JC2324" s="38"/>
      <c r="JD2324" s="38"/>
      <c r="JE2324" s="38"/>
      <c r="JF2324" s="38"/>
      <c r="JG2324" s="38"/>
      <c r="JH2324" s="38"/>
      <c r="JI2324" s="38"/>
      <c r="JJ2324" s="38"/>
      <c r="JK2324" s="38"/>
      <c r="JL2324" s="38"/>
      <c r="JM2324" s="38"/>
      <c r="JN2324" s="38"/>
      <c r="JO2324" s="38"/>
      <c r="JP2324" s="38"/>
      <c r="JQ2324" s="38"/>
      <c r="JR2324" s="38"/>
      <c r="JS2324" s="38"/>
      <c r="JT2324" s="38"/>
      <c r="JU2324" s="38"/>
      <c r="JV2324" s="38"/>
      <c r="JW2324" s="38"/>
      <c r="JX2324" s="38"/>
      <c r="JY2324" s="38"/>
      <c r="JZ2324" s="38"/>
      <c r="KA2324" s="38"/>
      <c r="KB2324" s="38"/>
      <c r="KC2324" s="38"/>
      <c r="KD2324" s="38"/>
      <c r="KE2324" s="38"/>
      <c r="KF2324" s="38"/>
      <c r="KG2324" s="38"/>
      <c r="KH2324" s="38"/>
      <c r="KI2324" s="38"/>
      <c r="KJ2324" s="38"/>
      <c r="KK2324" s="38"/>
      <c r="KL2324" s="38"/>
      <c r="KM2324" s="38"/>
      <c r="KN2324" s="38"/>
      <c r="KO2324" s="38"/>
      <c r="KP2324" s="38"/>
      <c r="KQ2324" s="38"/>
      <c r="KR2324" s="38"/>
      <c r="KS2324" s="38"/>
      <c r="KT2324" s="38"/>
      <c r="KU2324" s="38"/>
      <c r="KV2324" s="38"/>
      <c r="KW2324" s="38"/>
      <c r="KX2324" s="38"/>
      <c r="KY2324" s="38"/>
      <c r="KZ2324" s="38"/>
      <c r="LA2324" s="38"/>
      <c r="LB2324" s="38"/>
      <c r="LC2324" s="38"/>
      <c r="LD2324" s="38"/>
      <c r="LE2324" s="38"/>
      <c r="LF2324" s="38"/>
      <c r="LG2324" s="38"/>
      <c r="LH2324" s="38"/>
      <c r="LI2324" s="38"/>
      <c r="LJ2324" s="38"/>
      <c r="LK2324" s="38"/>
      <c r="LL2324" s="38"/>
      <c r="LM2324" s="38"/>
      <c r="LN2324" s="38"/>
      <c r="LO2324" s="38"/>
      <c r="LP2324" s="38"/>
      <c r="LQ2324" s="38"/>
      <c r="LR2324" s="38"/>
      <c r="LS2324" s="38"/>
      <c r="LT2324" s="38"/>
      <c r="LU2324" s="38"/>
      <c r="LV2324" s="38"/>
      <c r="LW2324" s="38"/>
      <c r="LX2324" s="38"/>
      <c r="LY2324" s="38"/>
      <c r="LZ2324" s="38"/>
      <c r="MA2324" s="38"/>
      <c r="MB2324" s="38"/>
      <c r="MC2324" s="38"/>
      <c r="MD2324" s="38"/>
      <c r="ME2324" s="38"/>
      <c r="MF2324" s="38"/>
      <c r="MG2324" s="38"/>
      <c r="MH2324" s="38"/>
      <c r="MI2324" s="38"/>
      <c r="MJ2324" s="38"/>
      <c r="MK2324" s="38"/>
      <c r="ML2324" s="38"/>
      <c r="MM2324" s="38"/>
      <c r="MN2324" s="38"/>
      <c r="MO2324" s="38"/>
      <c r="MP2324" s="38"/>
      <c r="MQ2324" s="38"/>
      <c r="MR2324" s="38"/>
      <c r="MS2324" s="38"/>
      <c r="MT2324" s="38"/>
      <c r="MU2324" s="38"/>
      <c r="MV2324" s="38"/>
      <c r="MW2324" s="38"/>
      <c r="MX2324" s="38"/>
      <c r="MY2324" s="38"/>
      <c r="MZ2324" s="38"/>
      <c r="NA2324" s="38"/>
      <c r="NB2324" s="38"/>
      <c r="NC2324" s="38"/>
      <c r="ND2324" s="38"/>
      <c r="NE2324" s="38"/>
      <c r="NF2324" s="38"/>
      <c r="NG2324" s="38"/>
      <c r="NH2324" s="38"/>
      <c r="NI2324" s="38"/>
      <c r="NJ2324" s="38"/>
      <c r="NK2324" s="38"/>
      <c r="NL2324" s="38"/>
      <c r="NM2324" s="38"/>
      <c r="NN2324" s="38"/>
      <c r="NO2324" s="38"/>
      <c r="NP2324" s="38"/>
      <c r="NQ2324" s="38"/>
      <c r="NR2324" s="38"/>
      <c r="NS2324" s="38"/>
      <c r="NT2324" s="38"/>
      <c r="NU2324" s="38"/>
      <c r="NV2324" s="38"/>
      <c r="NW2324" s="38"/>
      <c r="NX2324" s="38"/>
      <c r="NY2324" s="38"/>
      <c r="NZ2324" s="38"/>
      <c r="OA2324" s="38"/>
      <c r="OB2324" s="38"/>
      <c r="OC2324" s="38"/>
      <c r="OD2324" s="38"/>
      <c r="OE2324" s="38"/>
      <c r="OF2324" s="38"/>
      <c r="OG2324" s="38"/>
      <c r="OH2324" s="38"/>
      <c r="OI2324" s="38"/>
      <c r="OJ2324" s="38"/>
      <c r="OK2324" s="38"/>
      <c r="OL2324" s="38"/>
      <c r="OM2324" s="38"/>
      <c r="ON2324" s="38"/>
      <c r="OO2324" s="38"/>
      <c r="OP2324" s="38"/>
      <c r="OQ2324" s="38"/>
      <c r="OR2324" s="38"/>
      <c r="OS2324" s="38"/>
      <c r="OT2324" s="38"/>
      <c r="OU2324" s="38"/>
      <c r="OV2324" s="38"/>
      <c r="OW2324" s="38"/>
      <c r="OX2324" s="38"/>
      <c r="OY2324" s="38"/>
      <c r="OZ2324" s="38"/>
      <c r="PA2324" s="38"/>
      <c r="PB2324" s="38"/>
      <c r="PC2324" s="38"/>
      <c r="PD2324" s="38"/>
      <c r="PE2324" s="38"/>
      <c r="PF2324" s="38"/>
      <c r="PG2324" s="38"/>
      <c r="PH2324" s="38"/>
      <c r="PI2324" s="38"/>
      <c r="PJ2324" s="38"/>
      <c r="PK2324" s="38"/>
      <c r="PL2324" s="38"/>
      <c r="PM2324" s="38"/>
      <c r="PN2324" s="38"/>
      <c r="PO2324" s="38"/>
      <c r="PP2324" s="38"/>
      <c r="PQ2324" s="38"/>
      <c r="PR2324" s="38"/>
      <c r="PS2324" s="38"/>
      <c r="PT2324" s="38"/>
      <c r="PU2324" s="38"/>
      <c r="PV2324" s="38"/>
      <c r="PW2324" s="38"/>
      <c r="PX2324" s="38"/>
      <c r="PY2324" s="38"/>
      <c r="PZ2324" s="38"/>
      <c r="QA2324" s="38"/>
      <c r="QB2324" s="38"/>
      <c r="QC2324" s="38"/>
      <c r="QD2324" s="38"/>
      <c r="QE2324" s="38"/>
      <c r="QF2324" s="38"/>
      <c r="QG2324" s="38"/>
      <c r="QH2324" s="38"/>
      <c r="QI2324" s="38"/>
      <c r="QJ2324" s="38"/>
      <c r="QK2324" s="38"/>
      <c r="QL2324" s="38"/>
      <c r="QM2324" s="38"/>
      <c r="QN2324" s="38"/>
      <c r="QO2324" s="38"/>
      <c r="QP2324" s="38"/>
      <c r="QQ2324" s="38"/>
      <c r="QR2324" s="38"/>
      <c r="QS2324" s="38"/>
      <c r="QT2324" s="38"/>
      <c r="QU2324" s="38"/>
      <c r="QV2324" s="38"/>
      <c r="QW2324" s="38"/>
      <c r="QX2324" s="38"/>
      <c r="QY2324" s="38"/>
      <c r="QZ2324" s="38"/>
      <c r="RA2324" s="38"/>
      <c r="RB2324" s="38"/>
      <c r="RC2324" s="38"/>
      <c r="RD2324" s="38"/>
      <c r="RE2324" s="38"/>
      <c r="RF2324" s="38"/>
      <c r="RG2324" s="38"/>
      <c r="RH2324" s="38"/>
      <c r="RI2324" s="38"/>
      <c r="RJ2324" s="38"/>
      <c r="RK2324" s="38"/>
      <c r="RL2324" s="38"/>
      <c r="RM2324" s="38"/>
      <c r="RN2324" s="38"/>
      <c r="RO2324" s="38"/>
      <c r="RP2324" s="38"/>
      <c r="RQ2324" s="38"/>
      <c r="RR2324" s="38"/>
      <c r="RS2324" s="38"/>
      <c r="RT2324" s="38"/>
      <c r="RU2324" s="38"/>
      <c r="RV2324" s="38"/>
      <c r="RW2324" s="38"/>
      <c r="RX2324" s="38"/>
      <c r="RY2324" s="38"/>
      <c r="RZ2324" s="38"/>
      <c r="SA2324" s="38"/>
      <c r="SB2324" s="38"/>
      <c r="SC2324" s="38"/>
      <c r="SD2324" s="38"/>
      <c r="SE2324" s="38"/>
      <c r="SF2324" s="38"/>
      <c r="SG2324" s="38"/>
      <c r="SH2324" s="38"/>
      <c r="SI2324" s="38"/>
      <c r="SJ2324" s="38"/>
      <c r="SK2324" s="38"/>
      <c r="SL2324" s="38"/>
      <c r="SM2324" s="38"/>
      <c r="SN2324" s="38"/>
      <c r="SO2324" s="38"/>
      <c r="SP2324" s="38"/>
      <c r="SQ2324" s="38"/>
      <c r="SR2324" s="38"/>
      <c r="SS2324" s="38"/>
      <c r="ST2324" s="38"/>
      <c r="SU2324" s="38"/>
      <c r="SV2324" s="38"/>
      <c r="SW2324" s="38"/>
      <c r="SX2324" s="38"/>
      <c r="SY2324" s="38"/>
      <c r="SZ2324" s="38"/>
      <c r="TA2324" s="38"/>
      <c r="TB2324" s="38"/>
      <c r="TC2324" s="38"/>
      <c r="TD2324" s="38"/>
      <c r="TE2324" s="38"/>
      <c r="TF2324" s="38"/>
      <c r="TG2324" s="38"/>
      <c r="TH2324" s="38"/>
      <c r="TI2324" s="38"/>
      <c r="TJ2324" s="38"/>
      <c r="TK2324" s="38"/>
      <c r="TL2324" s="38"/>
      <c r="TM2324" s="38"/>
      <c r="TN2324" s="38"/>
      <c r="TO2324" s="38"/>
      <c r="TP2324" s="38"/>
      <c r="TQ2324" s="38"/>
      <c r="TR2324" s="38"/>
      <c r="TS2324" s="38"/>
      <c r="TT2324" s="38"/>
      <c r="TU2324" s="38"/>
      <c r="TV2324" s="38"/>
      <c r="TW2324" s="38"/>
      <c r="TX2324" s="38"/>
      <c r="TY2324" s="38"/>
      <c r="TZ2324" s="38"/>
      <c r="UA2324" s="38"/>
      <c r="UB2324" s="38"/>
      <c r="UC2324" s="38"/>
      <c r="UD2324" s="38"/>
      <c r="UE2324" s="38"/>
      <c r="UF2324" s="38"/>
      <c r="UG2324" s="38"/>
      <c r="UH2324" s="38"/>
      <c r="UI2324" s="38"/>
      <c r="UJ2324" s="38"/>
      <c r="UK2324" s="38"/>
      <c r="UL2324" s="38"/>
      <c r="UM2324" s="38"/>
      <c r="UN2324" s="38"/>
      <c r="UO2324" s="38"/>
      <c r="UP2324" s="38"/>
      <c r="UQ2324" s="38"/>
      <c r="UR2324" s="38"/>
      <c r="US2324" s="38"/>
      <c r="UT2324" s="38"/>
      <c r="UU2324" s="38"/>
      <c r="UV2324" s="38"/>
      <c r="UW2324" s="38"/>
      <c r="UX2324" s="38"/>
      <c r="UY2324" s="38"/>
      <c r="UZ2324" s="38"/>
      <c r="VA2324" s="38"/>
      <c r="VB2324" s="38"/>
      <c r="VC2324" s="38"/>
      <c r="VD2324" s="38"/>
      <c r="VE2324" s="38"/>
      <c r="VF2324" s="38"/>
      <c r="VG2324" s="38"/>
      <c r="VH2324" s="38"/>
      <c r="VI2324" s="38"/>
      <c r="VJ2324" s="38"/>
      <c r="VK2324" s="38"/>
      <c r="VL2324" s="38"/>
      <c r="VM2324" s="38"/>
      <c r="VN2324" s="38"/>
      <c r="VO2324" s="38"/>
      <c r="VP2324" s="38"/>
      <c r="VQ2324" s="38"/>
      <c r="VR2324" s="38"/>
      <c r="VS2324" s="38"/>
      <c r="VT2324" s="38"/>
      <c r="VU2324" s="38"/>
      <c r="VV2324" s="38"/>
      <c r="VW2324" s="38"/>
      <c r="VX2324" s="38"/>
      <c r="VY2324" s="38"/>
      <c r="VZ2324" s="38"/>
      <c r="WA2324" s="38"/>
      <c r="WB2324" s="38"/>
      <c r="WC2324" s="38"/>
      <c r="WD2324" s="38"/>
      <c r="WE2324" s="38"/>
      <c r="WF2324" s="38"/>
      <c r="WG2324" s="38"/>
      <c r="WH2324" s="38"/>
      <c r="WI2324" s="38"/>
      <c r="WJ2324" s="38"/>
      <c r="WK2324" s="38"/>
      <c r="WL2324" s="38"/>
      <c r="WM2324" s="38"/>
      <c r="WN2324" s="38"/>
      <c r="WO2324" s="38"/>
      <c r="WP2324" s="38"/>
      <c r="WQ2324" s="38"/>
      <c r="WR2324" s="38"/>
      <c r="WS2324" s="38"/>
      <c r="WT2324" s="38"/>
      <c r="WU2324" s="38"/>
      <c r="WV2324" s="38"/>
      <c r="WW2324" s="38"/>
      <c r="WX2324" s="38"/>
      <c r="WY2324" s="38"/>
      <c r="WZ2324" s="38"/>
      <c r="XA2324" s="38"/>
      <c r="XB2324" s="38"/>
      <c r="XC2324" s="38"/>
      <c r="XD2324" s="38"/>
      <c r="XE2324" s="38"/>
      <c r="XF2324" s="38"/>
      <c r="XG2324" s="38"/>
      <c r="XH2324" s="38"/>
      <c r="XI2324" s="38"/>
      <c r="XJ2324" s="38"/>
      <c r="XK2324" s="38"/>
      <c r="XL2324" s="38"/>
      <c r="XM2324" s="38"/>
      <c r="XN2324" s="38"/>
      <c r="XO2324" s="38"/>
      <c r="XP2324" s="38"/>
      <c r="XQ2324" s="38"/>
      <c r="XR2324" s="38"/>
      <c r="XS2324" s="38"/>
      <c r="XT2324" s="38"/>
      <c r="XU2324" s="38"/>
      <c r="XV2324" s="38"/>
      <c r="XW2324" s="38"/>
      <c r="XX2324" s="38"/>
      <c r="XY2324" s="38"/>
      <c r="XZ2324" s="38"/>
      <c r="YA2324" s="38"/>
      <c r="YB2324" s="38"/>
      <c r="YC2324" s="38"/>
      <c r="YD2324" s="38"/>
      <c r="YE2324" s="38"/>
      <c r="YF2324" s="38"/>
      <c r="YG2324" s="38"/>
      <c r="YH2324" s="38"/>
      <c r="YI2324" s="38"/>
      <c r="YJ2324" s="38"/>
      <c r="YK2324" s="38"/>
      <c r="YL2324" s="38"/>
      <c r="YM2324" s="38"/>
      <c r="YN2324" s="38"/>
      <c r="YO2324" s="38"/>
      <c r="YP2324" s="38"/>
      <c r="YQ2324" s="38"/>
      <c r="YR2324" s="38"/>
      <c r="YS2324" s="38"/>
      <c r="YT2324" s="38"/>
      <c r="YU2324" s="38"/>
      <c r="YV2324" s="38"/>
      <c r="YW2324" s="38"/>
      <c r="YX2324" s="38"/>
      <c r="YY2324" s="38"/>
      <c r="YZ2324" s="38"/>
      <c r="ZA2324" s="38"/>
      <c r="ZB2324" s="38"/>
      <c r="ZC2324" s="38"/>
      <c r="ZD2324" s="38"/>
      <c r="ZE2324" s="38"/>
      <c r="ZF2324" s="38"/>
      <c r="ZG2324" s="38"/>
      <c r="ZH2324" s="38"/>
      <c r="ZI2324" s="38"/>
      <c r="ZJ2324" s="38"/>
      <c r="ZK2324" s="38"/>
      <c r="ZL2324" s="38"/>
      <c r="ZM2324" s="38"/>
      <c r="ZN2324" s="38"/>
      <c r="ZO2324" s="38"/>
      <c r="ZP2324" s="38"/>
      <c r="ZQ2324" s="38"/>
      <c r="ZR2324" s="38"/>
      <c r="ZS2324" s="38"/>
      <c r="ZT2324" s="38"/>
      <c r="ZU2324" s="38"/>
      <c r="ZV2324" s="38"/>
      <c r="ZW2324" s="38"/>
      <c r="ZX2324" s="38"/>
      <c r="ZY2324" s="38"/>
      <c r="ZZ2324" s="38"/>
      <c r="AAA2324" s="38"/>
      <c r="AAB2324" s="38"/>
      <c r="AAC2324" s="38"/>
      <c r="AAD2324" s="38"/>
      <c r="AAE2324" s="38"/>
      <c r="AAF2324" s="38"/>
      <c r="AAG2324" s="38"/>
      <c r="AAH2324" s="38"/>
      <c r="AAI2324" s="38"/>
      <c r="AAJ2324" s="38"/>
      <c r="AAK2324" s="38"/>
      <c r="AAL2324" s="38"/>
      <c r="AAM2324" s="38"/>
      <c r="AAN2324" s="38"/>
      <c r="AAO2324" s="38"/>
      <c r="AAP2324" s="38"/>
      <c r="AAQ2324" s="38"/>
      <c r="AAR2324" s="38"/>
      <c r="AAS2324" s="38"/>
      <c r="AAT2324" s="38"/>
      <c r="AAU2324" s="38"/>
      <c r="AAV2324" s="38"/>
      <c r="AAW2324" s="38"/>
      <c r="AAX2324" s="38"/>
      <c r="AAY2324" s="38"/>
      <c r="AAZ2324" s="38"/>
      <c r="ABA2324" s="38"/>
      <c r="ABB2324" s="38"/>
      <c r="ABC2324" s="38"/>
      <c r="ABD2324" s="38"/>
      <c r="ABE2324" s="38"/>
      <c r="ABF2324" s="38"/>
      <c r="ABG2324" s="38"/>
      <c r="ABH2324" s="38"/>
      <c r="ABI2324" s="38"/>
      <c r="ABJ2324" s="38"/>
      <c r="ABK2324" s="38"/>
      <c r="ABL2324" s="38"/>
      <c r="ABM2324" s="38"/>
      <c r="ABN2324" s="38"/>
      <c r="ABO2324" s="38"/>
      <c r="ABP2324" s="38"/>
      <c r="ABQ2324" s="38"/>
      <c r="ABR2324" s="38"/>
      <c r="ABS2324" s="38"/>
      <c r="ABT2324" s="38"/>
      <c r="ABU2324" s="38"/>
      <c r="ABV2324" s="38"/>
      <c r="ABW2324" s="38"/>
      <c r="ABX2324" s="38"/>
      <c r="ABY2324" s="38"/>
      <c r="ABZ2324" s="38"/>
      <c r="ACA2324" s="38"/>
      <c r="ACB2324" s="38"/>
      <c r="ACC2324" s="38"/>
      <c r="ACD2324" s="38"/>
      <c r="ACE2324" s="38"/>
      <c r="ACF2324" s="38"/>
      <c r="ACG2324" s="38"/>
      <c r="ACH2324" s="38"/>
      <c r="ACI2324" s="38"/>
      <c r="ACJ2324" s="38"/>
      <c r="ACK2324" s="38"/>
      <c r="ACL2324" s="38"/>
      <c r="ACM2324" s="38"/>
      <c r="ACN2324" s="38"/>
      <c r="ACO2324" s="38"/>
      <c r="ACP2324" s="38"/>
      <c r="ACQ2324" s="38"/>
      <c r="ACR2324" s="38"/>
      <c r="ACS2324" s="38"/>
      <c r="ACT2324" s="38"/>
      <c r="ACU2324" s="38"/>
      <c r="ACV2324" s="38"/>
      <c r="ACW2324" s="38"/>
      <c r="ACX2324" s="38"/>
      <c r="ACY2324" s="38"/>
      <c r="ACZ2324" s="38"/>
      <c r="ADA2324" s="38"/>
      <c r="ADB2324" s="38"/>
      <c r="ADC2324" s="38"/>
      <c r="ADD2324" s="38"/>
      <c r="ADE2324" s="38"/>
      <c r="ADF2324" s="38"/>
      <c r="ADG2324" s="38"/>
      <c r="ADH2324" s="38"/>
      <c r="ADI2324" s="38"/>
      <c r="ADJ2324" s="38"/>
      <c r="ADK2324" s="38"/>
      <c r="ADL2324" s="38"/>
      <c r="ADM2324" s="38"/>
      <c r="ADN2324" s="38"/>
      <c r="ADO2324" s="38"/>
      <c r="ADP2324" s="38"/>
      <c r="ADQ2324" s="38"/>
      <c r="ADR2324" s="38"/>
      <c r="ADS2324" s="38"/>
      <c r="ADT2324" s="38"/>
      <c r="ADU2324" s="38"/>
      <c r="ADV2324" s="38"/>
      <c r="ADW2324" s="38"/>
      <c r="ADX2324" s="38"/>
      <c r="ADY2324" s="38"/>
      <c r="ADZ2324" s="38"/>
      <c r="AEA2324" s="38"/>
      <c r="AEB2324" s="38"/>
      <c r="AEC2324" s="38"/>
      <c r="AED2324" s="38"/>
      <c r="AEE2324" s="38"/>
      <c r="AEF2324" s="38"/>
      <c r="AEG2324" s="38"/>
      <c r="AEH2324" s="38"/>
      <c r="AEI2324" s="38"/>
      <c r="AEJ2324" s="38"/>
      <c r="AEK2324" s="38"/>
      <c r="AEL2324" s="38"/>
      <c r="AEM2324" s="38"/>
      <c r="AEN2324" s="38"/>
      <c r="AEO2324" s="38"/>
      <c r="AEP2324" s="38"/>
      <c r="AEQ2324" s="38"/>
      <c r="AER2324" s="38"/>
      <c r="AES2324" s="38"/>
      <c r="AET2324" s="38"/>
      <c r="AEU2324" s="38"/>
      <c r="AEV2324" s="38"/>
      <c r="AEW2324" s="38"/>
      <c r="AEX2324" s="38"/>
      <c r="AEY2324" s="38"/>
      <c r="AEZ2324" s="38"/>
      <c r="AFA2324" s="38"/>
      <c r="AFB2324" s="38"/>
      <c r="AFC2324" s="38"/>
      <c r="AFD2324" s="38"/>
      <c r="AFE2324" s="38"/>
      <c r="AFF2324" s="38"/>
      <c r="AFG2324" s="38"/>
      <c r="AFH2324" s="38"/>
      <c r="AFI2324" s="38"/>
      <c r="AFJ2324" s="38"/>
      <c r="AFK2324" s="38"/>
      <c r="AFL2324" s="38"/>
      <c r="AFM2324" s="38"/>
      <c r="AFN2324" s="38"/>
      <c r="AFO2324" s="38"/>
      <c r="AFP2324" s="38"/>
      <c r="AFQ2324" s="38"/>
      <c r="AFR2324" s="38"/>
      <c r="AFS2324" s="38"/>
      <c r="AFT2324" s="38"/>
      <c r="AFU2324" s="38"/>
      <c r="AFV2324" s="38"/>
      <c r="AFW2324" s="38"/>
      <c r="AFX2324" s="38"/>
      <c r="AFY2324" s="38"/>
      <c r="AFZ2324" s="38"/>
      <c r="AGA2324" s="38"/>
      <c r="AGB2324" s="38"/>
      <c r="AGC2324" s="38"/>
      <c r="AGD2324" s="38"/>
      <c r="AGE2324" s="38"/>
      <c r="AGF2324" s="38"/>
      <c r="AGG2324" s="38"/>
      <c r="AGH2324" s="38"/>
      <c r="AGI2324" s="38"/>
      <c r="AGJ2324" s="38"/>
      <c r="AGK2324" s="38"/>
      <c r="AGL2324" s="38"/>
      <c r="AGM2324" s="38"/>
      <c r="AGN2324" s="38"/>
      <c r="AGO2324" s="38"/>
      <c r="AGP2324" s="38"/>
      <c r="AGQ2324" s="38"/>
      <c r="AGR2324" s="38"/>
      <c r="AGS2324" s="38"/>
      <c r="AGT2324" s="38"/>
      <c r="AGU2324" s="38"/>
      <c r="AGV2324" s="38"/>
      <c r="AGW2324" s="38"/>
      <c r="AGX2324" s="38"/>
      <c r="AGY2324" s="38"/>
      <c r="AGZ2324" s="38"/>
      <c r="AHA2324" s="38"/>
      <c r="AHB2324" s="38"/>
      <c r="AHC2324" s="38"/>
      <c r="AHD2324" s="38"/>
      <c r="AHE2324" s="38"/>
      <c r="AHF2324" s="38"/>
      <c r="AHG2324" s="38"/>
      <c r="AHH2324" s="38"/>
      <c r="AHI2324" s="38"/>
      <c r="AHJ2324" s="38"/>
      <c r="AHK2324" s="38"/>
      <c r="AHL2324" s="38"/>
      <c r="AHM2324" s="38"/>
      <c r="AHN2324" s="38"/>
      <c r="AHO2324" s="38"/>
      <c r="AHP2324" s="38"/>
      <c r="AHQ2324" s="38"/>
      <c r="AHR2324" s="38"/>
      <c r="AHS2324" s="38"/>
      <c r="AHT2324" s="38"/>
      <c r="AHU2324" s="38"/>
      <c r="AHV2324" s="38"/>
      <c r="AHW2324" s="38"/>
      <c r="AHX2324" s="38"/>
      <c r="AHY2324" s="38"/>
      <c r="AHZ2324" s="38"/>
      <c r="AIA2324" s="38"/>
      <c r="AIB2324" s="38"/>
      <c r="AIC2324" s="38"/>
      <c r="AID2324" s="38"/>
      <c r="AIE2324" s="38"/>
      <c r="AIF2324" s="38"/>
      <c r="AIG2324" s="38"/>
      <c r="AIH2324" s="38"/>
      <c r="AII2324" s="38"/>
      <c r="AIJ2324" s="38"/>
      <c r="AIK2324" s="38"/>
      <c r="AIL2324" s="38"/>
      <c r="AIM2324" s="38"/>
      <c r="AIN2324" s="38"/>
      <c r="AIO2324" s="38"/>
      <c r="AIP2324" s="38"/>
      <c r="AIQ2324" s="38"/>
      <c r="AIR2324" s="38"/>
      <c r="AIS2324" s="38"/>
      <c r="AIT2324" s="38"/>
      <c r="AIU2324" s="38"/>
      <c r="AIV2324" s="38"/>
      <c r="AIW2324" s="38"/>
      <c r="AIX2324" s="38"/>
      <c r="AIY2324" s="38"/>
      <c r="AIZ2324" s="38"/>
      <c r="AJA2324" s="38"/>
      <c r="AJB2324" s="38"/>
      <c r="AJC2324" s="38"/>
      <c r="AJD2324" s="38"/>
      <c r="AJE2324" s="38"/>
      <c r="AJF2324" s="38"/>
      <c r="AJG2324" s="38"/>
      <c r="AJH2324" s="38"/>
      <c r="AJI2324" s="38"/>
      <c r="AJJ2324" s="38"/>
      <c r="AJK2324" s="38"/>
      <c r="AJL2324" s="38"/>
      <c r="AJM2324" s="38"/>
      <c r="AJN2324" s="38"/>
      <c r="AJO2324" s="38"/>
      <c r="AJP2324" s="38"/>
      <c r="AJQ2324" s="38"/>
      <c r="AJR2324" s="38"/>
      <c r="AJS2324" s="38"/>
      <c r="AJT2324" s="38"/>
      <c r="AJU2324" s="38"/>
      <c r="AJV2324" s="38"/>
      <c r="AJW2324" s="38"/>
      <c r="AJX2324" s="38"/>
      <c r="AJY2324" s="38"/>
      <c r="AJZ2324" s="38"/>
      <c r="AKA2324" s="38"/>
      <c r="AKB2324" s="38"/>
      <c r="AKC2324" s="38"/>
      <c r="AKD2324" s="38"/>
      <c r="AKE2324" s="38"/>
      <c r="AKF2324" s="38"/>
      <c r="AKG2324" s="38"/>
      <c r="AKH2324" s="38"/>
      <c r="AKI2324" s="38"/>
      <c r="AKJ2324" s="38"/>
      <c r="AKK2324" s="38"/>
      <c r="AKL2324" s="38"/>
      <c r="AKM2324" s="38"/>
      <c r="AKN2324" s="38"/>
      <c r="AKO2324" s="38"/>
      <c r="AKP2324" s="38"/>
      <c r="AKQ2324" s="38"/>
      <c r="AKR2324" s="38"/>
      <c r="AKS2324" s="38"/>
      <c r="AKT2324" s="38"/>
      <c r="AKU2324" s="38"/>
      <c r="AKV2324" s="38"/>
      <c r="AKW2324" s="38"/>
      <c r="AKX2324" s="38"/>
      <c r="AKY2324" s="38"/>
      <c r="AKZ2324" s="38"/>
      <c r="ALA2324" s="38"/>
      <c r="ALB2324" s="38"/>
      <c r="ALC2324" s="38"/>
      <c r="ALD2324" s="38"/>
      <c r="ALE2324" s="38"/>
      <c r="ALF2324" s="38"/>
      <c r="ALG2324" s="38"/>
      <c r="ALH2324" s="38"/>
      <c r="ALI2324" s="38"/>
      <c r="ALJ2324" s="38"/>
      <c r="ALK2324" s="38"/>
      <c r="ALL2324" s="38"/>
      <c r="ALM2324" s="38"/>
      <c r="ALN2324" s="38"/>
      <c r="ALO2324" s="38"/>
      <c r="ALP2324" s="38"/>
      <c r="ALQ2324" s="38"/>
      <c r="ALR2324" s="38"/>
      <c r="ALS2324" s="38"/>
      <c r="ALT2324" s="38"/>
      <c r="ALU2324" s="38"/>
      <c r="ALV2324" s="38"/>
      <c r="ALW2324" s="38"/>
      <c r="ALX2324" s="38"/>
      <c r="ALY2324" s="38"/>
      <c r="ALZ2324" s="38"/>
      <c r="AMA2324" s="38"/>
      <c r="AMB2324" s="38"/>
      <c r="AMC2324" s="38"/>
      <c r="AMD2324" s="38"/>
      <c r="AME2324" s="38"/>
      <c r="AMF2324" s="38"/>
      <c r="AMG2324" s="38"/>
      <c r="AMH2324" s="38"/>
      <c r="AMI2324" s="38"/>
      <c r="AMJ2324" s="38"/>
      <c r="AMK2324" s="38"/>
      <c r="AML2324" s="38"/>
      <c r="AMM2324" s="38"/>
      <c r="AMN2324" s="38"/>
      <c r="AMO2324" s="38"/>
      <c r="AMP2324" s="38"/>
      <c r="AMQ2324" s="38"/>
      <c r="AMR2324" s="38"/>
      <c r="AMS2324" s="38"/>
      <c r="AMT2324" s="38"/>
      <c r="AMU2324" s="38"/>
      <c r="AMV2324" s="38"/>
      <c r="AMW2324" s="38"/>
      <c r="AMX2324" s="38"/>
      <c r="AMY2324" s="38"/>
      <c r="AMZ2324" s="38"/>
      <c r="ANA2324" s="38"/>
      <c r="ANB2324" s="38"/>
      <c r="ANC2324" s="38"/>
      <c r="AND2324" s="38"/>
      <c r="ANE2324" s="38"/>
      <c r="ANF2324" s="38"/>
      <c r="ANG2324" s="38"/>
      <c r="ANH2324" s="38"/>
      <c r="ANI2324" s="38"/>
      <c r="ANJ2324" s="38"/>
      <c r="ANK2324" s="38"/>
      <c r="ANL2324" s="38"/>
      <c r="ANM2324" s="38"/>
      <c r="ANN2324" s="38"/>
      <c r="ANO2324" s="38"/>
      <c r="ANP2324" s="38"/>
      <c r="ANQ2324" s="38"/>
      <c r="ANR2324" s="38"/>
      <c r="ANS2324" s="38"/>
      <c r="ANT2324" s="38"/>
      <c r="ANU2324" s="38"/>
      <c r="ANV2324" s="38"/>
      <c r="ANW2324" s="38"/>
      <c r="ANX2324" s="38"/>
      <c r="ANY2324" s="38"/>
      <c r="ANZ2324" s="38"/>
      <c r="AOA2324" s="38"/>
      <c r="AOB2324" s="38"/>
      <c r="AOC2324" s="38"/>
      <c r="AOD2324" s="38"/>
      <c r="AOE2324" s="38"/>
      <c r="AOF2324" s="38"/>
      <c r="AOG2324" s="38"/>
      <c r="AOH2324" s="38"/>
      <c r="AOI2324" s="38"/>
      <c r="AOJ2324" s="38"/>
      <c r="AOK2324" s="38"/>
      <c r="AOL2324" s="38"/>
      <c r="AOM2324" s="38"/>
      <c r="AON2324" s="38"/>
      <c r="AOO2324" s="38"/>
      <c r="AOP2324" s="38"/>
      <c r="AOQ2324" s="38"/>
      <c r="AOR2324" s="38"/>
      <c r="AOS2324" s="38"/>
      <c r="AOT2324" s="38"/>
      <c r="AOU2324" s="38"/>
      <c r="AOV2324" s="38"/>
      <c r="AOW2324" s="38"/>
      <c r="AOX2324" s="38"/>
      <c r="AOY2324" s="38"/>
      <c r="AOZ2324" s="38"/>
      <c r="APA2324" s="38"/>
      <c r="APB2324" s="38"/>
      <c r="APC2324" s="38"/>
    </row>
    <row r="2325" spans="1:1095" s="36" customFormat="1" ht="14.25" customHeight="1">
      <c r="A2325" s="3" t="s">
        <v>1722</v>
      </c>
      <c r="B2325" s="36" t="s">
        <v>2880</v>
      </c>
      <c r="C2325" s="10">
        <v>4099854071133</v>
      </c>
      <c r="D2325" s="224">
        <v>4058075607675</v>
      </c>
      <c r="E2325" s="245" t="s">
        <v>2881</v>
      </c>
      <c r="F2325" s="246"/>
      <c r="G2325" s="66" t="str">
        <f>HYPERLINK("https://ledvance.com/pt/product-datasheet/251088/239219","Ficha de Produto")</f>
        <v>Ficha de Produto</v>
      </c>
      <c r="H2325" s="217">
        <v>6</v>
      </c>
      <c r="I2325" s="34" t="s">
        <v>6390</v>
      </c>
      <c r="J2325" s="34" t="s">
        <v>6409</v>
      </c>
      <c r="K2325" s="34" t="s">
        <v>788</v>
      </c>
      <c r="L2325" s="34" t="s">
        <v>765</v>
      </c>
      <c r="M2325" s="247">
        <v>12.700000000000001</v>
      </c>
      <c r="N2325" s="288" t="s">
        <v>722</v>
      </c>
    </row>
    <row r="2326" spans="1:1095" s="36" customFormat="1" ht="14.25" customHeight="1">
      <c r="A2326" s="3" t="s">
        <v>1722</v>
      </c>
      <c r="B2326" s="36" t="s">
        <v>2882</v>
      </c>
      <c r="C2326" s="10">
        <v>4099854071195</v>
      </c>
      <c r="D2326" s="224">
        <v>4058075264304</v>
      </c>
      <c r="E2326" s="245" t="s">
        <v>2883</v>
      </c>
      <c r="F2326" s="246"/>
      <c r="G2326" s="66" t="str">
        <f>HYPERLINK("https://ledvance.com/pt/product-datasheet/251219/239222","Ficha de Produto")</f>
        <v>Ficha de Produto</v>
      </c>
      <c r="H2326" s="217">
        <v>6</v>
      </c>
      <c r="I2326" s="34" t="s">
        <v>6410</v>
      </c>
      <c r="J2326" s="34" t="s">
        <v>859</v>
      </c>
      <c r="K2326" s="34" t="s">
        <v>788</v>
      </c>
      <c r="L2326" s="34" t="s">
        <v>765</v>
      </c>
      <c r="M2326" s="247">
        <v>21.200000000000003</v>
      </c>
      <c r="N2326" s="288" t="s">
        <v>722</v>
      </c>
    </row>
    <row r="2327" spans="1:1095" s="36" customFormat="1" ht="14.25" customHeight="1">
      <c r="A2327" s="3" t="s">
        <v>1722</v>
      </c>
      <c r="B2327" s="36" t="s">
        <v>2884</v>
      </c>
      <c r="C2327" s="10">
        <v>4099854071270</v>
      </c>
      <c r="D2327" s="224">
        <v>4058075264083</v>
      </c>
      <c r="E2327" s="245" t="s">
        <v>2885</v>
      </c>
      <c r="F2327" s="246"/>
      <c r="G2327" s="66" t="str">
        <f>HYPERLINK("https://ledvance.com/pt/product-datasheet/251228/239225","Ficha de Produto")</f>
        <v>Ficha de Produto</v>
      </c>
      <c r="H2327" s="217">
        <v>6</v>
      </c>
      <c r="I2327" s="34" t="s">
        <v>6411</v>
      </c>
      <c r="J2327" s="34" t="s">
        <v>6412</v>
      </c>
      <c r="K2327" s="34" t="s">
        <v>822</v>
      </c>
      <c r="L2327" s="34" t="s">
        <v>765</v>
      </c>
      <c r="M2327" s="247">
        <v>31.1</v>
      </c>
      <c r="N2327" s="288" t="s">
        <v>722</v>
      </c>
    </row>
    <row r="2328" spans="1:1095" s="36" customFormat="1" ht="14.25" customHeight="1">
      <c r="A2328" s="3" t="s">
        <v>1722</v>
      </c>
      <c r="B2328" s="36" t="s">
        <v>2886</v>
      </c>
      <c r="C2328" s="10">
        <v>4099854067808</v>
      </c>
      <c r="D2328" s="224">
        <v>4058075264069</v>
      </c>
      <c r="E2328" s="245" t="s">
        <v>2887</v>
      </c>
      <c r="F2328" s="246"/>
      <c r="G2328" s="66" t="str">
        <f>HYPERLINK("https://ledvance.com/pt/product-datasheet/251224/238441","Ficha de Produto")</f>
        <v>Ficha de Produto</v>
      </c>
      <c r="H2328" s="217">
        <v>6</v>
      </c>
      <c r="I2328" s="34" t="s">
        <v>6411</v>
      </c>
      <c r="J2328" s="34" t="s">
        <v>6310</v>
      </c>
      <c r="K2328" s="34" t="s">
        <v>822</v>
      </c>
      <c r="L2328" s="34" t="s">
        <v>6506</v>
      </c>
      <c r="M2328" s="247">
        <v>22.400000000000002</v>
      </c>
      <c r="N2328" s="288" t="s">
        <v>722</v>
      </c>
    </row>
    <row r="2329" spans="1:1095" s="36" customFormat="1" ht="14.25" customHeight="1">
      <c r="A2329" s="3" t="s">
        <v>1722</v>
      </c>
      <c r="B2329" s="36" t="s">
        <v>2886</v>
      </c>
      <c r="C2329" s="10">
        <v>4099854067822</v>
      </c>
      <c r="D2329" s="224">
        <v>4058075264106</v>
      </c>
      <c r="E2329" s="245" t="s">
        <v>2887</v>
      </c>
      <c r="F2329" s="246"/>
      <c r="G2329" s="66" t="str">
        <f>HYPERLINK("https://ledvance.com/pt/product-datasheet/251224/238444","Ficha de Produto")</f>
        <v>Ficha de Produto</v>
      </c>
      <c r="H2329" s="217">
        <v>6</v>
      </c>
      <c r="I2329" s="34" t="s">
        <v>6411</v>
      </c>
      <c r="J2329" s="34" t="s">
        <v>6310</v>
      </c>
      <c r="K2329" s="34" t="s">
        <v>822</v>
      </c>
      <c r="L2329" s="34" t="s">
        <v>6506</v>
      </c>
      <c r="M2329" s="247">
        <v>22.400000000000002</v>
      </c>
      <c r="N2329" s="288" t="s">
        <v>722</v>
      </c>
    </row>
    <row r="2330" spans="1:1095" s="39" customFormat="1" ht="14.25" customHeight="1">
      <c r="A2330" s="8" t="s">
        <v>1722</v>
      </c>
      <c r="B2330" s="244" t="s">
        <v>1692</v>
      </c>
      <c r="C2330" s="8"/>
      <c r="D2330" s="7"/>
      <c r="E2330" s="230"/>
      <c r="F2330" s="7"/>
      <c r="G2330" s="68"/>
      <c r="H2330" s="230"/>
      <c r="I2330" s="230"/>
      <c r="J2330" s="230"/>
      <c r="K2330" s="230"/>
      <c r="L2330" s="230"/>
      <c r="M2330" s="248"/>
      <c r="N2330" s="289"/>
      <c r="O2330" s="38"/>
      <c r="P2330" s="38"/>
      <c r="Q2330" s="38"/>
      <c r="R2330" s="38"/>
      <c r="S2330" s="38"/>
      <c r="T2330" s="38"/>
      <c r="U2330" s="38"/>
      <c r="V2330" s="38"/>
      <c r="W2330" s="38"/>
      <c r="X2330" s="38"/>
      <c r="Y2330" s="38"/>
      <c r="Z2330" s="38"/>
      <c r="AA2330" s="38"/>
      <c r="AB2330" s="38"/>
      <c r="AC2330" s="38"/>
      <c r="AD2330" s="38"/>
      <c r="AE2330" s="38"/>
      <c r="AF2330" s="38"/>
      <c r="AG2330" s="38"/>
      <c r="AH2330" s="38"/>
      <c r="AI2330" s="38"/>
      <c r="AJ2330" s="38"/>
      <c r="AK2330" s="38"/>
      <c r="AL2330" s="38"/>
      <c r="AM2330" s="38"/>
      <c r="AN2330" s="38"/>
      <c r="AO2330" s="38"/>
      <c r="AP2330" s="38"/>
      <c r="AQ2330" s="38"/>
      <c r="AR2330" s="38"/>
      <c r="AS2330" s="38"/>
      <c r="AT2330" s="38"/>
      <c r="AU2330" s="38"/>
      <c r="AV2330" s="38"/>
      <c r="AW2330" s="38"/>
      <c r="AX2330" s="38"/>
      <c r="AY2330" s="38"/>
      <c r="AZ2330" s="38"/>
      <c r="BA2330" s="38"/>
      <c r="BB2330" s="38"/>
      <c r="BC2330" s="38"/>
      <c r="BD2330" s="38"/>
      <c r="BE2330" s="38"/>
      <c r="BF2330" s="38"/>
      <c r="BG2330" s="38"/>
      <c r="BH2330" s="38"/>
      <c r="BI2330" s="38"/>
      <c r="BJ2330" s="38"/>
      <c r="BK2330" s="38"/>
      <c r="BL2330" s="38"/>
      <c r="BM2330" s="38"/>
      <c r="BN2330" s="38"/>
      <c r="BO2330" s="38"/>
      <c r="BP2330" s="38"/>
      <c r="BQ2330" s="38"/>
      <c r="BR2330" s="38"/>
      <c r="BS2330" s="38"/>
      <c r="BT2330" s="38"/>
      <c r="BU2330" s="38"/>
      <c r="BV2330" s="38"/>
      <c r="BW2330" s="38"/>
      <c r="BX2330" s="38"/>
      <c r="BY2330" s="38"/>
      <c r="BZ2330" s="38"/>
      <c r="CA2330" s="38"/>
      <c r="CB2330" s="38"/>
      <c r="CC2330" s="38"/>
      <c r="CD2330" s="38"/>
      <c r="CE2330" s="38"/>
      <c r="CF2330" s="38"/>
      <c r="CG2330" s="38"/>
      <c r="CH2330" s="38"/>
      <c r="CI2330" s="38"/>
      <c r="CJ2330" s="38"/>
      <c r="CK2330" s="38"/>
      <c r="CL2330" s="38"/>
      <c r="CM2330" s="38"/>
      <c r="CN2330" s="38"/>
      <c r="CO2330" s="38"/>
      <c r="CP2330" s="38"/>
      <c r="CQ2330" s="38"/>
      <c r="CR2330" s="38"/>
      <c r="CS2330" s="38"/>
      <c r="CT2330" s="38"/>
      <c r="CU2330" s="38"/>
      <c r="CV2330" s="38"/>
      <c r="CW2330" s="38"/>
      <c r="CX2330" s="38"/>
      <c r="CY2330" s="38"/>
      <c r="CZ2330" s="38"/>
      <c r="DA2330" s="38"/>
      <c r="DB2330" s="38"/>
      <c r="DC2330" s="38"/>
      <c r="DD2330" s="38"/>
      <c r="DE2330" s="38"/>
      <c r="DF2330" s="38"/>
      <c r="DG2330" s="38"/>
      <c r="DH2330" s="38"/>
      <c r="DI2330" s="38"/>
      <c r="DJ2330" s="38"/>
      <c r="DK2330" s="38"/>
      <c r="DL2330" s="38"/>
      <c r="DM2330" s="38"/>
      <c r="DN2330" s="38"/>
      <c r="DO2330" s="38"/>
      <c r="DP2330" s="38"/>
      <c r="DQ2330" s="38"/>
      <c r="DR2330" s="38"/>
      <c r="DS2330" s="38"/>
      <c r="DT2330" s="38"/>
      <c r="DU2330" s="38"/>
      <c r="DV2330" s="38"/>
      <c r="DW2330" s="38"/>
      <c r="DX2330" s="38"/>
      <c r="DY2330" s="38"/>
      <c r="DZ2330" s="38"/>
      <c r="EA2330" s="38"/>
      <c r="EB2330" s="38"/>
      <c r="EC2330" s="38"/>
      <c r="ED2330" s="38"/>
      <c r="EE2330" s="38"/>
      <c r="EF2330" s="38"/>
      <c r="EG2330" s="38"/>
      <c r="EH2330" s="38"/>
      <c r="EI2330" s="38"/>
      <c r="EJ2330" s="38"/>
      <c r="EK2330" s="38"/>
      <c r="EL2330" s="38"/>
      <c r="EM2330" s="38"/>
      <c r="EN2330" s="38"/>
      <c r="EO2330" s="38"/>
      <c r="EP2330" s="38"/>
      <c r="EQ2330" s="38"/>
      <c r="ER2330" s="38"/>
      <c r="ES2330" s="38"/>
      <c r="ET2330" s="38"/>
      <c r="EU2330" s="38"/>
      <c r="EV2330" s="38"/>
      <c r="EW2330" s="38"/>
      <c r="EX2330" s="38"/>
      <c r="EY2330" s="38"/>
      <c r="EZ2330" s="38"/>
      <c r="FA2330" s="38"/>
      <c r="FB2330" s="38"/>
      <c r="FC2330" s="38"/>
      <c r="FD2330" s="38"/>
      <c r="FE2330" s="38"/>
      <c r="FF2330" s="38"/>
      <c r="FG2330" s="38"/>
      <c r="FH2330" s="38"/>
      <c r="FI2330" s="38"/>
      <c r="FJ2330" s="38"/>
      <c r="FK2330" s="38"/>
      <c r="FL2330" s="38"/>
      <c r="FM2330" s="38"/>
      <c r="FN2330" s="38"/>
      <c r="FO2330" s="38"/>
      <c r="FP2330" s="38"/>
      <c r="FQ2330" s="38"/>
      <c r="FR2330" s="38"/>
      <c r="FS2330" s="38"/>
      <c r="FT2330" s="38"/>
      <c r="FU2330" s="38"/>
      <c r="FV2330" s="38"/>
      <c r="FW2330" s="38"/>
      <c r="FX2330" s="38"/>
      <c r="FY2330" s="38"/>
      <c r="FZ2330" s="38"/>
      <c r="GA2330" s="38"/>
      <c r="GB2330" s="38"/>
      <c r="GC2330" s="38"/>
      <c r="GD2330" s="38"/>
      <c r="GE2330" s="38"/>
      <c r="GF2330" s="38"/>
      <c r="GG2330" s="38"/>
      <c r="GH2330" s="38"/>
      <c r="GI2330" s="38"/>
      <c r="GJ2330" s="38"/>
      <c r="GK2330" s="38"/>
      <c r="GL2330" s="38"/>
      <c r="GM2330" s="38"/>
      <c r="GN2330" s="38"/>
      <c r="GO2330" s="38"/>
      <c r="GP2330" s="38"/>
      <c r="GQ2330" s="38"/>
      <c r="GR2330" s="38"/>
      <c r="GS2330" s="38"/>
      <c r="GT2330" s="38"/>
      <c r="GU2330" s="38"/>
      <c r="GV2330" s="38"/>
      <c r="GW2330" s="38"/>
      <c r="GX2330" s="38"/>
      <c r="GY2330" s="38"/>
      <c r="GZ2330" s="38"/>
      <c r="HA2330" s="38"/>
      <c r="HB2330" s="38"/>
      <c r="HC2330" s="38"/>
      <c r="HD2330" s="38"/>
      <c r="HE2330" s="38"/>
      <c r="HF2330" s="38"/>
      <c r="HG2330" s="38"/>
      <c r="HH2330" s="38"/>
      <c r="HI2330" s="38"/>
      <c r="HJ2330" s="38"/>
      <c r="HK2330" s="38"/>
      <c r="HL2330" s="38"/>
      <c r="HM2330" s="38"/>
      <c r="HN2330" s="38"/>
      <c r="HO2330" s="38"/>
      <c r="HP2330" s="38"/>
      <c r="HQ2330" s="38"/>
      <c r="HR2330" s="38"/>
      <c r="HS2330" s="38"/>
      <c r="HT2330" s="38"/>
      <c r="HU2330" s="38"/>
      <c r="HV2330" s="38"/>
      <c r="HW2330" s="38"/>
      <c r="HX2330" s="38"/>
      <c r="HY2330" s="38"/>
      <c r="HZ2330" s="38"/>
      <c r="IA2330" s="38"/>
      <c r="IB2330" s="38"/>
      <c r="IC2330" s="38"/>
      <c r="ID2330" s="38"/>
      <c r="IE2330" s="38"/>
      <c r="IF2330" s="38"/>
      <c r="IG2330" s="38"/>
      <c r="IH2330" s="38"/>
      <c r="II2330" s="38"/>
      <c r="IJ2330" s="38"/>
      <c r="IK2330" s="38"/>
      <c r="IL2330" s="38"/>
      <c r="IM2330" s="38"/>
      <c r="IN2330" s="38"/>
      <c r="IO2330" s="38"/>
      <c r="IP2330" s="38"/>
      <c r="IQ2330" s="38"/>
      <c r="IR2330" s="38"/>
      <c r="IS2330" s="38"/>
      <c r="IT2330" s="38"/>
      <c r="IU2330" s="38"/>
      <c r="IV2330" s="38"/>
      <c r="IW2330" s="38"/>
      <c r="IX2330" s="38"/>
      <c r="IY2330" s="38"/>
      <c r="IZ2330" s="38"/>
      <c r="JA2330" s="38"/>
      <c r="JB2330" s="38"/>
      <c r="JC2330" s="38"/>
      <c r="JD2330" s="38"/>
      <c r="JE2330" s="38"/>
      <c r="JF2330" s="38"/>
      <c r="JG2330" s="38"/>
      <c r="JH2330" s="38"/>
      <c r="JI2330" s="38"/>
      <c r="JJ2330" s="38"/>
      <c r="JK2330" s="38"/>
      <c r="JL2330" s="38"/>
      <c r="JM2330" s="38"/>
      <c r="JN2330" s="38"/>
      <c r="JO2330" s="38"/>
      <c r="JP2330" s="38"/>
      <c r="JQ2330" s="38"/>
      <c r="JR2330" s="38"/>
      <c r="JS2330" s="38"/>
      <c r="JT2330" s="38"/>
      <c r="JU2330" s="38"/>
      <c r="JV2330" s="38"/>
      <c r="JW2330" s="38"/>
      <c r="JX2330" s="38"/>
      <c r="JY2330" s="38"/>
      <c r="JZ2330" s="38"/>
      <c r="KA2330" s="38"/>
      <c r="KB2330" s="38"/>
      <c r="KC2330" s="38"/>
      <c r="KD2330" s="38"/>
      <c r="KE2330" s="38"/>
      <c r="KF2330" s="38"/>
      <c r="KG2330" s="38"/>
      <c r="KH2330" s="38"/>
      <c r="KI2330" s="38"/>
      <c r="KJ2330" s="38"/>
      <c r="KK2330" s="38"/>
      <c r="KL2330" s="38"/>
      <c r="KM2330" s="38"/>
      <c r="KN2330" s="38"/>
      <c r="KO2330" s="38"/>
      <c r="KP2330" s="38"/>
      <c r="KQ2330" s="38"/>
      <c r="KR2330" s="38"/>
      <c r="KS2330" s="38"/>
      <c r="KT2330" s="38"/>
      <c r="KU2330" s="38"/>
      <c r="KV2330" s="38"/>
      <c r="KW2330" s="38"/>
      <c r="KX2330" s="38"/>
      <c r="KY2330" s="38"/>
      <c r="KZ2330" s="38"/>
      <c r="LA2330" s="38"/>
      <c r="LB2330" s="38"/>
      <c r="LC2330" s="38"/>
      <c r="LD2330" s="38"/>
      <c r="LE2330" s="38"/>
      <c r="LF2330" s="38"/>
      <c r="LG2330" s="38"/>
      <c r="LH2330" s="38"/>
      <c r="LI2330" s="38"/>
      <c r="LJ2330" s="38"/>
      <c r="LK2330" s="38"/>
      <c r="LL2330" s="38"/>
      <c r="LM2330" s="38"/>
      <c r="LN2330" s="38"/>
      <c r="LO2330" s="38"/>
      <c r="LP2330" s="38"/>
      <c r="LQ2330" s="38"/>
      <c r="LR2330" s="38"/>
      <c r="LS2330" s="38"/>
      <c r="LT2330" s="38"/>
      <c r="LU2330" s="38"/>
      <c r="LV2330" s="38"/>
      <c r="LW2330" s="38"/>
      <c r="LX2330" s="38"/>
      <c r="LY2330" s="38"/>
      <c r="LZ2330" s="38"/>
      <c r="MA2330" s="38"/>
      <c r="MB2330" s="38"/>
      <c r="MC2330" s="38"/>
      <c r="MD2330" s="38"/>
      <c r="ME2330" s="38"/>
      <c r="MF2330" s="38"/>
      <c r="MG2330" s="38"/>
      <c r="MH2330" s="38"/>
      <c r="MI2330" s="38"/>
      <c r="MJ2330" s="38"/>
      <c r="MK2330" s="38"/>
      <c r="ML2330" s="38"/>
      <c r="MM2330" s="38"/>
      <c r="MN2330" s="38"/>
      <c r="MO2330" s="38"/>
      <c r="MP2330" s="38"/>
      <c r="MQ2330" s="38"/>
      <c r="MR2330" s="38"/>
      <c r="MS2330" s="38"/>
      <c r="MT2330" s="38"/>
      <c r="MU2330" s="38"/>
      <c r="MV2330" s="38"/>
      <c r="MW2330" s="38"/>
      <c r="MX2330" s="38"/>
      <c r="MY2330" s="38"/>
      <c r="MZ2330" s="38"/>
      <c r="NA2330" s="38"/>
      <c r="NB2330" s="38"/>
      <c r="NC2330" s="38"/>
      <c r="ND2330" s="38"/>
      <c r="NE2330" s="38"/>
      <c r="NF2330" s="38"/>
      <c r="NG2330" s="38"/>
      <c r="NH2330" s="38"/>
      <c r="NI2330" s="38"/>
      <c r="NJ2330" s="38"/>
      <c r="NK2330" s="38"/>
      <c r="NL2330" s="38"/>
      <c r="NM2330" s="38"/>
      <c r="NN2330" s="38"/>
      <c r="NO2330" s="38"/>
      <c r="NP2330" s="38"/>
      <c r="NQ2330" s="38"/>
      <c r="NR2330" s="38"/>
      <c r="NS2330" s="38"/>
      <c r="NT2330" s="38"/>
      <c r="NU2330" s="38"/>
      <c r="NV2330" s="38"/>
      <c r="NW2330" s="38"/>
      <c r="NX2330" s="38"/>
      <c r="NY2330" s="38"/>
      <c r="NZ2330" s="38"/>
      <c r="OA2330" s="38"/>
      <c r="OB2330" s="38"/>
      <c r="OC2330" s="38"/>
      <c r="OD2330" s="38"/>
      <c r="OE2330" s="38"/>
      <c r="OF2330" s="38"/>
      <c r="OG2330" s="38"/>
      <c r="OH2330" s="38"/>
      <c r="OI2330" s="38"/>
      <c r="OJ2330" s="38"/>
      <c r="OK2330" s="38"/>
      <c r="OL2330" s="38"/>
      <c r="OM2330" s="38"/>
      <c r="ON2330" s="38"/>
      <c r="OO2330" s="38"/>
      <c r="OP2330" s="38"/>
      <c r="OQ2330" s="38"/>
      <c r="OR2330" s="38"/>
      <c r="OS2330" s="38"/>
      <c r="OT2330" s="38"/>
      <c r="OU2330" s="38"/>
      <c r="OV2330" s="38"/>
      <c r="OW2330" s="38"/>
      <c r="OX2330" s="38"/>
      <c r="OY2330" s="38"/>
      <c r="OZ2330" s="38"/>
      <c r="PA2330" s="38"/>
      <c r="PB2330" s="38"/>
      <c r="PC2330" s="38"/>
      <c r="PD2330" s="38"/>
      <c r="PE2330" s="38"/>
      <c r="PF2330" s="38"/>
      <c r="PG2330" s="38"/>
      <c r="PH2330" s="38"/>
      <c r="PI2330" s="38"/>
      <c r="PJ2330" s="38"/>
      <c r="PK2330" s="38"/>
      <c r="PL2330" s="38"/>
      <c r="PM2330" s="38"/>
      <c r="PN2330" s="38"/>
      <c r="PO2330" s="38"/>
      <c r="PP2330" s="38"/>
      <c r="PQ2330" s="38"/>
      <c r="PR2330" s="38"/>
      <c r="PS2330" s="38"/>
      <c r="PT2330" s="38"/>
      <c r="PU2330" s="38"/>
      <c r="PV2330" s="38"/>
      <c r="PW2330" s="38"/>
      <c r="PX2330" s="38"/>
      <c r="PY2330" s="38"/>
      <c r="PZ2330" s="38"/>
      <c r="QA2330" s="38"/>
      <c r="QB2330" s="38"/>
      <c r="QC2330" s="38"/>
      <c r="QD2330" s="38"/>
      <c r="QE2330" s="38"/>
      <c r="QF2330" s="38"/>
      <c r="QG2330" s="38"/>
      <c r="QH2330" s="38"/>
      <c r="QI2330" s="38"/>
      <c r="QJ2330" s="38"/>
      <c r="QK2330" s="38"/>
      <c r="QL2330" s="38"/>
      <c r="QM2330" s="38"/>
      <c r="QN2330" s="38"/>
      <c r="QO2330" s="38"/>
      <c r="QP2330" s="38"/>
      <c r="QQ2330" s="38"/>
      <c r="QR2330" s="38"/>
      <c r="QS2330" s="38"/>
      <c r="QT2330" s="38"/>
      <c r="QU2330" s="38"/>
      <c r="QV2330" s="38"/>
      <c r="QW2330" s="38"/>
      <c r="QX2330" s="38"/>
      <c r="QY2330" s="38"/>
      <c r="QZ2330" s="38"/>
      <c r="RA2330" s="38"/>
      <c r="RB2330" s="38"/>
      <c r="RC2330" s="38"/>
      <c r="RD2330" s="38"/>
      <c r="RE2330" s="38"/>
      <c r="RF2330" s="38"/>
      <c r="RG2330" s="38"/>
      <c r="RH2330" s="38"/>
      <c r="RI2330" s="38"/>
      <c r="RJ2330" s="38"/>
      <c r="RK2330" s="38"/>
      <c r="RL2330" s="38"/>
      <c r="RM2330" s="38"/>
      <c r="RN2330" s="38"/>
      <c r="RO2330" s="38"/>
      <c r="RP2330" s="38"/>
      <c r="RQ2330" s="38"/>
      <c r="RR2330" s="38"/>
      <c r="RS2330" s="38"/>
      <c r="RT2330" s="38"/>
      <c r="RU2330" s="38"/>
      <c r="RV2330" s="38"/>
      <c r="RW2330" s="38"/>
      <c r="RX2330" s="38"/>
      <c r="RY2330" s="38"/>
      <c r="RZ2330" s="38"/>
      <c r="SA2330" s="38"/>
      <c r="SB2330" s="38"/>
      <c r="SC2330" s="38"/>
      <c r="SD2330" s="38"/>
      <c r="SE2330" s="38"/>
      <c r="SF2330" s="38"/>
      <c r="SG2330" s="38"/>
      <c r="SH2330" s="38"/>
      <c r="SI2330" s="38"/>
      <c r="SJ2330" s="38"/>
      <c r="SK2330" s="38"/>
      <c r="SL2330" s="38"/>
      <c r="SM2330" s="38"/>
      <c r="SN2330" s="38"/>
      <c r="SO2330" s="38"/>
      <c r="SP2330" s="38"/>
      <c r="SQ2330" s="38"/>
      <c r="SR2330" s="38"/>
      <c r="SS2330" s="38"/>
      <c r="ST2330" s="38"/>
      <c r="SU2330" s="38"/>
      <c r="SV2330" s="38"/>
      <c r="SW2330" s="38"/>
      <c r="SX2330" s="38"/>
      <c r="SY2330" s="38"/>
      <c r="SZ2330" s="38"/>
      <c r="TA2330" s="38"/>
      <c r="TB2330" s="38"/>
      <c r="TC2330" s="38"/>
      <c r="TD2330" s="38"/>
      <c r="TE2330" s="38"/>
      <c r="TF2330" s="38"/>
      <c r="TG2330" s="38"/>
      <c r="TH2330" s="38"/>
      <c r="TI2330" s="38"/>
      <c r="TJ2330" s="38"/>
      <c r="TK2330" s="38"/>
      <c r="TL2330" s="38"/>
      <c r="TM2330" s="38"/>
      <c r="TN2330" s="38"/>
      <c r="TO2330" s="38"/>
      <c r="TP2330" s="38"/>
      <c r="TQ2330" s="38"/>
      <c r="TR2330" s="38"/>
      <c r="TS2330" s="38"/>
      <c r="TT2330" s="38"/>
      <c r="TU2330" s="38"/>
      <c r="TV2330" s="38"/>
      <c r="TW2330" s="38"/>
      <c r="TX2330" s="38"/>
      <c r="TY2330" s="38"/>
      <c r="TZ2330" s="38"/>
      <c r="UA2330" s="38"/>
      <c r="UB2330" s="38"/>
      <c r="UC2330" s="38"/>
      <c r="UD2330" s="38"/>
      <c r="UE2330" s="38"/>
      <c r="UF2330" s="38"/>
      <c r="UG2330" s="38"/>
      <c r="UH2330" s="38"/>
      <c r="UI2330" s="38"/>
      <c r="UJ2330" s="38"/>
      <c r="UK2330" s="38"/>
      <c r="UL2330" s="38"/>
      <c r="UM2330" s="38"/>
      <c r="UN2330" s="38"/>
      <c r="UO2330" s="38"/>
      <c r="UP2330" s="38"/>
      <c r="UQ2330" s="38"/>
      <c r="UR2330" s="38"/>
      <c r="US2330" s="38"/>
      <c r="UT2330" s="38"/>
      <c r="UU2330" s="38"/>
      <c r="UV2330" s="38"/>
      <c r="UW2330" s="38"/>
      <c r="UX2330" s="38"/>
      <c r="UY2330" s="38"/>
      <c r="UZ2330" s="38"/>
      <c r="VA2330" s="38"/>
      <c r="VB2330" s="38"/>
      <c r="VC2330" s="38"/>
      <c r="VD2330" s="38"/>
      <c r="VE2330" s="38"/>
      <c r="VF2330" s="38"/>
      <c r="VG2330" s="38"/>
      <c r="VH2330" s="38"/>
      <c r="VI2330" s="38"/>
      <c r="VJ2330" s="38"/>
      <c r="VK2330" s="38"/>
      <c r="VL2330" s="38"/>
      <c r="VM2330" s="38"/>
      <c r="VN2330" s="38"/>
      <c r="VO2330" s="38"/>
      <c r="VP2330" s="38"/>
      <c r="VQ2330" s="38"/>
      <c r="VR2330" s="38"/>
      <c r="VS2330" s="38"/>
      <c r="VT2330" s="38"/>
      <c r="VU2330" s="38"/>
      <c r="VV2330" s="38"/>
      <c r="VW2330" s="38"/>
      <c r="VX2330" s="38"/>
      <c r="VY2330" s="38"/>
      <c r="VZ2330" s="38"/>
      <c r="WA2330" s="38"/>
      <c r="WB2330" s="38"/>
      <c r="WC2330" s="38"/>
      <c r="WD2330" s="38"/>
      <c r="WE2330" s="38"/>
      <c r="WF2330" s="38"/>
      <c r="WG2330" s="38"/>
      <c r="WH2330" s="38"/>
      <c r="WI2330" s="38"/>
      <c r="WJ2330" s="38"/>
      <c r="WK2330" s="38"/>
      <c r="WL2330" s="38"/>
      <c r="WM2330" s="38"/>
      <c r="WN2330" s="38"/>
      <c r="WO2330" s="38"/>
      <c r="WP2330" s="38"/>
      <c r="WQ2330" s="38"/>
      <c r="WR2330" s="38"/>
      <c r="WS2330" s="38"/>
      <c r="WT2330" s="38"/>
      <c r="WU2330" s="38"/>
      <c r="WV2330" s="38"/>
      <c r="WW2330" s="38"/>
      <c r="WX2330" s="38"/>
      <c r="WY2330" s="38"/>
      <c r="WZ2330" s="38"/>
      <c r="XA2330" s="38"/>
      <c r="XB2330" s="38"/>
      <c r="XC2330" s="38"/>
      <c r="XD2330" s="38"/>
      <c r="XE2330" s="38"/>
      <c r="XF2330" s="38"/>
      <c r="XG2330" s="38"/>
      <c r="XH2330" s="38"/>
      <c r="XI2330" s="38"/>
      <c r="XJ2330" s="38"/>
      <c r="XK2330" s="38"/>
      <c r="XL2330" s="38"/>
      <c r="XM2330" s="38"/>
      <c r="XN2330" s="38"/>
      <c r="XO2330" s="38"/>
      <c r="XP2330" s="38"/>
      <c r="XQ2330" s="38"/>
      <c r="XR2330" s="38"/>
      <c r="XS2330" s="38"/>
      <c r="XT2330" s="38"/>
      <c r="XU2330" s="38"/>
      <c r="XV2330" s="38"/>
      <c r="XW2330" s="38"/>
      <c r="XX2330" s="38"/>
      <c r="XY2330" s="38"/>
      <c r="XZ2330" s="38"/>
      <c r="YA2330" s="38"/>
      <c r="YB2330" s="38"/>
      <c r="YC2330" s="38"/>
      <c r="YD2330" s="38"/>
      <c r="YE2330" s="38"/>
      <c r="YF2330" s="38"/>
      <c r="YG2330" s="38"/>
      <c r="YH2330" s="38"/>
      <c r="YI2330" s="38"/>
      <c r="YJ2330" s="38"/>
      <c r="YK2330" s="38"/>
      <c r="YL2330" s="38"/>
      <c r="YM2330" s="38"/>
      <c r="YN2330" s="38"/>
      <c r="YO2330" s="38"/>
      <c r="YP2330" s="38"/>
      <c r="YQ2330" s="38"/>
      <c r="YR2330" s="38"/>
      <c r="YS2330" s="38"/>
      <c r="YT2330" s="38"/>
      <c r="YU2330" s="38"/>
      <c r="YV2330" s="38"/>
      <c r="YW2330" s="38"/>
      <c r="YX2330" s="38"/>
      <c r="YY2330" s="38"/>
      <c r="YZ2330" s="38"/>
      <c r="ZA2330" s="38"/>
      <c r="ZB2330" s="38"/>
      <c r="ZC2330" s="38"/>
      <c r="ZD2330" s="38"/>
      <c r="ZE2330" s="38"/>
      <c r="ZF2330" s="38"/>
      <c r="ZG2330" s="38"/>
      <c r="ZH2330" s="38"/>
      <c r="ZI2330" s="38"/>
      <c r="ZJ2330" s="38"/>
      <c r="ZK2330" s="38"/>
      <c r="ZL2330" s="38"/>
      <c r="ZM2330" s="38"/>
      <c r="ZN2330" s="38"/>
      <c r="ZO2330" s="38"/>
      <c r="ZP2330" s="38"/>
      <c r="ZQ2330" s="38"/>
      <c r="ZR2330" s="38"/>
      <c r="ZS2330" s="38"/>
      <c r="ZT2330" s="38"/>
      <c r="ZU2330" s="38"/>
      <c r="ZV2330" s="38"/>
      <c r="ZW2330" s="38"/>
      <c r="ZX2330" s="38"/>
      <c r="ZY2330" s="38"/>
      <c r="ZZ2330" s="38"/>
      <c r="AAA2330" s="38"/>
      <c r="AAB2330" s="38"/>
      <c r="AAC2330" s="38"/>
      <c r="AAD2330" s="38"/>
      <c r="AAE2330" s="38"/>
      <c r="AAF2330" s="38"/>
      <c r="AAG2330" s="38"/>
      <c r="AAH2330" s="38"/>
      <c r="AAI2330" s="38"/>
      <c r="AAJ2330" s="38"/>
      <c r="AAK2330" s="38"/>
      <c r="AAL2330" s="38"/>
      <c r="AAM2330" s="38"/>
      <c r="AAN2330" s="38"/>
      <c r="AAO2330" s="38"/>
      <c r="AAP2330" s="38"/>
      <c r="AAQ2330" s="38"/>
      <c r="AAR2330" s="38"/>
      <c r="AAS2330" s="38"/>
      <c r="AAT2330" s="38"/>
      <c r="AAU2330" s="38"/>
      <c r="AAV2330" s="38"/>
      <c r="AAW2330" s="38"/>
      <c r="AAX2330" s="38"/>
      <c r="AAY2330" s="38"/>
      <c r="AAZ2330" s="38"/>
      <c r="ABA2330" s="38"/>
      <c r="ABB2330" s="38"/>
      <c r="ABC2330" s="38"/>
      <c r="ABD2330" s="38"/>
      <c r="ABE2330" s="38"/>
      <c r="ABF2330" s="38"/>
      <c r="ABG2330" s="38"/>
      <c r="ABH2330" s="38"/>
      <c r="ABI2330" s="38"/>
      <c r="ABJ2330" s="38"/>
      <c r="ABK2330" s="38"/>
      <c r="ABL2330" s="38"/>
      <c r="ABM2330" s="38"/>
      <c r="ABN2330" s="38"/>
      <c r="ABO2330" s="38"/>
      <c r="ABP2330" s="38"/>
      <c r="ABQ2330" s="38"/>
      <c r="ABR2330" s="38"/>
      <c r="ABS2330" s="38"/>
      <c r="ABT2330" s="38"/>
      <c r="ABU2330" s="38"/>
      <c r="ABV2330" s="38"/>
      <c r="ABW2330" s="38"/>
      <c r="ABX2330" s="38"/>
      <c r="ABY2330" s="38"/>
      <c r="ABZ2330" s="38"/>
      <c r="ACA2330" s="38"/>
      <c r="ACB2330" s="38"/>
      <c r="ACC2330" s="38"/>
      <c r="ACD2330" s="38"/>
      <c r="ACE2330" s="38"/>
      <c r="ACF2330" s="38"/>
      <c r="ACG2330" s="38"/>
      <c r="ACH2330" s="38"/>
      <c r="ACI2330" s="38"/>
      <c r="ACJ2330" s="38"/>
      <c r="ACK2330" s="38"/>
      <c r="ACL2330" s="38"/>
      <c r="ACM2330" s="38"/>
      <c r="ACN2330" s="38"/>
      <c r="ACO2330" s="38"/>
      <c r="ACP2330" s="38"/>
      <c r="ACQ2330" s="38"/>
      <c r="ACR2330" s="38"/>
      <c r="ACS2330" s="38"/>
      <c r="ACT2330" s="38"/>
      <c r="ACU2330" s="38"/>
      <c r="ACV2330" s="38"/>
      <c r="ACW2330" s="38"/>
      <c r="ACX2330" s="38"/>
      <c r="ACY2330" s="38"/>
      <c r="ACZ2330" s="38"/>
      <c r="ADA2330" s="38"/>
      <c r="ADB2330" s="38"/>
      <c r="ADC2330" s="38"/>
      <c r="ADD2330" s="38"/>
      <c r="ADE2330" s="38"/>
      <c r="ADF2330" s="38"/>
      <c r="ADG2330" s="38"/>
      <c r="ADH2330" s="38"/>
      <c r="ADI2330" s="38"/>
      <c r="ADJ2330" s="38"/>
      <c r="ADK2330" s="38"/>
      <c r="ADL2330" s="38"/>
      <c r="ADM2330" s="38"/>
      <c r="ADN2330" s="38"/>
      <c r="ADO2330" s="38"/>
      <c r="ADP2330" s="38"/>
      <c r="ADQ2330" s="38"/>
      <c r="ADR2330" s="38"/>
      <c r="ADS2330" s="38"/>
      <c r="ADT2330" s="38"/>
      <c r="ADU2330" s="38"/>
      <c r="ADV2330" s="38"/>
      <c r="ADW2330" s="38"/>
      <c r="ADX2330" s="38"/>
      <c r="ADY2330" s="38"/>
      <c r="ADZ2330" s="38"/>
      <c r="AEA2330" s="38"/>
      <c r="AEB2330" s="38"/>
      <c r="AEC2330" s="38"/>
      <c r="AED2330" s="38"/>
      <c r="AEE2330" s="38"/>
      <c r="AEF2330" s="38"/>
      <c r="AEG2330" s="38"/>
      <c r="AEH2330" s="38"/>
      <c r="AEI2330" s="38"/>
      <c r="AEJ2330" s="38"/>
      <c r="AEK2330" s="38"/>
      <c r="AEL2330" s="38"/>
      <c r="AEM2330" s="38"/>
      <c r="AEN2330" s="38"/>
      <c r="AEO2330" s="38"/>
      <c r="AEP2330" s="38"/>
      <c r="AEQ2330" s="38"/>
      <c r="AER2330" s="38"/>
      <c r="AES2330" s="38"/>
      <c r="AET2330" s="38"/>
      <c r="AEU2330" s="38"/>
      <c r="AEV2330" s="38"/>
      <c r="AEW2330" s="38"/>
      <c r="AEX2330" s="38"/>
      <c r="AEY2330" s="38"/>
      <c r="AEZ2330" s="38"/>
      <c r="AFA2330" s="38"/>
      <c r="AFB2330" s="38"/>
      <c r="AFC2330" s="38"/>
      <c r="AFD2330" s="38"/>
      <c r="AFE2330" s="38"/>
      <c r="AFF2330" s="38"/>
      <c r="AFG2330" s="38"/>
      <c r="AFH2330" s="38"/>
      <c r="AFI2330" s="38"/>
      <c r="AFJ2330" s="38"/>
      <c r="AFK2330" s="38"/>
      <c r="AFL2330" s="38"/>
      <c r="AFM2330" s="38"/>
      <c r="AFN2330" s="38"/>
      <c r="AFO2330" s="38"/>
      <c r="AFP2330" s="38"/>
      <c r="AFQ2330" s="38"/>
      <c r="AFR2330" s="38"/>
      <c r="AFS2330" s="38"/>
      <c r="AFT2330" s="38"/>
      <c r="AFU2330" s="38"/>
      <c r="AFV2330" s="38"/>
      <c r="AFW2330" s="38"/>
      <c r="AFX2330" s="38"/>
      <c r="AFY2330" s="38"/>
      <c r="AFZ2330" s="38"/>
      <c r="AGA2330" s="38"/>
      <c r="AGB2330" s="38"/>
      <c r="AGC2330" s="38"/>
      <c r="AGD2330" s="38"/>
      <c r="AGE2330" s="38"/>
      <c r="AGF2330" s="38"/>
      <c r="AGG2330" s="38"/>
      <c r="AGH2330" s="38"/>
      <c r="AGI2330" s="38"/>
      <c r="AGJ2330" s="38"/>
      <c r="AGK2330" s="38"/>
      <c r="AGL2330" s="38"/>
      <c r="AGM2330" s="38"/>
      <c r="AGN2330" s="38"/>
      <c r="AGO2330" s="38"/>
      <c r="AGP2330" s="38"/>
      <c r="AGQ2330" s="38"/>
      <c r="AGR2330" s="38"/>
      <c r="AGS2330" s="38"/>
      <c r="AGT2330" s="38"/>
      <c r="AGU2330" s="38"/>
      <c r="AGV2330" s="38"/>
      <c r="AGW2330" s="38"/>
      <c r="AGX2330" s="38"/>
      <c r="AGY2330" s="38"/>
      <c r="AGZ2330" s="38"/>
      <c r="AHA2330" s="38"/>
      <c r="AHB2330" s="38"/>
      <c r="AHC2330" s="38"/>
      <c r="AHD2330" s="38"/>
      <c r="AHE2330" s="38"/>
      <c r="AHF2330" s="38"/>
      <c r="AHG2330" s="38"/>
      <c r="AHH2330" s="38"/>
      <c r="AHI2330" s="38"/>
      <c r="AHJ2330" s="38"/>
      <c r="AHK2330" s="38"/>
      <c r="AHL2330" s="38"/>
      <c r="AHM2330" s="38"/>
      <c r="AHN2330" s="38"/>
      <c r="AHO2330" s="38"/>
      <c r="AHP2330" s="38"/>
      <c r="AHQ2330" s="38"/>
      <c r="AHR2330" s="38"/>
      <c r="AHS2330" s="38"/>
      <c r="AHT2330" s="38"/>
      <c r="AHU2330" s="38"/>
      <c r="AHV2330" s="38"/>
      <c r="AHW2330" s="38"/>
      <c r="AHX2330" s="38"/>
      <c r="AHY2330" s="38"/>
      <c r="AHZ2330" s="38"/>
      <c r="AIA2330" s="38"/>
      <c r="AIB2330" s="38"/>
      <c r="AIC2330" s="38"/>
      <c r="AID2330" s="38"/>
      <c r="AIE2330" s="38"/>
      <c r="AIF2330" s="38"/>
      <c r="AIG2330" s="38"/>
      <c r="AIH2330" s="38"/>
      <c r="AII2330" s="38"/>
      <c r="AIJ2330" s="38"/>
      <c r="AIK2330" s="38"/>
      <c r="AIL2330" s="38"/>
      <c r="AIM2330" s="38"/>
      <c r="AIN2330" s="38"/>
      <c r="AIO2330" s="38"/>
      <c r="AIP2330" s="38"/>
      <c r="AIQ2330" s="38"/>
      <c r="AIR2330" s="38"/>
      <c r="AIS2330" s="38"/>
      <c r="AIT2330" s="38"/>
      <c r="AIU2330" s="38"/>
      <c r="AIV2330" s="38"/>
      <c r="AIW2330" s="38"/>
      <c r="AIX2330" s="38"/>
      <c r="AIY2330" s="38"/>
      <c r="AIZ2330" s="38"/>
      <c r="AJA2330" s="38"/>
      <c r="AJB2330" s="38"/>
      <c r="AJC2330" s="38"/>
      <c r="AJD2330" s="38"/>
      <c r="AJE2330" s="38"/>
      <c r="AJF2330" s="38"/>
      <c r="AJG2330" s="38"/>
      <c r="AJH2330" s="38"/>
      <c r="AJI2330" s="38"/>
      <c r="AJJ2330" s="38"/>
      <c r="AJK2330" s="38"/>
      <c r="AJL2330" s="38"/>
      <c r="AJM2330" s="38"/>
      <c r="AJN2330" s="38"/>
      <c r="AJO2330" s="38"/>
      <c r="AJP2330" s="38"/>
      <c r="AJQ2330" s="38"/>
      <c r="AJR2330" s="38"/>
      <c r="AJS2330" s="38"/>
      <c r="AJT2330" s="38"/>
      <c r="AJU2330" s="38"/>
      <c r="AJV2330" s="38"/>
      <c r="AJW2330" s="38"/>
      <c r="AJX2330" s="38"/>
      <c r="AJY2330" s="38"/>
      <c r="AJZ2330" s="38"/>
      <c r="AKA2330" s="38"/>
      <c r="AKB2330" s="38"/>
      <c r="AKC2330" s="38"/>
      <c r="AKD2330" s="38"/>
      <c r="AKE2330" s="38"/>
      <c r="AKF2330" s="38"/>
      <c r="AKG2330" s="38"/>
      <c r="AKH2330" s="38"/>
      <c r="AKI2330" s="38"/>
      <c r="AKJ2330" s="38"/>
      <c r="AKK2330" s="38"/>
      <c r="AKL2330" s="38"/>
      <c r="AKM2330" s="38"/>
      <c r="AKN2330" s="38"/>
      <c r="AKO2330" s="38"/>
      <c r="AKP2330" s="38"/>
      <c r="AKQ2330" s="38"/>
      <c r="AKR2330" s="38"/>
      <c r="AKS2330" s="38"/>
      <c r="AKT2330" s="38"/>
      <c r="AKU2330" s="38"/>
      <c r="AKV2330" s="38"/>
      <c r="AKW2330" s="38"/>
      <c r="AKX2330" s="38"/>
      <c r="AKY2330" s="38"/>
      <c r="AKZ2330" s="38"/>
      <c r="ALA2330" s="38"/>
      <c r="ALB2330" s="38"/>
      <c r="ALC2330" s="38"/>
      <c r="ALD2330" s="38"/>
      <c r="ALE2330" s="38"/>
      <c r="ALF2330" s="38"/>
      <c r="ALG2330" s="38"/>
      <c r="ALH2330" s="38"/>
      <c r="ALI2330" s="38"/>
      <c r="ALJ2330" s="38"/>
      <c r="ALK2330" s="38"/>
      <c r="ALL2330" s="38"/>
      <c r="ALM2330" s="38"/>
      <c r="ALN2330" s="38"/>
      <c r="ALO2330" s="38"/>
      <c r="ALP2330" s="38"/>
      <c r="ALQ2330" s="38"/>
      <c r="ALR2330" s="38"/>
      <c r="ALS2330" s="38"/>
      <c r="ALT2330" s="38"/>
      <c r="ALU2330" s="38"/>
      <c r="ALV2330" s="38"/>
      <c r="ALW2330" s="38"/>
      <c r="ALX2330" s="38"/>
      <c r="ALY2330" s="38"/>
      <c r="ALZ2330" s="38"/>
      <c r="AMA2330" s="38"/>
      <c r="AMB2330" s="38"/>
      <c r="AMC2330" s="38"/>
      <c r="AMD2330" s="38"/>
      <c r="AME2330" s="38"/>
      <c r="AMF2330" s="38"/>
      <c r="AMG2330" s="38"/>
      <c r="AMH2330" s="38"/>
      <c r="AMI2330" s="38"/>
      <c r="AMJ2330" s="38"/>
      <c r="AMK2330" s="38"/>
      <c r="AML2330" s="38"/>
      <c r="AMM2330" s="38"/>
      <c r="AMN2330" s="38"/>
      <c r="AMO2330" s="38"/>
      <c r="AMP2330" s="38"/>
      <c r="AMQ2330" s="38"/>
      <c r="AMR2330" s="38"/>
      <c r="AMS2330" s="38"/>
      <c r="AMT2330" s="38"/>
      <c r="AMU2330" s="38"/>
      <c r="AMV2330" s="38"/>
      <c r="AMW2330" s="38"/>
      <c r="AMX2330" s="38"/>
      <c r="AMY2330" s="38"/>
      <c r="AMZ2330" s="38"/>
      <c r="ANA2330" s="38"/>
      <c r="ANB2330" s="38"/>
      <c r="ANC2330" s="38"/>
      <c r="AND2330" s="38"/>
      <c r="ANE2330" s="38"/>
      <c r="ANF2330" s="38"/>
      <c r="ANG2330" s="38"/>
      <c r="ANH2330" s="38"/>
      <c r="ANI2330" s="38"/>
      <c r="ANJ2330" s="38"/>
      <c r="ANK2330" s="38"/>
      <c r="ANL2330" s="38"/>
      <c r="ANM2330" s="38"/>
      <c r="ANN2330" s="38"/>
      <c r="ANO2330" s="38"/>
      <c r="ANP2330" s="38"/>
      <c r="ANQ2330" s="38"/>
      <c r="ANR2330" s="38"/>
      <c r="ANS2330" s="38"/>
      <c r="ANT2330" s="38"/>
      <c r="ANU2330" s="38"/>
      <c r="ANV2330" s="38"/>
      <c r="ANW2330" s="38"/>
      <c r="ANX2330" s="38"/>
      <c r="ANY2330" s="38"/>
      <c r="ANZ2330" s="38"/>
      <c r="AOA2330" s="38"/>
      <c r="AOB2330" s="38"/>
      <c r="AOC2330" s="38"/>
      <c r="AOD2330" s="38"/>
      <c r="AOE2330" s="38"/>
      <c r="AOF2330" s="38"/>
      <c r="AOG2330" s="38"/>
      <c r="AOH2330" s="38"/>
      <c r="AOI2330" s="38"/>
      <c r="AOJ2330" s="38"/>
      <c r="AOK2330" s="38"/>
      <c r="AOL2330" s="38"/>
      <c r="AOM2330" s="38"/>
      <c r="AON2330" s="38"/>
      <c r="AOO2330" s="38"/>
      <c r="AOP2330" s="38"/>
      <c r="AOQ2330" s="38"/>
      <c r="AOR2330" s="38"/>
      <c r="AOS2330" s="38"/>
      <c r="AOT2330" s="38"/>
      <c r="AOU2330" s="38"/>
      <c r="AOV2330" s="38"/>
      <c r="AOW2330" s="38"/>
      <c r="AOX2330" s="38"/>
      <c r="AOY2330" s="38"/>
      <c r="AOZ2330" s="38"/>
      <c r="APA2330" s="38"/>
      <c r="APB2330" s="38"/>
      <c r="APC2330" s="38"/>
    </row>
    <row r="2331" spans="1:1095" s="36" customFormat="1" ht="14.25" customHeight="1">
      <c r="A2331" s="3" t="s">
        <v>1722</v>
      </c>
      <c r="B2331" s="36" t="s">
        <v>2888</v>
      </c>
      <c r="C2331" s="10">
        <v>4099854071393</v>
      </c>
      <c r="D2331" s="224">
        <v>4058075607699</v>
      </c>
      <c r="E2331" s="245" t="s">
        <v>2889</v>
      </c>
      <c r="F2331" s="246"/>
      <c r="G2331" s="66" t="str">
        <f>HYPERLINK("https://ledvance.com/pt/product-datasheet/250861/239210","Ficha de Produto")</f>
        <v>Ficha de Produto</v>
      </c>
      <c r="H2331" s="217">
        <v>10</v>
      </c>
      <c r="I2331" s="34" t="s">
        <v>6390</v>
      </c>
      <c r="J2331" s="34" t="s">
        <v>6365</v>
      </c>
      <c r="K2331" s="34" t="s">
        <v>788</v>
      </c>
      <c r="L2331" s="34" t="s">
        <v>765</v>
      </c>
      <c r="M2331" s="247">
        <v>8.9</v>
      </c>
      <c r="N2331" s="288" t="s">
        <v>722</v>
      </c>
    </row>
    <row r="2332" spans="1:1095" s="36" customFormat="1" ht="14.25" customHeight="1">
      <c r="A2332" s="3" t="s">
        <v>1722</v>
      </c>
      <c r="B2332" s="36" t="s">
        <v>2890</v>
      </c>
      <c r="C2332" s="10">
        <v>4099854071379</v>
      </c>
      <c r="D2332" s="224">
        <v>4058075607712</v>
      </c>
      <c r="E2332" s="245" t="s">
        <v>2891</v>
      </c>
      <c r="F2332" s="246"/>
      <c r="G2332" s="66" t="str">
        <f>HYPERLINK("https://ledvance.com/pt/product-datasheet/250854/239213","Ficha de Produto")</f>
        <v>Ficha de Produto</v>
      </c>
      <c r="H2332" s="217">
        <v>10</v>
      </c>
      <c r="I2332" s="34" t="s">
        <v>6390</v>
      </c>
      <c r="J2332" s="34" t="s">
        <v>6383</v>
      </c>
      <c r="K2332" s="34" t="s">
        <v>788</v>
      </c>
      <c r="L2332" s="34" t="s">
        <v>793</v>
      </c>
      <c r="M2332" s="247">
        <v>6.5</v>
      </c>
      <c r="N2332" s="288" t="s">
        <v>722</v>
      </c>
    </row>
    <row r="2333" spans="1:1095" s="39" customFormat="1" ht="14.25" customHeight="1">
      <c r="A2333" s="8" t="s">
        <v>1722</v>
      </c>
      <c r="B2333" s="244" t="s">
        <v>1693</v>
      </c>
      <c r="C2333" s="8"/>
      <c r="D2333" s="7"/>
      <c r="E2333" s="230"/>
      <c r="F2333" s="7"/>
      <c r="G2333" s="68"/>
      <c r="H2333" s="230"/>
      <c r="I2333" s="230"/>
      <c r="J2333" s="230"/>
      <c r="K2333" s="230"/>
      <c r="L2333" s="230"/>
      <c r="M2333" s="248"/>
      <c r="N2333" s="284"/>
      <c r="O2333" s="38"/>
      <c r="P2333" s="38"/>
      <c r="Q2333" s="38"/>
      <c r="R2333" s="38"/>
      <c r="S2333" s="38"/>
      <c r="T2333" s="38"/>
      <c r="U2333" s="38"/>
      <c r="V2333" s="38"/>
      <c r="W2333" s="38"/>
      <c r="X2333" s="38"/>
      <c r="Y2333" s="38"/>
      <c r="Z2333" s="38"/>
      <c r="AA2333" s="38"/>
      <c r="AB2333" s="38"/>
      <c r="AC2333" s="38"/>
      <c r="AD2333" s="38"/>
      <c r="AE2333" s="38"/>
      <c r="AF2333" s="38"/>
      <c r="AG2333" s="38"/>
      <c r="AH2333" s="38"/>
      <c r="AI2333" s="38"/>
      <c r="AJ2333" s="38"/>
      <c r="AK2333" s="38"/>
      <c r="AL2333" s="38"/>
      <c r="AM2333" s="38"/>
      <c r="AN2333" s="38"/>
      <c r="AO2333" s="38"/>
      <c r="AP2333" s="38"/>
      <c r="AQ2333" s="38"/>
      <c r="AR2333" s="38"/>
      <c r="AS2333" s="38"/>
      <c r="AT2333" s="38"/>
      <c r="AU2333" s="38"/>
      <c r="AV2333" s="38"/>
      <c r="AW2333" s="38"/>
      <c r="AX2333" s="38"/>
      <c r="AY2333" s="38"/>
      <c r="AZ2333" s="38"/>
      <c r="BA2333" s="38"/>
      <c r="BB2333" s="38"/>
      <c r="BC2333" s="38"/>
      <c r="BD2333" s="38"/>
      <c r="BE2333" s="38"/>
      <c r="BF2333" s="38"/>
      <c r="BG2333" s="38"/>
      <c r="BH2333" s="38"/>
      <c r="BI2333" s="38"/>
      <c r="BJ2333" s="38"/>
      <c r="BK2333" s="38"/>
      <c r="BL2333" s="38"/>
      <c r="BM2333" s="38"/>
      <c r="BN2333" s="38"/>
      <c r="BO2333" s="38"/>
      <c r="BP2333" s="38"/>
      <c r="BQ2333" s="38"/>
      <c r="BR2333" s="38"/>
      <c r="BS2333" s="38"/>
      <c r="BT2333" s="38"/>
      <c r="BU2333" s="38"/>
      <c r="BV2333" s="38"/>
      <c r="BW2333" s="38"/>
      <c r="BX2333" s="38"/>
      <c r="BY2333" s="38"/>
      <c r="BZ2333" s="38"/>
      <c r="CA2333" s="38"/>
      <c r="CB2333" s="38"/>
      <c r="CC2333" s="38"/>
      <c r="CD2333" s="38"/>
      <c r="CE2333" s="38"/>
      <c r="CF2333" s="38"/>
      <c r="CG2333" s="38"/>
      <c r="CH2333" s="38"/>
      <c r="CI2333" s="38"/>
      <c r="CJ2333" s="38"/>
      <c r="CK2333" s="38"/>
      <c r="CL2333" s="38"/>
      <c r="CM2333" s="38"/>
      <c r="CN2333" s="38"/>
      <c r="CO2333" s="38"/>
      <c r="CP2333" s="38"/>
      <c r="CQ2333" s="38"/>
      <c r="CR2333" s="38"/>
      <c r="CS2333" s="38"/>
      <c r="CT2333" s="38"/>
      <c r="CU2333" s="38"/>
      <c r="CV2333" s="38"/>
      <c r="CW2333" s="38"/>
      <c r="CX2333" s="38"/>
      <c r="CY2333" s="38"/>
      <c r="CZ2333" s="38"/>
      <c r="DA2333" s="38"/>
      <c r="DB2333" s="38"/>
      <c r="DC2333" s="38"/>
      <c r="DD2333" s="38"/>
      <c r="DE2333" s="38"/>
      <c r="DF2333" s="38"/>
      <c r="DG2333" s="38"/>
      <c r="DH2333" s="38"/>
      <c r="DI2333" s="38"/>
      <c r="DJ2333" s="38"/>
      <c r="DK2333" s="38"/>
      <c r="DL2333" s="38"/>
      <c r="DM2333" s="38"/>
      <c r="DN2333" s="38"/>
      <c r="DO2333" s="38"/>
      <c r="DP2333" s="38"/>
      <c r="DQ2333" s="38"/>
      <c r="DR2333" s="38"/>
      <c r="DS2333" s="38"/>
      <c r="DT2333" s="38"/>
      <c r="DU2333" s="38"/>
      <c r="DV2333" s="38"/>
      <c r="DW2333" s="38"/>
      <c r="DX2333" s="38"/>
      <c r="DY2333" s="38"/>
      <c r="DZ2333" s="38"/>
      <c r="EA2333" s="38"/>
      <c r="EB2333" s="38"/>
      <c r="EC2333" s="38"/>
      <c r="ED2333" s="38"/>
      <c r="EE2333" s="38"/>
      <c r="EF2333" s="38"/>
      <c r="EG2333" s="38"/>
      <c r="EH2333" s="38"/>
      <c r="EI2333" s="38"/>
      <c r="EJ2333" s="38"/>
      <c r="EK2333" s="38"/>
      <c r="EL2333" s="38"/>
      <c r="EM2333" s="38"/>
      <c r="EN2333" s="38"/>
      <c r="EO2333" s="38"/>
      <c r="EP2333" s="38"/>
      <c r="EQ2333" s="38"/>
      <c r="ER2333" s="38"/>
      <c r="ES2333" s="38"/>
      <c r="ET2333" s="38"/>
      <c r="EU2333" s="38"/>
      <c r="EV2333" s="38"/>
      <c r="EW2333" s="38"/>
      <c r="EX2333" s="38"/>
      <c r="EY2333" s="38"/>
      <c r="EZ2333" s="38"/>
      <c r="FA2333" s="38"/>
      <c r="FB2333" s="38"/>
      <c r="FC2333" s="38"/>
      <c r="FD2333" s="38"/>
      <c r="FE2333" s="38"/>
      <c r="FF2333" s="38"/>
      <c r="FG2333" s="38"/>
      <c r="FH2333" s="38"/>
      <c r="FI2333" s="38"/>
      <c r="FJ2333" s="38"/>
      <c r="FK2333" s="38"/>
      <c r="FL2333" s="38"/>
      <c r="FM2333" s="38"/>
      <c r="FN2333" s="38"/>
      <c r="FO2333" s="38"/>
      <c r="FP2333" s="38"/>
      <c r="FQ2333" s="38"/>
      <c r="FR2333" s="38"/>
      <c r="FS2333" s="38"/>
      <c r="FT2333" s="38"/>
      <c r="FU2333" s="38"/>
      <c r="FV2333" s="38"/>
      <c r="FW2333" s="38"/>
      <c r="FX2333" s="38"/>
      <c r="FY2333" s="38"/>
      <c r="FZ2333" s="38"/>
      <c r="GA2333" s="38"/>
      <c r="GB2333" s="38"/>
      <c r="GC2333" s="38"/>
      <c r="GD2333" s="38"/>
      <c r="GE2333" s="38"/>
      <c r="GF2333" s="38"/>
      <c r="GG2333" s="38"/>
      <c r="GH2333" s="38"/>
      <c r="GI2333" s="38"/>
      <c r="GJ2333" s="38"/>
      <c r="GK2333" s="38"/>
      <c r="GL2333" s="38"/>
      <c r="GM2333" s="38"/>
      <c r="GN2333" s="38"/>
      <c r="GO2333" s="38"/>
      <c r="GP2333" s="38"/>
      <c r="GQ2333" s="38"/>
      <c r="GR2333" s="38"/>
      <c r="GS2333" s="38"/>
      <c r="GT2333" s="38"/>
      <c r="GU2333" s="38"/>
      <c r="GV2333" s="38"/>
      <c r="GW2333" s="38"/>
      <c r="GX2333" s="38"/>
      <c r="GY2333" s="38"/>
      <c r="GZ2333" s="38"/>
      <c r="HA2333" s="38"/>
      <c r="HB2333" s="38"/>
      <c r="HC2333" s="38"/>
      <c r="HD2333" s="38"/>
      <c r="HE2333" s="38"/>
      <c r="HF2333" s="38"/>
      <c r="HG2333" s="38"/>
      <c r="HH2333" s="38"/>
      <c r="HI2333" s="38"/>
      <c r="HJ2333" s="38"/>
      <c r="HK2333" s="38"/>
      <c r="HL2333" s="38"/>
      <c r="HM2333" s="38"/>
      <c r="HN2333" s="38"/>
      <c r="HO2333" s="38"/>
      <c r="HP2333" s="38"/>
      <c r="HQ2333" s="38"/>
      <c r="HR2333" s="38"/>
      <c r="HS2333" s="38"/>
      <c r="HT2333" s="38"/>
      <c r="HU2333" s="38"/>
      <c r="HV2333" s="38"/>
      <c r="HW2333" s="38"/>
      <c r="HX2333" s="38"/>
      <c r="HY2333" s="38"/>
      <c r="HZ2333" s="38"/>
      <c r="IA2333" s="38"/>
      <c r="IB2333" s="38"/>
      <c r="IC2333" s="38"/>
      <c r="ID2333" s="38"/>
      <c r="IE2333" s="38"/>
      <c r="IF2333" s="38"/>
      <c r="IG2333" s="38"/>
      <c r="IH2333" s="38"/>
      <c r="II2333" s="38"/>
      <c r="IJ2333" s="38"/>
      <c r="IK2333" s="38"/>
      <c r="IL2333" s="38"/>
      <c r="IM2333" s="38"/>
      <c r="IN2333" s="38"/>
      <c r="IO2333" s="38"/>
      <c r="IP2333" s="38"/>
      <c r="IQ2333" s="38"/>
      <c r="IR2333" s="38"/>
      <c r="IS2333" s="38"/>
      <c r="IT2333" s="38"/>
      <c r="IU2333" s="38"/>
      <c r="IV2333" s="38"/>
      <c r="IW2333" s="38"/>
      <c r="IX2333" s="38"/>
      <c r="IY2333" s="38"/>
      <c r="IZ2333" s="38"/>
      <c r="JA2333" s="38"/>
      <c r="JB2333" s="38"/>
      <c r="JC2333" s="38"/>
      <c r="JD2333" s="38"/>
      <c r="JE2333" s="38"/>
      <c r="JF2333" s="38"/>
      <c r="JG2333" s="38"/>
      <c r="JH2333" s="38"/>
      <c r="JI2333" s="38"/>
      <c r="JJ2333" s="38"/>
      <c r="JK2333" s="38"/>
      <c r="JL2333" s="38"/>
      <c r="JM2333" s="38"/>
      <c r="JN2333" s="38"/>
      <c r="JO2333" s="38"/>
      <c r="JP2333" s="38"/>
      <c r="JQ2333" s="38"/>
      <c r="JR2333" s="38"/>
      <c r="JS2333" s="38"/>
      <c r="JT2333" s="38"/>
      <c r="JU2333" s="38"/>
      <c r="JV2333" s="38"/>
      <c r="JW2333" s="38"/>
      <c r="JX2333" s="38"/>
      <c r="JY2333" s="38"/>
      <c r="JZ2333" s="38"/>
      <c r="KA2333" s="38"/>
      <c r="KB2333" s="38"/>
      <c r="KC2333" s="38"/>
      <c r="KD2333" s="38"/>
      <c r="KE2333" s="38"/>
      <c r="KF2333" s="38"/>
      <c r="KG2333" s="38"/>
      <c r="KH2333" s="38"/>
      <c r="KI2333" s="38"/>
      <c r="KJ2333" s="38"/>
      <c r="KK2333" s="38"/>
      <c r="KL2333" s="38"/>
      <c r="KM2333" s="38"/>
      <c r="KN2333" s="38"/>
      <c r="KO2333" s="38"/>
      <c r="KP2333" s="38"/>
      <c r="KQ2333" s="38"/>
      <c r="KR2333" s="38"/>
      <c r="KS2333" s="38"/>
      <c r="KT2333" s="38"/>
      <c r="KU2333" s="38"/>
      <c r="KV2333" s="38"/>
      <c r="KW2333" s="38"/>
      <c r="KX2333" s="38"/>
      <c r="KY2333" s="38"/>
      <c r="KZ2333" s="38"/>
      <c r="LA2333" s="38"/>
      <c r="LB2333" s="38"/>
      <c r="LC2333" s="38"/>
      <c r="LD2333" s="38"/>
      <c r="LE2333" s="38"/>
      <c r="LF2333" s="38"/>
      <c r="LG2333" s="38"/>
      <c r="LH2333" s="38"/>
      <c r="LI2333" s="38"/>
      <c r="LJ2333" s="38"/>
      <c r="LK2333" s="38"/>
      <c r="LL2333" s="38"/>
      <c r="LM2333" s="38"/>
      <c r="LN2333" s="38"/>
      <c r="LO2333" s="38"/>
      <c r="LP2333" s="38"/>
      <c r="LQ2333" s="38"/>
      <c r="LR2333" s="38"/>
      <c r="LS2333" s="38"/>
      <c r="LT2333" s="38"/>
      <c r="LU2333" s="38"/>
      <c r="LV2333" s="38"/>
      <c r="LW2333" s="38"/>
      <c r="LX2333" s="38"/>
      <c r="LY2333" s="38"/>
      <c r="LZ2333" s="38"/>
      <c r="MA2333" s="38"/>
      <c r="MB2333" s="38"/>
      <c r="MC2333" s="38"/>
      <c r="MD2333" s="38"/>
      <c r="ME2333" s="38"/>
      <c r="MF2333" s="38"/>
      <c r="MG2333" s="38"/>
      <c r="MH2333" s="38"/>
      <c r="MI2333" s="38"/>
      <c r="MJ2333" s="38"/>
      <c r="MK2333" s="38"/>
      <c r="ML2333" s="38"/>
      <c r="MM2333" s="38"/>
      <c r="MN2333" s="38"/>
      <c r="MO2333" s="38"/>
      <c r="MP2333" s="38"/>
      <c r="MQ2333" s="38"/>
      <c r="MR2333" s="38"/>
      <c r="MS2333" s="38"/>
      <c r="MT2333" s="38"/>
      <c r="MU2333" s="38"/>
      <c r="MV2333" s="38"/>
      <c r="MW2333" s="38"/>
      <c r="MX2333" s="38"/>
      <c r="MY2333" s="38"/>
      <c r="MZ2333" s="38"/>
      <c r="NA2333" s="38"/>
      <c r="NB2333" s="38"/>
      <c r="NC2333" s="38"/>
      <c r="ND2333" s="38"/>
      <c r="NE2333" s="38"/>
      <c r="NF2333" s="38"/>
      <c r="NG2333" s="38"/>
      <c r="NH2333" s="38"/>
      <c r="NI2333" s="38"/>
      <c r="NJ2333" s="38"/>
      <c r="NK2333" s="38"/>
      <c r="NL2333" s="38"/>
      <c r="NM2333" s="38"/>
      <c r="NN2333" s="38"/>
      <c r="NO2333" s="38"/>
      <c r="NP2333" s="38"/>
      <c r="NQ2333" s="38"/>
      <c r="NR2333" s="38"/>
      <c r="NS2333" s="38"/>
      <c r="NT2333" s="38"/>
      <c r="NU2333" s="38"/>
      <c r="NV2333" s="38"/>
      <c r="NW2333" s="38"/>
      <c r="NX2333" s="38"/>
      <c r="NY2333" s="38"/>
      <c r="NZ2333" s="38"/>
      <c r="OA2333" s="38"/>
      <c r="OB2333" s="38"/>
      <c r="OC2333" s="38"/>
      <c r="OD2333" s="38"/>
      <c r="OE2333" s="38"/>
      <c r="OF2333" s="38"/>
      <c r="OG2333" s="38"/>
      <c r="OH2333" s="38"/>
      <c r="OI2333" s="38"/>
      <c r="OJ2333" s="38"/>
      <c r="OK2333" s="38"/>
      <c r="OL2333" s="38"/>
      <c r="OM2333" s="38"/>
      <c r="ON2333" s="38"/>
      <c r="OO2333" s="38"/>
      <c r="OP2333" s="38"/>
      <c r="OQ2333" s="38"/>
      <c r="OR2333" s="38"/>
      <c r="OS2333" s="38"/>
      <c r="OT2333" s="38"/>
      <c r="OU2333" s="38"/>
      <c r="OV2333" s="38"/>
      <c r="OW2333" s="38"/>
      <c r="OX2333" s="38"/>
      <c r="OY2333" s="38"/>
      <c r="OZ2333" s="38"/>
      <c r="PA2333" s="38"/>
      <c r="PB2333" s="38"/>
      <c r="PC2333" s="38"/>
      <c r="PD2333" s="38"/>
      <c r="PE2333" s="38"/>
      <c r="PF2333" s="38"/>
      <c r="PG2333" s="38"/>
      <c r="PH2333" s="38"/>
      <c r="PI2333" s="38"/>
      <c r="PJ2333" s="38"/>
      <c r="PK2333" s="38"/>
      <c r="PL2333" s="38"/>
      <c r="PM2333" s="38"/>
      <c r="PN2333" s="38"/>
      <c r="PO2333" s="38"/>
      <c r="PP2333" s="38"/>
      <c r="PQ2333" s="38"/>
      <c r="PR2333" s="38"/>
      <c r="PS2333" s="38"/>
      <c r="PT2333" s="38"/>
      <c r="PU2333" s="38"/>
      <c r="PV2333" s="38"/>
      <c r="PW2333" s="38"/>
      <c r="PX2333" s="38"/>
      <c r="PY2333" s="38"/>
      <c r="PZ2333" s="38"/>
      <c r="QA2333" s="38"/>
      <c r="QB2333" s="38"/>
      <c r="QC2333" s="38"/>
      <c r="QD2333" s="38"/>
      <c r="QE2333" s="38"/>
      <c r="QF2333" s="38"/>
      <c r="QG2333" s="38"/>
      <c r="QH2333" s="38"/>
      <c r="QI2333" s="38"/>
      <c r="QJ2333" s="38"/>
      <c r="QK2333" s="38"/>
      <c r="QL2333" s="38"/>
      <c r="QM2333" s="38"/>
      <c r="QN2333" s="38"/>
      <c r="QO2333" s="38"/>
      <c r="QP2333" s="38"/>
      <c r="QQ2333" s="38"/>
      <c r="QR2333" s="38"/>
      <c r="QS2333" s="38"/>
      <c r="QT2333" s="38"/>
      <c r="QU2333" s="38"/>
      <c r="QV2333" s="38"/>
      <c r="QW2333" s="38"/>
      <c r="QX2333" s="38"/>
      <c r="QY2333" s="38"/>
      <c r="QZ2333" s="38"/>
      <c r="RA2333" s="38"/>
      <c r="RB2333" s="38"/>
      <c r="RC2333" s="38"/>
      <c r="RD2333" s="38"/>
      <c r="RE2333" s="38"/>
      <c r="RF2333" s="38"/>
      <c r="RG2333" s="38"/>
      <c r="RH2333" s="38"/>
      <c r="RI2333" s="38"/>
      <c r="RJ2333" s="38"/>
      <c r="RK2333" s="38"/>
      <c r="RL2333" s="38"/>
      <c r="RM2333" s="38"/>
      <c r="RN2333" s="38"/>
      <c r="RO2333" s="38"/>
      <c r="RP2333" s="38"/>
      <c r="RQ2333" s="38"/>
      <c r="RR2333" s="38"/>
      <c r="RS2333" s="38"/>
      <c r="RT2333" s="38"/>
      <c r="RU2333" s="38"/>
      <c r="RV2333" s="38"/>
      <c r="RW2333" s="38"/>
      <c r="RX2333" s="38"/>
      <c r="RY2333" s="38"/>
      <c r="RZ2333" s="38"/>
      <c r="SA2333" s="38"/>
      <c r="SB2333" s="38"/>
      <c r="SC2333" s="38"/>
      <c r="SD2333" s="38"/>
      <c r="SE2333" s="38"/>
      <c r="SF2333" s="38"/>
      <c r="SG2333" s="38"/>
      <c r="SH2333" s="38"/>
      <c r="SI2333" s="38"/>
      <c r="SJ2333" s="38"/>
      <c r="SK2333" s="38"/>
      <c r="SL2333" s="38"/>
      <c r="SM2333" s="38"/>
      <c r="SN2333" s="38"/>
      <c r="SO2333" s="38"/>
      <c r="SP2333" s="38"/>
      <c r="SQ2333" s="38"/>
      <c r="SR2333" s="38"/>
      <c r="SS2333" s="38"/>
      <c r="ST2333" s="38"/>
      <c r="SU2333" s="38"/>
      <c r="SV2333" s="38"/>
      <c r="SW2333" s="38"/>
      <c r="SX2333" s="38"/>
      <c r="SY2333" s="38"/>
      <c r="SZ2333" s="38"/>
      <c r="TA2333" s="38"/>
      <c r="TB2333" s="38"/>
      <c r="TC2333" s="38"/>
      <c r="TD2333" s="38"/>
      <c r="TE2333" s="38"/>
      <c r="TF2333" s="38"/>
      <c r="TG2333" s="38"/>
      <c r="TH2333" s="38"/>
      <c r="TI2333" s="38"/>
      <c r="TJ2333" s="38"/>
      <c r="TK2333" s="38"/>
      <c r="TL2333" s="38"/>
      <c r="TM2333" s="38"/>
      <c r="TN2333" s="38"/>
      <c r="TO2333" s="38"/>
      <c r="TP2333" s="38"/>
      <c r="TQ2333" s="38"/>
      <c r="TR2333" s="38"/>
      <c r="TS2333" s="38"/>
      <c r="TT2333" s="38"/>
      <c r="TU2333" s="38"/>
      <c r="TV2333" s="38"/>
      <c r="TW2333" s="38"/>
      <c r="TX2333" s="38"/>
      <c r="TY2333" s="38"/>
      <c r="TZ2333" s="38"/>
      <c r="UA2333" s="38"/>
      <c r="UB2333" s="38"/>
      <c r="UC2333" s="38"/>
      <c r="UD2333" s="38"/>
      <c r="UE2333" s="38"/>
      <c r="UF2333" s="38"/>
      <c r="UG2333" s="38"/>
      <c r="UH2333" s="38"/>
      <c r="UI2333" s="38"/>
      <c r="UJ2333" s="38"/>
      <c r="UK2333" s="38"/>
      <c r="UL2333" s="38"/>
      <c r="UM2333" s="38"/>
      <c r="UN2333" s="38"/>
      <c r="UO2333" s="38"/>
      <c r="UP2333" s="38"/>
      <c r="UQ2333" s="38"/>
      <c r="UR2333" s="38"/>
      <c r="US2333" s="38"/>
      <c r="UT2333" s="38"/>
      <c r="UU2333" s="38"/>
      <c r="UV2333" s="38"/>
      <c r="UW2333" s="38"/>
      <c r="UX2333" s="38"/>
      <c r="UY2333" s="38"/>
      <c r="UZ2333" s="38"/>
      <c r="VA2333" s="38"/>
      <c r="VB2333" s="38"/>
      <c r="VC2333" s="38"/>
      <c r="VD2333" s="38"/>
      <c r="VE2333" s="38"/>
      <c r="VF2333" s="38"/>
      <c r="VG2333" s="38"/>
      <c r="VH2333" s="38"/>
      <c r="VI2333" s="38"/>
      <c r="VJ2333" s="38"/>
      <c r="VK2333" s="38"/>
      <c r="VL2333" s="38"/>
      <c r="VM2333" s="38"/>
      <c r="VN2333" s="38"/>
      <c r="VO2333" s="38"/>
      <c r="VP2333" s="38"/>
      <c r="VQ2333" s="38"/>
      <c r="VR2333" s="38"/>
      <c r="VS2333" s="38"/>
      <c r="VT2333" s="38"/>
      <c r="VU2333" s="38"/>
      <c r="VV2333" s="38"/>
      <c r="VW2333" s="38"/>
      <c r="VX2333" s="38"/>
      <c r="VY2333" s="38"/>
      <c r="VZ2333" s="38"/>
      <c r="WA2333" s="38"/>
      <c r="WB2333" s="38"/>
      <c r="WC2333" s="38"/>
      <c r="WD2333" s="38"/>
      <c r="WE2333" s="38"/>
      <c r="WF2333" s="38"/>
      <c r="WG2333" s="38"/>
      <c r="WH2333" s="38"/>
      <c r="WI2333" s="38"/>
      <c r="WJ2333" s="38"/>
      <c r="WK2333" s="38"/>
      <c r="WL2333" s="38"/>
      <c r="WM2333" s="38"/>
      <c r="WN2333" s="38"/>
      <c r="WO2333" s="38"/>
      <c r="WP2333" s="38"/>
      <c r="WQ2333" s="38"/>
      <c r="WR2333" s="38"/>
      <c r="WS2333" s="38"/>
      <c r="WT2333" s="38"/>
      <c r="WU2333" s="38"/>
      <c r="WV2333" s="38"/>
      <c r="WW2333" s="38"/>
      <c r="WX2333" s="38"/>
      <c r="WY2333" s="38"/>
      <c r="WZ2333" s="38"/>
      <c r="XA2333" s="38"/>
      <c r="XB2333" s="38"/>
      <c r="XC2333" s="38"/>
      <c r="XD2333" s="38"/>
      <c r="XE2333" s="38"/>
      <c r="XF2333" s="38"/>
      <c r="XG2333" s="38"/>
      <c r="XH2333" s="38"/>
      <c r="XI2333" s="38"/>
      <c r="XJ2333" s="38"/>
      <c r="XK2333" s="38"/>
      <c r="XL2333" s="38"/>
      <c r="XM2333" s="38"/>
      <c r="XN2333" s="38"/>
      <c r="XO2333" s="38"/>
      <c r="XP2333" s="38"/>
      <c r="XQ2333" s="38"/>
      <c r="XR2333" s="38"/>
      <c r="XS2333" s="38"/>
      <c r="XT2333" s="38"/>
      <c r="XU2333" s="38"/>
      <c r="XV2333" s="38"/>
      <c r="XW2333" s="38"/>
      <c r="XX2333" s="38"/>
      <c r="XY2333" s="38"/>
      <c r="XZ2333" s="38"/>
      <c r="YA2333" s="38"/>
      <c r="YB2333" s="38"/>
      <c r="YC2333" s="38"/>
      <c r="YD2333" s="38"/>
      <c r="YE2333" s="38"/>
      <c r="YF2333" s="38"/>
      <c r="YG2333" s="38"/>
      <c r="YH2333" s="38"/>
      <c r="YI2333" s="38"/>
      <c r="YJ2333" s="38"/>
      <c r="YK2333" s="38"/>
      <c r="YL2333" s="38"/>
      <c r="YM2333" s="38"/>
      <c r="YN2333" s="38"/>
      <c r="YO2333" s="38"/>
      <c r="YP2333" s="38"/>
      <c r="YQ2333" s="38"/>
      <c r="YR2333" s="38"/>
      <c r="YS2333" s="38"/>
      <c r="YT2333" s="38"/>
      <c r="YU2333" s="38"/>
      <c r="YV2333" s="38"/>
      <c r="YW2333" s="38"/>
      <c r="YX2333" s="38"/>
      <c r="YY2333" s="38"/>
      <c r="YZ2333" s="38"/>
      <c r="ZA2333" s="38"/>
      <c r="ZB2333" s="38"/>
      <c r="ZC2333" s="38"/>
      <c r="ZD2333" s="38"/>
      <c r="ZE2333" s="38"/>
      <c r="ZF2333" s="38"/>
      <c r="ZG2333" s="38"/>
      <c r="ZH2333" s="38"/>
      <c r="ZI2333" s="38"/>
      <c r="ZJ2333" s="38"/>
      <c r="ZK2333" s="38"/>
      <c r="ZL2333" s="38"/>
      <c r="ZM2333" s="38"/>
      <c r="ZN2333" s="38"/>
      <c r="ZO2333" s="38"/>
      <c r="ZP2333" s="38"/>
      <c r="ZQ2333" s="38"/>
      <c r="ZR2333" s="38"/>
      <c r="ZS2333" s="38"/>
      <c r="ZT2333" s="38"/>
      <c r="ZU2333" s="38"/>
      <c r="ZV2333" s="38"/>
      <c r="ZW2333" s="38"/>
      <c r="ZX2333" s="38"/>
      <c r="ZY2333" s="38"/>
      <c r="ZZ2333" s="38"/>
      <c r="AAA2333" s="38"/>
      <c r="AAB2333" s="38"/>
      <c r="AAC2333" s="38"/>
      <c r="AAD2333" s="38"/>
      <c r="AAE2333" s="38"/>
      <c r="AAF2333" s="38"/>
      <c r="AAG2333" s="38"/>
      <c r="AAH2333" s="38"/>
      <c r="AAI2333" s="38"/>
      <c r="AAJ2333" s="38"/>
      <c r="AAK2333" s="38"/>
      <c r="AAL2333" s="38"/>
      <c r="AAM2333" s="38"/>
      <c r="AAN2333" s="38"/>
      <c r="AAO2333" s="38"/>
      <c r="AAP2333" s="38"/>
      <c r="AAQ2333" s="38"/>
      <c r="AAR2333" s="38"/>
      <c r="AAS2333" s="38"/>
      <c r="AAT2333" s="38"/>
      <c r="AAU2333" s="38"/>
      <c r="AAV2333" s="38"/>
      <c r="AAW2333" s="38"/>
      <c r="AAX2333" s="38"/>
      <c r="AAY2333" s="38"/>
      <c r="AAZ2333" s="38"/>
      <c r="ABA2333" s="38"/>
      <c r="ABB2333" s="38"/>
      <c r="ABC2333" s="38"/>
      <c r="ABD2333" s="38"/>
      <c r="ABE2333" s="38"/>
      <c r="ABF2333" s="38"/>
      <c r="ABG2333" s="38"/>
      <c r="ABH2333" s="38"/>
      <c r="ABI2333" s="38"/>
      <c r="ABJ2333" s="38"/>
      <c r="ABK2333" s="38"/>
      <c r="ABL2333" s="38"/>
      <c r="ABM2333" s="38"/>
      <c r="ABN2333" s="38"/>
      <c r="ABO2333" s="38"/>
      <c r="ABP2333" s="38"/>
      <c r="ABQ2333" s="38"/>
      <c r="ABR2333" s="38"/>
      <c r="ABS2333" s="38"/>
      <c r="ABT2333" s="38"/>
      <c r="ABU2333" s="38"/>
      <c r="ABV2333" s="38"/>
      <c r="ABW2333" s="38"/>
      <c r="ABX2333" s="38"/>
      <c r="ABY2333" s="38"/>
      <c r="ABZ2333" s="38"/>
      <c r="ACA2333" s="38"/>
      <c r="ACB2333" s="38"/>
      <c r="ACC2333" s="38"/>
      <c r="ACD2333" s="38"/>
      <c r="ACE2333" s="38"/>
      <c r="ACF2333" s="38"/>
      <c r="ACG2333" s="38"/>
      <c r="ACH2333" s="38"/>
      <c r="ACI2333" s="38"/>
      <c r="ACJ2333" s="38"/>
      <c r="ACK2333" s="38"/>
      <c r="ACL2333" s="38"/>
      <c r="ACM2333" s="38"/>
      <c r="ACN2333" s="38"/>
      <c r="ACO2333" s="38"/>
      <c r="ACP2333" s="38"/>
      <c r="ACQ2333" s="38"/>
      <c r="ACR2333" s="38"/>
      <c r="ACS2333" s="38"/>
      <c r="ACT2333" s="38"/>
      <c r="ACU2333" s="38"/>
      <c r="ACV2333" s="38"/>
      <c r="ACW2333" s="38"/>
      <c r="ACX2333" s="38"/>
      <c r="ACY2333" s="38"/>
      <c r="ACZ2333" s="38"/>
      <c r="ADA2333" s="38"/>
      <c r="ADB2333" s="38"/>
      <c r="ADC2333" s="38"/>
      <c r="ADD2333" s="38"/>
      <c r="ADE2333" s="38"/>
      <c r="ADF2333" s="38"/>
      <c r="ADG2333" s="38"/>
      <c r="ADH2333" s="38"/>
      <c r="ADI2333" s="38"/>
      <c r="ADJ2333" s="38"/>
      <c r="ADK2333" s="38"/>
      <c r="ADL2333" s="38"/>
      <c r="ADM2333" s="38"/>
      <c r="ADN2333" s="38"/>
      <c r="ADO2333" s="38"/>
      <c r="ADP2333" s="38"/>
      <c r="ADQ2333" s="38"/>
      <c r="ADR2333" s="38"/>
      <c r="ADS2333" s="38"/>
      <c r="ADT2333" s="38"/>
      <c r="ADU2333" s="38"/>
      <c r="ADV2333" s="38"/>
      <c r="ADW2333" s="38"/>
      <c r="ADX2333" s="38"/>
      <c r="ADY2333" s="38"/>
      <c r="ADZ2333" s="38"/>
      <c r="AEA2333" s="38"/>
      <c r="AEB2333" s="38"/>
      <c r="AEC2333" s="38"/>
      <c r="AED2333" s="38"/>
      <c r="AEE2333" s="38"/>
      <c r="AEF2333" s="38"/>
      <c r="AEG2333" s="38"/>
      <c r="AEH2333" s="38"/>
      <c r="AEI2333" s="38"/>
      <c r="AEJ2333" s="38"/>
      <c r="AEK2333" s="38"/>
      <c r="AEL2333" s="38"/>
      <c r="AEM2333" s="38"/>
      <c r="AEN2333" s="38"/>
      <c r="AEO2333" s="38"/>
      <c r="AEP2333" s="38"/>
      <c r="AEQ2333" s="38"/>
      <c r="AER2333" s="38"/>
      <c r="AES2333" s="38"/>
      <c r="AET2333" s="38"/>
      <c r="AEU2333" s="38"/>
      <c r="AEV2333" s="38"/>
      <c r="AEW2333" s="38"/>
      <c r="AEX2333" s="38"/>
      <c r="AEY2333" s="38"/>
      <c r="AEZ2333" s="38"/>
      <c r="AFA2333" s="38"/>
      <c r="AFB2333" s="38"/>
      <c r="AFC2333" s="38"/>
      <c r="AFD2333" s="38"/>
      <c r="AFE2333" s="38"/>
      <c r="AFF2333" s="38"/>
      <c r="AFG2333" s="38"/>
      <c r="AFH2333" s="38"/>
      <c r="AFI2333" s="38"/>
      <c r="AFJ2333" s="38"/>
      <c r="AFK2333" s="38"/>
      <c r="AFL2333" s="38"/>
      <c r="AFM2333" s="38"/>
      <c r="AFN2333" s="38"/>
      <c r="AFO2333" s="38"/>
      <c r="AFP2333" s="38"/>
      <c r="AFQ2333" s="38"/>
      <c r="AFR2333" s="38"/>
      <c r="AFS2333" s="38"/>
      <c r="AFT2333" s="38"/>
      <c r="AFU2333" s="38"/>
      <c r="AFV2333" s="38"/>
      <c r="AFW2333" s="38"/>
      <c r="AFX2333" s="38"/>
      <c r="AFY2333" s="38"/>
      <c r="AFZ2333" s="38"/>
      <c r="AGA2333" s="38"/>
      <c r="AGB2333" s="38"/>
      <c r="AGC2333" s="38"/>
      <c r="AGD2333" s="38"/>
      <c r="AGE2333" s="38"/>
      <c r="AGF2333" s="38"/>
      <c r="AGG2333" s="38"/>
      <c r="AGH2333" s="38"/>
      <c r="AGI2333" s="38"/>
      <c r="AGJ2333" s="38"/>
      <c r="AGK2333" s="38"/>
      <c r="AGL2333" s="38"/>
      <c r="AGM2333" s="38"/>
      <c r="AGN2333" s="38"/>
      <c r="AGO2333" s="38"/>
      <c r="AGP2333" s="38"/>
      <c r="AGQ2333" s="38"/>
      <c r="AGR2333" s="38"/>
      <c r="AGS2333" s="38"/>
      <c r="AGT2333" s="38"/>
      <c r="AGU2333" s="38"/>
      <c r="AGV2333" s="38"/>
      <c r="AGW2333" s="38"/>
      <c r="AGX2333" s="38"/>
      <c r="AGY2333" s="38"/>
      <c r="AGZ2333" s="38"/>
      <c r="AHA2333" s="38"/>
      <c r="AHB2333" s="38"/>
      <c r="AHC2333" s="38"/>
      <c r="AHD2333" s="38"/>
      <c r="AHE2333" s="38"/>
      <c r="AHF2333" s="38"/>
      <c r="AHG2333" s="38"/>
      <c r="AHH2333" s="38"/>
      <c r="AHI2333" s="38"/>
      <c r="AHJ2333" s="38"/>
      <c r="AHK2333" s="38"/>
      <c r="AHL2333" s="38"/>
      <c r="AHM2333" s="38"/>
      <c r="AHN2333" s="38"/>
      <c r="AHO2333" s="38"/>
      <c r="AHP2333" s="38"/>
      <c r="AHQ2333" s="38"/>
      <c r="AHR2333" s="38"/>
      <c r="AHS2333" s="38"/>
      <c r="AHT2333" s="38"/>
      <c r="AHU2333" s="38"/>
      <c r="AHV2333" s="38"/>
      <c r="AHW2333" s="38"/>
      <c r="AHX2333" s="38"/>
      <c r="AHY2333" s="38"/>
      <c r="AHZ2333" s="38"/>
      <c r="AIA2333" s="38"/>
      <c r="AIB2333" s="38"/>
      <c r="AIC2333" s="38"/>
      <c r="AID2333" s="38"/>
      <c r="AIE2333" s="38"/>
      <c r="AIF2333" s="38"/>
      <c r="AIG2333" s="38"/>
      <c r="AIH2333" s="38"/>
      <c r="AII2333" s="38"/>
      <c r="AIJ2333" s="38"/>
      <c r="AIK2333" s="38"/>
      <c r="AIL2333" s="38"/>
      <c r="AIM2333" s="38"/>
      <c r="AIN2333" s="38"/>
      <c r="AIO2333" s="38"/>
      <c r="AIP2333" s="38"/>
      <c r="AIQ2333" s="38"/>
      <c r="AIR2333" s="38"/>
      <c r="AIS2333" s="38"/>
      <c r="AIT2333" s="38"/>
      <c r="AIU2333" s="38"/>
      <c r="AIV2333" s="38"/>
      <c r="AIW2333" s="38"/>
      <c r="AIX2333" s="38"/>
      <c r="AIY2333" s="38"/>
      <c r="AIZ2333" s="38"/>
      <c r="AJA2333" s="38"/>
      <c r="AJB2333" s="38"/>
      <c r="AJC2333" s="38"/>
      <c r="AJD2333" s="38"/>
      <c r="AJE2333" s="38"/>
      <c r="AJF2333" s="38"/>
      <c r="AJG2333" s="38"/>
      <c r="AJH2333" s="38"/>
      <c r="AJI2333" s="38"/>
      <c r="AJJ2333" s="38"/>
      <c r="AJK2333" s="38"/>
      <c r="AJL2333" s="38"/>
      <c r="AJM2333" s="38"/>
      <c r="AJN2333" s="38"/>
      <c r="AJO2333" s="38"/>
      <c r="AJP2333" s="38"/>
      <c r="AJQ2333" s="38"/>
      <c r="AJR2333" s="38"/>
      <c r="AJS2333" s="38"/>
      <c r="AJT2333" s="38"/>
      <c r="AJU2333" s="38"/>
      <c r="AJV2333" s="38"/>
      <c r="AJW2333" s="38"/>
      <c r="AJX2333" s="38"/>
      <c r="AJY2333" s="38"/>
      <c r="AJZ2333" s="38"/>
      <c r="AKA2333" s="38"/>
      <c r="AKB2333" s="38"/>
      <c r="AKC2333" s="38"/>
      <c r="AKD2333" s="38"/>
      <c r="AKE2333" s="38"/>
      <c r="AKF2333" s="38"/>
      <c r="AKG2333" s="38"/>
      <c r="AKH2333" s="38"/>
      <c r="AKI2333" s="38"/>
      <c r="AKJ2333" s="38"/>
      <c r="AKK2333" s="38"/>
      <c r="AKL2333" s="38"/>
      <c r="AKM2333" s="38"/>
      <c r="AKN2333" s="38"/>
      <c r="AKO2333" s="38"/>
      <c r="AKP2333" s="38"/>
      <c r="AKQ2333" s="38"/>
      <c r="AKR2333" s="38"/>
      <c r="AKS2333" s="38"/>
      <c r="AKT2333" s="38"/>
      <c r="AKU2333" s="38"/>
      <c r="AKV2333" s="38"/>
      <c r="AKW2333" s="38"/>
      <c r="AKX2333" s="38"/>
      <c r="AKY2333" s="38"/>
      <c r="AKZ2333" s="38"/>
      <c r="ALA2333" s="38"/>
      <c r="ALB2333" s="38"/>
      <c r="ALC2333" s="38"/>
      <c r="ALD2333" s="38"/>
      <c r="ALE2333" s="38"/>
      <c r="ALF2333" s="38"/>
      <c r="ALG2333" s="38"/>
      <c r="ALH2333" s="38"/>
      <c r="ALI2333" s="38"/>
      <c r="ALJ2333" s="38"/>
      <c r="ALK2333" s="38"/>
      <c r="ALL2333" s="38"/>
      <c r="ALM2333" s="38"/>
      <c r="ALN2333" s="38"/>
      <c r="ALO2333" s="38"/>
      <c r="ALP2333" s="38"/>
      <c r="ALQ2333" s="38"/>
      <c r="ALR2333" s="38"/>
      <c r="ALS2333" s="38"/>
      <c r="ALT2333" s="38"/>
      <c r="ALU2333" s="38"/>
      <c r="ALV2333" s="38"/>
      <c r="ALW2333" s="38"/>
      <c r="ALX2333" s="38"/>
      <c r="ALY2333" s="38"/>
      <c r="ALZ2333" s="38"/>
      <c r="AMA2333" s="38"/>
      <c r="AMB2333" s="38"/>
      <c r="AMC2333" s="38"/>
      <c r="AMD2333" s="38"/>
      <c r="AME2333" s="38"/>
      <c r="AMF2333" s="38"/>
      <c r="AMG2333" s="38"/>
      <c r="AMH2333" s="38"/>
      <c r="AMI2333" s="38"/>
      <c r="AMJ2333" s="38"/>
      <c r="AMK2333" s="38"/>
      <c r="AML2333" s="38"/>
      <c r="AMM2333" s="38"/>
      <c r="AMN2333" s="38"/>
      <c r="AMO2333" s="38"/>
      <c r="AMP2333" s="38"/>
      <c r="AMQ2333" s="38"/>
      <c r="AMR2333" s="38"/>
      <c r="AMS2333" s="38"/>
      <c r="AMT2333" s="38"/>
      <c r="AMU2333" s="38"/>
      <c r="AMV2333" s="38"/>
      <c r="AMW2333" s="38"/>
      <c r="AMX2333" s="38"/>
      <c r="AMY2333" s="38"/>
      <c r="AMZ2333" s="38"/>
      <c r="ANA2333" s="38"/>
      <c r="ANB2333" s="38"/>
      <c r="ANC2333" s="38"/>
      <c r="AND2333" s="38"/>
      <c r="ANE2333" s="38"/>
      <c r="ANF2333" s="38"/>
      <c r="ANG2333" s="38"/>
      <c r="ANH2333" s="38"/>
      <c r="ANI2333" s="38"/>
      <c r="ANJ2333" s="38"/>
      <c r="ANK2333" s="38"/>
      <c r="ANL2333" s="38"/>
      <c r="ANM2333" s="38"/>
      <c r="ANN2333" s="38"/>
      <c r="ANO2333" s="38"/>
      <c r="ANP2333" s="38"/>
      <c r="ANQ2333" s="38"/>
      <c r="ANR2333" s="38"/>
      <c r="ANS2333" s="38"/>
      <c r="ANT2333" s="38"/>
      <c r="ANU2333" s="38"/>
      <c r="ANV2333" s="38"/>
      <c r="ANW2333" s="38"/>
      <c r="ANX2333" s="38"/>
      <c r="ANY2333" s="38"/>
      <c r="ANZ2333" s="38"/>
      <c r="AOA2333" s="38"/>
      <c r="AOB2333" s="38"/>
      <c r="AOC2333" s="38"/>
      <c r="AOD2333" s="38"/>
      <c r="AOE2333" s="38"/>
      <c r="AOF2333" s="38"/>
      <c r="AOG2333" s="38"/>
      <c r="AOH2333" s="38"/>
      <c r="AOI2333" s="38"/>
      <c r="AOJ2333" s="38"/>
      <c r="AOK2333" s="38"/>
      <c r="AOL2333" s="38"/>
      <c r="AOM2333" s="38"/>
      <c r="AON2333" s="38"/>
      <c r="AOO2333" s="38"/>
      <c r="AOP2333" s="38"/>
      <c r="AOQ2333" s="38"/>
      <c r="AOR2333" s="38"/>
      <c r="AOS2333" s="38"/>
      <c r="AOT2333" s="38"/>
      <c r="AOU2333" s="38"/>
      <c r="AOV2333" s="38"/>
      <c r="AOW2333" s="38"/>
      <c r="AOX2333" s="38"/>
      <c r="AOY2333" s="38"/>
      <c r="AOZ2333" s="38"/>
      <c r="APA2333" s="38"/>
      <c r="APB2333" s="38"/>
      <c r="APC2333" s="38"/>
    </row>
    <row r="2334" spans="1:1095" s="39" customFormat="1" ht="14.25" customHeight="1">
      <c r="A2334" s="8" t="s">
        <v>1722</v>
      </c>
      <c r="B2334" s="244" t="s">
        <v>1694</v>
      </c>
      <c r="C2334" s="8"/>
      <c r="D2334" s="7"/>
      <c r="E2334" s="230"/>
      <c r="F2334" s="7"/>
      <c r="G2334" s="68"/>
      <c r="H2334" s="230"/>
      <c r="I2334" s="230"/>
      <c r="J2334" s="230"/>
      <c r="K2334" s="230"/>
      <c r="L2334" s="230"/>
      <c r="M2334" s="248"/>
      <c r="N2334" s="284"/>
      <c r="O2334" s="38"/>
      <c r="P2334" s="38"/>
      <c r="Q2334" s="38"/>
      <c r="R2334" s="38"/>
      <c r="S2334" s="38"/>
      <c r="T2334" s="38"/>
      <c r="U2334" s="38"/>
      <c r="V2334" s="38"/>
      <c r="W2334" s="38"/>
      <c r="X2334" s="38"/>
      <c r="Y2334" s="38"/>
      <c r="Z2334" s="38"/>
      <c r="AA2334" s="38"/>
      <c r="AB2334" s="38"/>
      <c r="AC2334" s="38"/>
      <c r="AD2334" s="38"/>
      <c r="AE2334" s="38"/>
      <c r="AF2334" s="38"/>
      <c r="AG2334" s="38"/>
      <c r="AH2334" s="38"/>
      <c r="AI2334" s="38"/>
      <c r="AJ2334" s="38"/>
      <c r="AK2334" s="38"/>
      <c r="AL2334" s="38"/>
      <c r="AM2334" s="38"/>
      <c r="AN2334" s="38"/>
      <c r="AO2334" s="38"/>
      <c r="AP2334" s="38"/>
      <c r="AQ2334" s="38"/>
      <c r="AR2334" s="38"/>
      <c r="AS2334" s="38"/>
      <c r="AT2334" s="38"/>
      <c r="AU2334" s="38"/>
      <c r="AV2334" s="38"/>
      <c r="AW2334" s="38"/>
      <c r="AX2334" s="38"/>
      <c r="AY2334" s="38"/>
      <c r="AZ2334" s="38"/>
      <c r="BA2334" s="38"/>
      <c r="BB2334" s="38"/>
      <c r="BC2334" s="38"/>
      <c r="BD2334" s="38"/>
      <c r="BE2334" s="38"/>
      <c r="BF2334" s="38"/>
      <c r="BG2334" s="38"/>
      <c r="BH2334" s="38"/>
      <c r="BI2334" s="38"/>
      <c r="BJ2334" s="38"/>
      <c r="BK2334" s="38"/>
      <c r="BL2334" s="38"/>
      <c r="BM2334" s="38"/>
      <c r="BN2334" s="38"/>
      <c r="BO2334" s="38"/>
      <c r="BP2334" s="38"/>
      <c r="BQ2334" s="38"/>
      <c r="BR2334" s="38"/>
      <c r="BS2334" s="38"/>
      <c r="BT2334" s="38"/>
      <c r="BU2334" s="38"/>
      <c r="BV2334" s="38"/>
      <c r="BW2334" s="38"/>
      <c r="BX2334" s="38"/>
      <c r="BY2334" s="38"/>
      <c r="BZ2334" s="38"/>
      <c r="CA2334" s="38"/>
      <c r="CB2334" s="38"/>
      <c r="CC2334" s="38"/>
      <c r="CD2334" s="38"/>
      <c r="CE2334" s="38"/>
      <c r="CF2334" s="38"/>
      <c r="CG2334" s="38"/>
      <c r="CH2334" s="38"/>
      <c r="CI2334" s="38"/>
      <c r="CJ2334" s="38"/>
      <c r="CK2334" s="38"/>
      <c r="CL2334" s="38"/>
      <c r="CM2334" s="38"/>
      <c r="CN2334" s="38"/>
      <c r="CO2334" s="38"/>
      <c r="CP2334" s="38"/>
      <c r="CQ2334" s="38"/>
      <c r="CR2334" s="38"/>
      <c r="CS2334" s="38"/>
      <c r="CT2334" s="38"/>
      <c r="CU2334" s="38"/>
      <c r="CV2334" s="38"/>
      <c r="CW2334" s="38"/>
      <c r="CX2334" s="38"/>
      <c r="CY2334" s="38"/>
      <c r="CZ2334" s="38"/>
      <c r="DA2334" s="38"/>
      <c r="DB2334" s="38"/>
      <c r="DC2334" s="38"/>
      <c r="DD2334" s="38"/>
      <c r="DE2334" s="38"/>
      <c r="DF2334" s="38"/>
      <c r="DG2334" s="38"/>
      <c r="DH2334" s="38"/>
      <c r="DI2334" s="38"/>
      <c r="DJ2334" s="38"/>
      <c r="DK2334" s="38"/>
      <c r="DL2334" s="38"/>
      <c r="DM2334" s="38"/>
      <c r="DN2334" s="38"/>
      <c r="DO2334" s="38"/>
      <c r="DP2334" s="38"/>
      <c r="DQ2334" s="38"/>
      <c r="DR2334" s="38"/>
      <c r="DS2334" s="38"/>
      <c r="DT2334" s="38"/>
      <c r="DU2334" s="38"/>
      <c r="DV2334" s="38"/>
      <c r="DW2334" s="38"/>
      <c r="DX2334" s="38"/>
      <c r="DY2334" s="38"/>
      <c r="DZ2334" s="38"/>
      <c r="EA2334" s="38"/>
      <c r="EB2334" s="38"/>
      <c r="EC2334" s="38"/>
      <c r="ED2334" s="38"/>
      <c r="EE2334" s="38"/>
      <c r="EF2334" s="38"/>
      <c r="EG2334" s="38"/>
      <c r="EH2334" s="38"/>
      <c r="EI2334" s="38"/>
      <c r="EJ2334" s="38"/>
      <c r="EK2334" s="38"/>
      <c r="EL2334" s="38"/>
      <c r="EM2334" s="38"/>
      <c r="EN2334" s="38"/>
      <c r="EO2334" s="38"/>
      <c r="EP2334" s="38"/>
      <c r="EQ2334" s="38"/>
      <c r="ER2334" s="38"/>
      <c r="ES2334" s="38"/>
      <c r="ET2334" s="38"/>
      <c r="EU2334" s="38"/>
      <c r="EV2334" s="38"/>
      <c r="EW2334" s="38"/>
      <c r="EX2334" s="38"/>
      <c r="EY2334" s="38"/>
      <c r="EZ2334" s="38"/>
      <c r="FA2334" s="38"/>
      <c r="FB2334" s="38"/>
      <c r="FC2334" s="38"/>
      <c r="FD2334" s="38"/>
      <c r="FE2334" s="38"/>
      <c r="FF2334" s="38"/>
      <c r="FG2334" s="38"/>
      <c r="FH2334" s="38"/>
      <c r="FI2334" s="38"/>
      <c r="FJ2334" s="38"/>
      <c r="FK2334" s="38"/>
      <c r="FL2334" s="38"/>
      <c r="FM2334" s="38"/>
      <c r="FN2334" s="38"/>
      <c r="FO2334" s="38"/>
      <c r="FP2334" s="38"/>
      <c r="FQ2334" s="38"/>
      <c r="FR2334" s="38"/>
      <c r="FS2334" s="38"/>
      <c r="FT2334" s="38"/>
      <c r="FU2334" s="38"/>
      <c r="FV2334" s="38"/>
      <c r="FW2334" s="38"/>
      <c r="FX2334" s="38"/>
      <c r="FY2334" s="38"/>
      <c r="FZ2334" s="38"/>
      <c r="GA2334" s="38"/>
      <c r="GB2334" s="38"/>
      <c r="GC2334" s="38"/>
      <c r="GD2334" s="38"/>
      <c r="GE2334" s="38"/>
      <c r="GF2334" s="38"/>
      <c r="GG2334" s="38"/>
      <c r="GH2334" s="38"/>
      <c r="GI2334" s="38"/>
      <c r="GJ2334" s="38"/>
      <c r="GK2334" s="38"/>
      <c r="GL2334" s="38"/>
      <c r="GM2334" s="38"/>
      <c r="GN2334" s="38"/>
      <c r="GO2334" s="38"/>
      <c r="GP2334" s="38"/>
      <c r="GQ2334" s="38"/>
      <c r="GR2334" s="38"/>
      <c r="GS2334" s="38"/>
      <c r="GT2334" s="38"/>
      <c r="GU2334" s="38"/>
      <c r="GV2334" s="38"/>
      <c r="GW2334" s="38"/>
      <c r="GX2334" s="38"/>
      <c r="GY2334" s="38"/>
      <c r="GZ2334" s="38"/>
      <c r="HA2334" s="38"/>
      <c r="HB2334" s="38"/>
      <c r="HC2334" s="38"/>
      <c r="HD2334" s="38"/>
      <c r="HE2334" s="38"/>
      <c r="HF2334" s="38"/>
      <c r="HG2334" s="38"/>
      <c r="HH2334" s="38"/>
      <c r="HI2334" s="38"/>
      <c r="HJ2334" s="38"/>
      <c r="HK2334" s="38"/>
      <c r="HL2334" s="38"/>
      <c r="HM2334" s="38"/>
      <c r="HN2334" s="38"/>
      <c r="HO2334" s="38"/>
      <c r="HP2334" s="38"/>
      <c r="HQ2334" s="38"/>
      <c r="HR2334" s="38"/>
      <c r="HS2334" s="38"/>
      <c r="HT2334" s="38"/>
      <c r="HU2334" s="38"/>
      <c r="HV2334" s="38"/>
      <c r="HW2334" s="38"/>
      <c r="HX2334" s="38"/>
      <c r="HY2334" s="38"/>
      <c r="HZ2334" s="38"/>
      <c r="IA2334" s="38"/>
      <c r="IB2334" s="38"/>
      <c r="IC2334" s="38"/>
      <c r="ID2334" s="38"/>
      <c r="IE2334" s="38"/>
      <c r="IF2334" s="38"/>
      <c r="IG2334" s="38"/>
      <c r="IH2334" s="38"/>
      <c r="II2334" s="38"/>
      <c r="IJ2334" s="38"/>
      <c r="IK2334" s="38"/>
      <c r="IL2334" s="38"/>
      <c r="IM2334" s="38"/>
      <c r="IN2334" s="38"/>
      <c r="IO2334" s="38"/>
      <c r="IP2334" s="38"/>
      <c r="IQ2334" s="38"/>
      <c r="IR2334" s="38"/>
      <c r="IS2334" s="38"/>
      <c r="IT2334" s="38"/>
      <c r="IU2334" s="38"/>
      <c r="IV2334" s="38"/>
      <c r="IW2334" s="38"/>
      <c r="IX2334" s="38"/>
      <c r="IY2334" s="38"/>
      <c r="IZ2334" s="38"/>
      <c r="JA2334" s="38"/>
      <c r="JB2334" s="38"/>
      <c r="JC2334" s="38"/>
      <c r="JD2334" s="38"/>
      <c r="JE2334" s="38"/>
      <c r="JF2334" s="38"/>
      <c r="JG2334" s="38"/>
      <c r="JH2334" s="38"/>
      <c r="JI2334" s="38"/>
      <c r="JJ2334" s="38"/>
      <c r="JK2334" s="38"/>
      <c r="JL2334" s="38"/>
      <c r="JM2334" s="38"/>
      <c r="JN2334" s="38"/>
      <c r="JO2334" s="38"/>
      <c r="JP2334" s="38"/>
      <c r="JQ2334" s="38"/>
      <c r="JR2334" s="38"/>
      <c r="JS2334" s="38"/>
      <c r="JT2334" s="38"/>
      <c r="JU2334" s="38"/>
      <c r="JV2334" s="38"/>
      <c r="JW2334" s="38"/>
      <c r="JX2334" s="38"/>
      <c r="JY2334" s="38"/>
      <c r="JZ2334" s="38"/>
      <c r="KA2334" s="38"/>
      <c r="KB2334" s="38"/>
      <c r="KC2334" s="38"/>
      <c r="KD2334" s="38"/>
      <c r="KE2334" s="38"/>
      <c r="KF2334" s="38"/>
      <c r="KG2334" s="38"/>
      <c r="KH2334" s="38"/>
      <c r="KI2334" s="38"/>
      <c r="KJ2334" s="38"/>
      <c r="KK2334" s="38"/>
      <c r="KL2334" s="38"/>
      <c r="KM2334" s="38"/>
      <c r="KN2334" s="38"/>
      <c r="KO2334" s="38"/>
      <c r="KP2334" s="38"/>
      <c r="KQ2334" s="38"/>
      <c r="KR2334" s="38"/>
      <c r="KS2334" s="38"/>
      <c r="KT2334" s="38"/>
      <c r="KU2334" s="38"/>
      <c r="KV2334" s="38"/>
      <c r="KW2334" s="38"/>
      <c r="KX2334" s="38"/>
      <c r="KY2334" s="38"/>
      <c r="KZ2334" s="38"/>
      <c r="LA2334" s="38"/>
      <c r="LB2334" s="38"/>
      <c r="LC2334" s="38"/>
      <c r="LD2334" s="38"/>
      <c r="LE2334" s="38"/>
      <c r="LF2334" s="38"/>
      <c r="LG2334" s="38"/>
      <c r="LH2334" s="38"/>
      <c r="LI2334" s="38"/>
      <c r="LJ2334" s="38"/>
      <c r="LK2334" s="38"/>
      <c r="LL2334" s="38"/>
      <c r="LM2334" s="38"/>
      <c r="LN2334" s="38"/>
      <c r="LO2334" s="38"/>
      <c r="LP2334" s="38"/>
      <c r="LQ2334" s="38"/>
      <c r="LR2334" s="38"/>
      <c r="LS2334" s="38"/>
      <c r="LT2334" s="38"/>
      <c r="LU2334" s="38"/>
      <c r="LV2334" s="38"/>
      <c r="LW2334" s="38"/>
      <c r="LX2334" s="38"/>
      <c r="LY2334" s="38"/>
      <c r="LZ2334" s="38"/>
      <c r="MA2334" s="38"/>
      <c r="MB2334" s="38"/>
      <c r="MC2334" s="38"/>
      <c r="MD2334" s="38"/>
      <c r="ME2334" s="38"/>
      <c r="MF2334" s="38"/>
      <c r="MG2334" s="38"/>
      <c r="MH2334" s="38"/>
      <c r="MI2334" s="38"/>
      <c r="MJ2334" s="38"/>
      <c r="MK2334" s="38"/>
      <c r="ML2334" s="38"/>
      <c r="MM2334" s="38"/>
      <c r="MN2334" s="38"/>
      <c r="MO2334" s="38"/>
      <c r="MP2334" s="38"/>
      <c r="MQ2334" s="38"/>
      <c r="MR2334" s="38"/>
      <c r="MS2334" s="38"/>
      <c r="MT2334" s="38"/>
      <c r="MU2334" s="38"/>
      <c r="MV2334" s="38"/>
      <c r="MW2334" s="38"/>
      <c r="MX2334" s="38"/>
      <c r="MY2334" s="38"/>
      <c r="MZ2334" s="38"/>
      <c r="NA2334" s="38"/>
      <c r="NB2334" s="38"/>
      <c r="NC2334" s="38"/>
      <c r="ND2334" s="38"/>
      <c r="NE2334" s="38"/>
      <c r="NF2334" s="38"/>
      <c r="NG2334" s="38"/>
      <c r="NH2334" s="38"/>
      <c r="NI2334" s="38"/>
      <c r="NJ2334" s="38"/>
      <c r="NK2334" s="38"/>
      <c r="NL2334" s="38"/>
      <c r="NM2334" s="38"/>
      <c r="NN2334" s="38"/>
      <c r="NO2334" s="38"/>
      <c r="NP2334" s="38"/>
      <c r="NQ2334" s="38"/>
      <c r="NR2334" s="38"/>
      <c r="NS2334" s="38"/>
      <c r="NT2334" s="38"/>
      <c r="NU2334" s="38"/>
      <c r="NV2334" s="38"/>
      <c r="NW2334" s="38"/>
      <c r="NX2334" s="38"/>
      <c r="NY2334" s="38"/>
      <c r="NZ2334" s="38"/>
      <c r="OA2334" s="38"/>
      <c r="OB2334" s="38"/>
      <c r="OC2334" s="38"/>
      <c r="OD2334" s="38"/>
      <c r="OE2334" s="38"/>
      <c r="OF2334" s="38"/>
      <c r="OG2334" s="38"/>
      <c r="OH2334" s="38"/>
      <c r="OI2334" s="38"/>
      <c r="OJ2334" s="38"/>
      <c r="OK2334" s="38"/>
      <c r="OL2334" s="38"/>
      <c r="OM2334" s="38"/>
      <c r="ON2334" s="38"/>
      <c r="OO2334" s="38"/>
      <c r="OP2334" s="38"/>
      <c r="OQ2334" s="38"/>
      <c r="OR2334" s="38"/>
      <c r="OS2334" s="38"/>
      <c r="OT2334" s="38"/>
      <c r="OU2334" s="38"/>
      <c r="OV2334" s="38"/>
      <c r="OW2334" s="38"/>
      <c r="OX2334" s="38"/>
      <c r="OY2334" s="38"/>
      <c r="OZ2334" s="38"/>
      <c r="PA2334" s="38"/>
      <c r="PB2334" s="38"/>
      <c r="PC2334" s="38"/>
      <c r="PD2334" s="38"/>
      <c r="PE2334" s="38"/>
      <c r="PF2334" s="38"/>
      <c r="PG2334" s="38"/>
      <c r="PH2334" s="38"/>
      <c r="PI2334" s="38"/>
      <c r="PJ2334" s="38"/>
      <c r="PK2334" s="38"/>
      <c r="PL2334" s="38"/>
      <c r="PM2334" s="38"/>
      <c r="PN2334" s="38"/>
      <c r="PO2334" s="38"/>
      <c r="PP2334" s="38"/>
      <c r="PQ2334" s="38"/>
      <c r="PR2334" s="38"/>
      <c r="PS2334" s="38"/>
      <c r="PT2334" s="38"/>
      <c r="PU2334" s="38"/>
      <c r="PV2334" s="38"/>
      <c r="PW2334" s="38"/>
      <c r="PX2334" s="38"/>
      <c r="PY2334" s="38"/>
      <c r="PZ2334" s="38"/>
      <c r="QA2334" s="38"/>
      <c r="QB2334" s="38"/>
      <c r="QC2334" s="38"/>
      <c r="QD2334" s="38"/>
      <c r="QE2334" s="38"/>
      <c r="QF2334" s="38"/>
      <c r="QG2334" s="38"/>
      <c r="QH2334" s="38"/>
      <c r="QI2334" s="38"/>
      <c r="QJ2334" s="38"/>
      <c r="QK2334" s="38"/>
      <c r="QL2334" s="38"/>
      <c r="QM2334" s="38"/>
      <c r="QN2334" s="38"/>
      <c r="QO2334" s="38"/>
      <c r="QP2334" s="38"/>
      <c r="QQ2334" s="38"/>
      <c r="QR2334" s="38"/>
      <c r="QS2334" s="38"/>
      <c r="QT2334" s="38"/>
      <c r="QU2334" s="38"/>
      <c r="QV2334" s="38"/>
      <c r="QW2334" s="38"/>
      <c r="QX2334" s="38"/>
      <c r="QY2334" s="38"/>
      <c r="QZ2334" s="38"/>
      <c r="RA2334" s="38"/>
      <c r="RB2334" s="38"/>
      <c r="RC2334" s="38"/>
      <c r="RD2334" s="38"/>
      <c r="RE2334" s="38"/>
      <c r="RF2334" s="38"/>
      <c r="RG2334" s="38"/>
      <c r="RH2334" s="38"/>
      <c r="RI2334" s="38"/>
      <c r="RJ2334" s="38"/>
      <c r="RK2334" s="38"/>
      <c r="RL2334" s="38"/>
      <c r="RM2334" s="38"/>
      <c r="RN2334" s="38"/>
      <c r="RO2334" s="38"/>
      <c r="RP2334" s="38"/>
      <c r="RQ2334" s="38"/>
      <c r="RR2334" s="38"/>
      <c r="RS2334" s="38"/>
      <c r="RT2334" s="38"/>
      <c r="RU2334" s="38"/>
      <c r="RV2334" s="38"/>
      <c r="RW2334" s="38"/>
      <c r="RX2334" s="38"/>
      <c r="RY2334" s="38"/>
      <c r="RZ2334" s="38"/>
      <c r="SA2334" s="38"/>
      <c r="SB2334" s="38"/>
      <c r="SC2334" s="38"/>
      <c r="SD2334" s="38"/>
      <c r="SE2334" s="38"/>
      <c r="SF2334" s="38"/>
      <c r="SG2334" s="38"/>
      <c r="SH2334" s="38"/>
      <c r="SI2334" s="38"/>
      <c r="SJ2334" s="38"/>
      <c r="SK2334" s="38"/>
      <c r="SL2334" s="38"/>
      <c r="SM2334" s="38"/>
      <c r="SN2334" s="38"/>
      <c r="SO2334" s="38"/>
      <c r="SP2334" s="38"/>
      <c r="SQ2334" s="38"/>
      <c r="SR2334" s="38"/>
      <c r="SS2334" s="38"/>
      <c r="ST2334" s="38"/>
      <c r="SU2334" s="38"/>
      <c r="SV2334" s="38"/>
      <c r="SW2334" s="38"/>
      <c r="SX2334" s="38"/>
      <c r="SY2334" s="38"/>
      <c r="SZ2334" s="38"/>
      <c r="TA2334" s="38"/>
      <c r="TB2334" s="38"/>
      <c r="TC2334" s="38"/>
      <c r="TD2334" s="38"/>
      <c r="TE2334" s="38"/>
      <c r="TF2334" s="38"/>
      <c r="TG2334" s="38"/>
      <c r="TH2334" s="38"/>
      <c r="TI2334" s="38"/>
      <c r="TJ2334" s="38"/>
      <c r="TK2334" s="38"/>
      <c r="TL2334" s="38"/>
      <c r="TM2334" s="38"/>
      <c r="TN2334" s="38"/>
      <c r="TO2334" s="38"/>
      <c r="TP2334" s="38"/>
      <c r="TQ2334" s="38"/>
      <c r="TR2334" s="38"/>
      <c r="TS2334" s="38"/>
      <c r="TT2334" s="38"/>
      <c r="TU2334" s="38"/>
      <c r="TV2334" s="38"/>
      <c r="TW2334" s="38"/>
      <c r="TX2334" s="38"/>
      <c r="TY2334" s="38"/>
      <c r="TZ2334" s="38"/>
      <c r="UA2334" s="38"/>
      <c r="UB2334" s="38"/>
      <c r="UC2334" s="38"/>
      <c r="UD2334" s="38"/>
      <c r="UE2334" s="38"/>
      <c r="UF2334" s="38"/>
      <c r="UG2334" s="38"/>
      <c r="UH2334" s="38"/>
      <c r="UI2334" s="38"/>
      <c r="UJ2334" s="38"/>
      <c r="UK2334" s="38"/>
      <c r="UL2334" s="38"/>
      <c r="UM2334" s="38"/>
      <c r="UN2334" s="38"/>
      <c r="UO2334" s="38"/>
      <c r="UP2334" s="38"/>
      <c r="UQ2334" s="38"/>
      <c r="UR2334" s="38"/>
      <c r="US2334" s="38"/>
      <c r="UT2334" s="38"/>
      <c r="UU2334" s="38"/>
      <c r="UV2334" s="38"/>
      <c r="UW2334" s="38"/>
      <c r="UX2334" s="38"/>
      <c r="UY2334" s="38"/>
      <c r="UZ2334" s="38"/>
      <c r="VA2334" s="38"/>
      <c r="VB2334" s="38"/>
      <c r="VC2334" s="38"/>
      <c r="VD2334" s="38"/>
      <c r="VE2334" s="38"/>
      <c r="VF2334" s="38"/>
      <c r="VG2334" s="38"/>
      <c r="VH2334" s="38"/>
      <c r="VI2334" s="38"/>
      <c r="VJ2334" s="38"/>
      <c r="VK2334" s="38"/>
      <c r="VL2334" s="38"/>
      <c r="VM2334" s="38"/>
      <c r="VN2334" s="38"/>
      <c r="VO2334" s="38"/>
      <c r="VP2334" s="38"/>
      <c r="VQ2334" s="38"/>
      <c r="VR2334" s="38"/>
      <c r="VS2334" s="38"/>
      <c r="VT2334" s="38"/>
      <c r="VU2334" s="38"/>
      <c r="VV2334" s="38"/>
      <c r="VW2334" s="38"/>
      <c r="VX2334" s="38"/>
      <c r="VY2334" s="38"/>
      <c r="VZ2334" s="38"/>
      <c r="WA2334" s="38"/>
      <c r="WB2334" s="38"/>
      <c r="WC2334" s="38"/>
      <c r="WD2334" s="38"/>
      <c r="WE2334" s="38"/>
      <c r="WF2334" s="38"/>
      <c r="WG2334" s="38"/>
      <c r="WH2334" s="38"/>
      <c r="WI2334" s="38"/>
      <c r="WJ2334" s="38"/>
      <c r="WK2334" s="38"/>
      <c r="WL2334" s="38"/>
      <c r="WM2334" s="38"/>
      <c r="WN2334" s="38"/>
      <c r="WO2334" s="38"/>
      <c r="WP2334" s="38"/>
      <c r="WQ2334" s="38"/>
      <c r="WR2334" s="38"/>
      <c r="WS2334" s="38"/>
      <c r="WT2334" s="38"/>
      <c r="WU2334" s="38"/>
      <c r="WV2334" s="38"/>
      <c r="WW2334" s="38"/>
      <c r="WX2334" s="38"/>
      <c r="WY2334" s="38"/>
      <c r="WZ2334" s="38"/>
      <c r="XA2334" s="38"/>
      <c r="XB2334" s="38"/>
      <c r="XC2334" s="38"/>
      <c r="XD2334" s="38"/>
      <c r="XE2334" s="38"/>
      <c r="XF2334" s="38"/>
      <c r="XG2334" s="38"/>
      <c r="XH2334" s="38"/>
      <c r="XI2334" s="38"/>
      <c r="XJ2334" s="38"/>
      <c r="XK2334" s="38"/>
      <c r="XL2334" s="38"/>
      <c r="XM2334" s="38"/>
      <c r="XN2334" s="38"/>
      <c r="XO2334" s="38"/>
      <c r="XP2334" s="38"/>
      <c r="XQ2334" s="38"/>
      <c r="XR2334" s="38"/>
      <c r="XS2334" s="38"/>
      <c r="XT2334" s="38"/>
      <c r="XU2334" s="38"/>
      <c r="XV2334" s="38"/>
      <c r="XW2334" s="38"/>
      <c r="XX2334" s="38"/>
      <c r="XY2334" s="38"/>
      <c r="XZ2334" s="38"/>
      <c r="YA2334" s="38"/>
      <c r="YB2334" s="38"/>
      <c r="YC2334" s="38"/>
      <c r="YD2334" s="38"/>
      <c r="YE2334" s="38"/>
      <c r="YF2334" s="38"/>
      <c r="YG2334" s="38"/>
      <c r="YH2334" s="38"/>
      <c r="YI2334" s="38"/>
      <c r="YJ2334" s="38"/>
      <c r="YK2334" s="38"/>
      <c r="YL2334" s="38"/>
      <c r="YM2334" s="38"/>
      <c r="YN2334" s="38"/>
      <c r="YO2334" s="38"/>
      <c r="YP2334" s="38"/>
      <c r="YQ2334" s="38"/>
      <c r="YR2334" s="38"/>
      <c r="YS2334" s="38"/>
      <c r="YT2334" s="38"/>
      <c r="YU2334" s="38"/>
      <c r="YV2334" s="38"/>
      <c r="YW2334" s="38"/>
      <c r="YX2334" s="38"/>
      <c r="YY2334" s="38"/>
      <c r="YZ2334" s="38"/>
      <c r="ZA2334" s="38"/>
      <c r="ZB2334" s="38"/>
      <c r="ZC2334" s="38"/>
      <c r="ZD2334" s="38"/>
      <c r="ZE2334" s="38"/>
      <c r="ZF2334" s="38"/>
      <c r="ZG2334" s="38"/>
      <c r="ZH2334" s="38"/>
      <c r="ZI2334" s="38"/>
      <c r="ZJ2334" s="38"/>
      <c r="ZK2334" s="38"/>
      <c r="ZL2334" s="38"/>
      <c r="ZM2334" s="38"/>
      <c r="ZN2334" s="38"/>
      <c r="ZO2334" s="38"/>
      <c r="ZP2334" s="38"/>
      <c r="ZQ2334" s="38"/>
      <c r="ZR2334" s="38"/>
      <c r="ZS2334" s="38"/>
      <c r="ZT2334" s="38"/>
      <c r="ZU2334" s="38"/>
      <c r="ZV2334" s="38"/>
      <c r="ZW2334" s="38"/>
      <c r="ZX2334" s="38"/>
      <c r="ZY2334" s="38"/>
      <c r="ZZ2334" s="38"/>
      <c r="AAA2334" s="38"/>
      <c r="AAB2334" s="38"/>
      <c r="AAC2334" s="38"/>
      <c r="AAD2334" s="38"/>
      <c r="AAE2334" s="38"/>
      <c r="AAF2334" s="38"/>
      <c r="AAG2334" s="38"/>
      <c r="AAH2334" s="38"/>
      <c r="AAI2334" s="38"/>
      <c r="AAJ2334" s="38"/>
      <c r="AAK2334" s="38"/>
      <c r="AAL2334" s="38"/>
      <c r="AAM2334" s="38"/>
      <c r="AAN2334" s="38"/>
      <c r="AAO2334" s="38"/>
      <c r="AAP2334" s="38"/>
      <c r="AAQ2334" s="38"/>
      <c r="AAR2334" s="38"/>
      <c r="AAS2334" s="38"/>
      <c r="AAT2334" s="38"/>
      <c r="AAU2334" s="38"/>
      <c r="AAV2334" s="38"/>
      <c r="AAW2334" s="38"/>
      <c r="AAX2334" s="38"/>
      <c r="AAY2334" s="38"/>
      <c r="AAZ2334" s="38"/>
      <c r="ABA2334" s="38"/>
      <c r="ABB2334" s="38"/>
      <c r="ABC2334" s="38"/>
      <c r="ABD2334" s="38"/>
      <c r="ABE2334" s="38"/>
      <c r="ABF2334" s="38"/>
      <c r="ABG2334" s="38"/>
      <c r="ABH2334" s="38"/>
      <c r="ABI2334" s="38"/>
      <c r="ABJ2334" s="38"/>
      <c r="ABK2334" s="38"/>
      <c r="ABL2334" s="38"/>
      <c r="ABM2334" s="38"/>
      <c r="ABN2334" s="38"/>
      <c r="ABO2334" s="38"/>
      <c r="ABP2334" s="38"/>
      <c r="ABQ2334" s="38"/>
      <c r="ABR2334" s="38"/>
      <c r="ABS2334" s="38"/>
      <c r="ABT2334" s="38"/>
      <c r="ABU2334" s="38"/>
      <c r="ABV2334" s="38"/>
      <c r="ABW2334" s="38"/>
      <c r="ABX2334" s="38"/>
      <c r="ABY2334" s="38"/>
      <c r="ABZ2334" s="38"/>
      <c r="ACA2334" s="38"/>
      <c r="ACB2334" s="38"/>
      <c r="ACC2334" s="38"/>
      <c r="ACD2334" s="38"/>
      <c r="ACE2334" s="38"/>
      <c r="ACF2334" s="38"/>
      <c r="ACG2334" s="38"/>
      <c r="ACH2334" s="38"/>
      <c r="ACI2334" s="38"/>
      <c r="ACJ2334" s="38"/>
      <c r="ACK2334" s="38"/>
      <c r="ACL2334" s="38"/>
      <c r="ACM2334" s="38"/>
      <c r="ACN2334" s="38"/>
      <c r="ACO2334" s="38"/>
      <c r="ACP2334" s="38"/>
      <c r="ACQ2334" s="38"/>
      <c r="ACR2334" s="38"/>
      <c r="ACS2334" s="38"/>
      <c r="ACT2334" s="38"/>
      <c r="ACU2334" s="38"/>
      <c r="ACV2334" s="38"/>
      <c r="ACW2334" s="38"/>
      <c r="ACX2334" s="38"/>
      <c r="ACY2334" s="38"/>
      <c r="ACZ2334" s="38"/>
      <c r="ADA2334" s="38"/>
      <c r="ADB2334" s="38"/>
      <c r="ADC2334" s="38"/>
      <c r="ADD2334" s="38"/>
      <c r="ADE2334" s="38"/>
      <c r="ADF2334" s="38"/>
      <c r="ADG2334" s="38"/>
      <c r="ADH2334" s="38"/>
      <c r="ADI2334" s="38"/>
      <c r="ADJ2334" s="38"/>
      <c r="ADK2334" s="38"/>
      <c r="ADL2334" s="38"/>
      <c r="ADM2334" s="38"/>
      <c r="ADN2334" s="38"/>
      <c r="ADO2334" s="38"/>
      <c r="ADP2334" s="38"/>
      <c r="ADQ2334" s="38"/>
      <c r="ADR2334" s="38"/>
      <c r="ADS2334" s="38"/>
      <c r="ADT2334" s="38"/>
      <c r="ADU2334" s="38"/>
      <c r="ADV2334" s="38"/>
      <c r="ADW2334" s="38"/>
      <c r="ADX2334" s="38"/>
      <c r="ADY2334" s="38"/>
      <c r="ADZ2334" s="38"/>
      <c r="AEA2334" s="38"/>
      <c r="AEB2334" s="38"/>
      <c r="AEC2334" s="38"/>
      <c r="AED2334" s="38"/>
      <c r="AEE2334" s="38"/>
      <c r="AEF2334" s="38"/>
      <c r="AEG2334" s="38"/>
      <c r="AEH2334" s="38"/>
      <c r="AEI2334" s="38"/>
      <c r="AEJ2334" s="38"/>
      <c r="AEK2334" s="38"/>
      <c r="AEL2334" s="38"/>
      <c r="AEM2334" s="38"/>
      <c r="AEN2334" s="38"/>
      <c r="AEO2334" s="38"/>
      <c r="AEP2334" s="38"/>
      <c r="AEQ2334" s="38"/>
      <c r="AER2334" s="38"/>
      <c r="AES2334" s="38"/>
      <c r="AET2334" s="38"/>
      <c r="AEU2334" s="38"/>
      <c r="AEV2334" s="38"/>
      <c r="AEW2334" s="38"/>
      <c r="AEX2334" s="38"/>
      <c r="AEY2334" s="38"/>
      <c r="AEZ2334" s="38"/>
      <c r="AFA2334" s="38"/>
      <c r="AFB2334" s="38"/>
      <c r="AFC2334" s="38"/>
      <c r="AFD2334" s="38"/>
      <c r="AFE2334" s="38"/>
      <c r="AFF2334" s="38"/>
      <c r="AFG2334" s="38"/>
      <c r="AFH2334" s="38"/>
      <c r="AFI2334" s="38"/>
      <c r="AFJ2334" s="38"/>
      <c r="AFK2334" s="38"/>
      <c r="AFL2334" s="38"/>
      <c r="AFM2334" s="38"/>
      <c r="AFN2334" s="38"/>
      <c r="AFO2334" s="38"/>
      <c r="AFP2334" s="38"/>
      <c r="AFQ2334" s="38"/>
      <c r="AFR2334" s="38"/>
      <c r="AFS2334" s="38"/>
      <c r="AFT2334" s="38"/>
      <c r="AFU2334" s="38"/>
      <c r="AFV2334" s="38"/>
      <c r="AFW2334" s="38"/>
      <c r="AFX2334" s="38"/>
      <c r="AFY2334" s="38"/>
      <c r="AFZ2334" s="38"/>
      <c r="AGA2334" s="38"/>
      <c r="AGB2334" s="38"/>
      <c r="AGC2334" s="38"/>
      <c r="AGD2334" s="38"/>
      <c r="AGE2334" s="38"/>
      <c r="AGF2334" s="38"/>
      <c r="AGG2334" s="38"/>
      <c r="AGH2334" s="38"/>
      <c r="AGI2334" s="38"/>
      <c r="AGJ2334" s="38"/>
      <c r="AGK2334" s="38"/>
      <c r="AGL2334" s="38"/>
      <c r="AGM2334" s="38"/>
      <c r="AGN2334" s="38"/>
      <c r="AGO2334" s="38"/>
      <c r="AGP2334" s="38"/>
      <c r="AGQ2334" s="38"/>
      <c r="AGR2334" s="38"/>
      <c r="AGS2334" s="38"/>
      <c r="AGT2334" s="38"/>
      <c r="AGU2334" s="38"/>
      <c r="AGV2334" s="38"/>
      <c r="AGW2334" s="38"/>
      <c r="AGX2334" s="38"/>
      <c r="AGY2334" s="38"/>
      <c r="AGZ2334" s="38"/>
      <c r="AHA2334" s="38"/>
      <c r="AHB2334" s="38"/>
      <c r="AHC2334" s="38"/>
      <c r="AHD2334" s="38"/>
      <c r="AHE2334" s="38"/>
      <c r="AHF2334" s="38"/>
      <c r="AHG2334" s="38"/>
      <c r="AHH2334" s="38"/>
      <c r="AHI2334" s="38"/>
      <c r="AHJ2334" s="38"/>
      <c r="AHK2334" s="38"/>
      <c r="AHL2334" s="38"/>
      <c r="AHM2334" s="38"/>
      <c r="AHN2334" s="38"/>
      <c r="AHO2334" s="38"/>
      <c r="AHP2334" s="38"/>
      <c r="AHQ2334" s="38"/>
      <c r="AHR2334" s="38"/>
      <c r="AHS2334" s="38"/>
      <c r="AHT2334" s="38"/>
      <c r="AHU2334" s="38"/>
      <c r="AHV2334" s="38"/>
      <c r="AHW2334" s="38"/>
      <c r="AHX2334" s="38"/>
      <c r="AHY2334" s="38"/>
      <c r="AHZ2334" s="38"/>
      <c r="AIA2334" s="38"/>
      <c r="AIB2334" s="38"/>
      <c r="AIC2334" s="38"/>
      <c r="AID2334" s="38"/>
      <c r="AIE2334" s="38"/>
      <c r="AIF2334" s="38"/>
      <c r="AIG2334" s="38"/>
      <c r="AIH2334" s="38"/>
      <c r="AII2334" s="38"/>
      <c r="AIJ2334" s="38"/>
      <c r="AIK2334" s="38"/>
      <c r="AIL2334" s="38"/>
      <c r="AIM2334" s="38"/>
      <c r="AIN2334" s="38"/>
      <c r="AIO2334" s="38"/>
      <c r="AIP2334" s="38"/>
      <c r="AIQ2334" s="38"/>
      <c r="AIR2334" s="38"/>
      <c r="AIS2334" s="38"/>
      <c r="AIT2334" s="38"/>
      <c r="AIU2334" s="38"/>
      <c r="AIV2334" s="38"/>
      <c r="AIW2334" s="38"/>
      <c r="AIX2334" s="38"/>
      <c r="AIY2334" s="38"/>
      <c r="AIZ2334" s="38"/>
      <c r="AJA2334" s="38"/>
      <c r="AJB2334" s="38"/>
      <c r="AJC2334" s="38"/>
      <c r="AJD2334" s="38"/>
      <c r="AJE2334" s="38"/>
      <c r="AJF2334" s="38"/>
      <c r="AJG2334" s="38"/>
      <c r="AJH2334" s="38"/>
      <c r="AJI2334" s="38"/>
      <c r="AJJ2334" s="38"/>
      <c r="AJK2334" s="38"/>
      <c r="AJL2334" s="38"/>
      <c r="AJM2334" s="38"/>
      <c r="AJN2334" s="38"/>
      <c r="AJO2334" s="38"/>
      <c r="AJP2334" s="38"/>
      <c r="AJQ2334" s="38"/>
      <c r="AJR2334" s="38"/>
      <c r="AJS2334" s="38"/>
      <c r="AJT2334" s="38"/>
      <c r="AJU2334" s="38"/>
      <c r="AJV2334" s="38"/>
      <c r="AJW2334" s="38"/>
      <c r="AJX2334" s="38"/>
      <c r="AJY2334" s="38"/>
      <c r="AJZ2334" s="38"/>
      <c r="AKA2334" s="38"/>
      <c r="AKB2334" s="38"/>
      <c r="AKC2334" s="38"/>
      <c r="AKD2334" s="38"/>
      <c r="AKE2334" s="38"/>
      <c r="AKF2334" s="38"/>
      <c r="AKG2334" s="38"/>
      <c r="AKH2334" s="38"/>
      <c r="AKI2334" s="38"/>
      <c r="AKJ2334" s="38"/>
      <c r="AKK2334" s="38"/>
      <c r="AKL2334" s="38"/>
      <c r="AKM2334" s="38"/>
      <c r="AKN2334" s="38"/>
      <c r="AKO2334" s="38"/>
      <c r="AKP2334" s="38"/>
      <c r="AKQ2334" s="38"/>
      <c r="AKR2334" s="38"/>
      <c r="AKS2334" s="38"/>
      <c r="AKT2334" s="38"/>
      <c r="AKU2334" s="38"/>
      <c r="AKV2334" s="38"/>
      <c r="AKW2334" s="38"/>
      <c r="AKX2334" s="38"/>
      <c r="AKY2334" s="38"/>
      <c r="AKZ2334" s="38"/>
      <c r="ALA2334" s="38"/>
      <c r="ALB2334" s="38"/>
      <c r="ALC2334" s="38"/>
      <c r="ALD2334" s="38"/>
      <c r="ALE2334" s="38"/>
      <c r="ALF2334" s="38"/>
      <c r="ALG2334" s="38"/>
      <c r="ALH2334" s="38"/>
      <c r="ALI2334" s="38"/>
      <c r="ALJ2334" s="38"/>
      <c r="ALK2334" s="38"/>
      <c r="ALL2334" s="38"/>
      <c r="ALM2334" s="38"/>
      <c r="ALN2334" s="38"/>
      <c r="ALO2334" s="38"/>
      <c r="ALP2334" s="38"/>
      <c r="ALQ2334" s="38"/>
      <c r="ALR2334" s="38"/>
      <c r="ALS2334" s="38"/>
      <c r="ALT2334" s="38"/>
      <c r="ALU2334" s="38"/>
      <c r="ALV2334" s="38"/>
      <c r="ALW2334" s="38"/>
      <c r="ALX2334" s="38"/>
      <c r="ALY2334" s="38"/>
      <c r="ALZ2334" s="38"/>
      <c r="AMA2334" s="38"/>
      <c r="AMB2334" s="38"/>
      <c r="AMC2334" s="38"/>
      <c r="AMD2334" s="38"/>
      <c r="AME2334" s="38"/>
      <c r="AMF2334" s="38"/>
      <c r="AMG2334" s="38"/>
      <c r="AMH2334" s="38"/>
      <c r="AMI2334" s="38"/>
      <c r="AMJ2334" s="38"/>
      <c r="AMK2334" s="38"/>
      <c r="AML2334" s="38"/>
      <c r="AMM2334" s="38"/>
      <c r="AMN2334" s="38"/>
      <c r="AMO2334" s="38"/>
      <c r="AMP2334" s="38"/>
      <c r="AMQ2334" s="38"/>
      <c r="AMR2334" s="38"/>
      <c r="AMS2334" s="38"/>
      <c r="AMT2334" s="38"/>
      <c r="AMU2334" s="38"/>
      <c r="AMV2334" s="38"/>
      <c r="AMW2334" s="38"/>
      <c r="AMX2334" s="38"/>
      <c r="AMY2334" s="38"/>
      <c r="AMZ2334" s="38"/>
      <c r="ANA2334" s="38"/>
      <c r="ANB2334" s="38"/>
      <c r="ANC2334" s="38"/>
      <c r="AND2334" s="38"/>
      <c r="ANE2334" s="38"/>
      <c r="ANF2334" s="38"/>
      <c r="ANG2334" s="38"/>
      <c r="ANH2334" s="38"/>
      <c r="ANI2334" s="38"/>
      <c r="ANJ2334" s="38"/>
      <c r="ANK2334" s="38"/>
      <c r="ANL2334" s="38"/>
      <c r="ANM2334" s="38"/>
      <c r="ANN2334" s="38"/>
      <c r="ANO2334" s="38"/>
      <c r="ANP2334" s="38"/>
      <c r="ANQ2334" s="38"/>
      <c r="ANR2334" s="38"/>
      <c r="ANS2334" s="38"/>
      <c r="ANT2334" s="38"/>
      <c r="ANU2334" s="38"/>
      <c r="ANV2334" s="38"/>
      <c r="ANW2334" s="38"/>
      <c r="ANX2334" s="38"/>
      <c r="ANY2334" s="38"/>
      <c r="ANZ2334" s="38"/>
      <c r="AOA2334" s="38"/>
      <c r="AOB2334" s="38"/>
      <c r="AOC2334" s="38"/>
      <c r="AOD2334" s="38"/>
      <c r="AOE2334" s="38"/>
      <c r="AOF2334" s="38"/>
      <c r="AOG2334" s="38"/>
      <c r="AOH2334" s="38"/>
      <c r="AOI2334" s="38"/>
      <c r="AOJ2334" s="38"/>
      <c r="AOK2334" s="38"/>
      <c r="AOL2334" s="38"/>
      <c r="AOM2334" s="38"/>
      <c r="AON2334" s="38"/>
      <c r="AOO2334" s="38"/>
      <c r="AOP2334" s="38"/>
      <c r="AOQ2334" s="38"/>
      <c r="AOR2334" s="38"/>
      <c r="AOS2334" s="38"/>
      <c r="AOT2334" s="38"/>
      <c r="AOU2334" s="38"/>
      <c r="AOV2334" s="38"/>
      <c r="AOW2334" s="38"/>
      <c r="AOX2334" s="38"/>
      <c r="AOY2334" s="38"/>
      <c r="AOZ2334" s="38"/>
      <c r="APA2334" s="38"/>
      <c r="APB2334" s="38"/>
      <c r="APC2334" s="38"/>
    </row>
    <row r="2335" spans="1:1095" s="36" customFormat="1" ht="14.25" customHeight="1">
      <c r="A2335" s="3" t="s">
        <v>1722</v>
      </c>
      <c r="B2335" s="36" t="s">
        <v>2892</v>
      </c>
      <c r="C2335" s="10">
        <v>4099854059179</v>
      </c>
      <c r="D2335" s="224">
        <v>4058075759664</v>
      </c>
      <c r="E2335" s="245" t="s">
        <v>2893</v>
      </c>
      <c r="F2335" s="246"/>
      <c r="G2335" s="66" t="str">
        <f>HYPERLINK("https://ledvance.com/pt/product-datasheet/219179/236798","Ficha de Produto")</f>
        <v>Ficha de Produto</v>
      </c>
      <c r="H2335" s="217">
        <v>10</v>
      </c>
      <c r="I2335" s="34" t="s">
        <v>6401</v>
      </c>
      <c r="J2335" s="34" t="s">
        <v>6365</v>
      </c>
      <c r="K2335" s="34" t="s">
        <v>788</v>
      </c>
      <c r="L2335" s="34" t="s">
        <v>793</v>
      </c>
      <c r="M2335" s="247">
        <v>12.3</v>
      </c>
      <c r="N2335" s="288" t="s">
        <v>722</v>
      </c>
    </row>
    <row r="2336" spans="1:1095" s="36" customFormat="1" ht="14.25" customHeight="1">
      <c r="A2336" s="3" t="s">
        <v>1722</v>
      </c>
      <c r="B2336" s="36" t="s">
        <v>2894</v>
      </c>
      <c r="C2336" s="10">
        <v>4099854059216</v>
      </c>
      <c r="D2336" s="224">
        <v>4058075759688</v>
      </c>
      <c r="E2336" s="245" t="s">
        <v>2895</v>
      </c>
      <c r="F2336" s="246"/>
      <c r="G2336" s="66" t="str">
        <f>HYPERLINK("https://ledvance.com/pt/product-datasheet/219179/236804","Ficha de Produto")</f>
        <v>Ficha de Produto</v>
      </c>
      <c r="H2336" s="217">
        <v>10</v>
      </c>
      <c r="I2336" s="34" t="s">
        <v>6401</v>
      </c>
      <c r="J2336" s="34" t="s">
        <v>6365</v>
      </c>
      <c r="K2336" s="34" t="s">
        <v>788</v>
      </c>
      <c r="L2336" s="34" t="s">
        <v>793</v>
      </c>
      <c r="M2336" s="247">
        <v>12.3</v>
      </c>
      <c r="N2336" s="288" t="s">
        <v>722</v>
      </c>
    </row>
    <row r="2337" spans="1:1095" s="36" customFormat="1" ht="14.25" customHeight="1">
      <c r="A2337" s="3" t="s">
        <v>1722</v>
      </c>
      <c r="B2337" s="36" t="s">
        <v>2896</v>
      </c>
      <c r="C2337" s="10">
        <v>4099854048456</v>
      </c>
      <c r="D2337" s="224">
        <v>4058075759701</v>
      </c>
      <c r="E2337" s="245" t="s">
        <v>2897</v>
      </c>
      <c r="F2337" s="246"/>
      <c r="G2337" s="66" t="str">
        <f>HYPERLINK("https://ledvance.com/pt/product-datasheet/219180/235909","Ficha de Produto")</f>
        <v>Ficha de Produto</v>
      </c>
      <c r="H2337" s="217">
        <v>10</v>
      </c>
      <c r="I2337" s="34" t="s">
        <v>6401</v>
      </c>
      <c r="J2337" s="34" t="s">
        <v>6398</v>
      </c>
      <c r="K2337" s="34" t="s">
        <v>788</v>
      </c>
      <c r="L2337" s="34" t="s">
        <v>793</v>
      </c>
      <c r="M2337" s="247">
        <v>13.600000000000001</v>
      </c>
      <c r="N2337" s="288" t="s">
        <v>722</v>
      </c>
    </row>
    <row r="2338" spans="1:1095" s="40" customFormat="1" ht="14.25" customHeight="1">
      <c r="A2338" s="9" t="s">
        <v>1722</v>
      </c>
      <c r="B2338" s="40" t="s">
        <v>2898</v>
      </c>
      <c r="C2338" s="10">
        <v>4099854048418</v>
      </c>
      <c r="D2338" s="224">
        <v>4058075759725</v>
      </c>
      <c r="E2338" s="245" t="s">
        <v>2899</v>
      </c>
      <c r="F2338" s="10"/>
      <c r="G2338" s="66" t="str">
        <f>HYPERLINK("https://ledvance.com/pt/product-datasheet/219182/235920","Ficha de Produto")</f>
        <v>Ficha de Produto</v>
      </c>
      <c r="H2338" s="217">
        <v>10</v>
      </c>
      <c r="I2338" s="34" t="s">
        <v>6401</v>
      </c>
      <c r="J2338" s="34" t="s">
        <v>6398</v>
      </c>
      <c r="K2338" s="34" t="s">
        <v>788</v>
      </c>
      <c r="L2338" s="34" t="s">
        <v>793</v>
      </c>
      <c r="M2338" s="247">
        <v>15</v>
      </c>
      <c r="N2338" s="288" t="s">
        <v>722</v>
      </c>
    </row>
    <row r="2339" spans="1:1095" s="39" customFormat="1" ht="14.25" customHeight="1">
      <c r="A2339" s="8" t="s">
        <v>1722</v>
      </c>
      <c r="B2339" s="244" t="s">
        <v>2900</v>
      </c>
      <c r="C2339" s="8"/>
      <c r="D2339" s="7"/>
      <c r="E2339" s="230"/>
      <c r="F2339" s="7"/>
      <c r="G2339" s="68"/>
      <c r="H2339" s="230"/>
      <c r="I2339" s="230"/>
      <c r="J2339" s="230"/>
      <c r="K2339" s="230"/>
      <c r="L2339" s="230"/>
      <c r="M2339" s="248"/>
      <c r="N2339" s="284"/>
      <c r="O2339" s="38"/>
      <c r="P2339" s="38"/>
      <c r="Q2339" s="38"/>
      <c r="R2339" s="38"/>
      <c r="S2339" s="38"/>
      <c r="T2339" s="38"/>
      <c r="U2339" s="38"/>
      <c r="V2339" s="38"/>
      <c r="W2339" s="38"/>
      <c r="X2339" s="38"/>
      <c r="Y2339" s="38"/>
      <c r="Z2339" s="38"/>
      <c r="AA2339" s="38"/>
      <c r="AB2339" s="38"/>
      <c r="AC2339" s="38"/>
      <c r="AD2339" s="38"/>
      <c r="AE2339" s="38"/>
      <c r="AF2339" s="38"/>
      <c r="AG2339" s="38"/>
      <c r="AH2339" s="38"/>
      <c r="AI2339" s="38"/>
      <c r="AJ2339" s="38"/>
      <c r="AK2339" s="38"/>
      <c r="AL2339" s="38"/>
      <c r="AM2339" s="38"/>
      <c r="AN2339" s="38"/>
      <c r="AO2339" s="38"/>
      <c r="AP2339" s="38"/>
      <c r="AQ2339" s="38"/>
      <c r="AR2339" s="38"/>
      <c r="AS2339" s="38"/>
      <c r="AT2339" s="38"/>
      <c r="AU2339" s="38"/>
      <c r="AV2339" s="38"/>
      <c r="AW2339" s="38"/>
      <c r="AX2339" s="38"/>
      <c r="AY2339" s="38"/>
      <c r="AZ2339" s="38"/>
      <c r="BA2339" s="38"/>
      <c r="BB2339" s="38"/>
      <c r="BC2339" s="38"/>
      <c r="BD2339" s="38"/>
      <c r="BE2339" s="38"/>
      <c r="BF2339" s="38"/>
      <c r="BG2339" s="38"/>
      <c r="BH2339" s="38"/>
      <c r="BI2339" s="38"/>
      <c r="BJ2339" s="38"/>
      <c r="BK2339" s="38"/>
      <c r="BL2339" s="38"/>
      <c r="BM2339" s="38"/>
      <c r="BN2339" s="38"/>
      <c r="BO2339" s="38"/>
      <c r="BP2339" s="38"/>
      <c r="BQ2339" s="38"/>
      <c r="BR2339" s="38"/>
      <c r="BS2339" s="38"/>
      <c r="BT2339" s="38"/>
      <c r="BU2339" s="38"/>
      <c r="BV2339" s="38"/>
      <c r="BW2339" s="38"/>
      <c r="BX2339" s="38"/>
      <c r="BY2339" s="38"/>
      <c r="BZ2339" s="38"/>
      <c r="CA2339" s="38"/>
      <c r="CB2339" s="38"/>
      <c r="CC2339" s="38"/>
      <c r="CD2339" s="38"/>
      <c r="CE2339" s="38"/>
      <c r="CF2339" s="38"/>
      <c r="CG2339" s="38"/>
      <c r="CH2339" s="38"/>
      <c r="CI2339" s="38"/>
      <c r="CJ2339" s="38"/>
      <c r="CK2339" s="38"/>
      <c r="CL2339" s="38"/>
      <c r="CM2339" s="38"/>
      <c r="CN2339" s="38"/>
      <c r="CO2339" s="38"/>
      <c r="CP2339" s="38"/>
      <c r="CQ2339" s="38"/>
      <c r="CR2339" s="38"/>
      <c r="CS2339" s="38"/>
      <c r="CT2339" s="38"/>
      <c r="CU2339" s="38"/>
      <c r="CV2339" s="38"/>
      <c r="CW2339" s="38"/>
      <c r="CX2339" s="38"/>
      <c r="CY2339" s="38"/>
      <c r="CZ2339" s="38"/>
      <c r="DA2339" s="38"/>
      <c r="DB2339" s="38"/>
      <c r="DC2339" s="38"/>
      <c r="DD2339" s="38"/>
      <c r="DE2339" s="38"/>
      <c r="DF2339" s="38"/>
      <c r="DG2339" s="38"/>
      <c r="DH2339" s="38"/>
      <c r="DI2339" s="38"/>
      <c r="DJ2339" s="38"/>
      <c r="DK2339" s="38"/>
      <c r="DL2339" s="38"/>
      <c r="DM2339" s="38"/>
      <c r="DN2339" s="38"/>
      <c r="DO2339" s="38"/>
      <c r="DP2339" s="38"/>
      <c r="DQ2339" s="38"/>
      <c r="DR2339" s="38"/>
      <c r="DS2339" s="38"/>
      <c r="DT2339" s="38"/>
      <c r="DU2339" s="38"/>
      <c r="DV2339" s="38"/>
      <c r="DW2339" s="38"/>
      <c r="DX2339" s="38"/>
      <c r="DY2339" s="38"/>
      <c r="DZ2339" s="38"/>
      <c r="EA2339" s="38"/>
      <c r="EB2339" s="38"/>
      <c r="EC2339" s="38"/>
      <c r="ED2339" s="38"/>
      <c r="EE2339" s="38"/>
      <c r="EF2339" s="38"/>
      <c r="EG2339" s="38"/>
      <c r="EH2339" s="38"/>
      <c r="EI2339" s="38"/>
      <c r="EJ2339" s="38"/>
      <c r="EK2339" s="38"/>
      <c r="EL2339" s="38"/>
      <c r="EM2339" s="38"/>
      <c r="EN2339" s="38"/>
      <c r="EO2339" s="38"/>
      <c r="EP2339" s="38"/>
      <c r="EQ2339" s="38"/>
      <c r="ER2339" s="38"/>
      <c r="ES2339" s="38"/>
      <c r="ET2339" s="38"/>
      <c r="EU2339" s="38"/>
      <c r="EV2339" s="38"/>
      <c r="EW2339" s="38"/>
      <c r="EX2339" s="38"/>
      <c r="EY2339" s="38"/>
      <c r="EZ2339" s="38"/>
      <c r="FA2339" s="38"/>
      <c r="FB2339" s="38"/>
      <c r="FC2339" s="38"/>
      <c r="FD2339" s="38"/>
      <c r="FE2339" s="38"/>
      <c r="FF2339" s="38"/>
      <c r="FG2339" s="38"/>
      <c r="FH2339" s="38"/>
      <c r="FI2339" s="38"/>
      <c r="FJ2339" s="38"/>
      <c r="FK2339" s="38"/>
      <c r="FL2339" s="38"/>
      <c r="FM2339" s="38"/>
      <c r="FN2339" s="38"/>
      <c r="FO2339" s="38"/>
      <c r="FP2339" s="38"/>
      <c r="FQ2339" s="38"/>
      <c r="FR2339" s="38"/>
      <c r="FS2339" s="38"/>
      <c r="FT2339" s="38"/>
      <c r="FU2339" s="38"/>
      <c r="FV2339" s="38"/>
      <c r="FW2339" s="38"/>
      <c r="FX2339" s="38"/>
      <c r="FY2339" s="38"/>
      <c r="FZ2339" s="38"/>
      <c r="GA2339" s="38"/>
      <c r="GB2339" s="38"/>
      <c r="GC2339" s="38"/>
      <c r="GD2339" s="38"/>
      <c r="GE2339" s="38"/>
      <c r="GF2339" s="38"/>
      <c r="GG2339" s="38"/>
      <c r="GH2339" s="38"/>
      <c r="GI2339" s="38"/>
      <c r="GJ2339" s="38"/>
      <c r="GK2339" s="38"/>
      <c r="GL2339" s="38"/>
      <c r="GM2339" s="38"/>
      <c r="GN2339" s="38"/>
      <c r="GO2339" s="38"/>
      <c r="GP2339" s="38"/>
      <c r="GQ2339" s="38"/>
      <c r="GR2339" s="38"/>
      <c r="GS2339" s="38"/>
      <c r="GT2339" s="38"/>
      <c r="GU2339" s="38"/>
      <c r="GV2339" s="38"/>
      <c r="GW2339" s="38"/>
      <c r="GX2339" s="38"/>
      <c r="GY2339" s="38"/>
      <c r="GZ2339" s="38"/>
      <c r="HA2339" s="38"/>
      <c r="HB2339" s="38"/>
      <c r="HC2339" s="38"/>
      <c r="HD2339" s="38"/>
      <c r="HE2339" s="38"/>
      <c r="HF2339" s="38"/>
      <c r="HG2339" s="38"/>
      <c r="HH2339" s="38"/>
      <c r="HI2339" s="38"/>
      <c r="HJ2339" s="38"/>
      <c r="HK2339" s="38"/>
      <c r="HL2339" s="38"/>
      <c r="HM2339" s="38"/>
      <c r="HN2339" s="38"/>
      <c r="HO2339" s="38"/>
      <c r="HP2339" s="38"/>
      <c r="HQ2339" s="38"/>
      <c r="HR2339" s="38"/>
      <c r="HS2339" s="38"/>
      <c r="HT2339" s="38"/>
      <c r="HU2339" s="38"/>
      <c r="HV2339" s="38"/>
      <c r="HW2339" s="38"/>
      <c r="HX2339" s="38"/>
      <c r="HY2339" s="38"/>
      <c r="HZ2339" s="38"/>
      <c r="IA2339" s="38"/>
      <c r="IB2339" s="38"/>
      <c r="IC2339" s="38"/>
      <c r="ID2339" s="38"/>
      <c r="IE2339" s="38"/>
      <c r="IF2339" s="38"/>
      <c r="IG2339" s="38"/>
      <c r="IH2339" s="38"/>
      <c r="II2339" s="38"/>
      <c r="IJ2339" s="38"/>
      <c r="IK2339" s="38"/>
      <c r="IL2339" s="38"/>
      <c r="IM2339" s="38"/>
      <c r="IN2339" s="38"/>
      <c r="IO2339" s="38"/>
      <c r="IP2339" s="38"/>
      <c r="IQ2339" s="38"/>
      <c r="IR2339" s="38"/>
      <c r="IS2339" s="38"/>
      <c r="IT2339" s="38"/>
      <c r="IU2339" s="38"/>
      <c r="IV2339" s="38"/>
      <c r="IW2339" s="38"/>
      <c r="IX2339" s="38"/>
      <c r="IY2339" s="38"/>
      <c r="IZ2339" s="38"/>
      <c r="JA2339" s="38"/>
      <c r="JB2339" s="38"/>
      <c r="JC2339" s="38"/>
      <c r="JD2339" s="38"/>
      <c r="JE2339" s="38"/>
      <c r="JF2339" s="38"/>
      <c r="JG2339" s="38"/>
      <c r="JH2339" s="38"/>
      <c r="JI2339" s="38"/>
      <c r="JJ2339" s="38"/>
      <c r="JK2339" s="38"/>
      <c r="JL2339" s="38"/>
      <c r="JM2339" s="38"/>
      <c r="JN2339" s="38"/>
      <c r="JO2339" s="38"/>
      <c r="JP2339" s="38"/>
      <c r="JQ2339" s="38"/>
      <c r="JR2339" s="38"/>
      <c r="JS2339" s="38"/>
      <c r="JT2339" s="38"/>
      <c r="JU2339" s="38"/>
      <c r="JV2339" s="38"/>
      <c r="JW2339" s="38"/>
      <c r="JX2339" s="38"/>
      <c r="JY2339" s="38"/>
      <c r="JZ2339" s="38"/>
      <c r="KA2339" s="38"/>
      <c r="KB2339" s="38"/>
      <c r="KC2339" s="38"/>
      <c r="KD2339" s="38"/>
      <c r="KE2339" s="38"/>
      <c r="KF2339" s="38"/>
      <c r="KG2339" s="38"/>
      <c r="KH2339" s="38"/>
      <c r="KI2339" s="38"/>
      <c r="KJ2339" s="38"/>
      <c r="KK2339" s="38"/>
      <c r="KL2339" s="38"/>
      <c r="KM2339" s="38"/>
      <c r="KN2339" s="38"/>
      <c r="KO2339" s="38"/>
      <c r="KP2339" s="38"/>
      <c r="KQ2339" s="38"/>
      <c r="KR2339" s="38"/>
      <c r="KS2339" s="38"/>
      <c r="KT2339" s="38"/>
      <c r="KU2339" s="38"/>
      <c r="KV2339" s="38"/>
      <c r="KW2339" s="38"/>
      <c r="KX2339" s="38"/>
      <c r="KY2339" s="38"/>
      <c r="KZ2339" s="38"/>
      <c r="LA2339" s="38"/>
      <c r="LB2339" s="38"/>
      <c r="LC2339" s="38"/>
      <c r="LD2339" s="38"/>
      <c r="LE2339" s="38"/>
      <c r="LF2339" s="38"/>
      <c r="LG2339" s="38"/>
      <c r="LH2339" s="38"/>
      <c r="LI2339" s="38"/>
      <c r="LJ2339" s="38"/>
      <c r="LK2339" s="38"/>
      <c r="LL2339" s="38"/>
      <c r="LM2339" s="38"/>
      <c r="LN2339" s="38"/>
      <c r="LO2339" s="38"/>
      <c r="LP2339" s="38"/>
      <c r="LQ2339" s="38"/>
      <c r="LR2339" s="38"/>
      <c r="LS2339" s="38"/>
      <c r="LT2339" s="38"/>
      <c r="LU2339" s="38"/>
      <c r="LV2339" s="38"/>
      <c r="LW2339" s="38"/>
      <c r="LX2339" s="38"/>
      <c r="LY2339" s="38"/>
      <c r="LZ2339" s="38"/>
      <c r="MA2339" s="38"/>
      <c r="MB2339" s="38"/>
      <c r="MC2339" s="38"/>
      <c r="MD2339" s="38"/>
      <c r="ME2339" s="38"/>
      <c r="MF2339" s="38"/>
      <c r="MG2339" s="38"/>
      <c r="MH2339" s="38"/>
      <c r="MI2339" s="38"/>
      <c r="MJ2339" s="38"/>
      <c r="MK2339" s="38"/>
      <c r="ML2339" s="38"/>
      <c r="MM2339" s="38"/>
      <c r="MN2339" s="38"/>
      <c r="MO2339" s="38"/>
      <c r="MP2339" s="38"/>
      <c r="MQ2339" s="38"/>
      <c r="MR2339" s="38"/>
      <c r="MS2339" s="38"/>
      <c r="MT2339" s="38"/>
      <c r="MU2339" s="38"/>
      <c r="MV2339" s="38"/>
      <c r="MW2339" s="38"/>
      <c r="MX2339" s="38"/>
      <c r="MY2339" s="38"/>
      <c r="MZ2339" s="38"/>
      <c r="NA2339" s="38"/>
      <c r="NB2339" s="38"/>
      <c r="NC2339" s="38"/>
      <c r="ND2339" s="38"/>
      <c r="NE2339" s="38"/>
      <c r="NF2339" s="38"/>
      <c r="NG2339" s="38"/>
      <c r="NH2339" s="38"/>
      <c r="NI2339" s="38"/>
      <c r="NJ2339" s="38"/>
      <c r="NK2339" s="38"/>
      <c r="NL2339" s="38"/>
      <c r="NM2339" s="38"/>
      <c r="NN2339" s="38"/>
      <c r="NO2339" s="38"/>
      <c r="NP2339" s="38"/>
      <c r="NQ2339" s="38"/>
      <c r="NR2339" s="38"/>
      <c r="NS2339" s="38"/>
      <c r="NT2339" s="38"/>
      <c r="NU2339" s="38"/>
      <c r="NV2339" s="38"/>
      <c r="NW2339" s="38"/>
      <c r="NX2339" s="38"/>
      <c r="NY2339" s="38"/>
      <c r="NZ2339" s="38"/>
      <c r="OA2339" s="38"/>
      <c r="OB2339" s="38"/>
      <c r="OC2339" s="38"/>
      <c r="OD2339" s="38"/>
      <c r="OE2339" s="38"/>
      <c r="OF2339" s="38"/>
      <c r="OG2339" s="38"/>
      <c r="OH2339" s="38"/>
      <c r="OI2339" s="38"/>
      <c r="OJ2339" s="38"/>
      <c r="OK2339" s="38"/>
      <c r="OL2339" s="38"/>
      <c r="OM2339" s="38"/>
      <c r="ON2339" s="38"/>
      <c r="OO2339" s="38"/>
      <c r="OP2339" s="38"/>
      <c r="OQ2339" s="38"/>
      <c r="OR2339" s="38"/>
      <c r="OS2339" s="38"/>
      <c r="OT2339" s="38"/>
      <c r="OU2339" s="38"/>
      <c r="OV2339" s="38"/>
      <c r="OW2339" s="38"/>
      <c r="OX2339" s="38"/>
      <c r="OY2339" s="38"/>
      <c r="OZ2339" s="38"/>
      <c r="PA2339" s="38"/>
      <c r="PB2339" s="38"/>
      <c r="PC2339" s="38"/>
      <c r="PD2339" s="38"/>
      <c r="PE2339" s="38"/>
      <c r="PF2339" s="38"/>
      <c r="PG2339" s="38"/>
      <c r="PH2339" s="38"/>
      <c r="PI2339" s="38"/>
      <c r="PJ2339" s="38"/>
      <c r="PK2339" s="38"/>
      <c r="PL2339" s="38"/>
      <c r="PM2339" s="38"/>
      <c r="PN2339" s="38"/>
      <c r="PO2339" s="38"/>
      <c r="PP2339" s="38"/>
      <c r="PQ2339" s="38"/>
      <c r="PR2339" s="38"/>
      <c r="PS2339" s="38"/>
      <c r="PT2339" s="38"/>
      <c r="PU2339" s="38"/>
      <c r="PV2339" s="38"/>
      <c r="PW2339" s="38"/>
      <c r="PX2339" s="38"/>
      <c r="PY2339" s="38"/>
      <c r="PZ2339" s="38"/>
      <c r="QA2339" s="38"/>
      <c r="QB2339" s="38"/>
      <c r="QC2339" s="38"/>
      <c r="QD2339" s="38"/>
      <c r="QE2339" s="38"/>
      <c r="QF2339" s="38"/>
      <c r="QG2339" s="38"/>
      <c r="QH2339" s="38"/>
      <c r="QI2339" s="38"/>
      <c r="QJ2339" s="38"/>
      <c r="QK2339" s="38"/>
      <c r="QL2339" s="38"/>
      <c r="QM2339" s="38"/>
      <c r="QN2339" s="38"/>
      <c r="QO2339" s="38"/>
      <c r="QP2339" s="38"/>
      <c r="QQ2339" s="38"/>
      <c r="QR2339" s="38"/>
      <c r="QS2339" s="38"/>
      <c r="QT2339" s="38"/>
      <c r="QU2339" s="38"/>
      <c r="QV2339" s="38"/>
      <c r="QW2339" s="38"/>
      <c r="QX2339" s="38"/>
      <c r="QY2339" s="38"/>
      <c r="QZ2339" s="38"/>
      <c r="RA2339" s="38"/>
      <c r="RB2339" s="38"/>
      <c r="RC2339" s="38"/>
      <c r="RD2339" s="38"/>
      <c r="RE2339" s="38"/>
      <c r="RF2339" s="38"/>
      <c r="RG2339" s="38"/>
      <c r="RH2339" s="38"/>
      <c r="RI2339" s="38"/>
      <c r="RJ2339" s="38"/>
      <c r="RK2339" s="38"/>
      <c r="RL2339" s="38"/>
      <c r="RM2339" s="38"/>
      <c r="RN2339" s="38"/>
      <c r="RO2339" s="38"/>
      <c r="RP2339" s="38"/>
      <c r="RQ2339" s="38"/>
      <c r="RR2339" s="38"/>
      <c r="RS2339" s="38"/>
      <c r="RT2339" s="38"/>
      <c r="RU2339" s="38"/>
      <c r="RV2339" s="38"/>
      <c r="RW2339" s="38"/>
      <c r="RX2339" s="38"/>
      <c r="RY2339" s="38"/>
      <c r="RZ2339" s="38"/>
      <c r="SA2339" s="38"/>
      <c r="SB2339" s="38"/>
      <c r="SC2339" s="38"/>
      <c r="SD2339" s="38"/>
      <c r="SE2339" s="38"/>
      <c r="SF2339" s="38"/>
      <c r="SG2339" s="38"/>
      <c r="SH2339" s="38"/>
      <c r="SI2339" s="38"/>
      <c r="SJ2339" s="38"/>
      <c r="SK2339" s="38"/>
      <c r="SL2339" s="38"/>
      <c r="SM2339" s="38"/>
      <c r="SN2339" s="38"/>
      <c r="SO2339" s="38"/>
      <c r="SP2339" s="38"/>
      <c r="SQ2339" s="38"/>
      <c r="SR2339" s="38"/>
      <c r="SS2339" s="38"/>
      <c r="ST2339" s="38"/>
      <c r="SU2339" s="38"/>
      <c r="SV2339" s="38"/>
      <c r="SW2339" s="38"/>
      <c r="SX2339" s="38"/>
      <c r="SY2339" s="38"/>
      <c r="SZ2339" s="38"/>
      <c r="TA2339" s="38"/>
      <c r="TB2339" s="38"/>
      <c r="TC2339" s="38"/>
      <c r="TD2339" s="38"/>
      <c r="TE2339" s="38"/>
      <c r="TF2339" s="38"/>
      <c r="TG2339" s="38"/>
      <c r="TH2339" s="38"/>
      <c r="TI2339" s="38"/>
      <c r="TJ2339" s="38"/>
      <c r="TK2339" s="38"/>
      <c r="TL2339" s="38"/>
      <c r="TM2339" s="38"/>
      <c r="TN2339" s="38"/>
      <c r="TO2339" s="38"/>
      <c r="TP2339" s="38"/>
      <c r="TQ2339" s="38"/>
      <c r="TR2339" s="38"/>
      <c r="TS2339" s="38"/>
      <c r="TT2339" s="38"/>
      <c r="TU2339" s="38"/>
      <c r="TV2339" s="38"/>
      <c r="TW2339" s="38"/>
      <c r="TX2339" s="38"/>
      <c r="TY2339" s="38"/>
      <c r="TZ2339" s="38"/>
      <c r="UA2339" s="38"/>
      <c r="UB2339" s="38"/>
      <c r="UC2339" s="38"/>
      <c r="UD2339" s="38"/>
      <c r="UE2339" s="38"/>
      <c r="UF2339" s="38"/>
      <c r="UG2339" s="38"/>
      <c r="UH2339" s="38"/>
      <c r="UI2339" s="38"/>
      <c r="UJ2339" s="38"/>
      <c r="UK2339" s="38"/>
      <c r="UL2339" s="38"/>
      <c r="UM2339" s="38"/>
      <c r="UN2339" s="38"/>
      <c r="UO2339" s="38"/>
      <c r="UP2339" s="38"/>
      <c r="UQ2339" s="38"/>
      <c r="UR2339" s="38"/>
      <c r="US2339" s="38"/>
      <c r="UT2339" s="38"/>
      <c r="UU2339" s="38"/>
      <c r="UV2339" s="38"/>
      <c r="UW2339" s="38"/>
      <c r="UX2339" s="38"/>
      <c r="UY2339" s="38"/>
      <c r="UZ2339" s="38"/>
      <c r="VA2339" s="38"/>
      <c r="VB2339" s="38"/>
      <c r="VC2339" s="38"/>
      <c r="VD2339" s="38"/>
      <c r="VE2339" s="38"/>
      <c r="VF2339" s="38"/>
      <c r="VG2339" s="38"/>
      <c r="VH2339" s="38"/>
      <c r="VI2339" s="38"/>
      <c r="VJ2339" s="38"/>
      <c r="VK2339" s="38"/>
      <c r="VL2339" s="38"/>
      <c r="VM2339" s="38"/>
      <c r="VN2339" s="38"/>
      <c r="VO2339" s="38"/>
      <c r="VP2339" s="38"/>
      <c r="VQ2339" s="38"/>
      <c r="VR2339" s="38"/>
      <c r="VS2339" s="38"/>
      <c r="VT2339" s="38"/>
      <c r="VU2339" s="38"/>
      <c r="VV2339" s="38"/>
      <c r="VW2339" s="38"/>
      <c r="VX2339" s="38"/>
      <c r="VY2339" s="38"/>
      <c r="VZ2339" s="38"/>
      <c r="WA2339" s="38"/>
      <c r="WB2339" s="38"/>
      <c r="WC2339" s="38"/>
      <c r="WD2339" s="38"/>
      <c r="WE2339" s="38"/>
      <c r="WF2339" s="38"/>
      <c r="WG2339" s="38"/>
      <c r="WH2339" s="38"/>
      <c r="WI2339" s="38"/>
      <c r="WJ2339" s="38"/>
      <c r="WK2339" s="38"/>
      <c r="WL2339" s="38"/>
      <c r="WM2339" s="38"/>
      <c r="WN2339" s="38"/>
      <c r="WO2339" s="38"/>
      <c r="WP2339" s="38"/>
      <c r="WQ2339" s="38"/>
      <c r="WR2339" s="38"/>
      <c r="WS2339" s="38"/>
      <c r="WT2339" s="38"/>
      <c r="WU2339" s="38"/>
      <c r="WV2339" s="38"/>
      <c r="WW2339" s="38"/>
      <c r="WX2339" s="38"/>
      <c r="WY2339" s="38"/>
      <c r="WZ2339" s="38"/>
      <c r="XA2339" s="38"/>
      <c r="XB2339" s="38"/>
      <c r="XC2339" s="38"/>
      <c r="XD2339" s="38"/>
      <c r="XE2339" s="38"/>
      <c r="XF2339" s="38"/>
      <c r="XG2339" s="38"/>
      <c r="XH2339" s="38"/>
      <c r="XI2339" s="38"/>
      <c r="XJ2339" s="38"/>
      <c r="XK2339" s="38"/>
      <c r="XL2339" s="38"/>
      <c r="XM2339" s="38"/>
      <c r="XN2339" s="38"/>
      <c r="XO2339" s="38"/>
      <c r="XP2339" s="38"/>
      <c r="XQ2339" s="38"/>
      <c r="XR2339" s="38"/>
      <c r="XS2339" s="38"/>
      <c r="XT2339" s="38"/>
      <c r="XU2339" s="38"/>
      <c r="XV2339" s="38"/>
      <c r="XW2339" s="38"/>
      <c r="XX2339" s="38"/>
      <c r="XY2339" s="38"/>
      <c r="XZ2339" s="38"/>
      <c r="YA2339" s="38"/>
      <c r="YB2339" s="38"/>
      <c r="YC2339" s="38"/>
      <c r="YD2339" s="38"/>
      <c r="YE2339" s="38"/>
      <c r="YF2339" s="38"/>
      <c r="YG2339" s="38"/>
      <c r="YH2339" s="38"/>
      <c r="YI2339" s="38"/>
      <c r="YJ2339" s="38"/>
      <c r="YK2339" s="38"/>
      <c r="YL2339" s="38"/>
      <c r="YM2339" s="38"/>
      <c r="YN2339" s="38"/>
      <c r="YO2339" s="38"/>
      <c r="YP2339" s="38"/>
      <c r="YQ2339" s="38"/>
      <c r="YR2339" s="38"/>
      <c r="YS2339" s="38"/>
      <c r="YT2339" s="38"/>
      <c r="YU2339" s="38"/>
      <c r="YV2339" s="38"/>
      <c r="YW2339" s="38"/>
      <c r="YX2339" s="38"/>
      <c r="YY2339" s="38"/>
      <c r="YZ2339" s="38"/>
      <c r="ZA2339" s="38"/>
      <c r="ZB2339" s="38"/>
      <c r="ZC2339" s="38"/>
      <c r="ZD2339" s="38"/>
      <c r="ZE2339" s="38"/>
      <c r="ZF2339" s="38"/>
      <c r="ZG2339" s="38"/>
      <c r="ZH2339" s="38"/>
      <c r="ZI2339" s="38"/>
      <c r="ZJ2339" s="38"/>
      <c r="ZK2339" s="38"/>
      <c r="ZL2339" s="38"/>
      <c r="ZM2339" s="38"/>
      <c r="ZN2339" s="38"/>
      <c r="ZO2339" s="38"/>
      <c r="ZP2339" s="38"/>
      <c r="ZQ2339" s="38"/>
      <c r="ZR2339" s="38"/>
      <c r="ZS2339" s="38"/>
      <c r="ZT2339" s="38"/>
      <c r="ZU2339" s="38"/>
      <c r="ZV2339" s="38"/>
      <c r="ZW2339" s="38"/>
      <c r="ZX2339" s="38"/>
      <c r="ZY2339" s="38"/>
      <c r="ZZ2339" s="38"/>
      <c r="AAA2339" s="38"/>
      <c r="AAB2339" s="38"/>
      <c r="AAC2339" s="38"/>
      <c r="AAD2339" s="38"/>
      <c r="AAE2339" s="38"/>
      <c r="AAF2339" s="38"/>
      <c r="AAG2339" s="38"/>
      <c r="AAH2339" s="38"/>
      <c r="AAI2339" s="38"/>
      <c r="AAJ2339" s="38"/>
      <c r="AAK2339" s="38"/>
      <c r="AAL2339" s="38"/>
      <c r="AAM2339" s="38"/>
      <c r="AAN2339" s="38"/>
      <c r="AAO2339" s="38"/>
      <c r="AAP2339" s="38"/>
      <c r="AAQ2339" s="38"/>
      <c r="AAR2339" s="38"/>
      <c r="AAS2339" s="38"/>
      <c r="AAT2339" s="38"/>
      <c r="AAU2339" s="38"/>
      <c r="AAV2339" s="38"/>
      <c r="AAW2339" s="38"/>
      <c r="AAX2339" s="38"/>
      <c r="AAY2339" s="38"/>
      <c r="AAZ2339" s="38"/>
      <c r="ABA2339" s="38"/>
      <c r="ABB2339" s="38"/>
      <c r="ABC2339" s="38"/>
      <c r="ABD2339" s="38"/>
      <c r="ABE2339" s="38"/>
      <c r="ABF2339" s="38"/>
      <c r="ABG2339" s="38"/>
      <c r="ABH2339" s="38"/>
      <c r="ABI2339" s="38"/>
      <c r="ABJ2339" s="38"/>
      <c r="ABK2339" s="38"/>
      <c r="ABL2339" s="38"/>
      <c r="ABM2339" s="38"/>
      <c r="ABN2339" s="38"/>
      <c r="ABO2339" s="38"/>
      <c r="ABP2339" s="38"/>
      <c r="ABQ2339" s="38"/>
      <c r="ABR2339" s="38"/>
      <c r="ABS2339" s="38"/>
      <c r="ABT2339" s="38"/>
      <c r="ABU2339" s="38"/>
      <c r="ABV2339" s="38"/>
      <c r="ABW2339" s="38"/>
      <c r="ABX2339" s="38"/>
      <c r="ABY2339" s="38"/>
      <c r="ABZ2339" s="38"/>
      <c r="ACA2339" s="38"/>
      <c r="ACB2339" s="38"/>
      <c r="ACC2339" s="38"/>
      <c r="ACD2339" s="38"/>
      <c r="ACE2339" s="38"/>
      <c r="ACF2339" s="38"/>
      <c r="ACG2339" s="38"/>
      <c r="ACH2339" s="38"/>
      <c r="ACI2339" s="38"/>
      <c r="ACJ2339" s="38"/>
      <c r="ACK2339" s="38"/>
      <c r="ACL2339" s="38"/>
      <c r="ACM2339" s="38"/>
      <c r="ACN2339" s="38"/>
      <c r="ACO2339" s="38"/>
      <c r="ACP2339" s="38"/>
      <c r="ACQ2339" s="38"/>
      <c r="ACR2339" s="38"/>
      <c r="ACS2339" s="38"/>
      <c r="ACT2339" s="38"/>
      <c r="ACU2339" s="38"/>
      <c r="ACV2339" s="38"/>
      <c r="ACW2339" s="38"/>
      <c r="ACX2339" s="38"/>
      <c r="ACY2339" s="38"/>
      <c r="ACZ2339" s="38"/>
      <c r="ADA2339" s="38"/>
      <c r="ADB2339" s="38"/>
      <c r="ADC2339" s="38"/>
      <c r="ADD2339" s="38"/>
      <c r="ADE2339" s="38"/>
      <c r="ADF2339" s="38"/>
      <c r="ADG2339" s="38"/>
      <c r="ADH2339" s="38"/>
      <c r="ADI2339" s="38"/>
      <c r="ADJ2339" s="38"/>
      <c r="ADK2339" s="38"/>
      <c r="ADL2339" s="38"/>
      <c r="ADM2339" s="38"/>
      <c r="ADN2339" s="38"/>
      <c r="ADO2339" s="38"/>
      <c r="ADP2339" s="38"/>
      <c r="ADQ2339" s="38"/>
      <c r="ADR2339" s="38"/>
      <c r="ADS2339" s="38"/>
      <c r="ADT2339" s="38"/>
      <c r="ADU2339" s="38"/>
      <c r="ADV2339" s="38"/>
      <c r="ADW2339" s="38"/>
      <c r="ADX2339" s="38"/>
      <c r="ADY2339" s="38"/>
      <c r="ADZ2339" s="38"/>
      <c r="AEA2339" s="38"/>
      <c r="AEB2339" s="38"/>
      <c r="AEC2339" s="38"/>
      <c r="AED2339" s="38"/>
      <c r="AEE2339" s="38"/>
      <c r="AEF2339" s="38"/>
      <c r="AEG2339" s="38"/>
      <c r="AEH2339" s="38"/>
      <c r="AEI2339" s="38"/>
      <c r="AEJ2339" s="38"/>
      <c r="AEK2339" s="38"/>
      <c r="AEL2339" s="38"/>
      <c r="AEM2339" s="38"/>
      <c r="AEN2339" s="38"/>
      <c r="AEO2339" s="38"/>
      <c r="AEP2339" s="38"/>
      <c r="AEQ2339" s="38"/>
      <c r="AER2339" s="38"/>
      <c r="AES2339" s="38"/>
      <c r="AET2339" s="38"/>
      <c r="AEU2339" s="38"/>
      <c r="AEV2339" s="38"/>
      <c r="AEW2339" s="38"/>
      <c r="AEX2339" s="38"/>
      <c r="AEY2339" s="38"/>
      <c r="AEZ2339" s="38"/>
      <c r="AFA2339" s="38"/>
      <c r="AFB2339" s="38"/>
      <c r="AFC2339" s="38"/>
      <c r="AFD2339" s="38"/>
      <c r="AFE2339" s="38"/>
      <c r="AFF2339" s="38"/>
      <c r="AFG2339" s="38"/>
      <c r="AFH2339" s="38"/>
      <c r="AFI2339" s="38"/>
      <c r="AFJ2339" s="38"/>
      <c r="AFK2339" s="38"/>
      <c r="AFL2339" s="38"/>
      <c r="AFM2339" s="38"/>
      <c r="AFN2339" s="38"/>
      <c r="AFO2339" s="38"/>
      <c r="AFP2339" s="38"/>
      <c r="AFQ2339" s="38"/>
      <c r="AFR2339" s="38"/>
      <c r="AFS2339" s="38"/>
      <c r="AFT2339" s="38"/>
      <c r="AFU2339" s="38"/>
      <c r="AFV2339" s="38"/>
      <c r="AFW2339" s="38"/>
      <c r="AFX2339" s="38"/>
      <c r="AFY2339" s="38"/>
      <c r="AFZ2339" s="38"/>
      <c r="AGA2339" s="38"/>
      <c r="AGB2339" s="38"/>
      <c r="AGC2339" s="38"/>
      <c r="AGD2339" s="38"/>
      <c r="AGE2339" s="38"/>
      <c r="AGF2339" s="38"/>
      <c r="AGG2339" s="38"/>
      <c r="AGH2339" s="38"/>
      <c r="AGI2339" s="38"/>
      <c r="AGJ2339" s="38"/>
      <c r="AGK2339" s="38"/>
      <c r="AGL2339" s="38"/>
      <c r="AGM2339" s="38"/>
      <c r="AGN2339" s="38"/>
      <c r="AGO2339" s="38"/>
      <c r="AGP2339" s="38"/>
      <c r="AGQ2339" s="38"/>
      <c r="AGR2339" s="38"/>
      <c r="AGS2339" s="38"/>
      <c r="AGT2339" s="38"/>
      <c r="AGU2339" s="38"/>
      <c r="AGV2339" s="38"/>
      <c r="AGW2339" s="38"/>
      <c r="AGX2339" s="38"/>
      <c r="AGY2339" s="38"/>
      <c r="AGZ2339" s="38"/>
      <c r="AHA2339" s="38"/>
      <c r="AHB2339" s="38"/>
      <c r="AHC2339" s="38"/>
      <c r="AHD2339" s="38"/>
      <c r="AHE2339" s="38"/>
      <c r="AHF2339" s="38"/>
      <c r="AHG2339" s="38"/>
      <c r="AHH2339" s="38"/>
      <c r="AHI2339" s="38"/>
      <c r="AHJ2339" s="38"/>
      <c r="AHK2339" s="38"/>
      <c r="AHL2339" s="38"/>
      <c r="AHM2339" s="38"/>
      <c r="AHN2339" s="38"/>
      <c r="AHO2339" s="38"/>
      <c r="AHP2339" s="38"/>
      <c r="AHQ2339" s="38"/>
      <c r="AHR2339" s="38"/>
      <c r="AHS2339" s="38"/>
      <c r="AHT2339" s="38"/>
      <c r="AHU2339" s="38"/>
      <c r="AHV2339" s="38"/>
      <c r="AHW2339" s="38"/>
      <c r="AHX2339" s="38"/>
      <c r="AHY2339" s="38"/>
      <c r="AHZ2339" s="38"/>
      <c r="AIA2339" s="38"/>
      <c r="AIB2339" s="38"/>
      <c r="AIC2339" s="38"/>
      <c r="AID2339" s="38"/>
      <c r="AIE2339" s="38"/>
      <c r="AIF2339" s="38"/>
      <c r="AIG2339" s="38"/>
      <c r="AIH2339" s="38"/>
      <c r="AII2339" s="38"/>
      <c r="AIJ2339" s="38"/>
      <c r="AIK2339" s="38"/>
      <c r="AIL2339" s="38"/>
      <c r="AIM2339" s="38"/>
      <c r="AIN2339" s="38"/>
      <c r="AIO2339" s="38"/>
      <c r="AIP2339" s="38"/>
      <c r="AIQ2339" s="38"/>
      <c r="AIR2339" s="38"/>
      <c r="AIS2339" s="38"/>
      <c r="AIT2339" s="38"/>
      <c r="AIU2339" s="38"/>
      <c r="AIV2339" s="38"/>
      <c r="AIW2339" s="38"/>
      <c r="AIX2339" s="38"/>
      <c r="AIY2339" s="38"/>
      <c r="AIZ2339" s="38"/>
      <c r="AJA2339" s="38"/>
      <c r="AJB2339" s="38"/>
      <c r="AJC2339" s="38"/>
      <c r="AJD2339" s="38"/>
      <c r="AJE2339" s="38"/>
      <c r="AJF2339" s="38"/>
      <c r="AJG2339" s="38"/>
      <c r="AJH2339" s="38"/>
      <c r="AJI2339" s="38"/>
      <c r="AJJ2339" s="38"/>
      <c r="AJK2339" s="38"/>
      <c r="AJL2339" s="38"/>
      <c r="AJM2339" s="38"/>
      <c r="AJN2339" s="38"/>
      <c r="AJO2339" s="38"/>
      <c r="AJP2339" s="38"/>
      <c r="AJQ2339" s="38"/>
      <c r="AJR2339" s="38"/>
      <c r="AJS2339" s="38"/>
      <c r="AJT2339" s="38"/>
      <c r="AJU2339" s="38"/>
      <c r="AJV2339" s="38"/>
      <c r="AJW2339" s="38"/>
      <c r="AJX2339" s="38"/>
      <c r="AJY2339" s="38"/>
      <c r="AJZ2339" s="38"/>
      <c r="AKA2339" s="38"/>
      <c r="AKB2339" s="38"/>
      <c r="AKC2339" s="38"/>
      <c r="AKD2339" s="38"/>
      <c r="AKE2339" s="38"/>
      <c r="AKF2339" s="38"/>
      <c r="AKG2339" s="38"/>
      <c r="AKH2339" s="38"/>
      <c r="AKI2339" s="38"/>
      <c r="AKJ2339" s="38"/>
      <c r="AKK2339" s="38"/>
      <c r="AKL2339" s="38"/>
      <c r="AKM2339" s="38"/>
      <c r="AKN2339" s="38"/>
      <c r="AKO2339" s="38"/>
      <c r="AKP2339" s="38"/>
      <c r="AKQ2339" s="38"/>
      <c r="AKR2339" s="38"/>
      <c r="AKS2339" s="38"/>
      <c r="AKT2339" s="38"/>
      <c r="AKU2339" s="38"/>
      <c r="AKV2339" s="38"/>
      <c r="AKW2339" s="38"/>
      <c r="AKX2339" s="38"/>
      <c r="AKY2339" s="38"/>
      <c r="AKZ2339" s="38"/>
      <c r="ALA2339" s="38"/>
      <c r="ALB2339" s="38"/>
      <c r="ALC2339" s="38"/>
      <c r="ALD2339" s="38"/>
      <c r="ALE2339" s="38"/>
      <c r="ALF2339" s="38"/>
      <c r="ALG2339" s="38"/>
      <c r="ALH2339" s="38"/>
      <c r="ALI2339" s="38"/>
      <c r="ALJ2339" s="38"/>
      <c r="ALK2339" s="38"/>
      <c r="ALL2339" s="38"/>
      <c r="ALM2339" s="38"/>
      <c r="ALN2339" s="38"/>
      <c r="ALO2339" s="38"/>
      <c r="ALP2339" s="38"/>
      <c r="ALQ2339" s="38"/>
      <c r="ALR2339" s="38"/>
      <c r="ALS2339" s="38"/>
      <c r="ALT2339" s="38"/>
      <c r="ALU2339" s="38"/>
      <c r="ALV2339" s="38"/>
      <c r="ALW2339" s="38"/>
      <c r="ALX2339" s="38"/>
      <c r="ALY2339" s="38"/>
      <c r="ALZ2339" s="38"/>
      <c r="AMA2339" s="38"/>
      <c r="AMB2339" s="38"/>
      <c r="AMC2339" s="38"/>
      <c r="AMD2339" s="38"/>
      <c r="AME2339" s="38"/>
      <c r="AMF2339" s="38"/>
      <c r="AMG2339" s="38"/>
      <c r="AMH2339" s="38"/>
      <c r="AMI2339" s="38"/>
      <c r="AMJ2339" s="38"/>
      <c r="AMK2339" s="38"/>
      <c r="AML2339" s="38"/>
      <c r="AMM2339" s="38"/>
      <c r="AMN2339" s="38"/>
      <c r="AMO2339" s="38"/>
      <c r="AMP2339" s="38"/>
      <c r="AMQ2339" s="38"/>
      <c r="AMR2339" s="38"/>
      <c r="AMS2339" s="38"/>
      <c r="AMT2339" s="38"/>
      <c r="AMU2339" s="38"/>
      <c r="AMV2339" s="38"/>
      <c r="AMW2339" s="38"/>
      <c r="AMX2339" s="38"/>
      <c r="AMY2339" s="38"/>
      <c r="AMZ2339" s="38"/>
      <c r="ANA2339" s="38"/>
      <c r="ANB2339" s="38"/>
      <c r="ANC2339" s="38"/>
      <c r="AND2339" s="38"/>
      <c r="ANE2339" s="38"/>
      <c r="ANF2339" s="38"/>
      <c r="ANG2339" s="38"/>
      <c r="ANH2339" s="38"/>
      <c r="ANI2339" s="38"/>
      <c r="ANJ2339" s="38"/>
      <c r="ANK2339" s="38"/>
      <c r="ANL2339" s="38"/>
      <c r="ANM2339" s="38"/>
      <c r="ANN2339" s="38"/>
      <c r="ANO2339" s="38"/>
      <c r="ANP2339" s="38"/>
      <c r="ANQ2339" s="38"/>
      <c r="ANR2339" s="38"/>
      <c r="ANS2339" s="38"/>
      <c r="ANT2339" s="38"/>
      <c r="ANU2339" s="38"/>
      <c r="ANV2339" s="38"/>
      <c r="ANW2339" s="38"/>
      <c r="ANX2339" s="38"/>
      <c r="ANY2339" s="38"/>
      <c r="ANZ2339" s="38"/>
      <c r="AOA2339" s="38"/>
      <c r="AOB2339" s="38"/>
      <c r="AOC2339" s="38"/>
      <c r="AOD2339" s="38"/>
      <c r="AOE2339" s="38"/>
      <c r="AOF2339" s="38"/>
      <c r="AOG2339" s="38"/>
      <c r="AOH2339" s="38"/>
      <c r="AOI2339" s="38"/>
      <c r="AOJ2339" s="38"/>
      <c r="AOK2339" s="38"/>
      <c r="AOL2339" s="38"/>
      <c r="AOM2339" s="38"/>
      <c r="AON2339" s="38"/>
      <c r="AOO2339" s="38"/>
      <c r="AOP2339" s="38"/>
      <c r="AOQ2339" s="38"/>
      <c r="AOR2339" s="38"/>
      <c r="AOS2339" s="38"/>
      <c r="AOT2339" s="38"/>
      <c r="AOU2339" s="38"/>
      <c r="AOV2339" s="38"/>
      <c r="AOW2339" s="38"/>
      <c r="AOX2339" s="38"/>
      <c r="AOY2339" s="38"/>
      <c r="AOZ2339" s="38"/>
      <c r="APA2339" s="38"/>
      <c r="APB2339" s="38"/>
      <c r="APC2339" s="38"/>
    </row>
    <row r="2340" spans="1:1095" s="36" customFormat="1" ht="14.25" customHeight="1">
      <c r="A2340" s="3" t="s">
        <v>1722</v>
      </c>
      <c r="B2340" s="36" t="s">
        <v>2901</v>
      </c>
      <c r="C2340" s="10">
        <v>4099854058608</v>
      </c>
      <c r="D2340" s="224">
        <v>4058075607811</v>
      </c>
      <c r="E2340" s="245" t="s">
        <v>2902</v>
      </c>
      <c r="F2340" s="246"/>
      <c r="G2340" s="66" t="str">
        <f>HYPERLINK("https://ledvance.com/pt/product-datasheet/251335/236840","Ficha de Produto")</f>
        <v>Ficha de Produto</v>
      </c>
      <c r="H2340" s="217">
        <v>10</v>
      </c>
      <c r="I2340" s="34" t="s">
        <v>6390</v>
      </c>
      <c r="J2340" s="34" t="s">
        <v>6413</v>
      </c>
      <c r="K2340" s="34" t="s">
        <v>788</v>
      </c>
      <c r="L2340" s="34" t="s">
        <v>765</v>
      </c>
      <c r="M2340" s="247">
        <v>11</v>
      </c>
      <c r="N2340" s="288" t="s">
        <v>722</v>
      </c>
    </row>
    <row r="2341" spans="1:1095" s="36" customFormat="1" ht="14.25" customHeight="1">
      <c r="A2341" s="3" t="s">
        <v>1722</v>
      </c>
      <c r="B2341" s="36" t="s">
        <v>2903</v>
      </c>
      <c r="C2341" s="10">
        <v>4099854047954</v>
      </c>
      <c r="D2341" s="224">
        <v>4058075607897</v>
      </c>
      <c r="E2341" s="245" t="s">
        <v>2904</v>
      </c>
      <c r="F2341" s="246"/>
      <c r="G2341" s="66" t="str">
        <f>HYPERLINK("https://ledvance.com/pt/product-datasheet/251286/235921","Ficha de Produto")</f>
        <v>Ficha de Produto</v>
      </c>
      <c r="H2341" s="217">
        <v>10</v>
      </c>
      <c r="I2341" s="34" t="s">
        <v>6401</v>
      </c>
      <c r="J2341" s="34" t="s">
        <v>6398</v>
      </c>
      <c r="K2341" s="34" t="s">
        <v>788</v>
      </c>
      <c r="L2341" s="34" t="s">
        <v>765</v>
      </c>
      <c r="M2341" s="247">
        <v>12</v>
      </c>
      <c r="N2341" s="288" t="s">
        <v>722</v>
      </c>
    </row>
    <row r="2342" spans="1:1095" s="36" customFormat="1" ht="14.25" customHeight="1">
      <c r="A2342" s="3" t="s">
        <v>1722</v>
      </c>
      <c r="B2342" s="36" t="s">
        <v>2905</v>
      </c>
      <c r="C2342" s="10">
        <v>4099854051234</v>
      </c>
      <c r="D2342" s="224">
        <v>4058075609457</v>
      </c>
      <c r="E2342" s="245" t="s">
        <v>2906</v>
      </c>
      <c r="F2342" s="246"/>
      <c r="G2342" s="66" t="str">
        <f>HYPERLINK("https://ledvance.com/pt/product-datasheet/251290/235932","Ficha de Produto")</f>
        <v>Ficha de Produto</v>
      </c>
      <c r="H2342" s="217">
        <v>10</v>
      </c>
      <c r="I2342" s="34" t="s">
        <v>6401</v>
      </c>
      <c r="J2342" s="34" t="s">
        <v>6398</v>
      </c>
      <c r="K2342" s="34" t="s">
        <v>788</v>
      </c>
      <c r="L2342" s="34" t="s">
        <v>765</v>
      </c>
      <c r="M2342" s="247">
        <v>15.4</v>
      </c>
      <c r="N2342" s="288" t="s">
        <v>722</v>
      </c>
    </row>
    <row r="2343" spans="1:1095" s="36" customFormat="1" ht="14.25" customHeight="1">
      <c r="A2343" s="3" t="s">
        <v>1722</v>
      </c>
      <c r="B2343" s="36" t="s">
        <v>2907</v>
      </c>
      <c r="C2343" s="10">
        <v>4099854051258</v>
      </c>
      <c r="D2343" s="224">
        <v>4058075607972</v>
      </c>
      <c r="E2343" s="245" t="s">
        <v>2908</v>
      </c>
      <c r="F2343" s="246"/>
      <c r="G2343" s="66" t="str">
        <f>HYPERLINK("https://ledvance.com/pt/product-datasheet/251290/235938","Ficha de Produto")</f>
        <v>Ficha de Produto</v>
      </c>
      <c r="H2343" s="217">
        <v>10</v>
      </c>
      <c r="I2343" s="34" t="s">
        <v>6414</v>
      </c>
      <c r="J2343" s="34" t="s">
        <v>6399</v>
      </c>
      <c r="K2343" s="34" t="s">
        <v>788</v>
      </c>
      <c r="L2343" s="34" t="s">
        <v>765</v>
      </c>
      <c r="M2343" s="247">
        <v>18.2</v>
      </c>
      <c r="N2343" s="288" t="s">
        <v>722</v>
      </c>
    </row>
    <row r="2344" spans="1:1095" s="39" customFormat="1" ht="14.25" customHeight="1">
      <c r="A2344" s="8" t="s">
        <v>1722</v>
      </c>
      <c r="B2344" s="244" t="s">
        <v>2909</v>
      </c>
      <c r="C2344" s="8"/>
      <c r="D2344" s="7"/>
      <c r="E2344" s="230"/>
      <c r="F2344" s="7"/>
      <c r="G2344" s="68"/>
      <c r="H2344" s="230"/>
      <c r="I2344" s="230"/>
      <c r="J2344" s="230"/>
      <c r="K2344" s="230"/>
      <c r="L2344" s="230"/>
      <c r="M2344" s="248"/>
      <c r="N2344" s="284"/>
      <c r="O2344" s="38"/>
      <c r="P2344" s="38"/>
      <c r="Q2344" s="38"/>
      <c r="R2344" s="38"/>
      <c r="S2344" s="38"/>
      <c r="T2344" s="38"/>
      <c r="U2344" s="38"/>
      <c r="V2344" s="38"/>
      <c r="W2344" s="38"/>
      <c r="X2344" s="38"/>
      <c r="Y2344" s="38"/>
      <c r="Z2344" s="38"/>
      <c r="AA2344" s="38"/>
      <c r="AB2344" s="38"/>
      <c r="AC2344" s="38"/>
      <c r="AD2344" s="38"/>
      <c r="AE2344" s="38"/>
      <c r="AF2344" s="38"/>
      <c r="AG2344" s="38"/>
      <c r="AH2344" s="38"/>
      <c r="AI2344" s="38"/>
      <c r="AJ2344" s="38"/>
      <c r="AK2344" s="38"/>
      <c r="AL2344" s="38"/>
      <c r="AM2344" s="38"/>
      <c r="AN2344" s="38"/>
      <c r="AO2344" s="38"/>
      <c r="AP2344" s="38"/>
      <c r="AQ2344" s="38"/>
      <c r="AR2344" s="38"/>
      <c r="AS2344" s="38"/>
      <c r="AT2344" s="38"/>
      <c r="AU2344" s="38"/>
      <c r="AV2344" s="38"/>
      <c r="AW2344" s="38"/>
      <c r="AX2344" s="38"/>
      <c r="AY2344" s="38"/>
      <c r="AZ2344" s="38"/>
      <c r="BA2344" s="38"/>
      <c r="BB2344" s="38"/>
      <c r="BC2344" s="38"/>
      <c r="BD2344" s="38"/>
      <c r="BE2344" s="38"/>
      <c r="BF2344" s="38"/>
      <c r="BG2344" s="38"/>
      <c r="BH2344" s="38"/>
      <c r="BI2344" s="38"/>
      <c r="BJ2344" s="38"/>
      <c r="BK2344" s="38"/>
      <c r="BL2344" s="38"/>
      <c r="BM2344" s="38"/>
      <c r="BN2344" s="38"/>
      <c r="BO2344" s="38"/>
      <c r="BP2344" s="38"/>
      <c r="BQ2344" s="38"/>
      <c r="BR2344" s="38"/>
      <c r="BS2344" s="38"/>
      <c r="BT2344" s="38"/>
      <c r="BU2344" s="38"/>
      <c r="BV2344" s="38"/>
      <c r="BW2344" s="38"/>
      <c r="BX2344" s="38"/>
      <c r="BY2344" s="38"/>
      <c r="BZ2344" s="38"/>
      <c r="CA2344" s="38"/>
      <c r="CB2344" s="38"/>
      <c r="CC2344" s="38"/>
      <c r="CD2344" s="38"/>
      <c r="CE2344" s="38"/>
      <c r="CF2344" s="38"/>
      <c r="CG2344" s="38"/>
      <c r="CH2344" s="38"/>
      <c r="CI2344" s="38"/>
      <c r="CJ2344" s="38"/>
      <c r="CK2344" s="38"/>
      <c r="CL2344" s="38"/>
      <c r="CM2344" s="38"/>
      <c r="CN2344" s="38"/>
      <c r="CO2344" s="38"/>
      <c r="CP2344" s="38"/>
      <c r="CQ2344" s="38"/>
      <c r="CR2344" s="38"/>
      <c r="CS2344" s="38"/>
      <c r="CT2344" s="38"/>
      <c r="CU2344" s="38"/>
      <c r="CV2344" s="38"/>
      <c r="CW2344" s="38"/>
      <c r="CX2344" s="38"/>
      <c r="CY2344" s="38"/>
      <c r="CZ2344" s="38"/>
      <c r="DA2344" s="38"/>
      <c r="DB2344" s="38"/>
      <c r="DC2344" s="38"/>
      <c r="DD2344" s="38"/>
      <c r="DE2344" s="38"/>
      <c r="DF2344" s="38"/>
      <c r="DG2344" s="38"/>
      <c r="DH2344" s="38"/>
      <c r="DI2344" s="38"/>
      <c r="DJ2344" s="38"/>
      <c r="DK2344" s="38"/>
      <c r="DL2344" s="38"/>
      <c r="DM2344" s="38"/>
      <c r="DN2344" s="38"/>
      <c r="DO2344" s="38"/>
      <c r="DP2344" s="38"/>
      <c r="DQ2344" s="38"/>
      <c r="DR2344" s="38"/>
      <c r="DS2344" s="38"/>
      <c r="DT2344" s="38"/>
      <c r="DU2344" s="38"/>
      <c r="DV2344" s="38"/>
      <c r="DW2344" s="38"/>
      <c r="DX2344" s="38"/>
      <c r="DY2344" s="38"/>
      <c r="DZ2344" s="38"/>
      <c r="EA2344" s="38"/>
      <c r="EB2344" s="38"/>
      <c r="EC2344" s="38"/>
      <c r="ED2344" s="38"/>
      <c r="EE2344" s="38"/>
      <c r="EF2344" s="38"/>
      <c r="EG2344" s="38"/>
      <c r="EH2344" s="38"/>
      <c r="EI2344" s="38"/>
      <c r="EJ2344" s="38"/>
      <c r="EK2344" s="38"/>
      <c r="EL2344" s="38"/>
      <c r="EM2344" s="38"/>
      <c r="EN2344" s="38"/>
      <c r="EO2344" s="38"/>
      <c r="EP2344" s="38"/>
      <c r="EQ2344" s="38"/>
      <c r="ER2344" s="38"/>
      <c r="ES2344" s="38"/>
      <c r="ET2344" s="38"/>
      <c r="EU2344" s="38"/>
      <c r="EV2344" s="38"/>
      <c r="EW2344" s="38"/>
      <c r="EX2344" s="38"/>
      <c r="EY2344" s="38"/>
      <c r="EZ2344" s="38"/>
      <c r="FA2344" s="38"/>
      <c r="FB2344" s="38"/>
      <c r="FC2344" s="38"/>
      <c r="FD2344" s="38"/>
      <c r="FE2344" s="38"/>
      <c r="FF2344" s="38"/>
      <c r="FG2344" s="38"/>
      <c r="FH2344" s="38"/>
      <c r="FI2344" s="38"/>
      <c r="FJ2344" s="38"/>
      <c r="FK2344" s="38"/>
      <c r="FL2344" s="38"/>
      <c r="FM2344" s="38"/>
      <c r="FN2344" s="38"/>
      <c r="FO2344" s="38"/>
      <c r="FP2344" s="38"/>
      <c r="FQ2344" s="38"/>
      <c r="FR2344" s="38"/>
      <c r="FS2344" s="38"/>
      <c r="FT2344" s="38"/>
      <c r="FU2344" s="38"/>
      <c r="FV2344" s="38"/>
      <c r="FW2344" s="38"/>
      <c r="FX2344" s="38"/>
      <c r="FY2344" s="38"/>
      <c r="FZ2344" s="38"/>
      <c r="GA2344" s="38"/>
      <c r="GB2344" s="38"/>
      <c r="GC2344" s="38"/>
      <c r="GD2344" s="38"/>
      <c r="GE2344" s="38"/>
      <c r="GF2344" s="38"/>
      <c r="GG2344" s="38"/>
      <c r="GH2344" s="38"/>
      <c r="GI2344" s="38"/>
      <c r="GJ2344" s="38"/>
      <c r="GK2344" s="38"/>
      <c r="GL2344" s="38"/>
      <c r="GM2344" s="38"/>
      <c r="GN2344" s="38"/>
      <c r="GO2344" s="38"/>
      <c r="GP2344" s="38"/>
      <c r="GQ2344" s="38"/>
      <c r="GR2344" s="38"/>
      <c r="GS2344" s="38"/>
      <c r="GT2344" s="38"/>
      <c r="GU2344" s="38"/>
      <c r="GV2344" s="38"/>
      <c r="GW2344" s="38"/>
      <c r="GX2344" s="38"/>
      <c r="GY2344" s="38"/>
      <c r="GZ2344" s="38"/>
      <c r="HA2344" s="38"/>
      <c r="HB2344" s="38"/>
      <c r="HC2344" s="38"/>
      <c r="HD2344" s="38"/>
      <c r="HE2344" s="38"/>
      <c r="HF2344" s="38"/>
      <c r="HG2344" s="38"/>
      <c r="HH2344" s="38"/>
      <c r="HI2344" s="38"/>
      <c r="HJ2344" s="38"/>
      <c r="HK2344" s="38"/>
      <c r="HL2344" s="38"/>
      <c r="HM2344" s="38"/>
      <c r="HN2344" s="38"/>
      <c r="HO2344" s="38"/>
      <c r="HP2344" s="38"/>
      <c r="HQ2344" s="38"/>
      <c r="HR2344" s="38"/>
      <c r="HS2344" s="38"/>
      <c r="HT2344" s="38"/>
      <c r="HU2344" s="38"/>
      <c r="HV2344" s="38"/>
      <c r="HW2344" s="38"/>
      <c r="HX2344" s="38"/>
      <c r="HY2344" s="38"/>
      <c r="HZ2344" s="38"/>
      <c r="IA2344" s="38"/>
      <c r="IB2344" s="38"/>
      <c r="IC2344" s="38"/>
      <c r="ID2344" s="38"/>
      <c r="IE2344" s="38"/>
      <c r="IF2344" s="38"/>
      <c r="IG2344" s="38"/>
      <c r="IH2344" s="38"/>
      <c r="II2344" s="38"/>
      <c r="IJ2344" s="38"/>
      <c r="IK2344" s="38"/>
      <c r="IL2344" s="38"/>
      <c r="IM2344" s="38"/>
      <c r="IN2344" s="38"/>
      <c r="IO2344" s="38"/>
      <c r="IP2344" s="38"/>
      <c r="IQ2344" s="38"/>
      <c r="IR2344" s="38"/>
      <c r="IS2344" s="38"/>
      <c r="IT2344" s="38"/>
      <c r="IU2344" s="38"/>
      <c r="IV2344" s="38"/>
      <c r="IW2344" s="38"/>
      <c r="IX2344" s="38"/>
      <c r="IY2344" s="38"/>
      <c r="IZ2344" s="38"/>
      <c r="JA2344" s="38"/>
      <c r="JB2344" s="38"/>
      <c r="JC2344" s="38"/>
      <c r="JD2344" s="38"/>
      <c r="JE2344" s="38"/>
      <c r="JF2344" s="38"/>
      <c r="JG2344" s="38"/>
      <c r="JH2344" s="38"/>
      <c r="JI2344" s="38"/>
      <c r="JJ2344" s="38"/>
      <c r="JK2344" s="38"/>
      <c r="JL2344" s="38"/>
      <c r="JM2344" s="38"/>
      <c r="JN2344" s="38"/>
      <c r="JO2344" s="38"/>
      <c r="JP2344" s="38"/>
      <c r="JQ2344" s="38"/>
      <c r="JR2344" s="38"/>
      <c r="JS2344" s="38"/>
      <c r="JT2344" s="38"/>
      <c r="JU2344" s="38"/>
      <c r="JV2344" s="38"/>
      <c r="JW2344" s="38"/>
      <c r="JX2344" s="38"/>
      <c r="JY2344" s="38"/>
      <c r="JZ2344" s="38"/>
      <c r="KA2344" s="38"/>
      <c r="KB2344" s="38"/>
      <c r="KC2344" s="38"/>
      <c r="KD2344" s="38"/>
      <c r="KE2344" s="38"/>
      <c r="KF2344" s="38"/>
      <c r="KG2344" s="38"/>
      <c r="KH2344" s="38"/>
      <c r="KI2344" s="38"/>
      <c r="KJ2344" s="38"/>
      <c r="KK2344" s="38"/>
      <c r="KL2344" s="38"/>
      <c r="KM2344" s="38"/>
      <c r="KN2344" s="38"/>
      <c r="KO2344" s="38"/>
      <c r="KP2344" s="38"/>
      <c r="KQ2344" s="38"/>
      <c r="KR2344" s="38"/>
      <c r="KS2344" s="38"/>
      <c r="KT2344" s="38"/>
      <c r="KU2344" s="38"/>
      <c r="KV2344" s="38"/>
      <c r="KW2344" s="38"/>
      <c r="KX2344" s="38"/>
      <c r="KY2344" s="38"/>
      <c r="KZ2344" s="38"/>
      <c r="LA2344" s="38"/>
      <c r="LB2344" s="38"/>
      <c r="LC2344" s="38"/>
      <c r="LD2344" s="38"/>
      <c r="LE2344" s="38"/>
      <c r="LF2344" s="38"/>
      <c r="LG2344" s="38"/>
      <c r="LH2344" s="38"/>
      <c r="LI2344" s="38"/>
      <c r="LJ2344" s="38"/>
      <c r="LK2344" s="38"/>
      <c r="LL2344" s="38"/>
      <c r="LM2344" s="38"/>
      <c r="LN2344" s="38"/>
      <c r="LO2344" s="38"/>
      <c r="LP2344" s="38"/>
      <c r="LQ2344" s="38"/>
      <c r="LR2344" s="38"/>
      <c r="LS2344" s="38"/>
      <c r="LT2344" s="38"/>
      <c r="LU2344" s="38"/>
      <c r="LV2344" s="38"/>
      <c r="LW2344" s="38"/>
      <c r="LX2344" s="38"/>
      <c r="LY2344" s="38"/>
      <c r="LZ2344" s="38"/>
      <c r="MA2344" s="38"/>
      <c r="MB2344" s="38"/>
      <c r="MC2344" s="38"/>
      <c r="MD2344" s="38"/>
      <c r="ME2344" s="38"/>
      <c r="MF2344" s="38"/>
      <c r="MG2344" s="38"/>
      <c r="MH2344" s="38"/>
      <c r="MI2344" s="38"/>
      <c r="MJ2344" s="38"/>
      <c r="MK2344" s="38"/>
      <c r="ML2344" s="38"/>
      <c r="MM2344" s="38"/>
      <c r="MN2344" s="38"/>
      <c r="MO2344" s="38"/>
      <c r="MP2344" s="38"/>
      <c r="MQ2344" s="38"/>
      <c r="MR2344" s="38"/>
      <c r="MS2344" s="38"/>
      <c r="MT2344" s="38"/>
      <c r="MU2344" s="38"/>
      <c r="MV2344" s="38"/>
      <c r="MW2344" s="38"/>
      <c r="MX2344" s="38"/>
      <c r="MY2344" s="38"/>
      <c r="MZ2344" s="38"/>
      <c r="NA2344" s="38"/>
      <c r="NB2344" s="38"/>
      <c r="NC2344" s="38"/>
      <c r="ND2344" s="38"/>
      <c r="NE2344" s="38"/>
      <c r="NF2344" s="38"/>
      <c r="NG2344" s="38"/>
      <c r="NH2344" s="38"/>
      <c r="NI2344" s="38"/>
      <c r="NJ2344" s="38"/>
      <c r="NK2344" s="38"/>
      <c r="NL2344" s="38"/>
      <c r="NM2344" s="38"/>
      <c r="NN2344" s="38"/>
      <c r="NO2344" s="38"/>
      <c r="NP2344" s="38"/>
      <c r="NQ2344" s="38"/>
      <c r="NR2344" s="38"/>
      <c r="NS2344" s="38"/>
      <c r="NT2344" s="38"/>
      <c r="NU2344" s="38"/>
      <c r="NV2344" s="38"/>
      <c r="NW2344" s="38"/>
      <c r="NX2344" s="38"/>
      <c r="NY2344" s="38"/>
      <c r="NZ2344" s="38"/>
      <c r="OA2344" s="38"/>
      <c r="OB2344" s="38"/>
      <c r="OC2344" s="38"/>
      <c r="OD2344" s="38"/>
      <c r="OE2344" s="38"/>
      <c r="OF2344" s="38"/>
      <c r="OG2344" s="38"/>
      <c r="OH2344" s="38"/>
      <c r="OI2344" s="38"/>
      <c r="OJ2344" s="38"/>
      <c r="OK2344" s="38"/>
      <c r="OL2344" s="38"/>
      <c r="OM2344" s="38"/>
      <c r="ON2344" s="38"/>
      <c r="OO2344" s="38"/>
      <c r="OP2344" s="38"/>
      <c r="OQ2344" s="38"/>
      <c r="OR2344" s="38"/>
      <c r="OS2344" s="38"/>
      <c r="OT2344" s="38"/>
      <c r="OU2344" s="38"/>
      <c r="OV2344" s="38"/>
      <c r="OW2344" s="38"/>
      <c r="OX2344" s="38"/>
      <c r="OY2344" s="38"/>
      <c r="OZ2344" s="38"/>
      <c r="PA2344" s="38"/>
      <c r="PB2344" s="38"/>
      <c r="PC2344" s="38"/>
      <c r="PD2344" s="38"/>
      <c r="PE2344" s="38"/>
      <c r="PF2344" s="38"/>
      <c r="PG2344" s="38"/>
      <c r="PH2344" s="38"/>
      <c r="PI2344" s="38"/>
      <c r="PJ2344" s="38"/>
      <c r="PK2344" s="38"/>
      <c r="PL2344" s="38"/>
      <c r="PM2344" s="38"/>
      <c r="PN2344" s="38"/>
      <c r="PO2344" s="38"/>
      <c r="PP2344" s="38"/>
      <c r="PQ2344" s="38"/>
      <c r="PR2344" s="38"/>
      <c r="PS2344" s="38"/>
      <c r="PT2344" s="38"/>
      <c r="PU2344" s="38"/>
      <c r="PV2344" s="38"/>
      <c r="PW2344" s="38"/>
      <c r="PX2344" s="38"/>
      <c r="PY2344" s="38"/>
      <c r="PZ2344" s="38"/>
      <c r="QA2344" s="38"/>
      <c r="QB2344" s="38"/>
      <c r="QC2344" s="38"/>
      <c r="QD2344" s="38"/>
      <c r="QE2344" s="38"/>
      <c r="QF2344" s="38"/>
      <c r="QG2344" s="38"/>
      <c r="QH2344" s="38"/>
      <c r="QI2344" s="38"/>
      <c r="QJ2344" s="38"/>
      <c r="QK2344" s="38"/>
      <c r="QL2344" s="38"/>
      <c r="QM2344" s="38"/>
      <c r="QN2344" s="38"/>
      <c r="QO2344" s="38"/>
      <c r="QP2344" s="38"/>
      <c r="QQ2344" s="38"/>
      <c r="QR2344" s="38"/>
      <c r="QS2344" s="38"/>
      <c r="QT2344" s="38"/>
      <c r="QU2344" s="38"/>
      <c r="QV2344" s="38"/>
      <c r="QW2344" s="38"/>
      <c r="QX2344" s="38"/>
      <c r="QY2344" s="38"/>
      <c r="QZ2344" s="38"/>
      <c r="RA2344" s="38"/>
      <c r="RB2344" s="38"/>
      <c r="RC2344" s="38"/>
      <c r="RD2344" s="38"/>
      <c r="RE2344" s="38"/>
      <c r="RF2344" s="38"/>
      <c r="RG2344" s="38"/>
      <c r="RH2344" s="38"/>
      <c r="RI2344" s="38"/>
      <c r="RJ2344" s="38"/>
      <c r="RK2344" s="38"/>
      <c r="RL2344" s="38"/>
      <c r="RM2344" s="38"/>
      <c r="RN2344" s="38"/>
      <c r="RO2344" s="38"/>
      <c r="RP2344" s="38"/>
      <c r="RQ2344" s="38"/>
      <c r="RR2344" s="38"/>
      <c r="RS2344" s="38"/>
      <c r="RT2344" s="38"/>
      <c r="RU2344" s="38"/>
      <c r="RV2344" s="38"/>
      <c r="RW2344" s="38"/>
      <c r="RX2344" s="38"/>
      <c r="RY2344" s="38"/>
      <c r="RZ2344" s="38"/>
      <c r="SA2344" s="38"/>
      <c r="SB2344" s="38"/>
      <c r="SC2344" s="38"/>
      <c r="SD2344" s="38"/>
      <c r="SE2344" s="38"/>
      <c r="SF2344" s="38"/>
      <c r="SG2344" s="38"/>
      <c r="SH2344" s="38"/>
      <c r="SI2344" s="38"/>
      <c r="SJ2344" s="38"/>
      <c r="SK2344" s="38"/>
      <c r="SL2344" s="38"/>
      <c r="SM2344" s="38"/>
      <c r="SN2344" s="38"/>
      <c r="SO2344" s="38"/>
      <c r="SP2344" s="38"/>
      <c r="SQ2344" s="38"/>
      <c r="SR2344" s="38"/>
      <c r="SS2344" s="38"/>
      <c r="ST2344" s="38"/>
      <c r="SU2344" s="38"/>
      <c r="SV2344" s="38"/>
      <c r="SW2344" s="38"/>
      <c r="SX2344" s="38"/>
      <c r="SY2344" s="38"/>
      <c r="SZ2344" s="38"/>
      <c r="TA2344" s="38"/>
      <c r="TB2344" s="38"/>
      <c r="TC2344" s="38"/>
      <c r="TD2344" s="38"/>
      <c r="TE2344" s="38"/>
      <c r="TF2344" s="38"/>
      <c r="TG2344" s="38"/>
      <c r="TH2344" s="38"/>
      <c r="TI2344" s="38"/>
      <c r="TJ2344" s="38"/>
      <c r="TK2344" s="38"/>
      <c r="TL2344" s="38"/>
      <c r="TM2344" s="38"/>
      <c r="TN2344" s="38"/>
      <c r="TO2344" s="38"/>
      <c r="TP2344" s="38"/>
      <c r="TQ2344" s="38"/>
      <c r="TR2344" s="38"/>
      <c r="TS2344" s="38"/>
      <c r="TT2344" s="38"/>
      <c r="TU2344" s="38"/>
      <c r="TV2344" s="38"/>
      <c r="TW2344" s="38"/>
      <c r="TX2344" s="38"/>
      <c r="TY2344" s="38"/>
      <c r="TZ2344" s="38"/>
      <c r="UA2344" s="38"/>
      <c r="UB2344" s="38"/>
      <c r="UC2344" s="38"/>
      <c r="UD2344" s="38"/>
      <c r="UE2344" s="38"/>
      <c r="UF2344" s="38"/>
      <c r="UG2344" s="38"/>
      <c r="UH2344" s="38"/>
      <c r="UI2344" s="38"/>
      <c r="UJ2344" s="38"/>
      <c r="UK2344" s="38"/>
      <c r="UL2344" s="38"/>
      <c r="UM2344" s="38"/>
      <c r="UN2344" s="38"/>
      <c r="UO2344" s="38"/>
      <c r="UP2344" s="38"/>
      <c r="UQ2344" s="38"/>
      <c r="UR2344" s="38"/>
      <c r="US2344" s="38"/>
      <c r="UT2344" s="38"/>
      <c r="UU2344" s="38"/>
      <c r="UV2344" s="38"/>
      <c r="UW2344" s="38"/>
      <c r="UX2344" s="38"/>
      <c r="UY2344" s="38"/>
      <c r="UZ2344" s="38"/>
      <c r="VA2344" s="38"/>
      <c r="VB2344" s="38"/>
      <c r="VC2344" s="38"/>
      <c r="VD2344" s="38"/>
      <c r="VE2344" s="38"/>
      <c r="VF2344" s="38"/>
      <c r="VG2344" s="38"/>
      <c r="VH2344" s="38"/>
      <c r="VI2344" s="38"/>
      <c r="VJ2344" s="38"/>
      <c r="VK2344" s="38"/>
      <c r="VL2344" s="38"/>
      <c r="VM2344" s="38"/>
      <c r="VN2344" s="38"/>
      <c r="VO2344" s="38"/>
      <c r="VP2344" s="38"/>
      <c r="VQ2344" s="38"/>
      <c r="VR2344" s="38"/>
      <c r="VS2344" s="38"/>
      <c r="VT2344" s="38"/>
      <c r="VU2344" s="38"/>
      <c r="VV2344" s="38"/>
      <c r="VW2344" s="38"/>
      <c r="VX2344" s="38"/>
      <c r="VY2344" s="38"/>
      <c r="VZ2344" s="38"/>
      <c r="WA2344" s="38"/>
      <c r="WB2344" s="38"/>
      <c r="WC2344" s="38"/>
      <c r="WD2344" s="38"/>
      <c r="WE2344" s="38"/>
      <c r="WF2344" s="38"/>
      <c r="WG2344" s="38"/>
      <c r="WH2344" s="38"/>
      <c r="WI2344" s="38"/>
      <c r="WJ2344" s="38"/>
      <c r="WK2344" s="38"/>
      <c r="WL2344" s="38"/>
      <c r="WM2344" s="38"/>
      <c r="WN2344" s="38"/>
      <c r="WO2344" s="38"/>
      <c r="WP2344" s="38"/>
      <c r="WQ2344" s="38"/>
      <c r="WR2344" s="38"/>
      <c r="WS2344" s="38"/>
      <c r="WT2344" s="38"/>
      <c r="WU2344" s="38"/>
      <c r="WV2344" s="38"/>
      <c r="WW2344" s="38"/>
      <c r="WX2344" s="38"/>
      <c r="WY2344" s="38"/>
      <c r="WZ2344" s="38"/>
      <c r="XA2344" s="38"/>
      <c r="XB2344" s="38"/>
      <c r="XC2344" s="38"/>
      <c r="XD2344" s="38"/>
      <c r="XE2344" s="38"/>
      <c r="XF2344" s="38"/>
      <c r="XG2344" s="38"/>
      <c r="XH2344" s="38"/>
      <c r="XI2344" s="38"/>
      <c r="XJ2344" s="38"/>
      <c r="XK2344" s="38"/>
      <c r="XL2344" s="38"/>
      <c r="XM2344" s="38"/>
      <c r="XN2344" s="38"/>
      <c r="XO2344" s="38"/>
      <c r="XP2344" s="38"/>
      <c r="XQ2344" s="38"/>
      <c r="XR2344" s="38"/>
      <c r="XS2344" s="38"/>
      <c r="XT2344" s="38"/>
      <c r="XU2344" s="38"/>
      <c r="XV2344" s="38"/>
      <c r="XW2344" s="38"/>
      <c r="XX2344" s="38"/>
      <c r="XY2344" s="38"/>
      <c r="XZ2344" s="38"/>
      <c r="YA2344" s="38"/>
      <c r="YB2344" s="38"/>
      <c r="YC2344" s="38"/>
      <c r="YD2344" s="38"/>
      <c r="YE2344" s="38"/>
      <c r="YF2344" s="38"/>
      <c r="YG2344" s="38"/>
      <c r="YH2344" s="38"/>
      <c r="YI2344" s="38"/>
      <c r="YJ2344" s="38"/>
      <c r="YK2344" s="38"/>
      <c r="YL2344" s="38"/>
      <c r="YM2344" s="38"/>
      <c r="YN2344" s="38"/>
      <c r="YO2344" s="38"/>
      <c r="YP2344" s="38"/>
      <c r="YQ2344" s="38"/>
      <c r="YR2344" s="38"/>
      <c r="YS2344" s="38"/>
      <c r="YT2344" s="38"/>
      <c r="YU2344" s="38"/>
      <c r="YV2344" s="38"/>
      <c r="YW2344" s="38"/>
      <c r="YX2344" s="38"/>
      <c r="YY2344" s="38"/>
      <c r="YZ2344" s="38"/>
      <c r="ZA2344" s="38"/>
      <c r="ZB2344" s="38"/>
      <c r="ZC2344" s="38"/>
      <c r="ZD2344" s="38"/>
      <c r="ZE2344" s="38"/>
      <c r="ZF2344" s="38"/>
      <c r="ZG2344" s="38"/>
      <c r="ZH2344" s="38"/>
      <c r="ZI2344" s="38"/>
      <c r="ZJ2344" s="38"/>
      <c r="ZK2344" s="38"/>
      <c r="ZL2344" s="38"/>
      <c r="ZM2344" s="38"/>
      <c r="ZN2344" s="38"/>
      <c r="ZO2344" s="38"/>
      <c r="ZP2344" s="38"/>
      <c r="ZQ2344" s="38"/>
      <c r="ZR2344" s="38"/>
      <c r="ZS2344" s="38"/>
      <c r="ZT2344" s="38"/>
      <c r="ZU2344" s="38"/>
      <c r="ZV2344" s="38"/>
      <c r="ZW2344" s="38"/>
      <c r="ZX2344" s="38"/>
      <c r="ZY2344" s="38"/>
      <c r="ZZ2344" s="38"/>
      <c r="AAA2344" s="38"/>
      <c r="AAB2344" s="38"/>
      <c r="AAC2344" s="38"/>
      <c r="AAD2344" s="38"/>
      <c r="AAE2344" s="38"/>
      <c r="AAF2344" s="38"/>
      <c r="AAG2344" s="38"/>
      <c r="AAH2344" s="38"/>
      <c r="AAI2344" s="38"/>
      <c r="AAJ2344" s="38"/>
      <c r="AAK2344" s="38"/>
      <c r="AAL2344" s="38"/>
      <c r="AAM2344" s="38"/>
      <c r="AAN2344" s="38"/>
      <c r="AAO2344" s="38"/>
      <c r="AAP2344" s="38"/>
      <c r="AAQ2344" s="38"/>
      <c r="AAR2344" s="38"/>
      <c r="AAS2344" s="38"/>
      <c r="AAT2344" s="38"/>
      <c r="AAU2344" s="38"/>
      <c r="AAV2344" s="38"/>
      <c r="AAW2344" s="38"/>
      <c r="AAX2344" s="38"/>
      <c r="AAY2344" s="38"/>
      <c r="AAZ2344" s="38"/>
      <c r="ABA2344" s="38"/>
      <c r="ABB2344" s="38"/>
      <c r="ABC2344" s="38"/>
      <c r="ABD2344" s="38"/>
      <c r="ABE2344" s="38"/>
      <c r="ABF2344" s="38"/>
      <c r="ABG2344" s="38"/>
      <c r="ABH2344" s="38"/>
      <c r="ABI2344" s="38"/>
      <c r="ABJ2344" s="38"/>
      <c r="ABK2344" s="38"/>
      <c r="ABL2344" s="38"/>
      <c r="ABM2344" s="38"/>
      <c r="ABN2344" s="38"/>
      <c r="ABO2344" s="38"/>
      <c r="ABP2344" s="38"/>
      <c r="ABQ2344" s="38"/>
      <c r="ABR2344" s="38"/>
      <c r="ABS2344" s="38"/>
      <c r="ABT2344" s="38"/>
      <c r="ABU2344" s="38"/>
      <c r="ABV2344" s="38"/>
      <c r="ABW2344" s="38"/>
      <c r="ABX2344" s="38"/>
      <c r="ABY2344" s="38"/>
      <c r="ABZ2344" s="38"/>
      <c r="ACA2344" s="38"/>
      <c r="ACB2344" s="38"/>
      <c r="ACC2344" s="38"/>
      <c r="ACD2344" s="38"/>
      <c r="ACE2344" s="38"/>
      <c r="ACF2344" s="38"/>
      <c r="ACG2344" s="38"/>
      <c r="ACH2344" s="38"/>
      <c r="ACI2344" s="38"/>
      <c r="ACJ2344" s="38"/>
      <c r="ACK2344" s="38"/>
      <c r="ACL2344" s="38"/>
      <c r="ACM2344" s="38"/>
      <c r="ACN2344" s="38"/>
      <c r="ACO2344" s="38"/>
      <c r="ACP2344" s="38"/>
      <c r="ACQ2344" s="38"/>
      <c r="ACR2344" s="38"/>
      <c r="ACS2344" s="38"/>
      <c r="ACT2344" s="38"/>
      <c r="ACU2344" s="38"/>
      <c r="ACV2344" s="38"/>
      <c r="ACW2344" s="38"/>
      <c r="ACX2344" s="38"/>
      <c r="ACY2344" s="38"/>
      <c r="ACZ2344" s="38"/>
      <c r="ADA2344" s="38"/>
      <c r="ADB2344" s="38"/>
      <c r="ADC2344" s="38"/>
      <c r="ADD2344" s="38"/>
      <c r="ADE2344" s="38"/>
      <c r="ADF2344" s="38"/>
      <c r="ADG2344" s="38"/>
      <c r="ADH2344" s="38"/>
      <c r="ADI2344" s="38"/>
      <c r="ADJ2344" s="38"/>
      <c r="ADK2344" s="38"/>
      <c r="ADL2344" s="38"/>
      <c r="ADM2344" s="38"/>
      <c r="ADN2344" s="38"/>
      <c r="ADO2344" s="38"/>
      <c r="ADP2344" s="38"/>
      <c r="ADQ2344" s="38"/>
      <c r="ADR2344" s="38"/>
      <c r="ADS2344" s="38"/>
      <c r="ADT2344" s="38"/>
      <c r="ADU2344" s="38"/>
      <c r="ADV2344" s="38"/>
      <c r="ADW2344" s="38"/>
      <c r="ADX2344" s="38"/>
      <c r="ADY2344" s="38"/>
      <c r="ADZ2344" s="38"/>
      <c r="AEA2344" s="38"/>
      <c r="AEB2344" s="38"/>
      <c r="AEC2344" s="38"/>
      <c r="AED2344" s="38"/>
      <c r="AEE2344" s="38"/>
      <c r="AEF2344" s="38"/>
      <c r="AEG2344" s="38"/>
      <c r="AEH2344" s="38"/>
      <c r="AEI2344" s="38"/>
      <c r="AEJ2344" s="38"/>
      <c r="AEK2344" s="38"/>
      <c r="AEL2344" s="38"/>
      <c r="AEM2344" s="38"/>
      <c r="AEN2344" s="38"/>
      <c r="AEO2344" s="38"/>
      <c r="AEP2344" s="38"/>
      <c r="AEQ2344" s="38"/>
      <c r="AER2344" s="38"/>
      <c r="AES2344" s="38"/>
      <c r="AET2344" s="38"/>
      <c r="AEU2344" s="38"/>
      <c r="AEV2344" s="38"/>
      <c r="AEW2344" s="38"/>
      <c r="AEX2344" s="38"/>
      <c r="AEY2344" s="38"/>
      <c r="AEZ2344" s="38"/>
      <c r="AFA2344" s="38"/>
      <c r="AFB2344" s="38"/>
      <c r="AFC2344" s="38"/>
      <c r="AFD2344" s="38"/>
      <c r="AFE2344" s="38"/>
      <c r="AFF2344" s="38"/>
      <c r="AFG2344" s="38"/>
      <c r="AFH2344" s="38"/>
      <c r="AFI2344" s="38"/>
      <c r="AFJ2344" s="38"/>
      <c r="AFK2344" s="38"/>
      <c r="AFL2344" s="38"/>
      <c r="AFM2344" s="38"/>
      <c r="AFN2344" s="38"/>
      <c r="AFO2344" s="38"/>
      <c r="AFP2344" s="38"/>
      <c r="AFQ2344" s="38"/>
      <c r="AFR2344" s="38"/>
      <c r="AFS2344" s="38"/>
      <c r="AFT2344" s="38"/>
      <c r="AFU2344" s="38"/>
      <c r="AFV2344" s="38"/>
      <c r="AFW2344" s="38"/>
      <c r="AFX2344" s="38"/>
      <c r="AFY2344" s="38"/>
      <c r="AFZ2344" s="38"/>
      <c r="AGA2344" s="38"/>
      <c r="AGB2344" s="38"/>
      <c r="AGC2344" s="38"/>
      <c r="AGD2344" s="38"/>
      <c r="AGE2344" s="38"/>
      <c r="AGF2344" s="38"/>
      <c r="AGG2344" s="38"/>
      <c r="AGH2344" s="38"/>
      <c r="AGI2344" s="38"/>
      <c r="AGJ2344" s="38"/>
      <c r="AGK2344" s="38"/>
      <c r="AGL2344" s="38"/>
      <c r="AGM2344" s="38"/>
      <c r="AGN2344" s="38"/>
      <c r="AGO2344" s="38"/>
      <c r="AGP2344" s="38"/>
      <c r="AGQ2344" s="38"/>
      <c r="AGR2344" s="38"/>
      <c r="AGS2344" s="38"/>
      <c r="AGT2344" s="38"/>
      <c r="AGU2344" s="38"/>
      <c r="AGV2344" s="38"/>
      <c r="AGW2344" s="38"/>
      <c r="AGX2344" s="38"/>
      <c r="AGY2344" s="38"/>
      <c r="AGZ2344" s="38"/>
      <c r="AHA2344" s="38"/>
      <c r="AHB2344" s="38"/>
      <c r="AHC2344" s="38"/>
      <c r="AHD2344" s="38"/>
      <c r="AHE2344" s="38"/>
      <c r="AHF2344" s="38"/>
      <c r="AHG2344" s="38"/>
      <c r="AHH2344" s="38"/>
      <c r="AHI2344" s="38"/>
      <c r="AHJ2344" s="38"/>
      <c r="AHK2344" s="38"/>
      <c r="AHL2344" s="38"/>
      <c r="AHM2344" s="38"/>
      <c r="AHN2344" s="38"/>
      <c r="AHO2344" s="38"/>
      <c r="AHP2344" s="38"/>
      <c r="AHQ2344" s="38"/>
      <c r="AHR2344" s="38"/>
      <c r="AHS2344" s="38"/>
      <c r="AHT2344" s="38"/>
      <c r="AHU2344" s="38"/>
      <c r="AHV2344" s="38"/>
      <c r="AHW2344" s="38"/>
      <c r="AHX2344" s="38"/>
      <c r="AHY2344" s="38"/>
      <c r="AHZ2344" s="38"/>
      <c r="AIA2344" s="38"/>
      <c r="AIB2344" s="38"/>
      <c r="AIC2344" s="38"/>
      <c r="AID2344" s="38"/>
      <c r="AIE2344" s="38"/>
      <c r="AIF2344" s="38"/>
      <c r="AIG2344" s="38"/>
      <c r="AIH2344" s="38"/>
      <c r="AII2344" s="38"/>
      <c r="AIJ2344" s="38"/>
      <c r="AIK2344" s="38"/>
      <c r="AIL2344" s="38"/>
      <c r="AIM2344" s="38"/>
      <c r="AIN2344" s="38"/>
      <c r="AIO2344" s="38"/>
      <c r="AIP2344" s="38"/>
      <c r="AIQ2344" s="38"/>
      <c r="AIR2344" s="38"/>
      <c r="AIS2344" s="38"/>
      <c r="AIT2344" s="38"/>
      <c r="AIU2344" s="38"/>
      <c r="AIV2344" s="38"/>
      <c r="AIW2344" s="38"/>
      <c r="AIX2344" s="38"/>
      <c r="AIY2344" s="38"/>
      <c r="AIZ2344" s="38"/>
      <c r="AJA2344" s="38"/>
      <c r="AJB2344" s="38"/>
      <c r="AJC2344" s="38"/>
      <c r="AJD2344" s="38"/>
      <c r="AJE2344" s="38"/>
      <c r="AJF2344" s="38"/>
      <c r="AJG2344" s="38"/>
      <c r="AJH2344" s="38"/>
      <c r="AJI2344" s="38"/>
      <c r="AJJ2344" s="38"/>
      <c r="AJK2344" s="38"/>
      <c r="AJL2344" s="38"/>
      <c r="AJM2344" s="38"/>
      <c r="AJN2344" s="38"/>
      <c r="AJO2344" s="38"/>
      <c r="AJP2344" s="38"/>
      <c r="AJQ2344" s="38"/>
      <c r="AJR2344" s="38"/>
      <c r="AJS2344" s="38"/>
      <c r="AJT2344" s="38"/>
      <c r="AJU2344" s="38"/>
      <c r="AJV2344" s="38"/>
      <c r="AJW2344" s="38"/>
      <c r="AJX2344" s="38"/>
      <c r="AJY2344" s="38"/>
      <c r="AJZ2344" s="38"/>
      <c r="AKA2344" s="38"/>
      <c r="AKB2344" s="38"/>
      <c r="AKC2344" s="38"/>
      <c r="AKD2344" s="38"/>
      <c r="AKE2344" s="38"/>
      <c r="AKF2344" s="38"/>
      <c r="AKG2344" s="38"/>
      <c r="AKH2344" s="38"/>
      <c r="AKI2344" s="38"/>
      <c r="AKJ2344" s="38"/>
      <c r="AKK2344" s="38"/>
      <c r="AKL2344" s="38"/>
      <c r="AKM2344" s="38"/>
      <c r="AKN2344" s="38"/>
      <c r="AKO2344" s="38"/>
      <c r="AKP2344" s="38"/>
      <c r="AKQ2344" s="38"/>
      <c r="AKR2344" s="38"/>
      <c r="AKS2344" s="38"/>
      <c r="AKT2344" s="38"/>
      <c r="AKU2344" s="38"/>
      <c r="AKV2344" s="38"/>
      <c r="AKW2344" s="38"/>
      <c r="AKX2344" s="38"/>
      <c r="AKY2344" s="38"/>
      <c r="AKZ2344" s="38"/>
      <c r="ALA2344" s="38"/>
      <c r="ALB2344" s="38"/>
      <c r="ALC2344" s="38"/>
      <c r="ALD2344" s="38"/>
      <c r="ALE2344" s="38"/>
      <c r="ALF2344" s="38"/>
      <c r="ALG2344" s="38"/>
      <c r="ALH2344" s="38"/>
      <c r="ALI2344" s="38"/>
      <c r="ALJ2344" s="38"/>
      <c r="ALK2344" s="38"/>
      <c r="ALL2344" s="38"/>
      <c r="ALM2344" s="38"/>
      <c r="ALN2344" s="38"/>
      <c r="ALO2344" s="38"/>
      <c r="ALP2344" s="38"/>
      <c r="ALQ2344" s="38"/>
      <c r="ALR2344" s="38"/>
      <c r="ALS2344" s="38"/>
      <c r="ALT2344" s="38"/>
      <c r="ALU2344" s="38"/>
      <c r="ALV2344" s="38"/>
      <c r="ALW2344" s="38"/>
      <c r="ALX2344" s="38"/>
      <c r="ALY2344" s="38"/>
      <c r="ALZ2344" s="38"/>
      <c r="AMA2344" s="38"/>
      <c r="AMB2344" s="38"/>
      <c r="AMC2344" s="38"/>
      <c r="AMD2344" s="38"/>
      <c r="AME2344" s="38"/>
      <c r="AMF2344" s="38"/>
      <c r="AMG2344" s="38"/>
      <c r="AMH2344" s="38"/>
      <c r="AMI2344" s="38"/>
      <c r="AMJ2344" s="38"/>
      <c r="AMK2344" s="38"/>
      <c r="AML2344" s="38"/>
      <c r="AMM2344" s="38"/>
      <c r="AMN2344" s="38"/>
      <c r="AMO2344" s="38"/>
      <c r="AMP2344" s="38"/>
      <c r="AMQ2344" s="38"/>
      <c r="AMR2344" s="38"/>
      <c r="AMS2344" s="38"/>
      <c r="AMT2344" s="38"/>
      <c r="AMU2344" s="38"/>
      <c r="AMV2344" s="38"/>
      <c r="AMW2344" s="38"/>
      <c r="AMX2344" s="38"/>
      <c r="AMY2344" s="38"/>
      <c r="AMZ2344" s="38"/>
      <c r="ANA2344" s="38"/>
      <c r="ANB2344" s="38"/>
      <c r="ANC2344" s="38"/>
      <c r="AND2344" s="38"/>
      <c r="ANE2344" s="38"/>
      <c r="ANF2344" s="38"/>
      <c r="ANG2344" s="38"/>
      <c r="ANH2344" s="38"/>
      <c r="ANI2344" s="38"/>
      <c r="ANJ2344" s="38"/>
      <c r="ANK2344" s="38"/>
      <c r="ANL2344" s="38"/>
      <c r="ANM2344" s="38"/>
      <c r="ANN2344" s="38"/>
      <c r="ANO2344" s="38"/>
      <c r="ANP2344" s="38"/>
      <c r="ANQ2344" s="38"/>
      <c r="ANR2344" s="38"/>
      <c r="ANS2344" s="38"/>
      <c r="ANT2344" s="38"/>
      <c r="ANU2344" s="38"/>
      <c r="ANV2344" s="38"/>
      <c r="ANW2344" s="38"/>
      <c r="ANX2344" s="38"/>
      <c r="ANY2344" s="38"/>
      <c r="ANZ2344" s="38"/>
      <c r="AOA2344" s="38"/>
      <c r="AOB2344" s="38"/>
      <c r="AOC2344" s="38"/>
      <c r="AOD2344" s="38"/>
      <c r="AOE2344" s="38"/>
      <c r="AOF2344" s="38"/>
      <c r="AOG2344" s="38"/>
      <c r="AOH2344" s="38"/>
      <c r="AOI2344" s="38"/>
      <c r="AOJ2344" s="38"/>
      <c r="AOK2344" s="38"/>
      <c r="AOL2344" s="38"/>
      <c r="AOM2344" s="38"/>
      <c r="AON2344" s="38"/>
      <c r="AOO2344" s="38"/>
      <c r="AOP2344" s="38"/>
      <c r="AOQ2344" s="38"/>
      <c r="AOR2344" s="38"/>
      <c r="AOS2344" s="38"/>
      <c r="AOT2344" s="38"/>
      <c r="AOU2344" s="38"/>
      <c r="AOV2344" s="38"/>
      <c r="AOW2344" s="38"/>
      <c r="AOX2344" s="38"/>
      <c r="AOY2344" s="38"/>
      <c r="AOZ2344" s="38"/>
      <c r="APA2344" s="38"/>
      <c r="APB2344" s="38"/>
      <c r="APC2344" s="38"/>
    </row>
    <row r="2345" spans="1:1095" s="36" customFormat="1" ht="14.25" customHeight="1">
      <c r="A2345" s="3" t="s">
        <v>1722</v>
      </c>
      <c r="B2345" s="36" t="s">
        <v>2910</v>
      </c>
      <c r="C2345" s="10">
        <v>4058075433243</v>
      </c>
      <c r="D2345" s="224">
        <v>4058075433243</v>
      </c>
      <c r="E2345" s="245" t="s">
        <v>2911</v>
      </c>
      <c r="F2345" s="246"/>
      <c r="G2345" s="66" t="str">
        <f>HYPERLINK("https://ledvance.com/pt/product-datasheet/6871/92932","Ficha de Produto")</f>
        <v>Ficha de Produto</v>
      </c>
      <c r="H2345" s="217">
        <v>6</v>
      </c>
      <c r="I2345" s="34" t="s">
        <v>6415</v>
      </c>
      <c r="J2345" s="34" t="s">
        <v>6372</v>
      </c>
      <c r="K2345" s="34" t="s">
        <v>788</v>
      </c>
      <c r="L2345" s="34" t="s">
        <v>793</v>
      </c>
      <c r="M2345" s="247">
        <v>7.2</v>
      </c>
      <c r="N2345" s="288" t="s">
        <v>722</v>
      </c>
    </row>
    <row r="2346" spans="1:1095" s="36" customFormat="1" ht="14.25" customHeight="1">
      <c r="A2346" s="3" t="s">
        <v>1722</v>
      </c>
      <c r="B2346" s="36" t="s">
        <v>2912</v>
      </c>
      <c r="C2346" s="10">
        <v>4099854058639</v>
      </c>
      <c r="D2346" s="224">
        <v>4058075607934</v>
      </c>
      <c r="E2346" s="245" t="s">
        <v>2913</v>
      </c>
      <c r="F2346" s="246"/>
      <c r="G2346" s="66" t="str">
        <f>HYPERLINK("https://ledvance.com/pt/product-datasheet/251340/236865","Ficha de Produto")</f>
        <v>Ficha de Produto</v>
      </c>
      <c r="H2346" s="217">
        <v>10</v>
      </c>
      <c r="I2346" s="34" t="s">
        <v>6415</v>
      </c>
      <c r="J2346" s="34" t="s">
        <v>6372</v>
      </c>
      <c r="K2346" s="34" t="s">
        <v>788</v>
      </c>
      <c r="L2346" s="34" t="s">
        <v>6506</v>
      </c>
      <c r="M2346" s="247">
        <v>7.2</v>
      </c>
      <c r="N2346" s="288" t="s">
        <v>722</v>
      </c>
    </row>
    <row r="2347" spans="1:1095" s="36" customFormat="1" ht="14.25" customHeight="1">
      <c r="A2347" s="3" t="s">
        <v>1722</v>
      </c>
      <c r="B2347" s="36" t="s">
        <v>2914</v>
      </c>
      <c r="C2347" s="10">
        <v>4099854058660</v>
      </c>
      <c r="D2347" s="224">
        <v>4058075607859</v>
      </c>
      <c r="E2347" s="245" t="s">
        <v>2915</v>
      </c>
      <c r="F2347" s="246"/>
      <c r="G2347" s="66" t="str">
        <f>HYPERLINK("https://ledvance.com/pt/product-datasheet/251340/236884","Ficha de Produto")</f>
        <v>Ficha de Produto</v>
      </c>
      <c r="H2347" s="217">
        <v>10</v>
      </c>
      <c r="I2347" s="34" t="s">
        <v>6404</v>
      </c>
      <c r="J2347" s="34" t="s">
        <v>6360</v>
      </c>
      <c r="K2347" s="34" t="s">
        <v>788</v>
      </c>
      <c r="L2347" s="34" t="s">
        <v>6506</v>
      </c>
      <c r="M2347" s="247">
        <v>8.9</v>
      </c>
      <c r="N2347" s="288" t="s">
        <v>722</v>
      </c>
    </row>
    <row r="2348" spans="1:1095" s="36" customFormat="1" ht="14.25" customHeight="1">
      <c r="A2348" s="3" t="s">
        <v>1722</v>
      </c>
      <c r="B2348" s="36" t="s">
        <v>2916</v>
      </c>
      <c r="C2348" s="10">
        <v>4099854058714</v>
      </c>
      <c r="D2348" s="224">
        <v>4058075607835</v>
      </c>
      <c r="E2348" s="245" t="s">
        <v>2917</v>
      </c>
      <c r="F2348" s="246"/>
      <c r="G2348" s="66" t="str">
        <f>HYPERLINK("https://ledvance.com/pt/product-datasheet/251340/236777","Ficha de Produto")</f>
        <v>Ficha de Produto</v>
      </c>
      <c r="H2348" s="217">
        <v>10</v>
      </c>
      <c r="I2348" s="34" t="s">
        <v>6390</v>
      </c>
      <c r="J2348" s="34" t="s">
        <v>6358</v>
      </c>
      <c r="K2348" s="34" t="s">
        <v>788</v>
      </c>
      <c r="L2348" s="34" t="s">
        <v>6506</v>
      </c>
      <c r="M2348" s="247">
        <v>9.5</v>
      </c>
      <c r="N2348" s="288" t="s">
        <v>722</v>
      </c>
    </row>
    <row r="2349" spans="1:1095" s="36" customFormat="1" ht="14.25" customHeight="1">
      <c r="A2349" s="3" t="s">
        <v>1722</v>
      </c>
      <c r="B2349" s="36" t="s">
        <v>2918</v>
      </c>
      <c r="C2349" s="10">
        <v>4099854048012</v>
      </c>
      <c r="D2349" s="224">
        <v>4058075607910</v>
      </c>
      <c r="E2349" s="245" t="s">
        <v>2919</v>
      </c>
      <c r="F2349" s="246"/>
      <c r="G2349" s="66" t="str">
        <f>HYPERLINK("https://ledvance.com/pt/product-datasheet/251284/235791","Ficha de Produto")</f>
        <v>Ficha de Produto</v>
      </c>
      <c r="H2349" s="217">
        <v>10</v>
      </c>
      <c r="I2349" s="34" t="s">
        <v>6404</v>
      </c>
      <c r="J2349" s="34" t="s">
        <v>5868</v>
      </c>
      <c r="K2349" s="34" t="s">
        <v>788</v>
      </c>
      <c r="L2349" s="34" t="s">
        <v>6506</v>
      </c>
      <c r="M2349" s="247">
        <v>11.9</v>
      </c>
      <c r="N2349" s="288" t="s">
        <v>722</v>
      </c>
    </row>
    <row r="2350" spans="1:1095" s="36" customFormat="1" ht="14.25" customHeight="1">
      <c r="A2350" s="3" t="s">
        <v>1722</v>
      </c>
      <c r="B2350" s="36" t="s">
        <v>2920</v>
      </c>
      <c r="C2350" s="10">
        <v>4099854048371</v>
      </c>
      <c r="D2350" s="224">
        <v>4058075607873</v>
      </c>
      <c r="E2350" s="245" t="s">
        <v>2921</v>
      </c>
      <c r="F2350" s="246"/>
      <c r="G2350" s="66" t="str">
        <f>HYPERLINK("https://ledvance.com/pt/product-datasheet/251284/235800","Ficha de Produto")</f>
        <v>Ficha de Produto</v>
      </c>
      <c r="H2350" s="217">
        <v>10</v>
      </c>
      <c r="I2350" s="34" t="s">
        <v>6390</v>
      </c>
      <c r="J2350" s="34" t="s">
        <v>6365</v>
      </c>
      <c r="K2350" s="34" t="s">
        <v>788</v>
      </c>
      <c r="L2350" s="34" t="s">
        <v>6506</v>
      </c>
      <c r="M2350" s="247">
        <v>11.5</v>
      </c>
      <c r="N2350" s="288" t="s">
        <v>722</v>
      </c>
    </row>
    <row r="2351" spans="1:1095" s="36" customFormat="1" ht="14.25" customHeight="1">
      <c r="A2351" s="3" t="s">
        <v>1722</v>
      </c>
      <c r="B2351" s="36" t="s">
        <v>2922</v>
      </c>
      <c r="C2351" s="10">
        <v>4099854050114</v>
      </c>
      <c r="D2351" s="224">
        <v>4058075607958</v>
      </c>
      <c r="E2351" s="245" t="s">
        <v>2923</v>
      </c>
      <c r="F2351" s="246"/>
      <c r="G2351" s="66" t="str">
        <f>HYPERLINK("https://ledvance.com/pt/product-datasheet/251288/235815","Ficha de Produto")</f>
        <v>Ficha de Produto</v>
      </c>
      <c r="H2351" s="217">
        <v>10</v>
      </c>
      <c r="I2351" s="34" t="s">
        <v>6414</v>
      </c>
      <c r="J2351" s="34" t="s">
        <v>6399</v>
      </c>
      <c r="K2351" s="34" t="s">
        <v>788</v>
      </c>
      <c r="L2351" s="34" t="s">
        <v>6506</v>
      </c>
      <c r="M2351" s="247">
        <v>15.9</v>
      </c>
      <c r="N2351" s="288" t="s">
        <v>722</v>
      </c>
    </row>
    <row r="2352" spans="1:1095" s="36" customFormat="1" ht="14.25" customHeight="1">
      <c r="A2352" s="3" t="s">
        <v>1722</v>
      </c>
      <c r="B2352" s="36" t="s">
        <v>2924</v>
      </c>
      <c r="C2352" s="10">
        <v>4099854050091</v>
      </c>
      <c r="D2352" s="224">
        <v>4058075608658</v>
      </c>
      <c r="E2352" s="245" t="s">
        <v>2925</v>
      </c>
      <c r="F2352" s="246"/>
      <c r="G2352" s="66" t="str">
        <f>HYPERLINK("https://ledvance.com/pt/product-datasheet/251288/235809","Ficha de Produto")</f>
        <v>Ficha de Produto</v>
      </c>
      <c r="H2352" s="217">
        <v>10</v>
      </c>
      <c r="I2352" s="34" t="s">
        <v>6390</v>
      </c>
      <c r="J2352" s="34" t="s">
        <v>6365</v>
      </c>
      <c r="K2352" s="34" t="s">
        <v>788</v>
      </c>
      <c r="L2352" s="34" t="s">
        <v>6506</v>
      </c>
      <c r="M2352" s="247">
        <v>14</v>
      </c>
      <c r="N2352" s="288" t="s">
        <v>722</v>
      </c>
    </row>
    <row r="2353" spans="1:1095" s="39" customFormat="1" ht="14.25" customHeight="1">
      <c r="A2353" s="8" t="s">
        <v>1722</v>
      </c>
      <c r="B2353" s="244" t="s">
        <v>2926</v>
      </c>
      <c r="C2353" s="8"/>
      <c r="D2353" s="7"/>
      <c r="E2353" s="230"/>
      <c r="F2353" s="7"/>
      <c r="G2353" s="68"/>
      <c r="H2353" s="230"/>
      <c r="I2353" s="230"/>
      <c r="J2353" s="230"/>
      <c r="K2353" s="230"/>
      <c r="L2353" s="230"/>
      <c r="M2353" s="248"/>
      <c r="N2353" s="292"/>
      <c r="O2353" s="38"/>
      <c r="P2353" s="38"/>
      <c r="Q2353" s="38"/>
      <c r="R2353" s="38"/>
      <c r="S2353" s="38"/>
      <c r="T2353" s="38"/>
      <c r="U2353" s="38"/>
      <c r="V2353" s="38"/>
      <c r="W2353" s="38"/>
      <c r="X2353" s="38"/>
      <c r="Y2353" s="38"/>
      <c r="Z2353" s="38"/>
      <c r="AA2353" s="38"/>
      <c r="AB2353" s="38"/>
      <c r="AC2353" s="38"/>
      <c r="AD2353" s="38"/>
      <c r="AE2353" s="38"/>
      <c r="AF2353" s="38"/>
      <c r="AG2353" s="38"/>
      <c r="AH2353" s="38"/>
      <c r="AI2353" s="38"/>
      <c r="AJ2353" s="38"/>
      <c r="AK2353" s="38"/>
      <c r="AL2353" s="38"/>
      <c r="AM2353" s="38"/>
      <c r="AN2353" s="38"/>
      <c r="AO2353" s="38"/>
      <c r="AP2353" s="38"/>
      <c r="AQ2353" s="38"/>
      <c r="AR2353" s="38"/>
      <c r="AS2353" s="38"/>
      <c r="AT2353" s="38"/>
      <c r="AU2353" s="38"/>
      <c r="AV2353" s="38"/>
      <c r="AW2353" s="38"/>
      <c r="AX2353" s="38"/>
      <c r="AY2353" s="38"/>
      <c r="AZ2353" s="38"/>
      <c r="BA2353" s="38"/>
      <c r="BB2353" s="38"/>
      <c r="BC2353" s="38"/>
      <c r="BD2353" s="38"/>
      <c r="BE2353" s="38"/>
      <c r="BF2353" s="38"/>
      <c r="BG2353" s="38"/>
      <c r="BH2353" s="38"/>
      <c r="BI2353" s="38"/>
      <c r="BJ2353" s="38"/>
      <c r="BK2353" s="38"/>
      <c r="BL2353" s="38"/>
      <c r="BM2353" s="38"/>
      <c r="BN2353" s="38"/>
      <c r="BO2353" s="38"/>
      <c r="BP2353" s="38"/>
      <c r="BQ2353" s="38"/>
      <c r="BR2353" s="38"/>
      <c r="BS2353" s="38"/>
      <c r="BT2353" s="38"/>
      <c r="BU2353" s="38"/>
      <c r="BV2353" s="38"/>
      <c r="BW2353" s="38"/>
      <c r="BX2353" s="38"/>
      <c r="BY2353" s="38"/>
      <c r="BZ2353" s="38"/>
      <c r="CA2353" s="38"/>
      <c r="CB2353" s="38"/>
      <c r="CC2353" s="38"/>
      <c r="CD2353" s="38"/>
      <c r="CE2353" s="38"/>
      <c r="CF2353" s="38"/>
      <c r="CG2353" s="38"/>
      <c r="CH2353" s="38"/>
      <c r="CI2353" s="38"/>
      <c r="CJ2353" s="38"/>
      <c r="CK2353" s="38"/>
      <c r="CL2353" s="38"/>
      <c r="CM2353" s="38"/>
      <c r="CN2353" s="38"/>
      <c r="CO2353" s="38"/>
      <c r="CP2353" s="38"/>
      <c r="CQ2353" s="38"/>
      <c r="CR2353" s="38"/>
      <c r="CS2353" s="38"/>
      <c r="CT2353" s="38"/>
      <c r="CU2353" s="38"/>
      <c r="CV2353" s="38"/>
      <c r="CW2353" s="38"/>
      <c r="CX2353" s="38"/>
      <c r="CY2353" s="38"/>
      <c r="CZ2353" s="38"/>
      <c r="DA2353" s="38"/>
      <c r="DB2353" s="38"/>
      <c r="DC2353" s="38"/>
      <c r="DD2353" s="38"/>
      <c r="DE2353" s="38"/>
      <c r="DF2353" s="38"/>
      <c r="DG2353" s="38"/>
      <c r="DH2353" s="38"/>
      <c r="DI2353" s="38"/>
      <c r="DJ2353" s="38"/>
      <c r="DK2353" s="38"/>
      <c r="DL2353" s="38"/>
      <c r="DM2353" s="38"/>
      <c r="DN2353" s="38"/>
      <c r="DO2353" s="38"/>
      <c r="DP2353" s="38"/>
      <c r="DQ2353" s="38"/>
      <c r="DR2353" s="38"/>
      <c r="DS2353" s="38"/>
      <c r="DT2353" s="38"/>
      <c r="DU2353" s="38"/>
      <c r="DV2353" s="38"/>
      <c r="DW2353" s="38"/>
      <c r="DX2353" s="38"/>
      <c r="DY2353" s="38"/>
      <c r="DZ2353" s="38"/>
      <c r="EA2353" s="38"/>
      <c r="EB2353" s="38"/>
      <c r="EC2353" s="38"/>
      <c r="ED2353" s="38"/>
      <c r="EE2353" s="38"/>
      <c r="EF2353" s="38"/>
      <c r="EG2353" s="38"/>
      <c r="EH2353" s="38"/>
      <c r="EI2353" s="38"/>
      <c r="EJ2353" s="38"/>
      <c r="EK2353" s="38"/>
      <c r="EL2353" s="38"/>
      <c r="EM2353" s="38"/>
      <c r="EN2353" s="38"/>
      <c r="EO2353" s="38"/>
      <c r="EP2353" s="38"/>
      <c r="EQ2353" s="38"/>
      <c r="ER2353" s="38"/>
      <c r="ES2353" s="38"/>
      <c r="ET2353" s="38"/>
      <c r="EU2353" s="38"/>
      <c r="EV2353" s="38"/>
      <c r="EW2353" s="38"/>
      <c r="EX2353" s="38"/>
      <c r="EY2353" s="38"/>
      <c r="EZ2353" s="38"/>
      <c r="FA2353" s="38"/>
      <c r="FB2353" s="38"/>
      <c r="FC2353" s="38"/>
      <c r="FD2353" s="38"/>
      <c r="FE2353" s="38"/>
      <c r="FF2353" s="38"/>
      <c r="FG2353" s="38"/>
      <c r="FH2353" s="38"/>
      <c r="FI2353" s="38"/>
      <c r="FJ2353" s="38"/>
      <c r="FK2353" s="38"/>
      <c r="FL2353" s="38"/>
      <c r="FM2353" s="38"/>
      <c r="FN2353" s="38"/>
      <c r="FO2353" s="38"/>
      <c r="FP2353" s="38"/>
      <c r="FQ2353" s="38"/>
      <c r="FR2353" s="38"/>
      <c r="FS2353" s="38"/>
      <c r="FT2353" s="38"/>
      <c r="FU2353" s="38"/>
      <c r="FV2353" s="38"/>
      <c r="FW2353" s="38"/>
      <c r="FX2353" s="38"/>
      <c r="FY2353" s="38"/>
      <c r="FZ2353" s="38"/>
      <c r="GA2353" s="38"/>
      <c r="GB2353" s="38"/>
      <c r="GC2353" s="38"/>
      <c r="GD2353" s="38"/>
      <c r="GE2353" s="38"/>
      <c r="GF2353" s="38"/>
      <c r="GG2353" s="38"/>
      <c r="GH2353" s="38"/>
      <c r="GI2353" s="38"/>
      <c r="GJ2353" s="38"/>
      <c r="GK2353" s="38"/>
      <c r="GL2353" s="38"/>
      <c r="GM2353" s="38"/>
      <c r="GN2353" s="38"/>
      <c r="GO2353" s="38"/>
      <c r="GP2353" s="38"/>
      <c r="GQ2353" s="38"/>
      <c r="GR2353" s="38"/>
      <c r="GS2353" s="38"/>
      <c r="GT2353" s="38"/>
      <c r="GU2353" s="38"/>
      <c r="GV2353" s="38"/>
      <c r="GW2353" s="38"/>
      <c r="GX2353" s="38"/>
      <c r="GY2353" s="38"/>
      <c r="GZ2353" s="38"/>
      <c r="HA2353" s="38"/>
      <c r="HB2353" s="38"/>
      <c r="HC2353" s="38"/>
      <c r="HD2353" s="38"/>
      <c r="HE2353" s="38"/>
      <c r="HF2353" s="38"/>
      <c r="HG2353" s="38"/>
      <c r="HH2353" s="38"/>
      <c r="HI2353" s="38"/>
      <c r="HJ2353" s="38"/>
      <c r="HK2353" s="38"/>
      <c r="HL2353" s="38"/>
      <c r="HM2353" s="38"/>
      <c r="HN2353" s="38"/>
      <c r="HO2353" s="38"/>
      <c r="HP2353" s="38"/>
      <c r="HQ2353" s="38"/>
      <c r="HR2353" s="38"/>
      <c r="HS2353" s="38"/>
      <c r="HT2353" s="38"/>
      <c r="HU2353" s="38"/>
      <c r="HV2353" s="38"/>
      <c r="HW2353" s="38"/>
      <c r="HX2353" s="38"/>
      <c r="HY2353" s="38"/>
      <c r="HZ2353" s="38"/>
      <c r="IA2353" s="38"/>
      <c r="IB2353" s="38"/>
      <c r="IC2353" s="38"/>
      <c r="ID2353" s="38"/>
      <c r="IE2353" s="38"/>
      <c r="IF2353" s="38"/>
      <c r="IG2353" s="38"/>
      <c r="IH2353" s="38"/>
      <c r="II2353" s="38"/>
      <c r="IJ2353" s="38"/>
      <c r="IK2353" s="38"/>
      <c r="IL2353" s="38"/>
      <c r="IM2353" s="38"/>
      <c r="IN2353" s="38"/>
      <c r="IO2353" s="38"/>
      <c r="IP2353" s="38"/>
      <c r="IQ2353" s="38"/>
      <c r="IR2353" s="38"/>
      <c r="IS2353" s="38"/>
      <c r="IT2353" s="38"/>
      <c r="IU2353" s="38"/>
      <c r="IV2353" s="38"/>
      <c r="IW2353" s="38"/>
      <c r="IX2353" s="38"/>
      <c r="IY2353" s="38"/>
      <c r="IZ2353" s="38"/>
      <c r="JA2353" s="38"/>
      <c r="JB2353" s="38"/>
      <c r="JC2353" s="38"/>
      <c r="JD2353" s="38"/>
      <c r="JE2353" s="38"/>
      <c r="JF2353" s="38"/>
      <c r="JG2353" s="38"/>
      <c r="JH2353" s="38"/>
      <c r="JI2353" s="38"/>
      <c r="JJ2353" s="38"/>
      <c r="JK2353" s="38"/>
      <c r="JL2353" s="38"/>
      <c r="JM2353" s="38"/>
      <c r="JN2353" s="38"/>
      <c r="JO2353" s="38"/>
      <c r="JP2353" s="38"/>
      <c r="JQ2353" s="38"/>
      <c r="JR2353" s="38"/>
      <c r="JS2353" s="38"/>
      <c r="JT2353" s="38"/>
      <c r="JU2353" s="38"/>
      <c r="JV2353" s="38"/>
      <c r="JW2353" s="38"/>
      <c r="JX2353" s="38"/>
      <c r="JY2353" s="38"/>
      <c r="JZ2353" s="38"/>
      <c r="KA2353" s="38"/>
      <c r="KB2353" s="38"/>
      <c r="KC2353" s="38"/>
      <c r="KD2353" s="38"/>
      <c r="KE2353" s="38"/>
      <c r="KF2353" s="38"/>
      <c r="KG2353" s="38"/>
      <c r="KH2353" s="38"/>
      <c r="KI2353" s="38"/>
      <c r="KJ2353" s="38"/>
      <c r="KK2353" s="38"/>
      <c r="KL2353" s="38"/>
      <c r="KM2353" s="38"/>
      <c r="KN2353" s="38"/>
      <c r="KO2353" s="38"/>
      <c r="KP2353" s="38"/>
      <c r="KQ2353" s="38"/>
      <c r="KR2353" s="38"/>
      <c r="KS2353" s="38"/>
      <c r="KT2353" s="38"/>
      <c r="KU2353" s="38"/>
      <c r="KV2353" s="38"/>
      <c r="KW2353" s="38"/>
      <c r="KX2353" s="38"/>
      <c r="KY2353" s="38"/>
      <c r="KZ2353" s="38"/>
      <c r="LA2353" s="38"/>
      <c r="LB2353" s="38"/>
      <c r="LC2353" s="38"/>
      <c r="LD2353" s="38"/>
      <c r="LE2353" s="38"/>
      <c r="LF2353" s="38"/>
      <c r="LG2353" s="38"/>
      <c r="LH2353" s="38"/>
      <c r="LI2353" s="38"/>
      <c r="LJ2353" s="38"/>
      <c r="LK2353" s="38"/>
      <c r="LL2353" s="38"/>
      <c r="LM2353" s="38"/>
      <c r="LN2353" s="38"/>
      <c r="LO2353" s="38"/>
      <c r="LP2353" s="38"/>
      <c r="LQ2353" s="38"/>
      <c r="LR2353" s="38"/>
      <c r="LS2353" s="38"/>
      <c r="LT2353" s="38"/>
      <c r="LU2353" s="38"/>
      <c r="LV2353" s="38"/>
      <c r="LW2353" s="38"/>
      <c r="LX2353" s="38"/>
      <c r="LY2353" s="38"/>
      <c r="LZ2353" s="38"/>
      <c r="MA2353" s="38"/>
      <c r="MB2353" s="38"/>
      <c r="MC2353" s="38"/>
      <c r="MD2353" s="38"/>
      <c r="ME2353" s="38"/>
      <c r="MF2353" s="38"/>
      <c r="MG2353" s="38"/>
      <c r="MH2353" s="38"/>
      <c r="MI2353" s="38"/>
      <c r="MJ2353" s="38"/>
      <c r="MK2353" s="38"/>
      <c r="ML2353" s="38"/>
      <c r="MM2353" s="38"/>
      <c r="MN2353" s="38"/>
      <c r="MO2353" s="38"/>
      <c r="MP2353" s="38"/>
      <c r="MQ2353" s="38"/>
      <c r="MR2353" s="38"/>
      <c r="MS2353" s="38"/>
      <c r="MT2353" s="38"/>
      <c r="MU2353" s="38"/>
      <c r="MV2353" s="38"/>
      <c r="MW2353" s="38"/>
      <c r="MX2353" s="38"/>
      <c r="MY2353" s="38"/>
      <c r="MZ2353" s="38"/>
      <c r="NA2353" s="38"/>
      <c r="NB2353" s="38"/>
      <c r="NC2353" s="38"/>
      <c r="ND2353" s="38"/>
      <c r="NE2353" s="38"/>
      <c r="NF2353" s="38"/>
      <c r="NG2353" s="38"/>
      <c r="NH2353" s="38"/>
      <c r="NI2353" s="38"/>
      <c r="NJ2353" s="38"/>
      <c r="NK2353" s="38"/>
      <c r="NL2353" s="38"/>
      <c r="NM2353" s="38"/>
      <c r="NN2353" s="38"/>
      <c r="NO2353" s="38"/>
      <c r="NP2353" s="38"/>
      <c r="NQ2353" s="38"/>
      <c r="NR2353" s="38"/>
      <c r="NS2353" s="38"/>
      <c r="NT2353" s="38"/>
      <c r="NU2353" s="38"/>
      <c r="NV2353" s="38"/>
      <c r="NW2353" s="38"/>
      <c r="NX2353" s="38"/>
      <c r="NY2353" s="38"/>
      <c r="NZ2353" s="38"/>
      <c r="OA2353" s="38"/>
      <c r="OB2353" s="38"/>
      <c r="OC2353" s="38"/>
      <c r="OD2353" s="38"/>
      <c r="OE2353" s="38"/>
      <c r="OF2353" s="38"/>
      <c r="OG2353" s="38"/>
      <c r="OH2353" s="38"/>
      <c r="OI2353" s="38"/>
      <c r="OJ2353" s="38"/>
      <c r="OK2353" s="38"/>
      <c r="OL2353" s="38"/>
      <c r="OM2353" s="38"/>
      <c r="ON2353" s="38"/>
      <c r="OO2353" s="38"/>
      <c r="OP2353" s="38"/>
      <c r="OQ2353" s="38"/>
      <c r="OR2353" s="38"/>
      <c r="OS2353" s="38"/>
      <c r="OT2353" s="38"/>
      <c r="OU2353" s="38"/>
      <c r="OV2353" s="38"/>
      <c r="OW2353" s="38"/>
      <c r="OX2353" s="38"/>
      <c r="OY2353" s="38"/>
      <c r="OZ2353" s="38"/>
      <c r="PA2353" s="38"/>
      <c r="PB2353" s="38"/>
      <c r="PC2353" s="38"/>
      <c r="PD2353" s="38"/>
      <c r="PE2353" s="38"/>
      <c r="PF2353" s="38"/>
      <c r="PG2353" s="38"/>
      <c r="PH2353" s="38"/>
      <c r="PI2353" s="38"/>
      <c r="PJ2353" s="38"/>
      <c r="PK2353" s="38"/>
      <c r="PL2353" s="38"/>
      <c r="PM2353" s="38"/>
      <c r="PN2353" s="38"/>
      <c r="PO2353" s="38"/>
      <c r="PP2353" s="38"/>
      <c r="PQ2353" s="38"/>
      <c r="PR2353" s="38"/>
      <c r="PS2353" s="38"/>
      <c r="PT2353" s="38"/>
      <c r="PU2353" s="38"/>
      <c r="PV2353" s="38"/>
      <c r="PW2353" s="38"/>
      <c r="PX2353" s="38"/>
      <c r="PY2353" s="38"/>
      <c r="PZ2353" s="38"/>
      <c r="QA2353" s="38"/>
      <c r="QB2353" s="38"/>
      <c r="QC2353" s="38"/>
      <c r="QD2353" s="38"/>
      <c r="QE2353" s="38"/>
      <c r="QF2353" s="38"/>
      <c r="QG2353" s="38"/>
      <c r="QH2353" s="38"/>
      <c r="QI2353" s="38"/>
      <c r="QJ2353" s="38"/>
      <c r="QK2353" s="38"/>
      <c r="QL2353" s="38"/>
      <c r="QM2353" s="38"/>
      <c r="QN2353" s="38"/>
      <c r="QO2353" s="38"/>
      <c r="QP2353" s="38"/>
      <c r="QQ2353" s="38"/>
      <c r="QR2353" s="38"/>
      <c r="QS2353" s="38"/>
      <c r="QT2353" s="38"/>
      <c r="QU2353" s="38"/>
      <c r="QV2353" s="38"/>
      <c r="QW2353" s="38"/>
      <c r="QX2353" s="38"/>
      <c r="QY2353" s="38"/>
      <c r="QZ2353" s="38"/>
      <c r="RA2353" s="38"/>
      <c r="RB2353" s="38"/>
      <c r="RC2353" s="38"/>
      <c r="RD2353" s="38"/>
      <c r="RE2353" s="38"/>
      <c r="RF2353" s="38"/>
      <c r="RG2353" s="38"/>
      <c r="RH2353" s="38"/>
      <c r="RI2353" s="38"/>
      <c r="RJ2353" s="38"/>
      <c r="RK2353" s="38"/>
      <c r="RL2353" s="38"/>
      <c r="RM2353" s="38"/>
      <c r="RN2353" s="38"/>
      <c r="RO2353" s="38"/>
      <c r="RP2353" s="38"/>
      <c r="RQ2353" s="38"/>
      <c r="RR2353" s="38"/>
      <c r="RS2353" s="38"/>
      <c r="RT2353" s="38"/>
      <c r="RU2353" s="38"/>
      <c r="RV2353" s="38"/>
      <c r="RW2353" s="38"/>
      <c r="RX2353" s="38"/>
      <c r="RY2353" s="38"/>
      <c r="RZ2353" s="38"/>
      <c r="SA2353" s="38"/>
      <c r="SB2353" s="38"/>
      <c r="SC2353" s="38"/>
      <c r="SD2353" s="38"/>
      <c r="SE2353" s="38"/>
      <c r="SF2353" s="38"/>
      <c r="SG2353" s="38"/>
      <c r="SH2353" s="38"/>
      <c r="SI2353" s="38"/>
      <c r="SJ2353" s="38"/>
      <c r="SK2353" s="38"/>
      <c r="SL2353" s="38"/>
      <c r="SM2353" s="38"/>
      <c r="SN2353" s="38"/>
      <c r="SO2353" s="38"/>
      <c r="SP2353" s="38"/>
      <c r="SQ2353" s="38"/>
      <c r="SR2353" s="38"/>
      <c r="SS2353" s="38"/>
      <c r="ST2353" s="38"/>
      <c r="SU2353" s="38"/>
      <c r="SV2353" s="38"/>
      <c r="SW2353" s="38"/>
      <c r="SX2353" s="38"/>
      <c r="SY2353" s="38"/>
      <c r="SZ2353" s="38"/>
      <c r="TA2353" s="38"/>
      <c r="TB2353" s="38"/>
      <c r="TC2353" s="38"/>
      <c r="TD2353" s="38"/>
      <c r="TE2353" s="38"/>
      <c r="TF2353" s="38"/>
      <c r="TG2353" s="38"/>
      <c r="TH2353" s="38"/>
      <c r="TI2353" s="38"/>
      <c r="TJ2353" s="38"/>
      <c r="TK2353" s="38"/>
      <c r="TL2353" s="38"/>
      <c r="TM2353" s="38"/>
      <c r="TN2353" s="38"/>
      <c r="TO2353" s="38"/>
      <c r="TP2353" s="38"/>
      <c r="TQ2353" s="38"/>
      <c r="TR2353" s="38"/>
      <c r="TS2353" s="38"/>
      <c r="TT2353" s="38"/>
      <c r="TU2353" s="38"/>
      <c r="TV2353" s="38"/>
      <c r="TW2353" s="38"/>
      <c r="TX2353" s="38"/>
      <c r="TY2353" s="38"/>
      <c r="TZ2353" s="38"/>
      <c r="UA2353" s="38"/>
      <c r="UB2353" s="38"/>
      <c r="UC2353" s="38"/>
      <c r="UD2353" s="38"/>
      <c r="UE2353" s="38"/>
      <c r="UF2353" s="38"/>
      <c r="UG2353" s="38"/>
      <c r="UH2353" s="38"/>
      <c r="UI2353" s="38"/>
      <c r="UJ2353" s="38"/>
      <c r="UK2353" s="38"/>
      <c r="UL2353" s="38"/>
      <c r="UM2353" s="38"/>
      <c r="UN2353" s="38"/>
      <c r="UO2353" s="38"/>
      <c r="UP2353" s="38"/>
      <c r="UQ2353" s="38"/>
      <c r="UR2353" s="38"/>
      <c r="US2353" s="38"/>
      <c r="UT2353" s="38"/>
      <c r="UU2353" s="38"/>
      <c r="UV2353" s="38"/>
      <c r="UW2353" s="38"/>
      <c r="UX2353" s="38"/>
      <c r="UY2353" s="38"/>
      <c r="UZ2353" s="38"/>
      <c r="VA2353" s="38"/>
      <c r="VB2353" s="38"/>
      <c r="VC2353" s="38"/>
      <c r="VD2353" s="38"/>
      <c r="VE2353" s="38"/>
      <c r="VF2353" s="38"/>
      <c r="VG2353" s="38"/>
      <c r="VH2353" s="38"/>
      <c r="VI2353" s="38"/>
      <c r="VJ2353" s="38"/>
      <c r="VK2353" s="38"/>
      <c r="VL2353" s="38"/>
      <c r="VM2353" s="38"/>
      <c r="VN2353" s="38"/>
      <c r="VO2353" s="38"/>
      <c r="VP2353" s="38"/>
      <c r="VQ2353" s="38"/>
      <c r="VR2353" s="38"/>
      <c r="VS2353" s="38"/>
      <c r="VT2353" s="38"/>
      <c r="VU2353" s="38"/>
      <c r="VV2353" s="38"/>
      <c r="VW2353" s="38"/>
      <c r="VX2353" s="38"/>
      <c r="VY2353" s="38"/>
      <c r="VZ2353" s="38"/>
      <c r="WA2353" s="38"/>
      <c r="WB2353" s="38"/>
      <c r="WC2353" s="38"/>
      <c r="WD2353" s="38"/>
      <c r="WE2353" s="38"/>
      <c r="WF2353" s="38"/>
      <c r="WG2353" s="38"/>
      <c r="WH2353" s="38"/>
      <c r="WI2353" s="38"/>
      <c r="WJ2353" s="38"/>
      <c r="WK2353" s="38"/>
      <c r="WL2353" s="38"/>
      <c r="WM2353" s="38"/>
      <c r="WN2353" s="38"/>
      <c r="WO2353" s="38"/>
      <c r="WP2353" s="38"/>
      <c r="WQ2353" s="38"/>
      <c r="WR2353" s="38"/>
      <c r="WS2353" s="38"/>
      <c r="WT2353" s="38"/>
      <c r="WU2353" s="38"/>
      <c r="WV2353" s="38"/>
      <c r="WW2353" s="38"/>
      <c r="WX2353" s="38"/>
      <c r="WY2353" s="38"/>
      <c r="WZ2353" s="38"/>
      <c r="XA2353" s="38"/>
      <c r="XB2353" s="38"/>
      <c r="XC2353" s="38"/>
      <c r="XD2353" s="38"/>
      <c r="XE2353" s="38"/>
      <c r="XF2353" s="38"/>
      <c r="XG2353" s="38"/>
      <c r="XH2353" s="38"/>
      <c r="XI2353" s="38"/>
      <c r="XJ2353" s="38"/>
      <c r="XK2353" s="38"/>
      <c r="XL2353" s="38"/>
      <c r="XM2353" s="38"/>
      <c r="XN2353" s="38"/>
      <c r="XO2353" s="38"/>
      <c r="XP2353" s="38"/>
      <c r="XQ2353" s="38"/>
      <c r="XR2353" s="38"/>
      <c r="XS2353" s="38"/>
      <c r="XT2353" s="38"/>
      <c r="XU2353" s="38"/>
      <c r="XV2353" s="38"/>
      <c r="XW2353" s="38"/>
      <c r="XX2353" s="38"/>
      <c r="XY2353" s="38"/>
      <c r="XZ2353" s="38"/>
      <c r="YA2353" s="38"/>
      <c r="YB2353" s="38"/>
      <c r="YC2353" s="38"/>
      <c r="YD2353" s="38"/>
      <c r="YE2353" s="38"/>
      <c r="YF2353" s="38"/>
      <c r="YG2353" s="38"/>
      <c r="YH2353" s="38"/>
      <c r="YI2353" s="38"/>
      <c r="YJ2353" s="38"/>
      <c r="YK2353" s="38"/>
      <c r="YL2353" s="38"/>
      <c r="YM2353" s="38"/>
      <c r="YN2353" s="38"/>
      <c r="YO2353" s="38"/>
      <c r="YP2353" s="38"/>
      <c r="YQ2353" s="38"/>
      <c r="YR2353" s="38"/>
      <c r="YS2353" s="38"/>
      <c r="YT2353" s="38"/>
      <c r="YU2353" s="38"/>
      <c r="YV2353" s="38"/>
      <c r="YW2353" s="38"/>
      <c r="YX2353" s="38"/>
      <c r="YY2353" s="38"/>
      <c r="YZ2353" s="38"/>
      <c r="ZA2353" s="38"/>
      <c r="ZB2353" s="38"/>
      <c r="ZC2353" s="38"/>
      <c r="ZD2353" s="38"/>
      <c r="ZE2353" s="38"/>
      <c r="ZF2353" s="38"/>
      <c r="ZG2353" s="38"/>
      <c r="ZH2353" s="38"/>
      <c r="ZI2353" s="38"/>
      <c r="ZJ2353" s="38"/>
      <c r="ZK2353" s="38"/>
      <c r="ZL2353" s="38"/>
      <c r="ZM2353" s="38"/>
      <c r="ZN2353" s="38"/>
      <c r="ZO2353" s="38"/>
      <c r="ZP2353" s="38"/>
      <c r="ZQ2353" s="38"/>
      <c r="ZR2353" s="38"/>
      <c r="ZS2353" s="38"/>
      <c r="ZT2353" s="38"/>
      <c r="ZU2353" s="38"/>
      <c r="ZV2353" s="38"/>
      <c r="ZW2353" s="38"/>
      <c r="ZX2353" s="38"/>
      <c r="ZY2353" s="38"/>
      <c r="ZZ2353" s="38"/>
      <c r="AAA2353" s="38"/>
      <c r="AAB2353" s="38"/>
      <c r="AAC2353" s="38"/>
      <c r="AAD2353" s="38"/>
      <c r="AAE2353" s="38"/>
      <c r="AAF2353" s="38"/>
      <c r="AAG2353" s="38"/>
      <c r="AAH2353" s="38"/>
      <c r="AAI2353" s="38"/>
      <c r="AAJ2353" s="38"/>
      <c r="AAK2353" s="38"/>
      <c r="AAL2353" s="38"/>
      <c r="AAM2353" s="38"/>
      <c r="AAN2353" s="38"/>
      <c r="AAO2353" s="38"/>
      <c r="AAP2353" s="38"/>
      <c r="AAQ2353" s="38"/>
      <c r="AAR2353" s="38"/>
      <c r="AAS2353" s="38"/>
      <c r="AAT2353" s="38"/>
      <c r="AAU2353" s="38"/>
      <c r="AAV2353" s="38"/>
      <c r="AAW2353" s="38"/>
      <c r="AAX2353" s="38"/>
      <c r="AAY2353" s="38"/>
      <c r="AAZ2353" s="38"/>
      <c r="ABA2353" s="38"/>
      <c r="ABB2353" s="38"/>
      <c r="ABC2353" s="38"/>
      <c r="ABD2353" s="38"/>
      <c r="ABE2353" s="38"/>
      <c r="ABF2353" s="38"/>
      <c r="ABG2353" s="38"/>
      <c r="ABH2353" s="38"/>
      <c r="ABI2353" s="38"/>
      <c r="ABJ2353" s="38"/>
      <c r="ABK2353" s="38"/>
      <c r="ABL2353" s="38"/>
      <c r="ABM2353" s="38"/>
      <c r="ABN2353" s="38"/>
      <c r="ABO2353" s="38"/>
      <c r="ABP2353" s="38"/>
      <c r="ABQ2353" s="38"/>
      <c r="ABR2353" s="38"/>
      <c r="ABS2353" s="38"/>
      <c r="ABT2353" s="38"/>
      <c r="ABU2353" s="38"/>
      <c r="ABV2353" s="38"/>
      <c r="ABW2353" s="38"/>
      <c r="ABX2353" s="38"/>
      <c r="ABY2353" s="38"/>
      <c r="ABZ2353" s="38"/>
      <c r="ACA2353" s="38"/>
      <c r="ACB2353" s="38"/>
      <c r="ACC2353" s="38"/>
      <c r="ACD2353" s="38"/>
      <c r="ACE2353" s="38"/>
      <c r="ACF2353" s="38"/>
      <c r="ACG2353" s="38"/>
      <c r="ACH2353" s="38"/>
      <c r="ACI2353" s="38"/>
      <c r="ACJ2353" s="38"/>
      <c r="ACK2353" s="38"/>
      <c r="ACL2353" s="38"/>
      <c r="ACM2353" s="38"/>
      <c r="ACN2353" s="38"/>
      <c r="ACO2353" s="38"/>
      <c r="ACP2353" s="38"/>
      <c r="ACQ2353" s="38"/>
      <c r="ACR2353" s="38"/>
      <c r="ACS2353" s="38"/>
      <c r="ACT2353" s="38"/>
      <c r="ACU2353" s="38"/>
      <c r="ACV2353" s="38"/>
      <c r="ACW2353" s="38"/>
      <c r="ACX2353" s="38"/>
      <c r="ACY2353" s="38"/>
      <c r="ACZ2353" s="38"/>
      <c r="ADA2353" s="38"/>
      <c r="ADB2353" s="38"/>
      <c r="ADC2353" s="38"/>
      <c r="ADD2353" s="38"/>
      <c r="ADE2353" s="38"/>
      <c r="ADF2353" s="38"/>
      <c r="ADG2353" s="38"/>
      <c r="ADH2353" s="38"/>
      <c r="ADI2353" s="38"/>
      <c r="ADJ2353" s="38"/>
      <c r="ADK2353" s="38"/>
      <c r="ADL2353" s="38"/>
      <c r="ADM2353" s="38"/>
      <c r="ADN2353" s="38"/>
      <c r="ADO2353" s="38"/>
      <c r="ADP2353" s="38"/>
      <c r="ADQ2353" s="38"/>
      <c r="ADR2353" s="38"/>
      <c r="ADS2353" s="38"/>
      <c r="ADT2353" s="38"/>
      <c r="ADU2353" s="38"/>
      <c r="ADV2353" s="38"/>
      <c r="ADW2353" s="38"/>
      <c r="ADX2353" s="38"/>
      <c r="ADY2353" s="38"/>
      <c r="ADZ2353" s="38"/>
      <c r="AEA2353" s="38"/>
      <c r="AEB2353" s="38"/>
      <c r="AEC2353" s="38"/>
      <c r="AED2353" s="38"/>
      <c r="AEE2353" s="38"/>
      <c r="AEF2353" s="38"/>
      <c r="AEG2353" s="38"/>
      <c r="AEH2353" s="38"/>
      <c r="AEI2353" s="38"/>
      <c r="AEJ2353" s="38"/>
      <c r="AEK2353" s="38"/>
      <c r="AEL2353" s="38"/>
      <c r="AEM2353" s="38"/>
      <c r="AEN2353" s="38"/>
      <c r="AEO2353" s="38"/>
      <c r="AEP2353" s="38"/>
      <c r="AEQ2353" s="38"/>
      <c r="AER2353" s="38"/>
      <c r="AES2353" s="38"/>
      <c r="AET2353" s="38"/>
      <c r="AEU2353" s="38"/>
      <c r="AEV2353" s="38"/>
      <c r="AEW2353" s="38"/>
      <c r="AEX2353" s="38"/>
      <c r="AEY2353" s="38"/>
      <c r="AEZ2353" s="38"/>
      <c r="AFA2353" s="38"/>
      <c r="AFB2353" s="38"/>
      <c r="AFC2353" s="38"/>
      <c r="AFD2353" s="38"/>
      <c r="AFE2353" s="38"/>
      <c r="AFF2353" s="38"/>
      <c r="AFG2353" s="38"/>
      <c r="AFH2353" s="38"/>
      <c r="AFI2353" s="38"/>
      <c r="AFJ2353" s="38"/>
      <c r="AFK2353" s="38"/>
      <c r="AFL2353" s="38"/>
      <c r="AFM2353" s="38"/>
      <c r="AFN2353" s="38"/>
      <c r="AFO2353" s="38"/>
      <c r="AFP2353" s="38"/>
      <c r="AFQ2353" s="38"/>
      <c r="AFR2353" s="38"/>
      <c r="AFS2353" s="38"/>
      <c r="AFT2353" s="38"/>
      <c r="AFU2353" s="38"/>
      <c r="AFV2353" s="38"/>
      <c r="AFW2353" s="38"/>
      <c r="AFX2353" s="38"/>
      <c r="AFY2353" s="38"/>
      <c r="AFZ2353" s="38"/>
      <c r="AGA2353" s="38"/>
      <c r="AGB2353" s="38"/>
      <c r="AGC2353" s="38"/>
      <c r="AGD2353" s="38"/>
      <c r="AGE2353" s="38"/>
      <c r="AGF2353" s="38"/>
      <c r="AGG2353" s="38"/>
      <c r="AGH2353" s="38"/>
      <c r="AGI2353" s="38"/>
      <c r="AGJ2353" s="38"/>
      <c r="AGK2353" s="38"/>
      <c r="AGL2353" s="38"/>
      <c r="AGM2353" s="38"/>
      <c r="AGN2353" s="38"/>
      <c r="AGO2353" s="38"/>
      <c r="AGP2353" s="38"/>
      <c r="AGQ2353" s="38"/>
      <c r="AGR2353" s="38"/>
      <c r="AGS2353" s="38"/>
      <c r="AGT2353" s="38"/>
      <c r="AGU2353" s="38"/>
      <c r="AGV2353" s="38"/>
      <c r="AGW2353" s="38"/>
      <c r="AGX2353" s="38"/>
      <c r="AGY2353" s="38"/>
      <c r="AGZ2353" s="38"/>
      <c r="AHA2353" s="38"/>
      <c r="AHB2353" s="38"/>
      <c r="AHC2353" s="38"/>
      <c r="AHD2353" s="38"/>
      <c r="AHE2353" s="38"/>
      <c r="AHF2353" s="38"/>
      <c r="AHG2353" s="38"/>
      <c r="AHH2353" s="38"/>
      <c r="AHI2353" s="38"/>
      <c r="AHJ2353" s="38"/>
      <c r="AHK2353" s="38"/>
      <c r="AHL2353" s="38"/>
      <c r="AHM2353" s="38"/>
      <c r="AHN2353" s="38"/>
      <c r="AHO2353" s="38"/>
      <c r="AHP2353" s="38"/>
      <c r="AHQ2353" s="38"/>
      <c r="AHR2353" s="38"/>
      <c r="AHS2353" s="38"/>
      <c r="AHT2353" s="38"/>
      <c r="AHU2353" s="38"/>
      <c r="AHV2353" s="38"/>
      <c r="AHW2353" s="38"/>
      <c r="AHX2353" s="38"/>
      <c r="AHY2353" s="38"/>
      <c r="AHZ2353" s="38"/>
      <c r="AIA2353" s="38"/>
      <c r="AIB2353" s="38"/>
      <c r="AIC2353" s="38"/>
      <c r="AID2353" s="38"/>
      <c r="AIE2353" s="38"/>
      <c r="AIF2353" s="38"/>
      <c r="AIG2353" s="38"/>
      <c r="AIH2353" s="38"/>
      <c r="AII2353" s="38"/>
      <c r="AIJ2353" s="38"/>
      <c r="AIK2353" s="38"/>
      <c r="AIL2353" s="38"/>
      <c r="AIM2353" s="38"/>
      <c r="AIN2353" s="38"/>
      <c r="AIO2353" s="38"/>
      <c r="AIP2353" s="38"/>
      <c r="AIQ2353" s="38"/>
      <c r="AIR2353" s="38"/>
      <c r="AIS2353" s="38"/>
      <c r="AIT2353" s="38"/>
      <c r="AIU2353" s="38"/>
      <c r="AIV2353" s="38"/>
      <c r="AIW2353" s="38"/>
      <c r="AIX2353" s="38"/>
      <c r="AIY2353" s="38"/>
      <c r="AIZ2353" s="38"/>
      <c r="AJA2353" s="38"/>
      <c r="AJB2353" s="38"/>
      <c r="AJC2353" s="38"/>
      <c r="AJD2353" s="38"/>
      <c r="AJE2353" s="38"/>
      <c r="AJF2353" s="38"/>
      <c r="AJG2353" s="38"/>
      <c r="AJH2353" s="38"/>
      <c r="AJI2353" s="38"/>
      <c r="AJJ2353" s="38"/>
      <c r="AJK2353" s="38"/>
      <c r="AJL2353" s="38"/>
      <c r="AJM2353" s="38"/>
      <c r="AJN2353" s="38"/>
      <c r="AJO2353" s="38"/>
      <c r="AJP2353" s="38"/>
      <c r="AJQ2353" s="38"/>
      <c r="AJR2353" s="38"/>
      <c r="AJS2353" s="38"/>
      <c r="AJT2353" s="38"/>
      <c r="AJU2353" s="38"/>
      <c r="AJV2353" s="38"/>
      <c r="AJW2353" s="38"/>
      <c r="AJX2353" s="38"/>
      <c r="AJY2353" s="38"/>
      <c r="AJZ2353" s="38"/>
      <c r="AKA2353" s="38"/>
      <c r="AKB2353" s="38"/>
      <c r="AKC2353" s="38"/>
      <c r="AKD2353" s="38"/>
      <c r="AKE2353" s="38"/>
      <c r="AKF2353" s="38"/>
      <c r="AKG2353" s="38"/>
      <c r="AKH2353" s="38"/>
      <c r="AKI2353" s="38"/>
      <c r="AKJ2353" s="38"/>
      <c r="AKK2353" s="38"/>
      <c r="AKL2353" s="38"/>
      <c r="AKM2353" s="38"/>
      <c r="AKN2353" s="38"/>
      <c r="AKO2353" s="38"/>
      <c r="AKP2353" s="38"/>
      <c r="AKQ2353" s="38"/>
      <c r="AKR2353" s="38"/>
      <c r="AKS2353" s="38"/>
      <c r="AKT2353" s="38"/>
      <c r="AKU2353" s="38"/>
      <c r="AKV2353" s="38"/>
      <c r="AKW2353" s="38"/>
      <c r="AKX2353" s="38"/>
      <c r="AKY2353" s="38"/>
      <c r="AKZ2353" s="38"/>
      <c r="ALA2353" s="38"/>
      <c r="ALB2353" s="38"/>
      <c r="ALC2353" s="38"/>
      <c r="ALD2353" s="38"/>
      <c r="ALE2353" s="38"/>
      <c r="ALF2353" s="38"/>
      <c r="ALG2353" s="38"/>
      <c r="ALH2353" s="38"/>
      <c r="ALI2353" s="38"/>
      <c r="ALJ2353" s="38"/>
      <c r="ALK2353" s="38"/>
      <c r="ALL2353" s="38"/>
      <c r="ALM2353" s="38"/>
      <c r="ALN2353" s="38"/>
      <c r="ALO2353" s="38"/>
      <c r="ALP2353" s="38"/>
      <c r="ALQ2353" s="38"/>
      <c r="ALR2353" s="38"/>
      <c r="ALS2353" s="38"/>
      <c r="ALT2353" s="38"/>
      <c r="ALU2353" s="38"/>
      <c r="ALV2353" s="38"/>
      <c r="ALW2353" s="38"/>
      <c r="ALX2353" s="38"/>
      <c r="ALY2353" s="38"/>
      <c r="ALZ2353" s="38"/>
      <c r="AMA2353" s="38"/>
      <c r="AMB2353" s="38"/>
      <c r="AMC2353" s="38"/>
      <c r="AMD2353" s="38"/>
      <c r="AME2353" s="38"/>
      <c r="AMF2353" s="38"/>
      <c r="AMG2353" s="38"/>
      <c r="AMH2353" s="38"/>
      <c r="AMI2353" s="38"/>
      <c r="AMJ2353" s="38"/>
      <c r="AMK2353" s="38"/>
      <c r="AML2353" s="38"/>
      <c r="AMM2353" s="38"/>
      <c r="AMN2353" s="38"/>
      <c r="AMO2353" s="38"/>
      <c r="AMP2353" s="38"/>
      <c r="AMQ2353" s="38"/>
      <c r="AMR2353" s="38"/>
      <c r="AMS2353" s="38"/>
      <c r="AMT2353" s="38"/>
      <c r="AMU2353" s="38"/>
      <c r="AMV2353" s="38"/>
      <c r="AMW2353" s="38"/>
      <c r="AMX2353" s="38"/>
      <c r="AMY2353" s="38"/>
      <c r="AMZ2353" s="38"/>
      <c r="ANA2353" s="38"/>
      <c r="ANB2353" s="38"/>
      <c r="ANC2353" s="38"/>
      <c r="AND2353" s="38"/>
      <c r="ANE2353" s="38"/>
      <c r="ANF2353" s="38"/>
      <c r="ANG2353" s="38"/>
      <c r="ANH2353" s="38"/>
      <c r="ANI2353" s="38"/>
      <c r="ANJ2353" s="38"/>
      <c r="ANK2353" s="38"/>
      <c r="ANL2353" s="38"/>
      <c r="ANM2353" s="38"/>
      <c r="ANN2353" s="38"/>
      <c r="ANO2353" s="38"/>
      <c r="ANP2353" s="38"/>
      <c r="ANQ2353" s="38"/>
      <c r="ANR2353" s="38"/>
      <c r="ANS2353" s="38"/>
      <c r="ANT2353" s="38"/>
      <c r="ANU2353" s="38"/>
      <c r="ANV2353" s="38"/>
      <c r="ANW2353" s="38"/>
      <c r="ANX2353" s="38"/>
      <c r="ANY2353" s="38"/>
      <c r="ANZ2353" s="38"/>
      <c r="AOA2353" s="38"/>
      <c r="AOB2353" s="38"/>
      <c r="AOC2353" s="38"/>
      <c r="AOD2353" s="38"/>
      <c r="AOE2353" s="38"/>
      <c r="AOF2353" s="38"/>
      <c r="AOG2353" s="38"/>
      <c r="AOH2353" s="38"/>
      <c r="AOI2353" s="38"/>
      <c r="AOJ2353" s="38"/>
      <c r="AOK2353" s="38"/>
      <c r="AOL2353" s="38"/>
      <c r="AOM2353" s="38"/>
      <c r="AON2353" s="38"/>
      <c r="AOO2353" s="38"/>
      <c r="AOP2353" s="38"/>
      <c r="AOQ2353" s="38"/>
      <c r="AOR2353" s="38"/>
      <c r="AOS2353" s="38"/>
      <c r="AOT2353" s="38"/>
      <c r="AOU2353" s="38"/>
      <c r="AOV2353" s="38"/>
      <c r="AOW2353" s="38"/>
      <c r="AOX2353" s="38"/>
      <c r="AOY2353" s="38"/>
      <c r="AOZ2353" s="38"/>
      <c r="APA2353" s="38"/>
      <c r="APB2353" s="38"/>
      <c r="APC2353" s="38"/>
    </row>
    <row r="2354" spans="1:1095" s="39" customFormat="1" ht="14.25" customHeight="1">
      <c r="A2354" s="8" t="s">
        <v>1722</v>
      </c>
      <c r="B2354" s="244" t="s">
        <v>2927</v>
      </c>
      <c r="C2354" s="8"/>
      <c r="D2354" s="7"/>
      <c r="E2354" s="230"/>
      <c r="F2354" s="7"/>
      <c r="G2354" s="68"/>
      <c r="H2354" s="230"/>
      <c r="I2354" s="230"/>
      <c r="J2354" s="230"/>
      <c r="K2354" s="230"/>
      <c r="L2354" s="230"/>
      <c r="M2354" s="248"/>
      <c r="N2354" s="292"/>
      <c r="O2354" s="38"/>
      <c r="P2354" s="38"/>
      <c r="Q2354" s="38"/>
      <c r="R2354" s="38"/>
      <c r="S2354" s="38"/>
      <c r="T2354" s="38"/>
      <c r="U2354" s="38"/>
      <c r="V2354" s="38"/>
      <c r="W2354" s="38"/>
      <c r="X2354" s="38"/>
      <c r="Y2354" s="38"/>
      <c r="Z2354" s="38"/>
      <c r="AA2354" s="38"/>
      <c r="AB2354" s="38"/>
      <c r="AC2354" s="38"/>
      <c r="AD2354" s="38"/>
      <c r="AE2354" s="38"/>
      <c r="AF2354" s="38"/>
      <c r="AG2354" s="38"/>
      <c r="AH2354" s="38"/>
      <c r="AI2354" s="38"/>
      <c r="AJ2354" s="38"/>
      <c r="AK2354" s="38"/>
      <c r="AL2354" s="38"/>
      <c r="AM2354" s="38"/>
      <c r="AN2354" s="38"/>
      <c r="AO2354" s="38"/>
      <c r="AP2354" s="38"/>
      <c r="AQ2354" s="38"/>
      <c r="AR2354" s="38"/>
      <c r="AS2354" s="38"/>
      <c r="AT2354" s="38"/>
      <c r="AU2354" s="38"/>
      <c r="AV2354" s="38"/>
      <c r="AW2354" s="38"/>
      <c r="AX2354" s="38"/>
      <c r="AY2354" s="38"/>
      <c r="AZ2354" s="38"/>
      <c r="BA2354" s="38"/>
      <c r="BB2354" s="38"/>
      <c r="BC2354" s="38"/>
      <c r="BD2354" s="38"/>
      <c r="BE2354" s="38"/>
      <c r="BF2354" s="38"/>
      <c r="BG2354" s="38"/>
      <c r="BH2354" s="38"/>
      <c r="BI2354" s="38"/>
      <c r="BJ2354" s="38"/>
      <c r="BK2354" s="38"/>
      <c r="BL2354" s="38"/>
      <c r="BM2354" s="38"/>
      <c r="BN2354" s="38"/>
      <c r="BO2354" s="38"/>
      <c r="BP2354" s="38"/>
      <c r="BQ2354" s="38"/>
      <c r="BR2354" s="38"/>
      <c r="BS2354" s="38"/>
      <c r="BT2354" s="38"/>
      <c r="BU2354" s="38"/>
      <c r="BV2354" s="38"/>
      <c r="BW2354" s="38"/>
      <c r="BX2354" s="38"/>
      <c r="BY2354" s="38"/>
      <c r="BZ2354" s="38"/>
      <c r="CA2354" s="38"/>
      <c r="CB2354" s="38"/>
      <c r="CC2354" s="38"/>
      <c r="CD2354" s="38"/>
      <c r="CE2354" s="38"/>
      <c r="CF2354" s="38"/>
      <c r="CG2354" s="38"/>
      <c r="CH2354" s="38"/>
      <c r="CI2354" s="38"/>
      <c r="CJ2354" s="38"/>
      <c r="CK2354" s="38"/>
      <c r="CL2354" s="38"/>
      <c r="CM2354" s="38"/>
      <c r="CN2354" s="38"/>
      <c r="CO2354" s="38"/>
      <c r="CP2354" s="38"/>
      <c r="CQ2354" s="38"/>
      <c r="CR2354" s="38"/>
      <c r="CS2354" s="38"/>
      <c r="CT2354" s="38"/>
      <c r="CU2354" s="38"/>
      <c r="CV2354" s="38"/>
      <c r="CW2354" s="38"/>
      <c r="CX2354" s="38"/>
      <c r="CY2354" s="38"/>
      <c r="CZ2354" s="38"/>
      <c r="DA2354" s="38"/>
      <c r="DB2354" s="38"/>
      <c r="DC2354" s="38"/>
      <c r="DD2354" s="38"/>
      <c r="DE2354" s="38"/>
      <c r="DF2354" s="38"/>
      <c r="DG2354" s="38"/>
      <c r="DH2354" s="38"/>
      <c r="DI2354" s="38"/>
      <c r="DJ2354" s="38"/>
      <c r="DK2354" s="38"/>
      <c r="DL2354" s="38"/>
      <c r="DM2354" s="38"/>
      <c r="DN2354" s="38"/>
      <c r="DO2354" s="38"/>
      <c r="DP2354" s="38"/>
      <c r="DQ2354" s="38"/>
      <c r="DR2354" s="38"/>
      <c r="DS2354" s="38"/>
      <c r="DT2354" s="38"/>
      <c r="DU2354" s="38"/>
      <c r="DV2354" s="38"/>
      <c r="DW2354" s="38"/>
      <c r="DX2354" s="38"/>
      <c r="DY2354" s="38"/>
      <c r="DZ2354" s="38"/>
      <c r="EA2354" s="38"/>
      <c r="EB2354" s="38"/>
      <c r="EC2354" s="38"/>
      <c r="ED2354" s="38"/>
      <c r="EE2354" s="38"/>
      <c r="EF2354" s="38"/>
      <c r="EG2354" s="38"/>
      <c r="EH2354" s="38"/>
      <c r="EI2354" s="38"/>
      <c r="EJ2354" s="38"/>
      <c r="EK2354" s="38"/>
      <c r="EL2354" s="38"/>
      <c r="EM2354" s="38"/>
      <c r="EN2354" s="38"/>
      <c r="EO2354" s="38"/>
      <c r="EP2354" s="38"/>
      <c r="EQ2354" s="38"/>
      <c r="ER2354" s="38"/>
      <c r="ES2354" s="38"/>
      <c r="ET2354" s="38"/>
      <c r="EU2354" s="38"/>
      <c r="EV2354" s="38"/>
      <c r="EW2354" s="38"/>
      <c r="EX2354" s="38"/>
      <c r="EY2354" s="38"/>
      <c r="EZ2354" s="38"/>
      <c r="FA2354" s="38"/>
      <c r="FB2354" s="38"/>
      <c r="FC2354" s="38"/>
      <c r="FD2354" s="38"/>
      <c r="FE2354" s="38"/>
      <c r="FF2354" s="38"/>
      <c r="FG2354" s="38"/>
      <c r="FH2354" s="38"/>
      <c r="FI2354" s="38"/>
      <c r="FJ2354" s="38"/>
      <c r="FK2354" s="38"/>
      <c r="FL2354" s="38"/>
      <c r="FM2354" s="38"/>
      <c r="FN2354" s="38"/>
      <c r="FO2354" s="38"/>
      <c r="FP2354" s="38"/>
      <c r="FQ2354" s="38"/>
      <c r="FR2354" s="38"/>
      <c r="FS2354" s="38"/>
      <c r="FT2354" s="38"/>
      <c r="FU2354" s="38"/>
      <c r="FV2354" s="38"/>
      <c r="FW2354" s="38"/>
      <c r="FX2354" s="38"/>
      <c r="FY2354" s="38"/>
      <c r="FZ2354" s="38"/>
      <c r="GA2354" s="38"/>
      <c r="GB2354" s="38"/>
      <c r="GC2354" s="38"/>
      <c r="GD2354" s="38"/>
      <c r="GE2354" s="38"/>
      <c r="GF2354" s="38"/>
      <c r="GG2354" s="38"/>
      <c r="GH2354" s="38"/>
      <c r="GI2354" s="38"/>
      <c r="GJ2354" s="38"/>
      <c r="GK2354" s="38"/>
      <c r="GL2354" s="38"/>
      <c r="GM2354" s="38"/>
      <c r="GN2354" s="38"/>
      <c r="GO2354" s="38"/>
      <c r="GP2354" s="38"/>
      <c r="GQ2354" s="38"/>
      <c r="GR2354" s="38"/>
      <c r="GS2354" s="38"/>
      <c r="GT2354" s="38"/>
      <c r="GU2354" s="38"/>
      <c r="GV2354" s="38"/>
      <c r="GW2354" s="38"/>
      <c r="GX2354" s="38"/>
      <c r="GY2354" s="38"/>
      <c r="GZ2354" s="38"/>
      <c r="HA2354" s="38"/>
      <c r="HB2354" s="38"/>
      <c r="HC2354" s="38"/>
      <c r="HD2354" s="38"/>
      <c r="HE2354" s="38"/>
      <c r="HF2354" s="38"/>
      <c r="HG2354" s="38"/>
      <c r="HH2354" s="38"/>
      <c r="HI2354" s="38"/>
      <c r="HJ2354" s="38"/>
      <c r="HK2354" s="38"/>
      <c r="HL2354" s="38"/>
      <c r="HM2354" s="38"/>
      <c r="HN2354" s="38"/>
      <c r="HO2354" s="38"/>
      <c r="HP2354" s="38"/>
      <c r="HQ2354" s="38"/>
      <c r="HR2354" s="38"/>
      <c r="HS2354" s="38"/>
      <c r="HT2354" s="38"/>
      <c r="HU2354" s="38"/>
      <c r="HV2354" s="38"/>
      <c r="HW2354" s="38"/>
      <c r="HX2354" s="38"/>
      <c r="HY2354" s="38"/>
      <c r="HZ2354" s="38"/>
      <c r="IA2354" s="38"/>
      <c r="IB2354" s="38"/>
      <c r="IC2354" s="38"/>
      <c r="ID2354" s="38"/>
      <c r="IE2354" s="38"/>
      <c r="IF2354" s="38"/>
      <c r="IG2354" s="38"/>
      <c r="IH2354" s="38"/>
      <c r="II2354" s="38"/>
      <c r="IJ2354" s="38"/>
      <c r="IK2354" s="38"/>
      <c r="IL2354" s="38"/>
      <c r="IM2354" s="38"/>
      <c r="IN2354" s="38"/>
      <c r="IO2354" s="38"/>
      <c r="IP2354" s="38"/>
      <c r="IQ2354" s="38"/>
      <c r="IR2354" s="38"/>
      <c r="IS2354" s="38"/>
      <c r="IT2354" s="38"/>
      <c r="IU2354" s="38"/>
      <c r="IV2354" s="38"/>
      <c r="IW2354" s="38"/>
      <c r="IX2354" s="38"/>
      <c r="IY2354" s="38"/>
      <c r="IZ2354" s="38"/>
      <c r="JA2354" s="38"/>
      <c r="JB2354" s="38"/>
      <c r="JC2354" s="38"/>
      <c r="JD2354" s="38"/>
      <c r="JE2354" s="38"/>
      <c r="JF2354" s="38"/>
      <c r="JG2354" s="38"/>
      <c r="JH2354" s="38"/>
      <c r="JI2354" s="38"/>
      <c r="JJ2354" s="38"/>
      <c r="JK2354" s="38"/>
      <c r="JL2354" s="38"/>
      <c r="JM2354" s="38"/>
      <c r="JN2354" s="38"/>
      <c r="JO2354" s="38"/>
      <c r="JP2354" s="38"/>
      <c r="JQ2354" s="38"/>
      <c r="JR2354" s="38"/>
      <c r="JS2354" s="38"/>
      <c r="JT2354" s="38"/>
      <c r="JU2354" s="38"/>
      <c r="JV2354" s="38"/>
      <c r="JW2354" s="38"/>
      <c r="JX2354" s="38"/>
      <c r="JY2354" s="38"/>
      <c r="JZ2354" s="38"/>
      <c r="KA2354" s="38"/>
      <c r="KB2354" s="38"/>
      <c r="KC2354" s="38"/>
      <c r="KD2354" s="38"/>
      <c r="KE2354" s="38"/>
      <c r="KF2354" s="38"/>
      <c r="KG2354" s="38"/>
      <c r="KH2354" s="38"/>
      <c r="KI2354" s="38"/>
      <c r="KJ2354" s="38"/>
      <c r="KK2354" s="38"/>
      <c r="KL2354" s="38"/>
      <c r="KM2354" s="38"/>
      <c r="KN2354" s="38"/>
      <c r="KO2354" s="38"/>
      <c r="KP2354" s="38"/>
      <c r="KQ2354" s="38"/>
      <c r="KR2354" s="38"/>
      <c r="KS2354" s="38"/>
      <c r="KT2354" s="38"/>
      <c r="KU2354" s="38"/>
      <c r="KV2354" s="38"/>
      <c r="KW2354" s="38"/>
      <c r="KX2354" s="38"/>
      <c r="KY2354" s="38"/>
      <c r="KZ2354" s="38"/>
      <c r="LA2354" s="38"/>
      <c r="LB2354" s="38"/>
      <c r="LC2354" s="38"/>
      <c r="LD2354" s="38"/>
      <c r="LE2354" s="38"/>
      <c r="LF2354" s="38"/>
      <c r="LG2354" s="38"/>
      <c r="LH2354" s="38"/>
      <c r="LI2354" s="38"/>
      <c r="LJ2354" s="38"/>
      <c r="LK2354" s="38"/>
      <c r="LL2354" s="38"/>
      <c r="LM2354" s="38"/>
      <c r="LN2354" s="38"/>
      <c r="LO2354" s="38"/>
      <c r="LP2354" s="38"/>
      <c r="LQ2354" s="38"/>
      <c r="LR2354" s="38"/>
      <c r="LS2354" s="38"/>
      <c r="LT2354" s="38"/>
      <c r="LU2354" s="38"/>
      <c r="LV2354" s="38"/>
      <c r="LW2354" s="38"/>
      <c r="LX2354" s="38"/>
      <c r="LY2354" s="38"/>
      <c r="LZ2354" s="38"/>
      <c r="MA2354" s="38"/>
      <c r="MB2354" s="38"/>
      <c r="MC2354" s="38"/>
      <c r="MD2354" s="38"/>
      <c r="ME2354" s="38"/>
      <c r="MF2354" s="38"/>
      <c r="MG2354" s="38"/>
      <c r="MH2354" s="38"/>
      <c r="MI2354" s="38"/>
      <c r="MJ2354" s="38"/>
      <c r="MK2354" s="38"/>
      <c r="ML2354" s="38"/>
      <c r="MM2354" s="38"/>
      <c r="MN2354" s="38"/>
      <c r="MO2354" s="38"/>
      <c r="MP2354" s="38"/>
      <c r="MQ2354" s="38"/>
      <c r="MR2354" s="38"/>
      <c r="MS2354" s="38"/>
      <c r="MT2354" s="38"/>
      <c r="MU2354" s="38"/>
      <c r="MV2354" s="38"/>
      <c r="MW2354" s="38"/>
      <c r="MX2354" s="38"/>
      <c r="MY2354" s="38"/>
      <c r="MZ2354" s="38"/>
      <c r="NA2354" s="38"/>
      <c r="NB2354" s="38"/>
      <c r="NC2354" s="38"/>
      <c r="ND2354" s="38"/>
      <c r="NE2354" s="38"/>
      <c r="NF2354" s="38"/>
      <c r="NG2354" s="38"/>
      <c r="NH2354" s="38"/>
      <c r="NI2354" s="38"/>
      <c r="NJ2354" s="38"/>
      <c r="NK2354" s="38"/>
      <c r="NL2354" s="38"/>
      <c r="NM2354" s="38"/>
      <c r="NN2354" s="38"/>
      <c r="NO2354" s="38"/>
      <c r="NP2354" s="38"/>
      <c r="NQ2354" s="38"/>
      <c r="NR2354" s="38"/>
      <c r="NS2354" s="38"/>
      <c r="NT2354" s="38"/>
      <c r="NU2354" s="38"/>
      <c r="NV2354" s="38"/>
      <c r="NW2354" s="38"/>
      <c r="NX2354" s="38"/>
      <c r="NY2354" s="38"/>
      <c r="NZ2354" s="38"/>
      <c r="OA2354" s="38"/>
      <c r="OB2354" s="38"/>
      <c r="OC2354" s="38"/>
      <c r="OD2354" s="38"/>
      <c r="OE2354" s="38"/>
      <c r="OF2354" s="38"/>
      <c r="OG2354" s="38"/>
      <c r="OH2354" s="38"/>
      <c r="OI2354" s="38"/>
      <c r="OJ2354" s="38"/>
      <c r="OK2354" s="38"/>
      <c r="OL2354" s="38"/>
      <c r="OM2354" s="38"/>
      <c r="ON2354" s="38"/>
      <c r="OO2354" s="38"/>
      <c r="OP2354" s="38"/>
      <c r="OQ2354" s="38"/>
      <c r="OR2354" s="38"/>
      <c r="OS2354" s="38"/>
      <c r="OT2354" s="38"/>
      <c r="OU2354" s="38"/>
      <c r="OV2354" s="38"/>
      <c r="OW2354" s="38"/>
      <c r="OX2354" s="38"/>
      <c r="OY2354" s="38"/>
      <c r="OZ2354" s="38"/>
      <c r="PA2354" s="38"/>
      <c r="PB2354" s="38"/>
      <c r="PC2354" s="38"/>
      <c r="PD2354" s="38"/>
      <c r="PE2354" s="38"/>
      <c r="PF2354" s="38"/>
      <c r="PG2354" s="38"/>
      <c r="PH2354" s="38"/>
      <c r="PI2354" s="38"/>
      <c r="PJ2354" s="38"/>
      <c r="PK2354" s="38"/>
      <c r="PL2354" s="38"/>
      <c r="PM2354" s="38"/>
      <c r="PN2354" s="38"/>
      <c r="PO2354" s="38"/>
      <c r="PP2354" s="38"/>
      <c r="PQ2354" s="38"/>
      <c r="PR2354" s="38"/>
      <c r="PS2354" s="38"/>
      <c r="PT2354" s="38"/>
      <c r="PU2354" s="38"/>
      <c r="PV2354" s="38"/>
      <c r="PW2354" s="38"/>
      <c r="PX2354" s="38"/>
      <c r="PY2354" s="38"/>
      <c r="PZ2354" s="38"/>
      <c r="QA2354" s="38"/>
      <c r="QB2354" s="38"/>
      <c r="QC2354" s="38"/>
      <c r="QD2354" s="38"/>
      <c r="QE2354" s="38"/>
      <c r="QF2354" s="38"/>
      <c r="QG2354" s="38"/>
      <c r="QH2354" s="38"/>
      <c r="QI2354" s="38"/>
      <c r="QJ2354" s="38"/>
      <c r="QK2354" s="38"/>
      <c r="QL2354" s="38"/>
      <c r="QM2354" s="38"/>
      <c r="QN2354" s="38"/>
      <c r="QO2354" s="38"/>
      <c r="QP2354" s="38"/>
      <c r="QQ2354" s="38"/>
      <c r="QR2354" s="38"/>
      <c r="QS2354" s="38"/>
      <c r="QT2354" s="38"/>
      <c r="QU2354" s="38"/>
      <c r="QV2354" s="38"/>
      <c r="QW2354" s="38"/>
      <c r="QX2354" s="38"/>
      <c r="QY2354" s="38"/>
      <c r="QZ2354" s="38"/>
      <c r="RA2354" s="38"/>
      <c r="RB2354" s="38"/>
      <c r="RC2354" s="38"/>
      <c r="RD2354" s="38"/>
      <c r="RE2354" s="38"/>
      <c r="RF2354" s="38"/>
      <c r="RG2354" s="38"/>
      <c r="RH2354" s="38"/>
      <c r="RI2354" s="38"/>
      <c r="RJ2354" s="38"/>
      <c r="RK2354" s="38"/>
      <c r="RL2354" s="38"/>
      <c r="RM2354" s="38"/>
      <c r="RN2354" s="38"/>
      <c r="RO2354" s="38"/>
      <c r="RP2354" s="38"/>
      <c r="RQ2354" s="38"/>
      <c r="RR2354" s="38"/>
      <c r="RS2354" s="38"/>
      <c r="RT2354" s="38"/>
      <c r="RU2354" s="38"/>
      <c r="RV2354" s="38"/>
      <c r="RW2354" s="38"/>
      <c r="RX2354" s="38"/>
      <c r="RY2354" s="38"/>
      <c r="RZ2354" s="38"/>
      <c r="SA2354" s="38"/>
      <c r="SB2354" s="38"/>
      <c r="SC2354" s="38"/>
      <c r="SD2354" s="38"/>
      <c r="SE2354" s="38"/>
      <c r="SF2354" s="38"/>
      <c r="SG2354" s="38"/>
      <c r="SH2354" s="38"/>
      <c r="SI2354" s="38"/>
      <c r="SJ2354" s="38"/>
      <c r="SK2354" s="38"/>
      <c r="SL2354" s="38"/>
      <c r="SM2354" s="38"/>
      <c r="SN2354" s="38"/>
      <c r="SO2354" s="38"/>
      <c r="SP2354" s="38"/>
      <c r="SQ2354" s="38"/>
      <c r="SR2354" s="38"/>
      <c r="SS2354" s="38"/>
      <c r="ST2354" s="38"/>
      <c r="SU2354" s="38"/>
      <c r="SV2354" s="38"/>
      <c r="SW2354" s="38"/>
      <c r="SX2354" s="38"/>
      <c r="SY2354" s="38"/>
      <c r="SZ2354" s="38"/>
      <c r="TA2354" s="38"/>
      <c r="TB2354" s="38"/>
      <c r="TC2354" s="38"/>
      <c r="TD2354" s="38"/>
      <c r="TE2354" s="38"/>
      <c r="TF2354" s="38"/>
      <c r="TG2354" s="38"/>
      <c r="TH2354" s="38"/>
      <c r="TI2354" s="38"/>
      <c r="TJ2354" s="38"/>
      <c r="TK2354" s="38"/>
      <c r="TL2354" s="38"/>
      <c r="TM2354" s="38"/>
      <c r="TN2354" s="38"/>
      <c r="TO2354" s="38"/>
      <c r="TP2354" s="38"/>
      <c r="TQ2354" s="38"/>
      <c r="TR2354" s="38"/>
      <c r="TS2354" s="38"/>
      <c r="TT2354" s="38"/>
      <c r="TU2354" s="38"/>
      <c r="TV2354" s="38"/>
      <c r="TW2354" s="38"/>
      <c r="TX2354" s="38"/>
      <c r="TY2354" s="38"/>
      <c r="TZ2354" s="38"/>
      <c r="UA2354" s="38"/>
      <c r="UB2354" s="38"/>
      <c r="UC2354" s="38"/>
      <c r="UD2354" s="38"/>
      <c r="UE2354" s="38"/>
      <c r="UF2354" s="38"/>
      <c r="UG2354" s="38"/>
      <c r="UH2354" s="38"/>
      <c r="UI2354" s="38"/>
      <c r="UJ2354" s="38"/>
      <c r="UK2354" s="38"/>
      <c r="UL2354" s="38"/>
      <c r="UM2354" s="38"/>
      <c r="UN2354" s="38"/>
      <c r="UO2354" s="38"/>
      <c r="UP2354" s="38"/>
      <c r="UQ2354" s="38"/>
      <c r="UR2354" s="38"/>
      <c r="US2354" s="38"/>
      <c r="UT2354" s="38"/>
      <c r="UU2354" s="38"/>
      <c r="UV2354" s="38"/>
      <c r="UW2354" s="38"/>
      <c r="UX2354" s="38"/>
      <c r="UY2354" s="38"/>
      <c r="UZ2354" s="38"/>
      <c r="VA2354" s="38"/>
      <c r="VB2354" s="38"/>
      <c r="VC2354" s="38"/>
      <c r="VD2354" s="38"/>
      <c r="VE2354" s="38"/>
      <c r="VF2354" s="38"/>
      <c r="VG2354" s="38"/>
      <c r="VH2354" s="38"/>
      <c r="VI2354" s="38"/>
      <c r="VJ2354" s="38"/>
      <c r="VK2354" s="38"/>
      <c r="VL2354" s="38"/>
      <c r="VM2354" s="38"/>
      <c r="VN2354" s="38"/>
      <c r="VO2354" s="38"/>
      <c r="VP2354" s="38"/>
      <c r="VQ2354" s="38"/>
      <c r="VR2354" s="38"/>
      <c r="VS2354" s="38"/>
      <c r="VT2354" s="38"/>
      <c r="VU2354" s="38"/>
      <c r="VV2354" s="38"/>
      <c r="VW2354" s="38"/>
      <c r="VX2354" s="38"/>
      <c r="VY2354" s="38"/>
      <c r="VZ2354" s="38"/>
      <c r="WA2354" s="38"/>
      <c r="WB2354" s="38"/>
      <c r="WC2354" s="38"/>
      <c r="WD2354" s="38"/>
      <c r="WE2354" s="38"/>
      <c r="WF2354" s="38"/>
      <c r="WG2354" s="38"/>
      <c r="WH2354" s="38"/>
      <c r="WI2354" s="38"/>
      <c r="WJ2354" s="38"/>
      <c r="WK2354" s="38"/>
      <c r="WL2354" s="38"/>
      <c r="WM2354" s="38"/>
      <c r="WN2354" s="38"/>
      <c r="WO2354" s="38"/>
      <c r="WP2354" s="38"/>
      <c r="WQ2354" s="38"/>
      <c r="WR2354" s="38"/>
      <c r="WS2354" s="38"/>
      <c r="WT2354" s="38"/>
      <c r="WU2354" s="38"/>
      <c r="WV2354" s="38"/>
      <c r="WW2354" s="38"/>
      <c r="WX2354" s="38"/>
      <c r="WY2354" s="38"/>
      <c r="WZ2354" s="38"/>
      <c r="XA2354" s="38"/>
      <c r="XB2354" s="38"/>
      <c r="XC2354" s="38"/>
      <c r="XD2354" s="38"/>
      <c r="XE2354" s="38"/>
      <c r="XF2354" s="38"/>
      <c r="XG2354" s="38"/>
      <c r="XH2354" s="38"/>
      <c r="XI2354" s="38"/>
      <c r="XJ2354" s="38"/>
      <c r="XK2354" s="38"/>
      <c r="XL2354" s="38"/>
      <c r="XM2354" s="38"/>
      <c r="XN2354" s="38"/>
      <c r="XO2354" s="38"/>
      <c r="XP2354" s="38"/>
      <c r="XQ2354" s="38"/>
      <c r="XR2354" s="38"/>
      <c r="XS2354" s="38"/>
      <c r="XT2354" s="38"/>
      <c r="XU2354" s="38"/>
      <c r="XV2354" s="38"/>
      <c r="XW2354" s="38"/>
      <c r="XX2354" s="38"/>
      <c r="XY2354" s="38"/>
      <c r="XZ2354" s="38"/>
      <c r="YA2354" s="38"/>
      <c r="YB2354" s="38"/>
      <c r="YC2354" s="38"/>
      <c r="YD2354" s="38"/>
      <c r="YE2354" s="38"/>
      <c r="YF2354" s="38"/>
      <c r="YG2354" s="38"/>
      <c r="YH2354" s="38"/>
      <c r="YI2354" s="38"/>
      <c r="YJ2354" s="38"/>
      <c r="YK2354" s="38"/>
      <c r="YL2354" s="38"/>
      <c r="YM2354" s="38"/>
      <c r="YN2354" s="38"/>
      <c r="YO2354" s="38"/>
      <c r="YP2354" s="38"/>
      <c r="YQ2354" s="38"/>
      <c r="YR2354" s="38"/>
      <c r="YS2354" s="38"/>
      <c r="YT2354" s="38"/>
      <c r="YU2354" s="38"/>
      <c r="YV2354" s="38"/>
      <c r="YW2354" s="38"/>
      <c r="YX2354" s="38"/>
      <c r="YY2354" s="38"/>
      <c r="YZ2354" s="38"/>
      <c r="ZA2354" s="38"/>
      <c r="ZB2354" s="38"/>
      <c r="ZC2354" s="38"/>
      <c r="ZD2354" s="38"/>
      <c r="ZE2354" s="38"/>
      <c r="ZF2354" s="38"/>
      <c r="ZG2354" s="38"/>
      <c r="ZH2354" s="38"/>
      <c r="ZI2354" s="38"/>
      <c r="ZJ2354" s="38"/>
      <c r="ZK2354" s="38"/>
      <c r="ZL2354" s="38"/>
      <c r="ZM2354" s="38"/>
      <c r="ZN2354" s="38"/>
      <c r="ZO2354" s="38"/>
      <c r="ZP2354" s="38"/>
      <c r="ZQ2354" s="38"/>
      <c r="ZR2354" s="38"/>
      <c r="ZS2354" s="38"/>
      <c r="ZT2354" s="38"/>
      <c r="ZU2354" s="38"/>
      <c r="ZV2354" s="38"/>
      <c r="ZW2354" s="38"/>
      <c r="ZX2354" s="38"/>
      <c r="ZY2354" s="38"/>
      <c r="ZZ2354" s="38"/>
      <c r="AAA2354" s="38"/>
      <c r="AAB2354" s="38"/>
      <c r="AAC2354" s="38"/>
      <c r="AAD2354" s="38"/>
      <c r="AAE2354" s="38"/>
      <c r="AAF2354" s="38"/>
      <c r="AAG2354" s="38"/>
      <c r="AAH2354" s="38"/>
      <c r="AAI2354" s="38"/>
      <c r="AAJ2354" s="38"/>
      <c r="AAK2354" s="38"/>
      <c r="AAL2354" s="38"/>
      <c r="AAM2354" s="38"/>
      <c r="AAN2354" s="38"/>
      <c r="AAO2354" s="38"/>
      <c r="AAP2354" s="38"/>
      <c r="AAQ2354" s="38"/>
      <c r="AAR2354" s="38"/>
      <c r="AAS2354" s="38"/>
      <c r="AAT2354" s="38"/>
      <c r="AAU2354" s="38"/>
      <c r="AAV2354" s="38"/>
      <c r="AAW2354" s="38"/>
      <c r="AAX2354" s="38"/>
      <c r="AAY2354" s="38"/>
      <c r="AAZ2354" s="38"/>
      <c r="ABA2354" s="38"/>
      <c r="ABB2354" s="38"/>
      <c r="ABC2354" s="38"/>
      <c r="ABD2354" s="38"/>
      <c r="ABE2354" s="38"/>
      <c r="ABF2354" s="38"/>
      <c r="ABG2354" s="38"/>
      <c r="ABH2354" s="38"/>
      <c r="ABI2354" s="38"/>
      <c r="ABJ2354" s="38"/>
      <c r="ABK2354" s="38"/>
      <c r="ABL2354" s="38"/>
      <c r="ABM2354" s="38"/>
      <c r="ABN2354" s="38"/>
      <c r="ABO2354" s="38"/>
      <c r="ABP2354" s="38"/>
      <c r="ABQ2354" s="38"/>
      <c r="ABR2354" s="38"/>
      <c r="ABS2354" s="38"/>
      <c r="ABT2354" s="38"/>
      <c r="ABU2354" s="38"/>
      <c r="ABV2354" s="38"/>
      <c r="ABW2354" s="38"/>
      <c r="ABX2354" s="38"/>
      <c r="ABY2354" s="38"/>
      <c r="ABZ2354" s="38"/>
      <c r="ACA2354" s="38"/>
      <c r="ACB2354" s="38"/>
      <c r="ACC2354" s="38"/>
      <c r="ACD2354" s="38"/>
      <c r="ACE2354" s="38"/>
      <c r="ACF2354" s="38"/>
      <c r="ACG2354" s="38"/>
      <c r="ACH2354" s="38"/>
      <c r="ACI2354" s="38"/>
      <c r="ACJ2354" s="38"/>
      <c r="ACK2354" s="38"/>
      <c r="ACL2354" s="38"/>
      <c r="ACM2354" s="38"/>
      <c r="ACN2354" s="38"/>
      <c r="ACO2354" s="38"/>
      <c r="ACP2354" s="38"/>
      <c r="ACQ2354" s="38"/>
      <c r="ACR2354" s="38"/>
      <c r="ACS2354" s="38"/>
      <c r="ACT2354" s="38"/>
      <c r="ACU2354" s="38"/>
      <c r="ACV2354" s="38"/>
      <c r="ACW2354" s="38"/>
      <c r="ACX2354" s="38"/>
      <c r="ACY2354" s="38"/>
      <c r="ACZ2354" s="38"/>
      <c r="ADA2354" s="38"/>
      <c r="ADB2354" s="38"/>
      <c r="ADC2354" s="38"/>
      <c r="ADD2354" s="38"/>
      <c r="ADE2354" s="38"/>
      <c r="ADF2354" s="38"/>
      <c r="ADG2354" s="38"/>
      <c r="ADH2354" s="38"/>
      <c r="ADI2354" s="38"/>
      <c r="ADJ2354" s="38"/>
      <c r="ADK2354" s="38"/>
      <c r="ADL2354" s="38"/>
      <c r="ADM2354" s="38"/>
      <c r="ADN2354" s="38"/>
      <c r="ADO2354" s="38"/>
      <c r="ADP2354" s="38"/>
      <c r="ADQ2354" s="38"/>
      <c r="ADR2354" s="38"/>
      <c r="ADS2354" s="38"/>
      <c r="ADT2354" s="38"/>
      <c r="ADU2354" s="38"/>
      <c r="ADV2354" s="38"/>
      <c r="ADW2354" s="38"/>
      <c r="ADX2354" s="38"/>
      <c r="ADY2354" s="38"/>
      <c r="ADZ2354" s="38"/>
      <c r="AEA2354" s="38"/>
      <c r="AEB2354" s="38"/>
      <c r="AEC2354" s="38"/>
      <c r="AED2354" s="38"/>
      <c r="AEE2354" s="38"/>
      <c r="AEF2354" s="38"/>
      <c r="AEG2354" s="38"/>
      <c r="AEH2354" s="38"/>
      <c r="AEI2354" s="38"/>
      <c r="AEJ2354" s="38"/>
      <c r="AEK2354" s="38"/>
      <c r="AEL2354" s="38"/>
      <c r="AEM2354" s="38"/>
      <c r="AEN2354" s="38"/>
      <c r="AEO2354" s="38"/>
      <c r="AEP2354" s="38"/>
      <c r="AEQ2354" s="38"/>
      <c r="AER2354" s="38"/>
      <c r="AES2354" s="38"/>
      <c r="AET2354" s="38"/>
      <c r="AEU2354" s="38"/>
      <c r="AEV2354" s="38"/>
      <c r="AEW2354" s="38"/>
      <c r="AEX2354" s="38"/>
      <c r="AEY2354" s="38"/>
      <c r="AEZ2354" s="38"/>
      <c r="AFA2354" s="38"/>
      <c r="AFB2354" s="38"/>
      <c r="AFC2354" s="38"/>
      <c r="AFD2354" s="38"/>
      <c r="AFE2354" s="38"/>
      <c r="AFF2354" s="38"/>
      <c r="AFG2354" s="38"/>
      <c r="AFH2354" s="38"/>
      <c r="AFI2354" s="38"/>
      <c r="AFJ2354" s="38"/>
      <c r="AFK2354" s="38"/>
      <c r="AFL2354" s="38"/>
      <c r="AFM2354" s="38"/>
      <c r="AFN2354" s="38"/>
      <c r="AFO2354" s="38"/>
      <c r="AFP2354" s="38"/>
      <c r="AFQ2354" s="38"/>
      <c r="AFR2354" s="38"/>
      <c r="AFS2354" s="38"/>
      <c r="AFT2354" s="38"/>
      <c r="AFU2354" s="38"/>
      <c r="AFV2354" s="38"/>
      <c r="AFW2354" s="38"/>
      <c r="AFX2354" s="38"/>
      <c r="AFY2354" s="38"/>
      <c r="AFZ2354" s="38"/>
      <c r="AGA2354" s="38"/>
      <c r="AGB2354" s="38"/>
      <c r="AGC2354" s="38"/>
      <c r="AGD2354" s="38"/>
      <c r="AGE2354" s="38"/>
      <c r="AGF2354" s="38"/>
      <c r="AGG2354" s="38"/>
      <c r="AGH2354" s="38"/>
      <c r="AGI2354" s="38"/>
      <c r="AGJ2354" s="38"/>
      <c r="AGK2354" s="38"/>
      <c r="AGL2354" s="38"/>
      <c r="AGM2354" s="38"/>
      <c r="AGN2354" s="38"/>
      <c r="AGO2354" s="38"/>
      <c r="AGP2354" s="38"/>
      <c r="AGQ2354" s="38"/>
      <c r="AGR2354" s="38"/>
      <c r="AGS2354" s="38"/>
      <c r="AGT2354" s="38"/>
      <c r="AGU2354" s="38"/>
      <c r="AGV2354" s="38"/>
      <c r="AGW2354" s="38"/>
      <c r="AGX2354" s="38"/>
      <c r="AGY2354" s="38"/>
      <c r="AGZ2354" s="38"/>
      <c r="AHA2354" s="38"/>
      <c r="AHB2354" s="38"/>
      <c r="AHC2354" s="38"/>
      <c r="AHD2354" s="38"/>
      <c r="AHE2354" s="38"/>
      <c r="AHF2354" s="38"/>
      <c r="AHG2354" s="38"/>
      <c r="AHH2354" s="38"/>
      <c r="AHI2354" s="38"/>
      <c r="AHJ2354" s="38"/>
      <c r="AHK2354" s="38"/>
      <c r="AHL2354" s="38"/>
      <c r="AHM2354" s="38"/>
      <c r="AHN2354" s="38"/>
      <c r="AHO2354" s="38"/>
      <c r="AHP2354" s="38"/>
      <c r="AHQ2354" s="38"/>
      <c r="AHR2354" s="38"/>
      <c r="AHS2354" s="38"/>
      <c r="AHT2354" s="38"/>
      <c r="AHU2354" s="38"/>
      <c r="AHV2354" s="38"/>
      <c r="AHW2354" s="38"/>
      <c r="AHX2354" s="38"/>
      <c r="AHY2354" s="38"/>
      <c r="AHZ2354" s="38"/>
      <c r="AIA2354" s="38"/>
      <c r="AIB2354" s="38"/>
      <c r="AIC2354" s="38"/>
      <c r="AID2354" s="38"/>
      <c r="AIE2354" s="38"/>
      <c r="AIF2354" s="38"/>
      <c r="AIG2354" s="38"/>
      <c r="AIH2354" s="38"/>
      <c r="AII2354" s="38"/>
      <c r="AIJ2354" s="38"/>
      <c r="AIK2354" s="38"/>
      <c r="AIL2354" s="38"/>
      <c r="AIM2354" s="38"/>
      <c r="AIN2354" s="38"/>
      <c r="AIO2354" s="38"/>
      <c r="AIP2354" s="38"/>
      <c r="AIQ2354" s="38"/>
      <c r="AIR2354" s="38"/>
      <c r="AIS2354" s="38"/>
      <c r="AIT2354" s="38"/>
      <c r="AIU2354" s="38"/>
      <c r="AIV2354" s="38"/>
      <c r="AIW2354" s="38"/>
      <c r="AIX2354" s="38"/>
      <c r="AIY2354" s="38"/>
      <c r="AIZ2354" s="38"/>
      <c r="AJA2354" s="38"/>
      <c r="AJB2354" s="38"/>
      <c r="AJC2354" s="38"/>
      <c r="AJD2354" s="38"/>
      <c r="AJE2354" s="38"/>
      <c r="AJF2354" s="38"/>
      <c r="AJG2354" s="38"/>
      <c r="AJH2354" s="38"/>
      <c r="AJI2354" s="38"/>
      <c r="AJJ2354" s="38"/>
      <c r="AJK2354" s="38"/>
      <c r="AJL2354" s="38"/>
      <c r="AJM2354" s="38"/>
      <c r="AJN2354" s="38"/>
      <c r="AJO2354" s="38"/>
      <c r="AJP2354" s="38"/>
      <c r="AJQ2354" s="38"/>
      <c r="AJR2354" s="38"/>
      <c r="AJS2354" s="38"/>
      <c r="AJT2354" s="38"/>
      <c r="AJU2354" s="38"/>
      <c r="AJV2354" s="38"/>
      <c r="AJW2354" s="38"/>
      <c r="AJX2354" s="38"/>
      <c r="AJY2354" s="38"/>
      <c r="AJZ2354" s="38"/>
      <c r="AKA2354" s="38"/>
      <c r="AKB2354" s="38"/>
      <c r="AKC2354" s="38"/>
      <c r="AKD2354" s="38"/>
      <c r="AKE2354" s="38"/>
      <c r="AKF2354" s="38"/>
      <c r="AKG2354" s="38"/>
      <c r="AKH2354" s="38"/>
      <c r="AKI2354" s="38"/>
      <c r="AKJ2354" s="38"/>
      <c r="AKK2354" s="38"/>
      <c r="AKL2354" s="38"/>
      <c r="AKM2354" s="38"/>
      <c r="AKN2354" s="38"/>
      <c r="AKO2354" s="38"/>
      <c r="AKP2354" s="38"/>
      <c r="AKQ2354" s="38"/>
      <c r="AKR2354" s="38"/>
      <c r="AKS2354" s="38"/>
      <c r="AKT2354" s="38"/>
      <c r="AKU2354" s="38"/>
      <c r="AKV2354" s="38"/>
      <c r="AKW2354" s="38"/>
      <c r="AKX2354" s="38"/>
      <c r="AKY2354" s="38"/>
      <c r="AKZ2354" s="38"/>
      <c r="ALA2354" s="38"/>
      <c r="ALB2354" s="38"/>
      <c r="ALC2354" s="38"/>
      <c r="ALD2354" s="38"/>
      <c r="ALE2354" s="38"/>
      <c r="ALF2354" s="38"/>
      <c r="ALG2354" s="38"/>
      <c r="ALH2354" s="38"/>
      <c r="ALI2354" s="38"/>
      <c r="ALJ2354" s="38"/>
      <c r="ALK2354" s="38"/>
      <c r="ALL2354" s="38"/>
      <c r="ALM2354" s="38"/>
      <c r="ALN2354" s="38"/>
      <c r="ALO2354" s="38"/>
      <c r="ALP2354" s="38"/>
      <c r="ALQ2354" s="38"/>
      <c r="ALR2354" s="38"/>
      <c r="ALS2354" s="38"/>
      <c r="ALT2354" s="38"/>
      <c r="ALU2354" s="38"/>
      <c r="ALV2354" s="38"/>
      <c r="ALW2354" s="38"/>
      <c r="ALX2354" s="38"/>
      <c r="ALY2354" s="38"/>
      <c r="ALZ2354" s="38"/>
      <c r="AMA2354" s="38"/>
      <c r="AMB2354" s="38"/>
      <c r="AMC2354" s="38"/>
      <c r="AMD2354" s="38"/>
      <c r="AME2354" s="38"/>
      <c r="AMF2354" s="38"/>
      <c r="AMG2354" s="38"/>
      <c r="AMH2354" s="38"/>
      <c r="AMI2354" s="38"/>
      <c r="AMJ2354" s="38"/>
      <c r="AMK2354" s="38"/>
      <c r="AML2354" s="38"/>
      <c r="AMM2354" s="38"/>
      <c r="AMN2354" s="38"/>
      <c r="AMO2354" s="38"/>
      <c r="AMP2354" s="38"/>
      <c r="AMQ2354" s="38"/>
      <c r="AMR2354" s="38"/>
      <c r="AMS2354" s="38"/>
      <c r="AMT2354" s="38"/>
      <c r="AMU2354" s="38"/>
      <c r="AMV2354" s="38"/>
      <c r="AMW2354" s="38"/>
      <c r="AMX2354" s="38"/>
      <c r="AMY2354" s="38"/>
      <c r="AMZ2354" s="38"/>
      <c r="ANA2354" s="38"/>
      <c r="ANB2354" s="38"/>
      <c r="ANC2354" s="38"/>
      <c r="AND2354" s="38"/>
      <c r="ANE2354" s="38"/>
      <c r="ANF2354" s="38"/>
      <c r="ANG2354" s="38"/>
      <c r="ANH2354" s="38"/>
      <c r="ANI2354" s="38"/>
      <c r="ANJ2354" s="38"/>
      <c r="ANK2354" s="38"/>
      <c r="ANL2354" s="38"/>
      <c r="ANM2354" s="38"/>
      <c r="ANN2354" s="38"/>
      <c r="ANO2354" s="38"/>
      <c r="ANP2354" s="38"/>
      <c r="ANQ2354" s="38"/>
      <c r="ANR2354" s="38"/>
      <c r="ANS2354" s="38"/>
      <c r="ANT2354" s="38"/>
      <c r="ANU2354" s="38"/>
      <c r="ANV2354" s="38"/>
      <c r="ANW2354" s="38"/>
      <c r="ANX2354" s="38"/>
      <c r="ANY2354" s="38"/>
      <c r="ANZ2354" s="38"/>
      <c r="AOA2354" s="38"/>
      <c r="AOB2354" s="38"/>
      <c r="AOC2354" s="38"/>
      <c r="AOD2354" s="38"/>
      <c r="AOE2354" s="38"/>
      <c r="AOF2354" s="38"/>
      <c r="AOG2354" s="38"/>
      <c r="AOH2354" s="38"/>
      <c r="AOI2354" s="38"/>
      <c r="AOJ2354" s="38"/>
      <c r="AOK2354" s="38"/>
      <c r="AOL2354" s="38"/>
      <c r="AOM2354" s="38"/>
      <c r="AON2354" s="38"/>
      <c r="AOO2354" s="38"/>
      <c r="AOP2354" s="38"/>
      <c r="AOQ2354" s="38"/>
      <c r="AOR2354" s="38"/>
      <c r="AOS2354" s="38"/>
      <c r="AOT2354" s="38"/>
      <c r="AOU2354" s="38"/>
      <c r="AOV2354" s="38"/>
      <c r="AOW2354" s="38"/>
      <c r="AOX2354" s="38"/>
      <c r="AOY2354" s="38"/>
      <c r="AOZ2354" s="38"/>
      <c r="APA2354" s="38"/>
      <c r="APB2354" s="38"/>
      <c r="APC2354" s="38"/>
    </row>
    <row r="2355" spans="1:1095" s="36" customFormat="1" ht="14.25" customHeight="1">
      <c r="A2355" s="3" t="s">
        <v>1722</v>
      </c>
      <c r="B2355" s="36" t="s">
        <v>2928</v>
      </c>
      <c r="C2355" s="10">
        <v>4099854075407</v>
      </c>
      <c r="D2355" s="246"/>
      <c r="E2355" s="249"/>
      <c r="F2355" s="222" t="s">
        <v>3136</v>
      </c>
      <c r="G2355" s="66" t="str">
        <f>HYPERLINK("https://ledvance.com/pt/product-datasheet/251759/240391","Ficha de Produto")</f>
        <v>Ficha de Produto</v>
      </c>
      <c r="H2355" s="217">
        <v>10</v>
      </c>
      <c r="I2355" s="34" t="s">
        <v>6354</v>
      </c>
      <c r="J2355" s="34" t="s">
        <v>6398</v>
      </c>
      <c r="K2355" s="34" t="s">
        <v>788</v>
      </c>
      <c r="L2355" s="34" t="s">
        <v>765</v>
      </c>
      <c r="M2355" s="247">
        <v>5</v>
      </c>
      <c r="N2355" s="288" t="s">
        <v>722</v>
      </c>
    </row>
    <row r="2356" spans="1:1095" s="36" customFormat="1" ht="14.25" customHeight="1">
      <c r="A2356" s="3" t="s">
        <v>1722</v>
      </c>
      <c r="B2356" s="36" t="s">
        <v>2929</v>
      </c>
      <c r="C2356" s="10">
        <v>4099854075421</v>
      </c>
      <c r="D2356" s="246"/>
      <c r="E2356" s="249"/>
      <c r="F2356" s="222" t="s">
        <v>3136</v>
      </c>
      <c r="G2356" s="66" t="str">
        <f>HYPERLINK("https://ledvance.com/pt/product-datasheet/251759/240394","Ficha de Produto")</f>
        <v>Ficha de Produto</v>
      </c>
      <c r="H2356" s="217">
        <v>10</v>
      </c>
      <c r="I2356" s="34" t="s">
        <v>6349</v>
      </c>
      <c r="J2356" s="34" t="s">
        <v>6416</v>
      </c>
      <c r="K2356" s="34" t="s">
        <v>788</v>
      </c>
      <c r="L2356" s="34" t="s">
        <v>765</v>
      </c>
      <c r="M2356" s="247">
        <v>6.6</v>
      </c>
      <c r="N2356" s="288" t="s">
        <v>722</v>
      </c>
    </row>
    <row r="2357" spans="1:1095" s="36" customFormat="1" ht="14.25" customHeight="1">
      <c r="A2357" s="3" t="s">
        <v>1722</v>
      </c>
      <c r="B2357" s="36" t="s">
        <v>2930</v>
      </c>
      <c r="C2357" s="10">
        <v>4099854075445</v>
      </c>
      <c r="D2357" s="246"/>
      <c r="E2357" s="249"/>
      <c r="F2357" s="222" t="s">
        <v>3136</v>
      </c>
      <c r="G2357" s="66" t="str">
        <f>HYPERLINK("https://ledvance.com/pt/product-datasheet/251759/240397","Ficha de Produto")</f>
        <v>Ficha de Produto</v>
      </c>
      <c r="H2357" s="217">
        <v>10</v>
      </c>
      <c r="I2357" s="34" t="s">
        <v>6417</v>
      </c>
      <c r="J2357" s="34" t="s">
        <v>6370</v>
      </c>
      <c r="K2357" s="34" t="s">
        <v>788</v>
      </c>
      <c r="L2357" s="34" t="s">
        <v>765</v>
      </c>
      <c r="M2357" s="247">
        <v>4.8</v>
      </c>
      <c r="N2357" s="288" t="s">
        <v>722</v>
      </c>
    </row>
    <row r="2358" spans="1:1095" s="36" customFormat="1" ht="14.25" customHeight="1">
      <c r="A2358" s="3" t="s">
        <v>1722</v>
      </c>
      <c r="B2358" s="36" t="s">
        <v>2931</v>
      </c>
      <c r="C2358" s="10">
        <v>4099854075469</v>
      </c>
      <c r="D2358" s="246"/>
      <c r="E2358" s="249"/>
      <c r="F2358" s="222" t="s">
        <v>3136</v>
      </c>
      <c r="G2358" s="66" t="str">
        <f>HYPERLINK("https://ledvance.com/pt/product-datasheet/251759/240400","Ficha de Produto")</f>
        <v>Ficha de Produto</v>
      </c>
      <c r="H2358" s="217">
        <v>10</v>
      </c>
      <c r="I2358" s="34" t="s">
        <v>6354</v>
      </c>
      <c r="J2358" s="34" t="s">
        <v>6398</v>
      </c>
      <c r="K2358" s="34" t="s">
        <v>788</v>
      </c>
      <c r="L2358" s="34" t="s">
        <v>765</v>
      </c>
      <c r="M2358" s="247">
        <v>5.8999999999999995</v>
      </c>
      <c r="N2358" s="288" t="s">
        <v>722</v>
      </c>
    </row>
    <row r="2359" spans="1:1095" s="36" customFormat="1" ht="14.25" customHeight="1">
      <c r="A2359" s="3" t="s">
        <v>1722</v>
      </c>
      <c r="B2359" s="36" t="s">
        <v>2932</v>
      </c>
      <c r="C2359" s="10">
        <v>4099854075483</v>
      </c>
      <c r="D2359" s="246"/>
      <c r="E2359" s="249"/>
      <c r="F2359" s="222" t="s">
        <v>3136</v>
      </c>
      <c r="G2359" s="66" t="str">
        <f>HYPERLINK("https://ledvance.com/pt/product-datasheet/251759/240403","Ficha de Produto")</f>
        <v>Ficha de Produto</v>
      </c>
      <c r="H2359" s="217">
        <v>10</v>
      </c>
      <c r="I2359" s="34" t="s">
        <v>6354</v>
      </c>
      <c r="J2359" s="34" t="s">
        <v>6398</v>
      </c>
      <c r="K2359" s="34" t="s">
        <v>788</v>
      </c>
      <c r="L2359" s="34" t="s">
        <v>765</v>
      </c>
      <c r="M2359" s="247">
        <v>5.8999999999999995</v>
      </c>
      <c r="N2359" s="288" t="s">
        <v>722</v>
      </c>
    </row>
    <row r="2360" spans="1:1095" s="39" customFormat="1" ht="14.25" customHeight="1">
      <c r="A2360" s="8" t="s">
        <v>1722</v>
      </c>
      <c r="B2360" s="244" t="s">
        <v>2933</v>
      </c>
      <c r="C2360" s="8"/>
      <c r="D2360" s="7"/>
      <c r="E2360" s="230"/>
      <c r="F2360" s="7"/>
      <c r="G2360" s="68"/>
      <c r="H2360" s="230"/>
      <c r="I2360" s="230"/>
      <c r="J2360" s="230"/>
      <c r="K2360" s="230"/>
      <c r="L2360" s="230"/>
      <c r="M2360" s="248"/>
      <c r="N2360" s="289"/>
      <c r="O2360" s="38"/>
      <c r="P2360" s="38"/>
      <c r="Q2360" s="38"/>
      <c r="R2360" s="38"/>
      <c r="S2360" s="38"/>
      <c r="T2360" s="38"/>
      <c r="U2360" s="38"/>
      <c r="V2360" s="38"/>
      <c r="W2360" s="38"/>
      <c r="X2360" s="38"/>
      <c r="Y2360" s="38"/>
      <c r="Z2360" s="38"/>
      <c r="AA2360" s="38"/>
      <c r="AB2360" s="38"/>
      <c r="AC2360" s="38"/>
      <c r="AD2360" s="38"/>
      <c r="AE2360" s="38"/>
      <c r="AF2360" s="38"/>
      <c r="AG2360" s="38"/>
      <c r="AH2360" s="38"/>
      <c r="AI2360" s="38"/>
      <c r="AJ2360" s="38"/>
      <c r="AK2360" s="38"/>
      <c r="AL2360" s="38"/>
      <c r="AM2360" s="38"/>
      <c r="AN2360" s="38"/>
      <c r="AO2360" s="38"/>
      <c r="AP2360" s="38"/>
      <c r="AQ2360" s="38"/>
      <c r="AR2360" s="38"/>
      <c r="AS2360" s="38"/>
      <c r="AT2360" s="38"/>
      <c r="AU2360" s="38"/>
      <c r="AV2360" s="38"/>
      <c r="AW2360" s="38"/>
      <c r="AX2360" s="38"/>
      <c r="AY2360" s="38"/>
      <c r="AZ2360" s="38"/>
      <c r="BA2360" s="38"/>
      <c r="BB2360" s="38"/>
      <c r="BC2360" s="38"/>
      <c r="BD2360" s="38"/>
      <c r="BE2360" s="38"/>
      <c r="BF2360" s="38"/>
      <c r="BG2360" s="38"/>
      <c r="BH2360" s="38"/>
      <c r="BI2360" s="38"/>
      <c r="BJ2360" s="38"/>
      <c r="BK2360" s="38"/>
      <c r="BL2360" s="38"/>
      <c r="BM2360" s="38"/>
      <c r="BN2360" s="38"/>
      <c r="BO2360" s="38"/>
      <c r="BP2360" s="38"/>
      <c r="BQ2360" s="38"/>
      <c r="BR2360" s="38"/>
      <c r="BS2360" s="38"/>
      <c r="BT2360" s="38"/>
      <c r="BU2360" s="38"/>
      <c r="BV2360" s="38"/>
      <c r="BW2360" s="38"/>
      <c r="BX2360" s="38"/>
      <c r="BY2360" s="38"/>
      <c r="BZ2360" s="38"/>
      <c r="CA2360" s="38"/>
      <c r="CB2360" s="38"/>
      <c r="CC2360" s="38"/>
      <c r="CD2360" s="38"/>
      <c r="CE2360" s="38"/>
      <c r="CF2360" s="38"/>
      <c r="CG2360" s="38"/>
      <c r="CH2360" s="38"/>
      <c r="CI2360" s="38"/>
      <c r="CJ2360" s="38"/>
      <c r="CK2360" s="38"/>
      <c r="CL2360" s="38"/>
      <c r="CM2360" s="38"/>
      <c r="CN2360" s="38"/>
      <c r="CO2360" s="38"/>
      <c r="CP2360" s="38"/>
      <c r="CQ2360" s="38"/>
      <c r="CR2360" s="38"/>
      <c r="CS2360" s="38"/>
      <c r="CT2360" s="38"/>
      <c r="CU2360" s="38"/>
      <c r="CV2360" s="38"/>
      <c r="CW2360" s="38"/>
      <c r="CX2360" s="38"/>
      <c r="CY2360" s="38"/>
      <c r="CZ2360" s="38"/>
      <c r="DA2360" s="38"/>
      <c r="DB2360" s="38"/>
      <c r="DC2360" s="38"/>
      <c r="DD2360" s="38"/>
      <c r="DE2360" s="38"/>
      <c r="DF2360" s="38"/>
      <c r="DG2360" s="38"/>
      <c r="DH2360" s="38"/>
      <c r="DI2360" s="38"/>
      <c r="DJ2360" s="38"/>
      <c r="DK2360" s="38"/>
      <c r="DL2360" s="38"/>
      <c r="DM2360" s="38"/>
      <c r="DN2360" s="38"/>
      <c r="DO2360" s="38"/>
      <c r="DP2360" s="38"/>
      <c r="DQ2360" s="38"/>
      <c r="DR2360" s="38"/>
      <c r="DS2360" s="38"/>
      <c r="DT2360" s="38"/>
      <c r="DU2360" s="38"/>
      <c r="DV2360" s="38"/>
      <c r="DW2360" s="38"/>
      <c r="DX2360" s="38"/>
      <c r="DY2360" s="38"/>
      <c r="DZ2360" s="38"/>
      <c r="EA2360" s="38"/>
      <c r="EB2360" s="38"/>
      <c r="EC2360" s="38"/>
      <c r="ED2360" s="38"/>
      <c r="EE2360" s="38"/>
      <c r="EF2360" s="38"/>
      <c r="EG2360" s="38"/>
      <c r="EH2360" s="38"/>
      <c r="EI2360" s="38"/>
      <c r="EJ2360" s="38"/>
      <c r="EK2360" s="38"/>
      <c r="EL2360" s="38"/>
      <c r="EM2360" s="38"/>
      <c r="EN2360" s="38"/>
      <c r="EO2360" s="38"/>
      <c r="EP2360" s="38"/>
      <c r="EQ2360" s="38"/>
      <c r="ER2360" s="38"/>
      <c r="ES2360" s="38"/>
      <c r="ET2360" s="38"/>
      <c r="EU2360" s="38"/>
      <c r="EV2360" s="38"/>
      <c r="EW2360" s="38"/>
      <c r="EX2360" s="38"/>
      <c r="EY2360" s="38"/>
      <c r="EZ2360" s="38"/>
      <c r="FA2360" s="38"/>
      <c r="FB2360" s="38"/>
      <c r="FC2360" s="38"/>
      <c r="FD2360" s="38"/>
      <c r="FE2360" s="38"/>
      <c r="FF2360" s="38"/>
      <c r="FG2360" s="38"/>
      <c r="FH2360" s="38"/>
      <c r="FI2360" s="38"/>
      <c r="FJ2360" s="38"/>
      <c r="FK2360" s="38"/>
      <c r="FL2360" s="38"/>
      <c r="FM2360" s="38"/>
      <c r="FN2360" s="38"/>
      <c r="FO2360" s="38"/>
      <c r="FP2360" s="38"/>
      <c r="FQ2360" s="38"/>
      <c r="FR2360" s="38"/>
      <c r="FS2360" s="38"/>
      <c r="FT2360" s="38"/>
      <c r="FU2360" s="38"/>
      <c r="FV2360" s="38"/>
      <c r="FW2360" s="38"/>
      <c r="FX2360" s="38"/>
      <c r="FY2360" s="38"/>
      <c r="FZ2360" s="38"/>
      <c r="GA2360" s="38"/>
      <c r="GB2360" s="38"/>
      <c r="GC2360" s="38"/>
      <c r="GD2360" s="38"/>
      <c r="GE2360" s="38"/>
      <c r="GF2360" s="38"/>
      <c r="GG2360" s="38"/>
      <c r="GH2360" s="38"/>
      <c r="GI2360" s="38"/>
      <c r="GJ2360" s="38"/>
      <c r="GK2360" s="38"/>
      <c r="GL2360" s="38"/>
      <c r="GM2360" s="38"/>
      <c r="GN2360" s="38"/>
      <c r="GO2360" s="38"/>
      <c r="GP2360" s="38"/>
      <c r="GQ2360" s="38"/>
      <c r="GR2360" s="38"/>
      <c r="GS2360" s="38"/>
      <c r="GT2360" s="38"/>
      <c r="GU2360" s="38"/>
      <c r="GV2360" s="38"/>
      <c r="GW2360" s="38"/>
      <c r="GX2360" s="38"/>
      <c r="GY2360" s="38"/>
      <c r="GZ2360" s="38"/>
      <c r="HA2360" s="38"/>
      <c r="HB2360" s="38"/>
      <c r="HC2360" s="38"/>
      <c r="HD2360" s="38"/>
      <c r="HE2360" s="38"/>
      <c r="HF2360" s="38"/>
      <c r="HG2360" s="38"/>
      <c r="HH2360" s="38"/>
      <c r="HI2360" s="38"/>
      <c r="HJ2360" s="38"/>
      <c r="HK2360" s="38"/>
      <c r="HL2360" s="38"/>
      <c r="HM2360" s="38"/>
      <c r="HN2360" s="38"/>
      <c r="HO2360" s="38"/>
      <c r="HP2360" s="38"/>
      <c r="HQ2360" s="38"/>
      <c r="HR2360" s="38"/>
      <c r="HS2360" s="38"/>
      <c r="HT2360" s="38"/>
      <c r="HU2360" s="38"/>
      <c r="HV2360" s="38"/>
      <c r="HW2360" s="38"/>
      <c r="HX2360" s="38"/>
      <c r="HY2360" s="38"/>
      <c r="HZ2360" s="38"/>
      <c r="IA2360" s="38"/>
      <c r="IB2360" s="38"/>
      <c r="IC2360" s="38"/>
      <c r="ID2360" s="38"/>
      <c r="IE2360" s="38"/>
      <c r="IF2360" s="38"/>
      <c r="IG2360" s="38"/>
      <c r="IH2360" s="38"/>
      <c r="II2360" s="38"/>
      <c r="IJ2360" s="38"/>
      <c r="IK2360" s="38"/>
      <c r="IL2360" s="38"/>
      <c r="IM2360" s="38"/>
      <c r="IN2360" s="38"/>
      <c r="IO2360" s="38"/>
      <c r="IP2360" s="38"/>
      <c r="IQ2360" s="38"/>
      <c r="IR2360" s="38"/>
      <c r="IS2360" s="38"/>
      <c r="IT2360" s="38"/>
      <c r="IU2360" s="38"/>
      <c r="IV2360" s="38"/>
      <c r="IW2360" s="38"/>
      <c r="IX2360" s="38"/>
      <c r="IY2360" s="38"/>
      <c r="IZ2360" s="38"/>
      <c r="JA2360" s="38"/>
      <c r="JB2360" s="38"/>
      <c r="JC2360" s="38"/>
      <c r="JD2360" s="38"/>
      <c r="JE2360" s="38"/>
      <c r="JF2360" s="38"/>
      <c r="JG2360" s="38"/>
      <c r="JH2360" s="38"/>
      <c r="JI2360" s="38"/>
      <c r="JJ2360" s="38"/>
      <c r="JK2360" s="38"/>
      <c r="JL2360" s="38"/>
      <c r="JM2360" s="38"/>
      <c r="JN2360" s="38"/>
      <c r="JO2360" s="38"/>
      <c r="JP2360" s="38"/>
      <c r="JQ2360" s="38"/>
      <c r="JR2360" s="38"/>
      <c r="JS2360" s="38"/>
      <c r="JT2360" s="38"/>
      <c r="JU2360" s="38"/>
      <c r="JV2360" s="38"/>
      <c r="JW2360" s="38"/>
      <c r="JX2360" s="38"/>
      <c r="JY2360" s="38"/>
      <c r="JZ2360" s="38"/>
      <c r="KA2360" s="38"/>
      <c r="KB2360" s="38"/>
      <c r="KC2360" s="38"/>
      <c r="KD2360" s="38"/>
      <c r="KE2360" s="38"/>
      <c r="KF2360" s="38"/>
      <c r="KG2360" s="38"/>
      <c r="KH2360" s="38"/>
      <c r="KI2360" s="38"/>
      <c r="KJ2360" s="38"/>
      <c r="KK2360" s="38"/>
      <c r="KL2360" s="38"/>
      <c r="KM2360" s="38"/>
      <c r="KN2360" s="38"/>
      <c r="KO2360" s="38"/>
      <c r="KP2360" s="38"/>
      <c r="KQ2360" s="38"/>
      <c r="KR2360" s="38"/>
      <c r="KS2360" s="38"/>
      <c r="KT2360" s="38"/>
      <c r="KU2360" s="38"/>
      <c r="KV2360" s="38"/>
      <c r="KW2360" s="38"/>
      <c r="KX2360" s="38"/>
      <c r="KY2360" s="38"/>
      <c r="KZ2360" s="38"/>
      <c r="LA2360" s="38"/>
      <c r="LB2360" s="38"/>
      <c r="LC2360" s="38"/>
      <c r="LD2360" s="38"/>
      <c r="LE2360" s="38"/>
      <c r="LF2360" s="38"/>
      <c r="LG2360" s="38"/>
      <c r="LH2360" s="38"/>
      <c r="LI2360" s="38"/>
      <c r="LJ2360" s="38"/>
      <c r="LK2360" s="38"/>
      <c r="LL2360" s="38"/>
      <c r="LM2360" s="38"/>
      <c r="LN2360" s="38"/>
      <c r="LO2360" s="38"/>
      <c r="LP2360" s="38"/>
      <c r="LQ2360" s="38"/>
      <c r="LR2360" s="38"/>
      <c r="LS2360" s="38"/>
      <c r="LT2360" s="38"/>
      <c r="LU2360" s="38"/>
      <c r="LV2360" s="38"/>
      <c r="LW2360" s="38"/>
      <c r="LX2360" s="38"/>
      <c r="LY2360" s="38"/>
      <c r="LZ2360" s="38"/>
      <c r="MA2360" s="38"/>
      <c r="MB2360" s="38"/>
      <c r="MC2360" s="38"/>
      <c r="MD2360" s="38"/>
      <c r="ME2360" s="38"/>
      <c r="MF2360" s="38"/>
      <c r="MG2360" s="38"/>
      <c r="MH2360" s="38"/>
      <c r="MI2360" s="38"/>
      <c r="MJ2360" s="38"/>
      <c r="MK2360" s="38"/>
      <c r="ML2360" s="38"/>
      <c r="MM2360" s="38"/>
      <c r="MN2360" s="38"/>
      <c r="MO2360" s="38"/>
      <c r="MP2360" s="38"/>
      <c r="MQ2360" s="38"/>
      <c r="MR2360" s="38"/>
      <c r="MS2360" s="38"/>
      <c r="MT2360" s="38"/>
      <c r="MU2360" s="38"/>
      <c r="MV2360" s="38"/>
      <c r="MW2360" s="38"/>
      <c r="MX2360" s="38"/>
      <c r="MY2360" s="38"/>
      <c r="MZ2360" s="38"/>
      <c r="NA2360" s="38"/>
      <c r="NB2360" s="38"/>
      <c r="NC2360" s="38"/>
      <c r="ND2360" s="38"/>
      <c r="NE2360" s="38"/>
      <c r="NF2360" s="38"/>
      <c r="NG2360" s="38"/>
      <c r="NH2360" s="38"/>
      <c r="NI2360" s="38"/>
      <c r="NJ2360" s="38"/>
      <c r="NK2360" s="38"/>
      <c r="NL2360" s="38"/>
      <c r="NM2360" s="38"/>
      <c r="NN2360" s="38"/>
      <c r="NO2360" s="38"/>
      <c r="NP2360" s="38"/>
      <c r="NQ2360" s="38"/>
      <c r="NR2360" s="38"/>
      <c r="NS2360" s="38"/>
      <c r="NT2360" s="38"/>
      <c r="NU2360" s="38"/>
      <c r="NV2360" s="38"/>
      <c r="NW2360" s="38"/>
      <c r="NX2360" s="38"/>
      <c r="NY2360" s="38"/>
      <c r="NZ2360" s="38"/>
      <c r="OA2360" s="38"/>
      <c r="OB2360" s="38"/>
      <c r="OC2360" s="38"/>
      <c r="OD2360" s="38"/>
      <c r="OE2360" s="38"/>
      <c r="OF2360" s="38"/>
      <c r="OG2360" s="38"/>
      <c r="OH2360" s="38"/>
      <c r="OI2360" s="38"/>
      <c r="OJ2360" s="38"/>
      <c r="OK2360" s="38"/>
      <c r="OL2360" s="38"/>
      <c r="OM2360" s="38"/>
      <c r="ON2360" s="38"/>
      <c r="OO2360" s="38"/>
      <c r="OP2360" s="38"/>
      <c r="OQ2360" s="38"/>
      <c r="OR2360" s="38"/>
      <c r="OS2360" s="38"/>
      <c r="OT2360" s="38"/>
      <c r="OU2360" s="38"/>
      <c r="OV2360" s="38"/>
      <c r="OW2360" s="38"/>
      <c r="OX2360" s="38"/>
      <c r="OY2360" s="38"/>
      <c r="OZ2360" s="38"/>
      <c r="PA2360" s="38"/>
      <c r="PB2360" s="38"/>
      <c r="PC2360" s="38"/>
      <c r="PD2360" s="38"/>
      <c r="PE2360" s="38"/>
      <c r="PF2360" s="38"/>
      <c r="PG2360" s="38"/>
      <c r="PH2360" s="38"/>
      <c r="PI2360" s="38"/>
      <c r="PJ2360" s="38"/>
      <c r="PK2360" s="38"/>
      <c r="PL2360" s="38"/>
      <c r="PM2360" s="38"/>
      <c r="PN2360" s="38"/>
      <c r="PO2360" s="38"/>
      <c r="PP2360" s="38"/>
      <c r="PQ2360" s="38"/>
      <c r="PR2360" s="38"/>
      <c r="PS2360" s="38"/>
      <c r="PT2360" s="38"/>
      <c r="PU2360" s="38"/>
      <c r="PV2360" s="38"/>
      <c r="PW2360" s="38"/>
      <c r="PX2360" s="38"/>
      <c r="PY2360" s="38"/>
      <c r="PZ2360" s="38"/>
      <c r="QA2360" s="38"/>
      <c r="QB2360" s="38"/>
      <c r="QC2360" s="38"/>
      <c r="QD2360" s="38"/>
      <c r="QE2360" s="38"/>
      <c r="QF2360" s="38"/>
      <c r="QG2360" s="38"/>
      <c r="QH2360" s="38"/>
      <c r="QI2360" s="38"/>
      <c r="QJ2360" s="38"/>
      <c r="QK2360" s="38"/>
      <c r="QL2360" s="38"/>
      <c r="QM2360" s="38"/>
      <c r="QN2360" s="38"/>
      <c r="QO2360" s="38"/>
      <c r="QP2360" s="38"/>
      <c r="QQ2360" s="38"/>
      <c r="QR2360" s="38"/>
      <c r="QS2360" s="38"/>
      <c r="QT2360" s="38"/>
      <c r="QU2360" s="38"/>
      <c r="QV2360" s="38"/>
      <c r="QW2360" s="38"/>
      <c r="QX2360" s="38"/>
      <c r="QY2360" s="38"/>
      <c r="QZ2360" s="38"/>
      <c r="RA2360" s="38"/>
      <c r="RB2360" s="38"/>
      <c r="RC2360" s="38"/>
      <c r="RD2360" s="38"/>
      <c r="RE2360" s="38"/>
      <c r="RF2360" s="38"/>
      <c r="RG2360" s="38"/>
      <c r="RH2360" s="38"/>
      <c r="RI2360" s="38"/>
      <c r="RJ2360" s="38"/>
      <c r="RK2360" s="38"/>
      <c r="RL2360" s="38"/>
      <c r="RM2360" s="38"/>
      <c r="RN2360" s="38"/>
      <c r="RO2360" s="38"/>
      <c r="RP2360" s="38"/>
      <c r="RQ2360" s="38"/>
      <c r="RR2360" s="38"/>
      <c r="RS2360" s="38"/>
      <c r="RT2360" s="38"/>
      <c r="RU2360" s="38"/>
      <c r="RV2360" s="38"/>
      <c r="RW2360" s="38"/>
      <c r="RX2360" s="38"/>
      <c r="RY2360" s="38"/>
      <c r="RZ2360" s="38"/>
      <c r="SA2360" s="38"/>
      <c r="SB2360" s="38"/>
      <c r="SC2360" s="38"/>
      <c r="SD2360" s="38"/>
      <c r="SE2360" s="38"/>
      <c r="SF2360" s="38"/>
      <c r="SG2360" s="38"/>
      <c r="SH2360" s="38"/>
      <c r="SI2360" s="38"/>
      <c r="SJ2360" s="38"/>
      <c r="SK2360" s="38"/>
      <c r="SL2360" s="38"/>
      <c r="SM2360" s="38"/>
      <c r="SN2360" s="38"/>
      <c r="SO2360" s="38"/>
      <c r="SP2360" s="38"/>
      <c r="SQ2360" s="38"/>
      <c r="SR2360" s="38"/>
      <c r="SS2360" s="38"/>
      <c r="ST2360" s="38"/>
      <c r="SU2360" s="38"/>
      <c r="SV2360" s="38"/>
      <c r="SW2360" s="38"/>
      <c r="SX2360" s="38"/>
      <c r="SY2360" s="38"/>
      <c r="SZ2360" s="38"/>
      <c r="TA2360" s="38"/>
      <c r="TB2360" s="38"/>
      <c r="TC2360" s="38"/>
      <c r="TD2360" s="38"/>
      <c r="TE2360" s="38"/>
      <c r="TF2360" s="38"/>
      <c r="TG2360" s="38"/>
      <c r="TH2360" s="38"/>
      <c r="TI2360" s="38"/>
      <c r="TJ2360" s="38"/>
      <c r="TK2360" s="38"/>
      <c r="TL2360" s="38"/>
      <c r="TM2360" s="38"/>
      <c r="TN2360" s="38"/>
      <c r="TO2360" s="38"/>
      <c r="TP2360" s="38"/>
      <c r="TQ2360" s="38"/>
      <c r="TR2360" s="38"/>
      <c r="TS2360" s="38"/>
      <c r="TT2360" s="38"/>
      <c r="TU2360" s="38"/>
      <c r="TV2360" s="38"/>
      <c r="TW2360" s="38"/>
      <c r="TX2360" s="38"/>
      <c r="TY2360" s="38"/>
      <c r="TZ2360" s="38"/>
      <c r="UA2360" s="38"/>
      <c r="UB2360" s="38"/>
      <c r="UC2360" s="38"/>
      <c r="UD2360" s="38"/>
      <c r="UE2360" s="38"/>
      <c r="UF2360" s="38"/>
      <c r="UG2360" s="38"/>
      <c r="UH2360" s="38"/>
      <c r="UI2360" s="38"/>
      <c r="UJ2360" s="38"/>
      <c r="UK2360" s="38"/>
      <c r="UL2360" s="38"/>
      <c r="UM2360" s="38"/>
      <c r="UN2360" s="38"/>
      <c r="UO2360" s="38"/>
      <c r="UP2360" s="38"/>
      <c r="UQ2360" s="38"/>
      <c r="UR2360" s="38"/>
      <c r="US2360" s="38"/>
      <c r="UT2360" s="38"/>
      <c r="UU2360" s="38"/>
      <c r="UV2360" s="38"/>
      <c r="UW2360" s="38"/>
      <c r="UX2360" s="38"/>
      <c r="UY2360" s="38"/>
      <c r="UZ2360" s="38"/>
      <c r="VA2360" s="38"/>
      <c r="VB2360" s="38"/>
      <c r="VC2360" s="38"/>
      <c r="VD2360" s="38"/>
      <c r="VE2360" s="38"/>
      <c r="VF2360" s="38"/>
      <c r="VG2360" s="38"/>
      <c r="VH2360" s="38"/>
      <c r="VI2360" s="38"/>
      <c r="VJ2360" s="38"/>
      <c r="VK2360" s="38"/>
      <c r="VL2360" s="38"/>
      <c r="VM2360" s="38"/>
      <c r="VN2360" s="38"/>
      <c r="VO2360" s="38"/>
      <c r="VP2360" s="38"/>
      <c r="VQ2360" s="38"/>
      <c r="VR2360" s="38"/>
      <c r="VS2360" s="38"/>
      <c r="VT2360" s="38"/>
      <c r="VU2360" s="38"/>
      <c r="VV2360" s="38"/>
      <c r="VW2360" s="38"/>
      <c r="VX2360" s="38"/>
      <c r="VY2360" s="38"/>
      <c r="VZ2360" s="38"/>
      <c r="WA2360" s="38"/>
      <c r="WB2360" s="38"/>
      <c r="WC2360" s="38"/>
      <c r="WD2360" s="38"/>
      <c r="WE2360" s="38"/>
      <c r="WF2360" s="38"/>
      <c r="WG2360" s="38"/>
      <c r="WH2360" s="38"/>
      <c r="WI2360" s="38"/>
      <c r="WJ2360" s="38"/>
      <c r="WK2360" s="38"/>
      <c r="WL2360" s="38"/>
      <c r="WM2360" s="38"/>
      <c r="WN2360" s="38"/>
      <c r="WO2360" s="38"/>
      <c r="WP2360" s="38"/>
      <c r="WQ2360" s="38"/>
      <c r="WR2360" s="38"/>
      <c r="WS2360" s="38"/>
      <c r="WT2360" s="38"/>
      <c r="WU2360" s="38"/>
      <c r="WV2360" s="38"/>
      <c r="WW2360" s="38"/>
      <c r="WX2360" s="38"/>
      <c r="WY2360" s="38"/>
      <c r="WZ2360" s="38"/>
      <c r="XA2360" s="38"/>
      <c r="XB2360" s="38"/>
      <c r="XC2360" s="38"/>
      <c r="XD2360" s="38"/>
      <c r="XE2360" s="38"/>
      <c r="XF2360" s="38"/>
      <c r="XG2360" s="38"/>
      <c r="XH2360" s="38"/>
      <c r="XI2360" s="38"/>
      <c r="XJ2360" s="38"/>
      <c r="XK2360" s="38"/>
      <c r="XL2360" s="38"/>
      <c r="XM2360" s="38"/>
      <c r="XN2360" s="38"/>
      <c r="XO2360" s="38"/>
      <c r="XP2360" s="38"/>
      <c r="XQ2360" s="38"/>
      <c r="XR2360" s="38"/>
      <c r="XS2360" s="38"/>
      <c r="XT2360" s="38"/>
      <c r="XU2360" s="38"/>
      <c r="XV2360" s="38"/>
      <c r="XW2360" s="38"/>
      <c r="XX2360" s="38"/>
      <c r="XY2360" s="38"/>
      <c r="XZ2360" s="38"/>
      <c r="YA2360" s="38"/>
      <c r="YB2360" s="38"/>
      <c r="YC2360" s="38"/>
      <c r="YD2360" s="38"/>
      <c r="YE2360" s="38"/>
      <c r="YF2360" s="38"/>
      <c r="YG2360" s="38"/>
      <c r="YH2360" s="38"/>
      <c r="YI2360" s="38"/>
      <c r="YJ2360" s="38"/>
      <c r="YK2360" s="38"/>
      <c r="YL2360" s="38"/>
      <c r="YM2360" s="38"/>
      <c r="YN2360" s="38"/>
      <c r="YO2360" s="38"/>
      <c r="YP2360" s="38"/>
      <c r="YQ2360" s="38"/>
      <c r="YR2360" s="38"/>
      <c r="YS2360" s="38"/>
      <c r="YT2360" s="38"/>
      <c r="YU2360" s="38"/>
      <c r="YV2360" s="38"/>
      <c r="YW2360" s="38"/>
      <c r="YX2360" s="38"/>
      <c r="YY2360" s="38"/>
      <c r="YZ2360" s="38"/>
      <c r="ZA2360" s="38"/>
      <c r="ZB2360" s="38"/>
      <c r="ZC2360" s="38"/>
      <c r="ZD2360" s="38"/>
      <c r="ZE2360" s="38"/>
      <c r="ZF2360" s="38"/>
      <c r="ZG2360" s="38"/>
      <c r="ZH2360" s="38"/>
      <c r="ZI2360" s="38"/>
      <c r="ZJ2360" s="38"/>
      <c r="ZK2360" s="38"/>
      <c r="ZL2360" s="38"/>
      <c r="ZM2360" s="38"/>
      <c r="ZN2360" s="38"/>
      <c r="ZO2360" s="38"/>
      <c r="ZP2360" s="38"/>
      <c r="ZQ2360" s="38"/>
      <c r="ZR2360" s="38"/>
      <c r="ZS2360" s="38"/>
      <c r="ZT2360" s="38"/>
      <c r="ZU2360" s="38"/>
      <c r="ZV2360" s="38"/>
      <c r="ZW2360" s="38"/>
      <c r="ZX2360" s="38"/>
      <c r="ZY2360" s="38"/>
      <c r="ZZ2360" s="38"/>
      <c r="AAA2360" s="38"/>
      <c r="AAB2360" s="38"/>
      <c r="AAC2360" s="38"/>
      <c r="AAD2360" s="38"/>
      <c r="AAE2360" s="38"/>
      <c r="AAF2360" s="38"/>
      <c r="AAG2360" s="38"/>
      <c r="AAH2360" s="38"/>
      <c r="AAI2360" s="38"/>
      <c r="AAJ2360" s="38"/>
      <c r="AAK2360" s="38"/>
      <c r="AAL2360" s="38"/>
      <c r="AAM2360" s="38"/>
      <c r="AAN2360" s="38"/>
      <c r="AAO2360" s="38"/>
      <c r="AAP2360" s="38"/>
      <c r="AAQ2360" s="38"/>
      <c r="AAR2360" s="38"/>
      <c r="AAS2360" s="38"/>
      <c r="AAT2360" s="38"/>
      <c r="AAU2360" s="38"/>
      <c r="AAV2360" s="38"/>
      <c r="AAW2360" s="38"/>
      <c r="AAX2360" s="38"/>
      <c r="AAY2360" s="38"/>
      <c r="AAZ2360" s="38"/>
      <c r="ABA2360" s="38"/>
      <c r="ABB2360" s="38"/>
      <c r="ABC2360" s="38"/>
      <c r="ABD2360" s="38"/>
      <c r="ABE2360" s="38"/>
      <c r="ABF2360" s="38"/>
      <c r="ABG2360" s="38"/>
      <c r="ABH2360" s="38"/>
      <c r="ABI2360" s="38"/>
      <c r="ABJ2360" s="38"/>
      <c r="ABK2360" s="38"/>
      <c r="ABL2360" s="38"/>
      <c r="ABM2360" s="38"/>
      <c r="ABN2360" s="38"/>
      <c r="ABO2360" s="38"/>
      <c r="ABP2360" s="38"/>
      <c r="ABQ2360" s="38"/>
      <c r="ABR2360" s="38"/>
      <c r="ABS2360" s="38"/>
      <c r="ABT2360" s="38"/>
      <c r="ABU2360" s="38"/>
      <c r="ABV2360" s="38"/>
      <c r="ABW2360" s="38"/>
      <c r="ABX2360" s="38"/>
      <c r="ABY2360" s="38"/>
      <c r="ABZ2360" s="38"/>
      <c r="ACA2360" s="38"/>
      <c r="ACB2360" s="38"/>
      <c r="ACC2360" s="38"/>
      <c r="ACD2360" s="38"/>
      <c r="ACE2360" s="38"/>
      <c r="ACF2360" s="38"/>
      <c r="ACG2360" s="38"/>
      <c r="ACH2360" s="38"/>
      <c r="ACI2360" s="38"/>
      <c r="ACJ2360" s="38"/>
      <c r="ACK2360" s="38"/>
      <c r="ACL2360" s="38"/>
      <c r="ACM2360" s="38"/>
      <c r="ACN2360" s="38"/>
      <c r="ACO2360" s="38"/>
      <c r="ACP2360" s="38"/>
      <c r="ACQ2360" s="38"/>
      <c r="ACR2360" s="38"/>
      <c r="ACS2360" s="38"/>
      <c r="ACT2360" s="38"/>
      <c r="ACU2360" s="38"/>
      <c r="ACV2360" s="38"/>
      <c r="ACW2360" s="38"/>
      <c r="ACX2360" s="38"/>
      <c r="ACY2360" s="38"/>
      <c r="ACZ2360" s="38"/>
      <c r="ADA2360" s="38"/>
      <c r="ADB2360" s="38"/>
      <c r="ADC2360" s="38"/>
      <c r="ADD2360" s="38"/>
      <c r="ADE2360" s="38"/>
      <c r="ADF2360" s="38"/>
      <c r="ADG2360" s="38"/>
      <c r="ADH2360" s="38"/>
      <c r="ADI2360" s="38"/>
      <c r="ADJ2360" s="38"/>
      <c r="ADK2360" s="38"/>
      <c r="ADL2360" s="38"/>
      <c r="ADM2360" s="38"/>
      <c r="ADN2360" s="38"/>
      <c r="ADO2360" s="38"/>
      <c r="ADP2360" s="38"/>
      <c r="ADQ2360" s="38"/>
      <c r="ADR2360" s="38"/>
      <c r="ADS2360" s="38"/>
      <c r="ADT2360" s="38"/>
      <c r="ADU2360" s="38"/>
      <c r="ADV2360" s="38"/>
      <c r="ADW2360" s="38"/>
      <c r="ADX2360" s="38"/>
      <c r="ADY2360" s="38"/>
      <c r="ADZ2360" s="38"/>
      <c r="AEA2360" s="38"/>
      <c r="AEB2360" s="38"/>
      <c r="AEC2360" s="38"/>
      <c r="AED2360" s="38"/>
      <c r="AEE2360" s="38"/>
      <c r="AEF2360" s="38"/>
      <c r="AEG2360" s="38"/>
      <c r="AEH2360" s="38"/>
      <c r="AEI2360" s="38"/>
      <c r="AEJ2360" s="38"/>
      <c r="AEK2360" s="38"/>
      <c r="AEL2360" s="38"/>
      <c r="AEM2360" s="38"/>
      <c r="AEN2360" s="38"/>
      <c r="AEO2360" s="38"/>
      <c r="AEP2360" s="38"/>
      <c r="AEQ2360" s="38"/>
      <c r="AER2360" s="38"/>
      <c r="AES2360" s="38"/>
      <c r="AET2360" s="38"/>
      <c r="AEU2360" s="38"/>
      <c r="AEV2360" s="38"/>
      <c r="AEW2360" s="38"/>
      <c r="AEX2360" s="38"/>
      <c r="AEY2360" s="38"/>
      <c r="AEZ2360" s="38"/>
      <c r="AFA2360" s="38"/>
      <c r="AFB2360" s="38"/>
      <c r="AFC2360" s="38"/>
      <c r="AFD2360" s="38"/>
      <c r="AFE2360" s="38"/>
      <c r="AFF2360" s="38"/>
      <c r="AFG2360" s="38"/>
      <c r="AFH2360" s="38"/>
      <c r="AFI2360" s="38"/>
      <c r="AFJ2360" s="38"/>
      <c r="AFK2360" s="38"/>
      <c r="AFL2360" s="38"/>
      <c r="AFM2360" s="38"/>
      <c r="AFN2360" s="38"/>
      <c r="AFO2360" s="38"/>
      <c r="AFP2360" s="38"/>
      <c r="AFQ2360" s="38"/>
      <c r="AFR2360" s="38"/>
      <c r="AFS2360" s="38"/>
      <c r="AFT2360" s="38"/>
      <c r="AFU2360" s="38"/>
      <c r="AFV2360" s="38"/>
      <c r="AFW2360" s="38"/>
      <c r="AFX2360" s="38"/>
      <c r="AFY2360" s="38"/>
      <c r="AFZ2360" s="38"/>
      <c r="AGA2360" s="38"/>
      <c r="AGB2360" s="38"/>
      <c r="AGC2360" s="38"/>
      <c r="AGD2360" s="38"/>
      <c r="AGE2360" s="38"/>
      <c r="AGF2360" s="38"/>
      <c r="AGG2360" s="38"/>
      <c r="AGH2360" s="38"/>
      <c r="AGI2360" s="38"/>
      <c r="AGJ2360" s="38"/>
      <c r="AGK2360" s="38"/>
      <c r="AGL2360" s="38"/>
      <c r="AGM2360" s="38"/>
      <c r="AGN2360" s="38"/>
      <c r="AGO2360" s="38"/>
      <c r="AGP2360" s="38"/>
      <c r="AGQ2360" s="38"/>
      <c r="AGR2360" s="38"/>
      <c r="AGS2360" s="38"/>
      <c r="AGT2360" s="38"/>
      <c r="AGU2360" s="38"/>
      <c r="AGV2360" s="38"/>
      <c r="AGW2360" s="38"/>
      <c r="AGX2360" s="38"/>
      <c r="AGY2360" s="38"/>
      <c r="AGZ2360" s="38"/>
      <c r="AHA2360" s="38"/>
      <c r="AHB2360" s="38"/>
      <c r="AHC2360" s="38"/>
      <c r="AHD2360" s="38"/>
      <c r="AHE2360" s="38"/>
      <c r="AHF2360" s="38"/>
      <c r="AHG2360" s="38"/>
      <c r="AHH2360" s="38"/>
      <c r="AHI2360" s="38"/>
      <c r="AHJ2360" s="38"/>
      <c r="AHK2360" s="38"/>
      <c r="AHL2360" s="38"/>
      <c r="AHM2360" s="38"/>
      <c r="AHN2360" s="38"/>
      <c r="AHO2360" s="38"/>
      <c r="AHP2360" s="38"/>
      <c r="AHQ2360" s="38"/>
      <c r="AHR2360" s="38"/>
      <c r="AHS2360" s="38"/>
      <c r="AHT2360" s="38"/>
      <c r="AHU2360" s="38"/>
      <c r="AHV2360" s="38"/>
      <c r="AHW2360" s="38"/>
      <c r="AHX2360" s="38"/>
      <c r="AHY2360" s="38"/>
      <c r="AHZ2360" s="38"/>
      <c r="AIA2360" s="38"/>
      <c r="AIB2360" s="38"/>
      <c r="AIC2360" s="38"/>
      <c r="AID2360" s="38"/>
      <c r="AIE2360" s="38"/>
      <c r="AIF2360" s="38"/>
      <c r="AIG2360" s="38"/>
      <c r="AIH2360" s="38"/>
      <c r="AII2360" s="38"/>
      <c r="AIJ2360" s="38"/>
      <c r="AIK2360" s="38"/>
      <c r="AIL2360" s="38"/>
      <c r="AIM2360" s="38"/>
      <c r="AIN2360" s="38"/>
      <c r="AIO2360" s="38"/>
      <c r="AIP2360" s="38"/>
      <c r="AIQ2360" s="38"/>
      <c r="AIR2360" s="38"/>
      <c r="AIS2360" s="38"/>
      <c r="AIT2360" s="38"/>
      <c r="AIU2360" s="38"/>
      <c r="AIV2360" s="38"/>
      <c r="AIW2360" s="38"/>
      <c r="AIX2360" s="38"/>
      <c r="AIY2360" s="38"/>
      <c r="AIZ2360" s="38"/>
      <c r="AJA2360" s="38"/>
      <c r="AJB2360" s="38"/>
      <c r="AJC2360" s="38"/>
      <c r="AJD2360" s="38"/>
      <c r="AJE2360" s="38"/>
      <c r="AJF2360" s="38"/>
      <c r="AJG2360" s="38"/>
      <c r="AJH2360" s="38"/>
      <c r="AJI2360" s="38"/>
      <c r="AJJ2360" s="38"/>
      <c r="AJK2360" s="38"/>
      <c r="AJL2360" s="38"/>
      <c r="AJM2360" s="38"/>
      <c r="AJN2360" s="38"/>
      <c r="AJO2360" s="38"/>
      <c r="AJP2360" s="38"/>
      <c r="AJQ2360" s="38"/>
      <c r="AJR2360" s="38"/>
      <c r="AJS2360" s="38"/>
      <c r="AJT2360" s="38"/>
      <c r="AJU2360" s="38"/>
      <c r="AJV2360" s="38"/>
      <c r="AJW2360" s="38"/>
      <c r="AJX2360" s="38"/>
      <c r="AJY2360" s="38"/>
      <c r="AJZ2360" s="38"/>
      <c r="AKA2360" s="38"/>
      <c r="AKB2360" s="38"/>
      <c r="AKC2360" s="38"/>
      <c r="AKD2360" s="38"/>
      <c r="AKE2360" s="38"/>
      <c r="AKF2360" s="38"/>
      <c r="AKG2360" s="38"/>
      <c r="AKH2360" s="38"/>
      <c r="AKI2360" s="38"/>
      <c r="AKJ2360" s="38"/>
      <c r="AKK2360" s="38"/>
      <c r="AKL2360" s="38"/>
      <c r="AKM2360" s="38"/>
      <c r="AKN2360" s="38"/>
      <c r="AKO2360" s="38"/>
      <c r="AKP2360" s="38"/>
      <c r="AKQ2360" s="38"/>
      <c r="AKR2360" s="38"/>
      <c r="AKS2360" s="38"/>
      <c r="AKT2360" s="38"/>
      <c r="AKU2360" s="38"/>
      <c r="AKV2360" s="38"/>
      <c r="AKW2360" s="38"/>
      <c r="AKX2360" s="38"/>
      <c r="AKY2360" s="38"/>
      <c r="AKZ2360" s="38"/>
      <c r="ALA2360" s="38"/>
      <c r="ALB2360" s="38"/>
      <c r="ALC2360" s="38"/>
      <c r="ALD2360" s="38"/>
      <c r="ALE2360" s="38"/>
      <c r="ALF2360" s="38"/>
      <c r="ALG2360" s="38"/>
      <c r="ALH2360" s="38"/>
      <c r="ALI2360" s="38"/>
      <c r="ALJ2360" s="38"/>
      <c r="ALK2360" s="38"/>
      <c r="ALL2360" s="38"/>
      <c r="ALM2360" s="38"/>
      <c r="ALN2360" s="38"/>
      <c r="ALO2360" s="38"/>
      <c r="ALP2360" s="38"/>
      <c r="ALQ2360" s="38"/>
      <c r="ALR2360" s="38"/>
      <c r="ALS2360" s="38"/>
      <c r="ALT2360" s="38"/>
      <c r="ALU2360" s="38"/>
      <c r="ALV2360" s="38"/>
      <c r="ALW2360" s="38"/>
      <c r="ALX2360" s="38"/>
      <c r="ALY2360" s="38"/>
      <c r="ALZ2360" s="38"/>
      <c r="AMA2360" s="38"/>
      <c r="AMB2360" s="38"/>
      <c r="AMC2360" s="38"/>
      <c r="AMD2360" s="38"/>
      <c r="AME2360" s="38"/>
      <c r="AMF2360" s="38"/>
      <c r="AMG2360" s="38"/>
      <c r="AMH2360" s="38"/>
      <c r="AMI2360" s="38"/>
      <c r="AMJ2360" s="38"/>
      <c r="AMK2360" s="38"/>
      <c r="AML2360" s="38"/>
      <c r="AMM2360" s="38"/>
      <c r="AMN2360" s="38"/>
      <c r="AMO2360" s="38"/>
      <c r="AMP2360" s="38"/>
      <c r="AMQ2360" s="38"/>
      <c r="AMR2360" s="38"/>
      <c r="AMS2360" s="38"/>
      <c r="AMT2360" s="38"/>
      <c r="AMU2360" s="38"/>
      <c r="AMV2360" s="38"/>
      <c r="AMW2360" s="38"/>
      <c r="AMX2360" s="38"/>
      <c r="AMY2360" s="38"/>
      <c r="AMZ2360" s="38"/>
      <c r="ANA2360" s="38"/>
      <c r="ANB2360" s="38"/>
      <c r="ANC2360" s="38"/>
      <c r="AND2360" s="38"/>
      <c r="ANE2360" s="38"/>
      <c r="ANF2360" s="38"/>
      <c r="ANG2360" s="38"/>
      <c r="ANH2360" s="38"/>
      <c r="ANI2360" s="38"/>
      <c r="ANJ2360" s="38"/>
      <c r="ANK2360" s="38"/>
      <c r="ANL2360" s="38"/>
      <c r="ANM2360" s="38"/>
      <c r="ANN2360" s="38"/>
      <c r="ANO2360" s="38"/>
      <c r="ANP2360" s="38"/>
      <c r="ANQ2360" s="38"/>
      <c r="ANR2360" s="38"/>
      <c r="ANS2360" s="38"/>
      <c r="ANT2360" s="38"/>
      <c r="ANU2360" s="38"/>
      <c r="ANV2360" s="38"/>
      <c r="ANW2360" s="38"/>
      <c r="ANX2360" s="38"/>
      <c r="ANY2360" s="38"/>
      <c r="ANZ2360" s="38"/>
      <c r="AOA2360" s="38"/>
      <c r="AOB2360" s="38"/>
      <c r="AOC2360" s="38"/>
      <c r="AOD2360" s="38"/>
      <c r="AOE2360" s="38"/>
      <c r="AOF2360" s="38"/>
      <c r="AOG2360" s="38"/>
      <c r="AOH2360" s="38"/>
      <c r="AOI2360" s="38"/>
      <c r="AOJ2360" s="38"/>
      <c r="AOK2360" s="38"/>
      <c r="AOL2360" s="38"/>
      <c r="AOM2360" s="38"/>
      <c r="AON2360" s="38"/>
      <c r="AOO2360" s="38"/>
      <c r="AOP2360" s="38"/>
      <c r="AOQ2360" s="38"/>
      <c r="AOR2360" s="38"/>
      <c r="AOS2360" s="38"/>
      <c r="AOT2360" s="38"/>
      <c r="AOU2360" s="38"/>
      <c r="AOV2360" s="38"/>
      <c r="AOW2360" s="38"/>
      <c r="AOX2360" s="38"/>
      <c r="AOY2360" s="38"/>
      <c r="AOZ2360" s="38"/>
      <c r="APA2360" s="38"/>
      <c r="APB2360" s="38"/>
      <c r="APC2360" s="38"/>
    </row>
    <row r="2361" spans="1:1095" s="36" customFormat="1" ht="14.25" customHeight="1">
      <c r="A2361" s="3" t="s">
        <v>1722</v>
      </c>
      <c r="B2361" s="36" t="s">
        <v>2934</v>
      </c>
      <c r="C2361" s="10">
        <v>4099854044151</v>
      </c>
      <c r="D2361" s="224">
        <v>4058075757509</v>
      </c>
      <c r="E2361" s="245" t="s">
        <v>2935</v>
      </c>
      <c r="F2361" s="246"/>
      <c r="G2361" s="66" t="str">
        <f>HYPERLINK("https://ledvance.com/pt/product-datasheet/251782/234684","Ficha de Produto")</f>
        <v>Ficha de Produto</v>
      </c>
      <c r="H2361" s="217">
        <v>10</v>
      </c>
      <c r="I2361" s="34" t="s">
        <v>6349</v>
      </c>
      <c r="J2361" s="34" t="s">
        <v>809</v>
      </c>
      <c r="K2361" s="34" t="s">
        <v>788</v>
      </c>
      <c r="L2361" s="34" t="s">
        <v>765</v>
      </c>
      <c r="M2361" s="247">
        <v>15.100000000000001</v>
      </c>
      <c r="N2361" s="288" t="s">
        <v>722</v>
      </c>
    </row>
    <row r="2362" spans="1:1095" s="36" customFormat="1" ht="14.25" customHeight="1">
      <c r="A2362" s="3" t="s">
        <v>1722</v>
      </c>
      <c r="B2362" s="36" t="s">
        <v>2936</v>
      </c>
      <c r="C2362" s="10">
        <v>4099854044199</v>
      </c>
      <c r="D2362" s="224">
        <v>4058075757523</v>
      </c>
      <c r="E2362" s="245" t="s">
        <v>2937</v>
      </c>
      <c r="F2362" s="246"/>
      <c r="G2362" s="66" t="str">
        <f>HYPERLINK("https://ledvance.com/pt/product-datasheet/251782/234690","Ficha de Produto")</f>
        <v>Ficha de Produto</v>
      </c>
      <c r="H2362" s="217">
        <v>10</v>
      </c>
      <c r="I2362" s="34" t="s">
        <v>6351</v>
      </c>
      <c r="J2362" s="34" t="s">
        <v>886</v>
      </c>
      <c r="K2362" s="34" t="s">
        <v>788</v>
      </c>
      <c r="L2362" s="34" t="s">
        <v>765</v>
      </c>
      <c r="M2362" s="247">
        <v>19.8</v>
      </c>
      <c r="N2362" s="288" t="s">
        <v>722</v>
      </c>
    </row>
    <row r="2363" spans="1:1095" s="36" customFormat="1" ht="14.25" customHeight="1">
      <c r="A2363" s="3" t="s">
        <v>1722</v>
      </c>
      <c r="B2363" s="36" t="s">
        <v>2938</v>
      </c>
      <c r="C2363" s="10">
        <v>4099854044175</v>
      </c>
      <c r="D2363" s="246"/>
      <c r="E2363" s="249"/>
      <c r="F2363" s="222" t="s">
        <v>3136</v>
      </c>
      <c r="G2363" s="66" t="str">
        <f>HYPERLINK("https://ledvance.com/pt/product-datasheet/251782/234687","Ficha de Produto")</f>
        <v>Ficha de Produto</v>
      </c>
      <c r="H2363" s="217">
        <v>10</v>
      </c>
      <c r="I2363" s="34" t="s">
        <v>6349</v>
      </c>
      <c r="J2363" s="34" t="s">
        <v>809</v>
      </c>
      <c r="K2363" s="34" t="s">
        <v>788</v>
      </c>
      <c r="L2363" s="34" t="s">
        <v>765</v>
      </c>
      <c r="M2363" s="247">
        <v>15.100000000000001</v>
      </c>
      <c r="N2363" s="288" t="s">
        <v>722</v>
      </c>
    </row>
    <row r="2364" spans="1:1095" s="36" customFormat="1" ht="14.25" customHeight="1">
      <c r="A2364" s="3" t="s">
        <v>1722</v>
      </c>
      <c r="B2364" s="36" t="s">
        <v>2939</v>
      </c>
      <c r="C2364" s="10">
        <v>4099854044212</v>
      </c>
      <c r="D2364" s="246"/>
      <c r="E2364" s="249"/>
      <c r="F2364" s="222" t="s">
        <v>3136</v>
      </c>
      <c r="G2364" s="66" t="str">
        <f>HYPERLINK("https://ledvance.com/pt/product-datasheet/251782/234693","Ficha de Produto")</f>
        <v>Ficha de Produto</v>
      </c>
      <c r="H2364" s="217">
        <v>10</v>
      </c>
      <c r="I2364" s="34" t="s">
        <v>6351</v>
      </c>
      <c r="J2364" s="34" t="s">
        <v>886</v>
      </c>
      <c r="K2364" s="34" t="s">
        <v>788</v>
      </c>
      <c r="L2364" s="34" t="s">
        <v>765</v>
      </c>
      <c r="M2364" s="247">
        <v>19.8</v>
      </c>
      <c r="N2364" s="288" t="s">
        <v>722</v>
      </c>
    </row>
    <row r="2365" spans="1:1095" s="36" customFormat="1" ht="14.25" customHeight="1">
      <c r="A2365" s="3" t="s">
        <v>1722</v>
      </c>
      <c r="B2365" s="36" t="s">
        <v>2940</v>
      </c>
      <c r="C2365" s="10">
        <v>4099854086342</v>
      </c>
      <c r="D2365" s="246"/>
      <c r="E2365" s="249"/>
      <c r="F2365" s="222" t="s">
        <v>3136</v>
      </c>
      <c r="G2365" s="66" t="str">
        <f>HYPERLINK("https://ledvance.com/pt/product-datasheet/251782/245320","Ficha de Produto")</f>
        <v>Ficha de Produto</v>
      </c>
      <c r="H2365" s="217">
        <v>10</v>
      </c>
      <c r="I2365" s="34" t="s">
        <v>6349</v>
      </c>
      <c r="J2365" s="34" t="s">
        <v>6418</v>
      </c>
      <c r="K2365" s="34" t="s">
        <v>788</v>
      </c>
      <c r="L2365" s="34" t="s">
        <v>765</v>
      </c>
      <c r="M2365" s="247">
        <v>20.3</v>
      </c>
      <c r="N2365" s="288" t="s">
        <v>722</v>
      </c>
    </row>
    <row r="2366" spans="1:1095" s="36" customFormat="1" ht="14.25" customHeight="1">
      <c r="A2366" s="3" t="s">
        <v>1722</v>
      </c>
      <c r="B2366" s="36" t="s">
        <v>2941</v>
      </c>
      <c r="C2366" s="10">
        <v>4099854086366</v>
      </c>
      <c r="D2366" s="246"/>
      <c r="E2366" s="249"/>
      <c r="F2366" s="222" t="s">
        <v>3136</v>
      </c>
      <c r="G2366" s="66" t="str">
        <f>HYPERLINK("https://ledvance.com/pt/product-datasheet/251782/245323","Ficha de Produto")</f>
        <v>Ficha de Produto</v>
      </c>
      <c r="H2366" s="217">
        <v>10</v>
      </c>
      <c r="I2366" s="34" t="s">
        <v>6349</v>
      </c>
      <c r="J2366" s="34" t="s">
        <v>6418</v>
      </c>
      <c r="K2366" s="34" t="s">
        <v>788</v>
      </c>
      <c r="L2366" s="34" t="s">
        <v>765</v>
      </c>
      <c r="M2366" s="247">
        <v>20.3</v>
      </c>
      <c r="N2366" s="288" t="s">
        <v>722</v>
      </c>
    </row>
    <row r="2367" spans="1:1095" s="39" customFormat="1" ht="14.25" customHeight="1">
      <c r="A2367" s="8" t="s">
        <v>1722</v>
      </c>
      <c r="B2367" s="244" t="s">
        <v>2942</v>
      </c>
      <c r="C2367" s="8"/>
      <c r="D2367" s="7"/>
      <c r="E2367" s="230"/>
      <c r="F2367" s="7"/>
      <c r="G2367" s="68"/>
      <c r="H2367" s="230"/>
      <c r="I2367" s="230"/>
      <c r="J2367" s="230"/>
      <c r="K2367" s="230"/>
      <c r="L2367" s="230"/>
      <c r="M2367" s="248"/>
      <c r="N2367" s="289"/>
      <c r="O2367" s="38"/>
      <c r="P2367" s="38"/>
      <c r="Q2367" s="38"/>
      <c r="R2367" s="38"/>
      <c r="S2367" s="38"/>
      <c r="T2367" s="38"/>
      <c r="U2367" s="38"/>
      <c r="V2367" s="38"/>
      <c r="W2367" s="38"/>
      <c r="X2367" s="38"/>
      <c r="Y2367" s="38"/>
      <c r="Z2367" s="38"/>
      <c r="AA2367" s="38"/>
      <c r="AB2367" s="38"/>
      <c r="AC2367" s="38"/>
      <c r="AD2367" s="38"/>
      <c r="AE2367" s="38"/>
      <c r="AF2367" s="38"/>
      <c r="AG2367" s="38"/>
      <c r="AH2367" s="38"/>
      <c r="AI2367" s="38"/>
      <c r="AJ2367" s="38"/>
      <c r="AK2367" s="38"/>
      <c r="AL2367" s="38"/>
      <c r="AM2367" s="38"/>
      <c r="AN2367" s="38"/>
      <c r="AO2367" s="38"/>
      <c r="AP2367" s="38"/>
      <c r="AQ2367" s="38"/>
      <c r="AR2367" s="38"/>
      <c r="AS2367" s="38"/>
      <c r="AT2367" s="38"/>
      <c r="AU2367" s="38"/>
      <c r="AV2367" s="38"/>
      <c r="AW2367" s="38"/>
      <c r="AX2367" s="38"/>
      <c r="AY2367" s="38"/>
      <c r="AZ2367" s="38"/>
      <c r="BA2367" s="38"/>
      <c r="BB2367" s="38"/>
      <c r="BC2367" s="38"/>
      <c r="BD2367" s="38"/>
      <c r="BE2367" s="38"/>
      <c r="BF2367" s="38"/>
      <c r="BG2367" s="38"/>
      <c r="BH2367" s="38"/>
      <c r="BI2367" s="38"/>
      <c r="BJ2367" s="38"/>
      <c r="BK2367" s="38"/>
      <c r="BL2367" s="38"/>
      <c r="BM2367" s="38"/>
      <c r="BN2367" s="38"/>
      <c r="BO2367" s="38"/>
      <c r="BP2367" s="38"/>
      <c r="BQ2367" s="38"/>
      <c r="BR2367" s="38"/>
      <c r="BS2367" s="38"/>
      <c r="BT2367" s="38"/>
      <c r="BU2367" s="38"/>
      <c r="BV2367" s="38"/>
      <c r="BW2367" s="38"/>
      <c r="BX2367" s="38"/>
      <c r="BY2367" s="38"/>
      <c r="BZ2367" s="38"/>
      <c r="CA2367" s="38"/>
      <c r="CB2367" s="38"/>
      <c r="CC2367" s="38"/>
      <c r="CD2367" s="38"/>
      <c r="CE2367" s="38"/>
      <c r="CF2367" s="38"/>
      <c r="CG2367" s="38"/>
      <c r="CH2367" s="38"/>
      <c r="CI2367" s="38"/>
      <c r="CJ2367" s="38"/>
      <c r="CK2367" s="38"/>
      <c r="CL2367" s="38"/>
      <c r="CM2367" s="38"/>
      <c r="CN2367" s="38"/>
      <c r="CO2367" s="38"/>
      <c r="CP2367" s="38"/>
      <c r="CQ2367" s="38"/>
      <c r="CR2367" s="38"/>
      <c r="CS2367" s="38"/>
      <c r="CT2367" s="38"/>
      <c r="CU2367" s="38"/>
      <c r="CV2367" s="38"/>
      <c r="CW2367" s="38"/>
      <c r="CX2367" s="38"/>
      <c r="CY2367" s="38"/>
      <c r="CZ2367" s="38"/>
      <c r="DA2367" s="38"/>
      <c r="DB2367" s="38"/>
      <c r="DC2367" s="38"/>
      <c r="DD2367" s="38"/>
      <c r="DE2367" s="38"/>
      <c r="DF2367" s="38"/>
      <c r="DG2367" s="38"/>
      <c r="DH2367" s="38"/>
      <c r="DI2367" s="38"/>
      <c r="DJ2367" s="38"/>
      <c r="DK2367" s="38"/>
      <c r="DL2367" s="38"/>
      <c r="DM2367" s="38"/>
      <c r="DN2367" s="38"/>
      <c r="DO2367" s="38"/>
      <c r="DP2367" s="38"/>
      <c r="DQ2367" s="38"/>
      <c r="DR2367" s="38"/>
      <c r="DS2367" s="38"/>
      <c r="DT2367" s="38"/>
      <c r="DU2367" s="38"/>
      <c r="DV2367" s="38"/>
      <c r="DW2367" s="38"/>
      <c r="DX2367" s="38"/>
      <c r="DY2367" s="38"/>
      <c r="DZ2367" s="38"/>
      <c r="EA2367" s="38"/>
      <c r="EB2367" s="38"/>
      <c r="EC2367" s="38"/>
      <c r="ED2367" s="38"/>
      <c r="EE2367" s="38"/>
      <c r="EF2367" s="38"/>
      <c r="EG2367" s="38"/>
      <c r="EH2367" s="38"/>
      <c r="EI2367" s="38"/>
      <c r="EJ2367" s="38"/>
      <c r="EK2367" s="38"/>
      <c r="EL2367" s="38"/>
      <c r="EM2367" s="38"/>
      <c r="EN2367" s="38"/>
      <c r="EO2367" s="38"/>
      <c r="EP2367" s="38"/>
      <c r="EQ2367" s="38"/>
      <c r="ER2367" s="38"/>
      <c r="ES2367" s="38"/>
      <c r="ET2367" s="38"/>
      <c r="EU2367" s="38"/>
      <c r="EV2367" s="38"/>
      <c r="EW2367" s="38"/>
      <c r="EX2367" s="38"/>
      <c r="EY2367" s="38"/>
      <c r="EZ2367" s="38"/>
      <c r="FA2367" s="38"/>
      <c r="FB2367" s="38"/>
      <c r="FC2367" s="38"/>
      <c r="FD2367" s="38"/>
      <c r="FE2367" s="38"/>
      <c r="FF2367" s="38"/>
      <c r="FG2367" s="38"/>
      <c r="FH2367" s="38"/>
      <c r="FI2367" s="38"/>
      <c r="FJ2367" s="38"/>
      <c r="FK2367" s="38"/>
      <c r="FL2367" s="38"/>
      <c r="FM2367" s="38"/>
      <c r="FN2367" s="38"/>
      <c r="FO2367" s="38"/>
      <c r="FP2367" s="38"/>
      <c r="FQ2367" s="38"/>
      <c r="FR2367" s="38"/>
      <c r="FS2367" s="38"/>
      <c r="FT2367" s="38"/>
      <c r="FU2367" s="38"/>
      <c r="FV2367" s="38"/>
      <c r="FW2367" s="38"/>
      <c r="FX2367" s="38"/>
      <c r="FY2367" s="38"/>
      <c r="FZ2367" s="38"/>
      <c r="GA2367" s="38"/>
      <c r="GB2367" s="38"/>
      <c r="GC2367" s="38"/>
      <c r="GD2367" s="38"/>
      <c r="GE2367" s="38"/>
      <c r="GF2367" s="38"/>
      <c r="GG2367" s="38"/>
      <c r="GH2367" s="38"/>
      <c r="GI2367" s="38"/>
      <c r="GJ2367" s="38"/>
      <c r="GK2367" s="38"/>
      <c r="GL2367" s="38"/>
      <c r="GM2367" s="38"/>
      <c r="GN2367" s="38"/>
      <c r="GO2367" s="38"/>
      <c r="GP2367" s="38"/>
      <c r="GQ2367" s="38"/>
      <c r="GR2367" s="38"/>
      <c r="GS2367" s="38"/>
      <c r="GT2367" s="38"/>
      <c r="GU2367" s="38"/>
      <c r="GV2367" s="38"/>
      <c r="GW2367" s="38"/>
      <c r="GX2367" s="38"/>
      <c r="GY2367" s="38"/>
      <c r="GZ2367" s="38"/>
      <c r="HA2367" s="38"/>
      <c r="HB2367" s="38"/>
      <c r="HC2367" s="38"/>
      <c r="HD2367" s="38"/>
      <c r="HE2367" s="38"/>
      <c r="HF2367" s="38"/>
      <c r="HG2367" s="38"/>
      <c r="HH2367" s="38"/>
      <c r="HI2367" s="38"/>
      <c r="HJ2367" s="38"/>
      <c r="HK2367" s="38"/>
      <c r="HL2367" s="38"/>
      <c r="HM2367" s="38"/>
      <c r="HN2367" s="38"/>
      <c r="HO2367" s="38"/>
      <c r="HP2367" s="38"/>
      <c r="HQ2367" s="38"/>
      <c r="HR2367" s="38"/>
      <c r="HS2367" s="38"/>
      <c r="HT2367" s="38"/>
      <c r="HU2367" s="38"/>
      <c r="HV2367" s="38"/>
      <c r="HW2367" s="38"/>
      <c r="HX2367" s="38"/>
      <c r="HY2367" s="38"/>
      <c r="HZ2367" s="38"/>
      <c r="IA2367" s="38"/>
      <c r="IB2367" s="38"/>
      <c r="IC2367" s="38"/>
      <c r="ID2367" s="38"/>
      <c r="IE2367" s="38"/>
      <c r="IF2367" s="38"/>
      <c r="IG2367" s="38"/>
      <c r="IH2367" s="38"/>
      <c r="II2367" s="38"/>
      <c r="IJ2367" s="38"/>
      <c r="IK2367" s="38"/>
      <c r="IL2367" s="38"/>
      <c r="IM2367" s="38"/>
      <c r="IN2367" s="38"/>
      <c r="IO2367" s="38"/>
      <c r="IP2367" s="38"/>
      <c r="IQ2367" s="38"/>
      <c r="IR2367" s="38"/>
      <c r="IS2367" s="38"/>
      <c r="IT2367" s="38"/>
      <c r="IU2367" s="38"/>
      <c r="IV2367" s="38"/>
      <c r="IW2367" s="38"/>
      <c r="IX2367" s="38"/>
      <c r="IY2367" s="38"/>
      <c r="IZ2367" s="38"/>
      <c r="JA2367" s="38"/>
      <c r="JB2367" s="38"/>
      <c r="JC2367" s="38"/>
      <c r="JD2367" s="38"/>
      <c r="JE2367" s="38"/>
      <c r="JF2367" s="38"/>
      <c r="JG2367" s="38"/>
      <c r="JH2367" s="38"/>
      <c r="JI2367" s="38"/>
      <c r="JJ2367" s="38"/>
      <c r="JK2367" s="38"/>
      <c r="JL2367" s="38"/>
      <c r="JM2367" s="38"/>
      <c r="JN2367" s="38"/>
      <c r="JO2367" s="38"/>
      <c r="JP2367" s="38"/>
      <c r="JQ2367" s="38"/>
      <c r="JR2367" s="38"/>
      <c r="JS2367" s="38"/>
      <c r="JT2367" s="38"/>
      <c r="JU2367" s="38"/>
      <c r="JV2367" s="38"/>
      <c r="JW2367" s="38"/>
      <c r="JX2367" s="38"/>
      <c r="JY2367" s="38"/>
      <c r="JZ2367" s="38"/>
      <c r="KA2367" s="38"/>
      <c r="KB2367" s="38"/>
      <c r="KC2367" s="38"/>
      <c r="KD2367" s="38"/>
      <c r="KE2367" s="38"/>
      <c r="KF2367" s="38"/>
      <c r="KG2367" s="38"/>
      <c r="KH2367" s="38"/>
      <c r="KI2367" s="38"/>
      <c r="KJ2367" s="38"/>
      <c r="KK2367" s="38"/>
      <c r="KL2367" s="38"/>
      <c r="KM2367" s="38"/>
      <c r="KN2367" s="38"/>
      <c r="KO2367" s="38"/>
      <c r="KP2367" s="38"/>
      <c r="KQ2367" s="38"/>
      <c r="KR2367" s="38"/>
      <c r="KS2367" s="38"/>
      <c r="KT2367" s="38"/>
      <c r="KU2367" s="38"/>
      <c r="KV2367" s="38"/>
      <c r="KW2367" s="38"/>
      <c r="KX2367" s="38"/>
      <c r="KY2367" s="38"/>
      <c r="KZ2367" s="38"/>
      <c r="LA2367" s="38"/>
      <c r="LB2367" s="38"/>
      <c r="LC2367" s="38"/>
      <c r="LD2367" s="38"/>
      <c r="LE2367" s="38"/>
      <c r="LF2367" s="38"/>
      <c r="LG2367" s="38"/>
      <c r="LH2367" s="38"/>
      <c r="LI2367" s="38"/>
      <c r="LJ2367" s="38"/>
      <c r="LK2367" s="38"/>
      <c r="LL2367" s="38"/>
      <c r="LM2367" s="38"/>
      <c r="LN2367" s="38"/>
      <c r="LO2367" s="38"/>
      <c r="LP2367" s="38"/>
      <c r="LQ2367" s="38"/>
      <c r="LR2367" s="38"/>
      <c r="LS2367" s="38"/>
      <c r="LT2367" s="38"/>
      <c r="LU2367" s="38"/>
      <c r="LV2367" s="38"/>
      <c r="LW2367" s="38"/>
      <c r="LX2367" s="38"/>
      <c r="LY2367" s="38"/>
      <c r="LZ2367" s="38"/>
      <c r="MA2367" s="38"/>
      <c r="MB2367" s="38"/>
      <c r="MC2367" s="38"/>
      <c r="MD2367" s="38"/>
      <c r="ME2367" s="38"/>
      <c r="MF2367" s="38"/>
      <c r="MG2367" s="38"/>
      <c r="MH2367" s="38"/>
      <c r="MI2367" s="38"/>
      <c r="MJ2367" s="38"/>
      <c r="MK2367" s="38"/>
      <c r="ML2367" s="38"/>
      <c r="MM2367" s="38"/>
      <c r="MN2367" s="38"/>
      <c r="MO2367" s="38"/>
      <c r="MP2367" s="38"/>
      <c r="MQ2367" s="38"/>
      <c r="MR2367" s="38"/>
      <c r="MS2367" s="38"/>
      <c r="MT2367" s="38"/>
      <c r="MU2367" s="38"/>
      <c r="MV2367" s="38"/>
      <c r="MW2367" s="38"/>
      <c r="MX2367" s="38"/>
      <c r="MY2367" s="38"/>
      <c r="MZ2367" s="38"/>
      <c r="NA2367" s="38"/>
      <c r="NB2367" s="38"/>
      <c r="NC2367" s="38"/>
      <c r="ND2367" s="38"/>
      <c r="NE2367" s="38"/>
      <c r="NF2367" s="38"/>
      <c r="NG2367" s="38"/>
      <c r="NH2367" s="38"/>
      <c r="NI2367" s="38"/>
      <c r="NJ2367" s="38"/>
      <c r="NK2367" s="38"/>
      <c r="NL2367" s="38"/>
      <c r="NM2367" s="38"/>
      <c r="NN2367" s="38"/>
      <c r="NO2367" s="38"/>
      <c r="NP2367" s="38"/>
      <c r="NQ2367" s="38"/>
      <c r="NR2367" s="38"/>
      <c r="NS2367" s="38"/>
      <c r="NT2367" s="38"/>
      <c r="NU2367" s="38"/>
      <c r="NV2367" s="38"/>
      <c r="NW2367" s="38"/>
      <c r="NX2367" s="38"/>
      <c r="NY2367" s="38"/>
      <c r="NZ2367" s="38"/>
      <c r="OA2367" s="38"/>
      <c r="OB2367" s="38"/>
      <c r="OC2367" s="38"/>
      <c r="OD2367" s="38"/>
      <c r="OE2367" s="38"/>
      <c r="OF2367" s="38"/>
      <c r="OG2367" s="38"/>
      <c r="OH2367" s="38"/>
      <c r="OI2367" s="38"/>
      <c r="OJ2367" s="38"/>
      <c r="OK2367" s="38"/>
      <c r="OL2367" s="38"/>
      <c r="OM2367" s="38"/>
      <c r="ON2367" s="38"/>
      <c r="OO2367" s="38"/>
      <c r="OP2367" s="38"/>
      <c r="OQ2367" s="38"/>
      <c r="OR2367" s="38"/>
      <c r="OS2367" s="38"/>
      <c r="OT2367" s="38"/>
      <c r="OU2367" s="38"/>
      <c r="OV2367" s="38"/>
      <c r="OW2367" s="38"/>
      <c r="OX2367" s="38"/>
      <c r="OY2367" s="38"/>
      <c r="OZ2367" s="38"/>
      <c r="PA2367" s="38"/>
      <c r="PB2367" s="38"/>
      <c r="PC2367" s="38"/>
      <c r="PD2367" s="38"/>
      <c r="PE2367" s="38"/>
      <c r="PF2367" s="38"/>
      <c r="PG2367" s="38"/>
      <c r="PH2367" s="38"/>
      <c r="PI2367" s="38"/>
      <c r="PJ2367" s="38"/>
      <c r="PK2367" s="38"/>
      <c r="PL2367" s="38"/>
      <c r="PM2367" s="38"/>
      <c r="PN2367" s="38"/>
      <c r="PO2367" s="38"/>
      <c r="PP2367" s="38"/>
      <c r="PQ2367" s="38"/>
      <c r="PR2367" s="38"/>
      <c r="PS2367" s="38"/>
      <c r="PT2367" s="38"/>
      <c r="PU2367" s="38"/>
      <c r="PV2367" s="38"/>
      <c r="PW2367" s="38"/>
      <c r="PX2367" s="38"/>
      <c r="PY2367" s="38"/>
      <c r="PZ2367" s="38"/>
      <c r="QA2367" s="38"/>
      <c r="QB2367" s="38"/>
      <c r="QC2367" s="38"/>
      <c r="QD2367" s="38"/>
      <c r="QE2367" s="38"/>
      <c r="QF2367" s="38"/>
      <c r="QG2367" s="38"/>
      <c r="QH2367" s="38"/>
      <c r="QI2367" s="38"/>
      <c r="QJ2367" s="38"/>
      <c r="QK2367" s="38"/>
      <c r="QL2367" s="38"/>
      <c r="QM2367" s="38"/>
      <c r="QN2367" s="38"/>
      <c r="QO2367" s="38"/>
      <c r="QP2367" s="38"/>
      <c r="QQ2367" s="38"/>
      <c r="QR2367" s="38"/>
      <c r="QS2367" s="38"/>
      <c r="QT2367" s="38"/>
      <c r="QU2367" s="38"/>
      <c r="QV2367" s="38"/>
      <c r="QW2367" s="38"/>
      <c r="QX2367" s="38"/>
      <c r="QY2367" s="38"/>
      <c r="QZ2367" s="38"/>
      <c r="RA2367" s="38"/>
      <c r="RB2367" s="38"/>
      <c r="RC2367" s="38"/>
      <c r="RD2367" s="38"/>
      <c r="RE2367" s="38"/>
      <c r="RF2367" s="38"/>
      <c r="RG2367" s="38"/>
      <c r="RH2367" s="38"/>
      <c r="RI2367" s="38"/>
      <c r="RJ2367" s="38"/>
      <c r="RK2367" s="38"/>
      <c r="RL2367" s="38"/>
      <c r="RM2367" s="38"/>
      <c r="RN2367" s="38"/>
      <c r="RO2367" s="38"/>
      <c r="RP2367" s="38"/>
      <c r="RQ2367" s="38"/>
      <c r="RR2367" s="38"/>
      <c r="RS2367" s="38"/>
      <c r="RT2367" s="38"/>
      <c r="RU2367" s="38"/>
      <c r="RV2367" s="38"/>
      <c r="RW2367" s="38"/>
      <c r="RX2367" s="38"/>
      <c r="RY2367" s="38"/>
      <c r="RZ2367" s="38"/>
      <c r="SA2367" s="38"/>
      <c r="SB2367" s="38"/>
      <c r="SC2367" s="38"/>
      <c r="SD2367" s="38"/>
      <c r="SE2367" s="38"/>
      <c r="SF2367" s="38"/>
      <c r="SG2367" s="38"/>
      <c r="SH2367" s="38"/>
      <c r="SI2367" s="38"/>
      <c r="SJ2367" s="38"/>
      <c r="SK2367" s="38"/>
      <c r="SL2367" s="38"/>
      <c r="SM2367" s="38"/>
      <c r="SN2367" s="38"/>
      <c r="SO2367" s="38"/>
      <c r="SP2367" s="38"/>
      <c r="SQ2367" s="38"/>
      <c r="SR2367" s="38"/>
      <c r="SS2367" s="38"/>
      <c r="ST2367" s="38"/>
      <c r="SU2367" s="38"/>
      <c r="SV2367" s="38"/>
      <c r="SW2367" s="38"/>
      <c r="SX2367" s="38"/>
      <c r="SY2367" s="38"/>
      <c r="SZ2367" s="38"/>
      <c r="TA2367" s="38"/>
      <c r="TB2367" s="38"/>
      <c r="TC2367" s="38"/>
      <c r="TD2367" s="38"/>
      <c r="TE2367" s="38"/>
      <c r="TF2367" s="38"/>
      <c r="TG2367" s="38"/>
      <c r="TH2367" s="38"/>
      <c r="TI2367" s="38"/>
      <c r="TJ2367" s="38"/>
      <c r="TK2367" s="38"/>
      <c r="TL2367" s="38"/>
      <c r="TM2367" s="38"/>
      <c r="TN2367" s="38"/>
      <c r="TO2367" s="38"/>
      <c r="TP2367" s="38"/>
      <c r="TQ2367" s="38"/>
      <c r="TR2367" s="38"/>
      <c r="TS2367" s="38"/>
      <c r="TT2367" s="38"/>
      <c r="TU2367" s="38"/>
      <c r="TV2367" s="38"/>
      <c r="TW2367" s="38"/>
      <c r="TX2367" s="38"/>
      <c r="TY2367" s="38"/>
      <c r="TZ2367" s="38"/>
      <c r="UA2367" s="38"/>
      <c r="UB2367" s="38"/>
      <c r="UC2367" s="38"/>
      <c r="UD2367" s="38"/>
      <c r="UE2367" s="38"/>
      <c r="UF2367" s="38"/>
      <c r="UG2367" s="38"/>
      <c r="UH2367" s="38"/>
      <c r="UI2367" s="38"/>
      <c r="UJ2367" s="38"/>
      <c r="UK2367" s="38"/>
      <c r="UL2367" s="38"/>
      <c r="UM2367" s="38"/>
      <c r="UN2367" s="38"/>
      <c r="UO2367" s="38"/>
      <c r="UP2367" s="38"/>
      <c r="UQ2367" s="38"/>
      <c r="UR2367" s="38"/>
      <c r="US2367" s="38"/>
      <c r="UT2367" s="38"/>
      <c r="UU2367" s="38"/>
      <c r="UV2367" s="38"/>
      <c r="UW2367" s="38"/>
      <c r="UX2367" s="38"/>
      <c r="UY2367" s="38"/>
      <c r="UZ2367" s="38"/>
      <c r="VA2367" s="38"/>
      <c r="VB2367" s="38"/>
      <c r="VC2367" s="38"/>
      <c r="VD2367" s="38"/>
      <c r="VE2367" s="38"/>
      <c r="VF2367" s="38"/>
      <c r="VG2367" s="38"/>
      <c r="VH2367" s="38"/>
      <c r="VI2367" s="38"/>
      <c r="VJ2367" s="38"/>
      <c r="VK2367" s="38"/>
      <c r="VL2367" s="38"/>
      <c r="VM2367" s="38"/>
      <c r="VN2367" s="38"/>
      <c r="VO2367" s="38"/>
      <c r="VP2367" s="38"/>
      <c r="VQ2367" s="38"/>
      <c r="VR2367" s="38"/>
      <c r="VS2367" s="38"/>
      <c r="VT2367" s="38"/>
      <c r="VU2367" s="38"/>
      <c r="VV2367" s="38"/>
      <c r="VW2367" s="38"/>
      <c r="VX2367" s="38"/>
      <c r="VY2367" s="38"/>
      <c r="VZ2367" s="38"/>
      <c r="WA2367" s="38"/>
      <c r="WB2367" s="38"/>
      <c r="WC2367" s="38"/>
      <c r="WD2367" s="38"/>
      <c r="WE2367" s="38"/>
      <c r="WF2367" s="38"/>
      <c r="WG2367" s="38"/>
      <c r="WH2367" s="38"/>
      <c r="WI2367" s="38"/>
      <c r="WJ2367" s="38"/>
      <c r="WK2367" s="38"/>
      <c r="WL2367" s="38"/>
      <c r="WM2367" s="38"/>
      <c r="WN2367" s="38"/>
      <c r="WO2367" s="38"/>
      <c r="WP2367" s="38"/>
      <c r="WQ2367" s="38"/>
      <c r="WR2367" s="38"/>
      <c r="WS2367" s="38"/>
      <c r="WT2367" s="38"/>
      <c r="WU2367" s="38"/>
      <c r="WV2367" s="38"/>
      <c r="WW2367" s="38"/>
      <c r="WX2367" s="38"/>
      <c r="WY2367" s="38"/>
      <c r="WZ2367" s="38"/>
      <c r="XA2367" s="38"/>
      <c r="XB2367" s="38"/>
      <c r="XC2367" s="38"/>
      <c r="XD2367" s="38"/>
      <c r="XE2367" s="38"/>
      <c r="XF2367" s="38"/>
      <c r="XG2367" s="38"/>
      <c r="XH2367" s="38"/>
      <c r="XI2367" s="38"/>
      <c r="XJ2367" s="38"/>
      <c r="XK2367" s="38"/>
      <c r="XL2367" s="38"/>
      <c r="XM2367" s="38"/>
      <c r="XN2367" s="38"/>
      <c r="XO2367" s="38"/>
      <c r="XP2367" s="38"/>
      <c r="XQ2367" s="38"/>
      <c r="XR2367" s="38"/>
      <c r="XS2367" s="38"/>
      <c r="XT2367" s="38"/>
      <c r="XU2367" s="38"/>
      <c r="XV2367" s="38"/>
      <c r="XW2367" s="38"/>
      <c r="XX2367" s="38"/>
      <c r="XY2367" s="38"/>
      <c r="XZ2367" s="38"/>
      <c r="YA2367" s="38"/>
      <c r="YB2367" s="38"/>
      <c r="YC2367" s="38"/>
      <c r="YD2367" s="38"/>
      <c r="YE2367" s="38"/>
      <c r="YF2367" s="38"/>
      <c r="YG2367" s="38"/>
      <c r="YH2367" s="38"/>
      <c r="YI2367" s="38"/>
      <c r="YJ2367" s="38"/>
      <c r="YK2367" s="38"/>
      <c r="YL2367" s="38"/>
      <c r="YM2367" s="38"/>
      <c r="YN2367" s="38"/>
      <c r="YO2367" s="38"/>
      <c r="YP2367" s="38"/>
      <c r="YQ2367" s="38"/>
      <c r="YR2367" s="38"/>
      <c r="YS2367" s="38"/>
      <c r="YT2367" s="38"/>
      <c r="YU2367" s="38"/>
      <c r="YV2367" s="38"/>
      <c r="YW2367" s="38"/>
      <c r="YX2367" s="38"/>
      <c r="YY2367" s="38"/>
      <c r="YZ2367" s="38"/>
      <c r="ZA2367" s="38"/>
      <c r="ZB2367" s="38"/>
      <c r="ZC2367" s="38"/>
      <c r="ZD2367" s="38"/>
      <c r="ZE2367" s="38"/>
      <c r="ZF2367" s="38"/>
      <c r="ZG2367" s="38"/>
      <c r="ZH2367" s="38"/>
      <c r="ZI2367" s="38"/>
      <c r="ZJ2367" s="38"/>
      <c r="ZK2367" s="38"/>
      <c r="ZL2367" s="38"/>
      <c r="ZM2367" s="38"/>
      <c r="ZN2367" s="38"/>
      <c r="ZO2367" s="38"/>
      <c r="ZP2367" s="38"/>
      <c r="ZQ2367" s="38"/>
      <c r="ZR2367" s="38"/>
      <c r="ZS2367" s="38"/>
      <c r="ZT2367" s="38"/>
      <c r="ZU2367" s="38"/>
      <c r="ZV2367" s="38"/>
      <c r="ZW2367" s="38"/>
      <c r="ZX2367" s="38"/>
      <c r="ZY2367" s="38"/>
      <c r="ZZ2367" s="38"/>
      <c r="AAA2367" s="38"/>
      <c r="AAB2367" s="38"/>
      <c r="AAC2367" s="38"/>
      <c r="AAD2367" s="38"/>
      <c r="AAE2367" s="38"/>
      <c r="AAF2367" s="38"/>
      <c r="AAG2367" s="38"/>
      <c r="AAH2367" s="38"/>
      <c r="AAI2367" s="38"/>
      <c r="AAJ2367" s="38"/>
      <c r="AAK2367" s="38"/>
      <c r="AAL2367" s="38"/>
      <c r="AAM2367" s="38"/>
      <c r="AAN2367" s="38"/>
      <c r="AAO2367" s="38"/>
      <c r="AAP2367" s="38"/>
      <c r="AAQ2367" s="38"/>
      <c r="AAR2367" s="38"/>
      <c r="AAS2367" s="38"/>
      <c r="AAT2367" s="38"/>
      <c r="AAU2367" s="38"/>
      <c r="AAV2367" s="38"/>
      <c r="AAW2367" s="38"/>
      <c r="AAX2367" s="38"/>
      <c r="AAY2367" s="38"/>
      <c r="AAZ2367" s="38"/>
      <c r="ABA2367" s="38"/>
      <c r="ABB2367" s="38"/>
      <c r="ABC2367" s="38"/>
      <c r="ABD2367" s="38"/>
      <c r="ABE2367" s="38"/>
      <c r="ABF2367" s="38"/>
      <c r="ABG2367" s="38"/>
      <c r="ABH2367" s="38"/>
      <c r="ABI2367" s="38"/>
      <c r="ABJ2367" s="38"/>
      <c r="ABK2367" s="38"/>
      <c r="ABL2367" s="38"/>
      <c r="ABM2367" s="38"/>
      <c r="ABN2367" s="38"/>
      <c r="ABO2367" s="38"/>
      <c r="ABP2367" s="38"/>
      <c r="ABQ2367" s="38"/>
      <c r="ABR2367" s="38"/>
      <c r="ABS2367" s="38"/>
      <c r="ABT2367" s="38"/>
      <c r="ABU2367" s="38"/>
      <c r="ABV2367" s="38"/>
      <c r="ABW2367" s="38"/>
      <c r="ABX2367" s="38"/>
      <c r="ABY2367" s="38"/>
      <c r="ABZ2367" s="38"/>
      <c r="ACA2367" s="38"/>
      <c r="ACB2367" s="38"/>
      <c r="ACC2367" s="38"/>
      <c r="ACD2367" s="38"/>
      <c r="ACE2367" s="38"/>
      <c r="ACF2367" s="38"/>
      <c r="ACG2367" s="38"/>
      <c r="ACH2367" s="38"/>
      <c r="ACI2367" s="38"/>
      <c r="ACJ2367" s="38"/>
      <c r="ACK2367" s="38"/>
      <c r="ACL2367" s="38"/>
      <c r="ACM2367" s="38"/>
      <c r="ACN2367" s="38"/>
      <c r="ACO2367" s="38"/>
      <c r="ACP2367" s="38"/>
      <c r="ACQ2367" s="38"/>
      <c r="ACR2367" s="38"/>
      <c r="ACS2367" s="38"/>
      <c r="ACT2367" s="38"/>
      <c r="ACU2367" s="38"/>
      <c r="ACV2367" s="38"/>
      <c r="ACW2367" s="38"/>
      <c r="ACX2367" s="38"/>
      <c r="ACY2367" s="38"/>
      <c r="ACZ2367" s="38"/>
      <c r="ADA2367" s="38"/>
      <c r="ADB2367" s="38"/>
      <c r="ADC2367" s="38"/>
      <c r="ADD2367" s="38"/>
      <c r="ADE2367" s="38"/>
      <c r="ADF2367" s="38"/>
      <c r="ADG2367" s="38"/>
      <c r="ADH2367" s="38"/>
      <c r="ADI2367" s="38"/>
      <c r="ADJ2367" s="38"/>
      <c r="ADK2367" s="38"/>
      <c r="ADL2367" s="38"/>
      <c r="ADM2367" s="38"/>
      <c r="ADN2367" s="38"/>
      <c r="ADO2367" s="38"/>
      <c r="ADP2367" s="38"/>
      <c r="ADQ2367" s="38"/>
      <c r="ADR2367" s="38"/>
      <c r="ADS2367" s="38"/>
      <c r="ADT2367" s="38"/>
      <c r="ADU2367" s="38"/>
      <c r="ADV2367" s="38"/>
      <c r="ADW2367" s="38"/>
      <c r="ADX2367" s="38"/>
      <c r="ADY2367" s="38"/>
      <c r="ADZ2367" s="38"/>
      <c r="AEA2367" s="38"/>
      <c r="AEB2367" s="38"/>
      <c r="AEC2367" s="38"/>
      <c r="AED2367" s="38"/>
      <c r="AEE2367" s="38"/>
      <c r="AEF2367" s="38"/>
      <c r="AEG2367" s="38"/>
      <c r="AEH2367" s="38"/>
      <c r="AEI2367" s="38"/>
      <c r="AEJ2367" s="38"/>
      <c r="AEK2367" s="38"/>
      <c r="AEL2367" s="38"/>
      <c r="AEM2367" s="38"/>
      <c r="AEN2367" s="38"/>
      <c r="AEO2367" s="38"/>
      <c r="AEP2367" s="38"/>
      <c r="AEQ2367" s="38"/>
      <c r="AER2367" s="38"/>
      <c r="AES2367" s="38"/>
      <c r="AET2367" s="38"/>
      <c r="AEU2367" s="38"/>
      <c r="AEV2367" s="38"/>
      <c r="AEW2367" s="38"/>
      <c r="AEX2367" s="38"/>
      <c r="AEY2367" s="38"/>
      <c r="AEZ2367" s="38"/>
      <c r="AFA2367" s="38"/>
      <c r="AFB2367" s="38"/>
      <c r="AFC2367" s="38"/>
      <c r="AFD2367" s="38"/>
      <c r="AFE2367" s="38"/>
      <c r="AFF2367" s="38"/>
      <c r="AFG2367" s="38"/>
      <c r="AFH2367" s="38"/>
      <c r="AFI2367" s="38"/>
      <c r="AFJ2367" s="38"/>
      <c r="AFK2367" s="38"/>
      <c r="AFL2367" s="38"/>
      <c r="AFM2367" s="38"/>
      <c r="AFN2367" s="38"/>
      <c r="AFO2367" s="38"/>
      <c r="AFP2367" s="38"/>
      <c r="AFQ2367" s="38"/>
      <c r="AFR2367" s="38"/>
      <c r="AFS2367" s="38"/>
      <c r="AFT2367" s="38"/>
      <c r="AFU2367" s="38"/>
      <c r="AFV2367" s="38"/>
      <c r="AFW2367" s="38"/>
      <c r="AFX2367" s="38"/>
      <c r="AFY2367" s="38"/>
      <c r="AFZ2367" s="38"/>
      <c r="AGA2367" s="38"/>
      <c r="AGB2367" s="38"/>
      <c r="AGC2367" s="38"/>
      <c r="AGD2367" s="38"/>
      <c r="AGE2367" s="38"/>
      <c r="AGF2367" s="38"/>
      <c r="AGG2367" s="38"/>
      <c r="AGH2367" s="38"/>
      <c r="AGI2367" s="38"/>
      <c r="AGJ2367" s="38"/>
      <c r="AGK2367" s="38"/>
      <c r="AGL2367" s="38"/>
      <c r="AGM2367" s="38"/>
      <c r="AGN2367" s="38"/>
      <c r="AGO2367" s="38"/>
      <c r="AGP2367" s="38"/>
      <c r="AGQ2367" s="38"/>
      <c r="AGR2367" s="38"/>
      <c r="AGS2367" s="38"/>
      <c r="AGT2367" s="38"/>
      <c r="AGU2367" s="38"/>
      <c r="AGV2367" s="38"/>
      <c r="AGW2367" s="38"/>
      <c r="AGX2367" s="38"/>
      <c r="AGY2367" s="38"/>
      <c r="AGZ2367" s="38"/>
      <c r="AHA2367" s="38"/>
      <c r="AHB2367" s="38"/>
      <c r="AHC2367" s="38"/>
      <c r="AHD2367" s="38"/>
      <c r="AHE2367" s="38"/>
      <c r="AHF2367" s="38"/>
      <c r="AHG2367" s="38"/>
      <c r="AHH2367" s="38"/>
      <c r="AHI2367" s="38"/>
      <c r="AHJ2367" s="38"/>
      <c r="AHK2367" s="38"/>
      <c r="AHL2367" s="38"/>
      <c r="AHM2367" s="38"/>
      <c r="AHN2367" s="38"/>
      <c r="AHO2367" s="38"/>
      <c r="AHP2367" s="38"/>
      <c r="AHQ2367" s="38"/>
      <c r="AHR2367" s="38"/>
      <c r="AHS2367" s="38"/>
      <c r="AHT2367" s="38"/>
      <c r="AHU2367" s="38"/>
      <c r="AHV2367" s="38"/>
      <c r="AHW2367" s="38"/>
      <c r="AHX2367" s="38"/>
      <c r="AHY2367" s="38"/>
      <c r="AHZ2367" s="38"/>
      <c r="AIA2367" s="38"/>
      <c r="AIB2367" s="38"/>
      <c r="AIC2367" s="38"/>
      <c r="AID2367" s="38"/>
      <c r="AIE2367" s="38"/>
      <c r="AIF2367" s="38"/>
      <c r="AIG2367" s="38"/>
      <c r="AIH2367" s="38"/>
      <c r="AII2367" s="38"/>
      <c r="AIJ2367" s="38"/>
      <c r="AIK2367" s="38"/>
      <c r="AIL2367" s="38"/>
      <c r="AIM2367" s="38"/>
      <c r="AIN2367" s="38"/>
      <c r="AIO2367" s="38"/>
      <c r="AIP2367" s="38"/>
      <c r="AIQ2367" s="38"/>
      <c r="AIR2367" s="38"/>
      <c r="AIS2367" s="38"/>
      <c r="AIT2367" s="38"/>
      <c r="AIU2367" s="38"/>
      <c r="AIV2367" s="38"/>
      <c r="AIW2367" s="38"/>
      <c r="AIX2367" s="38"/>
      <c r="AIY2367" s="38"/>
      <c r="AIZ2367" s="38"/>
      <c r="AJA2367" s="38"/>
      <c r="AJB2367" s="38"/>
      <c r="AJC2367" s="38"/>
      <c r="AJD2367" s="38"/>
      <c r="AJE2367" s="38"/>
      <c r="AJF2367" s="38"/>
      <c r="AJG2367" s="38"/>
      <c r="AJH2367" s="38"/>
      <c r="AJI2367" s="38"/>
      <c r="AJJ2367" s="38"/>
      <c r="AJK2367" s="38"/>
      <c r="AJL2367" s="38"/>
      <c r="AJM2367" s="38"/>
      <c r="AJN2367" s="38"/>
      <c r="AJO2367" s="38"/>
      <c r="AJP2367" s="38"/>
      <c r="AJQ2367" s="38"/>
      <c r="AJR2367" s="38"/>
      <c r="AJS2367" s="38"/>
      <c r="AJT2367" s="38"/>
      <c r="AJU2367" s="38"/>
      <c r="AJV2367" s="38"/>
      <c r="AJW2367" s="38"/>
      <c r="AJX2367" s="38"/>
      <c r="AJY2367" s="38"/>
      <c r="AJZ2367" s="38"/>
      <c r="AKA2367" s="38"/>
      <c r="AKB2367" s="38"/>
      <c r="AKC2367" s="38"/>
      <c r="AKD2367" s="38"/>
      <c r="AKE2367" s="38"/>
      <c r="AKF2367" s="38"/>
      <c r="AKG2367" s="38"/>
      <c r="AKH2367" s="38"/>
      <c r="AKI2367" s="38"/>
      <c r="AKJ2367" s="38"/>
      <c r="AKK2367" s="38"/>
      <c r="AKL2367" s="38"/>
      <c r="AKM2367" s="38"/>
      <c r="AKN2367" s="38"/>
      <c r="AKO2367" s="38"/>
      <c r="AKP2367" s="38"/>
      <c r="AKQ2367" s="38"/>
      <c r="AKR2367" s="38"/>
      <c r="AKS2367" s="38"/>
      <c r="AKT2367" s="38"/>
      <c r="AKU2367" s="38"/>
      <c r="AKV2367" s="38"/>
      <c r="AKW2367" s="38"/>
      <c r="AKX2367" s="38"/>
      <c r="AKY2367" s="38"/>
      <c r="AKZ2367" s="38"/>
      <c r="ALA2367" s="38"/>
      <c r="ALB2367" s="38"/>
      <c r="ALC2367" s="38"/>
      <c r="ALD2367" s="38"/>
      <c r="ALE2367" s="38"/>
      <c r="ALF2367" s="38"/>
      <c r="ALG2367" s="38"/>
      <c r="ALH2367" s="38"/>
      <c r="ALI2367" s="38"/>
      <c r="ALJ2367" s="38"/>
      <c r="ALK2367" s="38"/>
      <c r="ALL2367" s="38"/>
      <c r="ALM2367" s="38"/>
      <c r="ALN2367" s="38"/>
      <c r="ALO2367" s="38"/>
      <c r="ALP2367" s="38"/>
      <c r="ALQ2367" s="38"/>
      <c r="ALR2367" s="38"/>
      <c r="ALS2367" s="38"/>
      <c r="ALT2367" s="38"/>
      <c r="ALU2367" s="38"/>
      <c r="ALV2367" s="38"/>
      <c r="ALW2367" s="38"/>
      <c r="ALX2367" s="38"/>
      <c r="ALY2367" s="38"/>
      <c r="ALZ2367" s="38"/>
      <c r="AMA2367" s="38"/>
      <c r="AMB2367" s="38"/>
      <c r="AMC2367" s="38"/>
      <c r="AMD2367" s="38"/>
      <c r="AME2367" s="38"/>
      <c r="AMF2367" s="38"/>
      <c r="AMG2367" s="38"/>
      <c r="AMH2367" s="38"/>
      <c r="AMI2367" s="38"/>
      <c r="AMJ2367" s="38"/>
      <c r="AMK2367" s="38"/>
      <c r="AML2367" s="38"/>
      <c r="AMM2367" s="38"/>
      <c r="AMN2367" s="38"/>
      <c r="AMO2367" s="38"/>
      <c r="AMP2367" s="38"/>
      <c r="AMQ2367" s="38"/>
      <c r="AMR2367" s="38"/>
      <c r="AMS2367" s="38"/>
      <c r="AMT2367" s="38"/>
      <c r="AMU2367" s="38"/>
      <c r="AMV2367" s="38"/>
      <c r="AMW2367" s="38"/>
      <c r="AMX2367" s="38"/>
      <c r="AMY2367" s="38"/>
      <c r="AMZ2367" s="38"/>
      <c r="ANA2367" s="38"/>
      <c r="ANB2367" s="38"/>
      <c r="ANC2367" s="38"/>
      <c r="AND2367" s="38"/>
      <c r="ANE2367" s="38"/>
      <c r="ANF2367" s="38"/>
      <c r="ANG2367" s="38"/>
      <c r="ANH2367" s="38"/>
      <c r="ANI2367" s="38"/>
      <c r="ANJ2367" s="38"/>
      <c r="ANK2367" s="38"/>
      <c r="ANL2367" s="38"/>
      <c r="ANM2367" s="38"/>
      <c r="ANN2367" s="38"/>
      <c r="ANO2367" s="38"/>
      <c r="ANP2367" s="38"/>
      <c r="ANQ2367" s="38"/>
      <c r="ANR2367" s="38"/>
      <c r="ANS2367" s="38"/>
      <c r="ANT2367" s="38"/>
      <c r="ANU2367" s="38"/>
      <c r="ANV2367" s="38"/>
      <c r="ANW2367" s="38"/>
      <c r="ANX2367" s="38"/>
      <c r="ANY2367" s="38"/>
      <c r="ANZ2367" s="38"/>
      <c r="AOA2367" s="38"/>
      <c r="AOB2367" s="38"/>
      <c r="AOC2367" s="38"/>
      <c r="AOD2367" s="38"/>
      <c r="AOE2367" s="38"/>
      <c r="AOF2367" s="38"/>
      <c r="AOG2367" s="38"/>
      <c r="AOH2367" s="38"/>
      <c r="AOI2367" s="38"/>
      <c r="AOJ2367" s="38"/>
      <c r="AOK2367" s="38"/>
      <c r="AOL2367" s="38"/>
      <c r="AOM2367" s="38"/>
      <c r="AON2367" s="38"/>
      <c r="AOO2367" s="38"/>
      <c r="AOP2367" s="38"/>
      <c r="AOQ2367" s="38"/>
      <c r="AOR2367" s="38"/>
      <c r="AOS2367" s="38"/>
      <c r="AOT2367" s="38"/>
      <c r="AOU2367" s="38"/>
      <c r="AOV2367" s="38"/>
      <c r="AOW2367" s="38"/>
      <c r="AOX2367" s="38"/>
      <c r="AOY2367" s="38"/>
      <c r="AOZ2367" s="38"/>
      <c r="APA2367" s="38"/>
      <c r="APB2367" s="38"/>
      <c r="APC2367" s="38"/>
    </row>
    <row r="2368" spans="1:1095" s="36" customFormat="1" ht="14.25" customHeight="1">
      <c r="A2368" s="3" t="s">
        <v>1722</v>
      </c>
      <c r="B2368" s="36" t="s">
        <v>2943</v>
      </c>
      <c r="C2368" s="10">
        <v>4099854043970</v>
      </c>
      <c r="D2368" s="224">
        <v>4058075594180</v>
      </c>
      <c r="E2368" s="245" t="s">
        <v>2944</v>
      </c>
      <c r="F2368" s="246"/>
      <c r="G2368" s="66" t="str">
        <f>HYPERLINK("https://ledvance.com/pt/product-datasheet/251795/234654","Ficha de Produto")</f>
        <v>Ficha de Produto</v>
      </c>
      <c r="H2368" s="217">
        <v>10</v>
      </c>
      <c r="I2368" s="34" t="s">
        <v>6349</v>
      </c>
      <c r="J2368" s="34" t="s">
        <v>6382</v>
      </c>
      <c r="K2368" s="34" t="s">
        <v>788</v>
      </c>
      <c r="L2368" s="34" t="s">
        <v>765</v>
      </c>
      <c r="M2368" s="247">
        <v>8</v>
      </c>
      <c r="N2368" s="288" t="s">
        <v>722</v>
      </c>
    </row>
    <row r="2369" spans="1:1095" s="36" customFormat="1" ht="14.25" customHeight="1">
      <c r="A2369" s="3" t="s">
        <v>1722</v>
      </c>
      <c r="B2369" s="36" t="s">
        <v>2945</v>
      </c>
      <c r="C2369" s="10">
        <v>4099854043994</v>
      </c>
      <c r="D2369" s="224">
        <v>4058075594203</v>
      </c>
      <c r="E2369" s="245" t="s">
        <v>2946</v>
      </c>
      <c r="F2369" s="246"/>
      <c r="G2369" s="66" t="str">
        <f>HYPERLINK("https://ledvance.com/pt/product-datasheet/251795/234657","Ficha de Produto")</f>
        <v>Ficha de Produto</v>
      </c>
      <c r="H2369" s="217">
        <v>10</v>
      </c>
      <c r="I2369" s="34" t="s">
        <v>6351</v>
      </c>
      <c r="J2369" s="34" t="s">
        <v>6419</v>
      </c>
      <c r="K2369" s="34" t="s">
        <v>788</v>
      </c>
      <c r="L2369" s="34" t="s">
        <v>765</v>
      </c>
      <c r="M2369" s="247">
        <v>10.700000000000001</v>
      </c>
      <c r="N2369" s="288" t="s">
        <v>722</v>
      </c>
    </row>
    <row r="2370" spans="1:1095" s="36" customFormat="1" ht="14.25" customHeight="1">
      <c r="A2370" s="3" t="s">
        <v>1722</v>
      </c>
      <c r="B2370" s="36" t="s">
        <v>2947</v>
      </c>
      <c r="C2370" s="10">
        <v>4099854044014</v>
      </c>
      <c r="D2370" s="224">
        <v>4058075594227</v>
      </c>
      <c r="E2370" s="245" t="s">
        <v>2948</v>
      </c>
      <c r="F2370" s="246"/>
      <c r="G2370" s="66" t="str">
        <f>HYPERLINK("https://ledvance.com/pt/product-datasheet/251795/234672","Ficha de Produto")</f>
        <v>Ficha de Produto</v>
      </c>
      <c r="H2370" s="217">
        <v>10</v>
      </c>
      <c r="I2370" s="34" t="s">
        <v>6352</v>
      </c>
      <c r="J2370" s="34" t="s">
        <v>763</v>
      </c>
      <c r="K2370" s="34" t="s">
        <v>788</v>
      </c>
      <c r="L2370" s="34" t="s">
        <v>765</v>
      </c>
      <c r="M2370" s="247">
        <v>13.200000000000001</v>
      </c>
      <c r="N2370" s="288" t="s">
        <v>722</v>
      </c>
    </row>
    <row r="2371" spans="1:1095" s="36" customFormat="1" ht="14.25" customHeight="1">
      <c r="A2371" s="3" t="s">
        <v>1722</v>
      </c>
      <c r="B2371" s="36" t="s">
        <v>2949</v>
      </c>
      <c r="C2371" s="10">
        <v>4099854044038</v>
      </c>
      <c r="D2371" s="224">
        <v>4058075594241</v>
      </c>
      <c r="E2371" s="245" t="s">
        <v>2950</v>
      </c>
      <c r="F2371" s="246"/>
      <c r="G2371" s="66" t="str">
        <f>HYPERLINK("https://ledvance.com/pt/product-datasheet/251795/234675","Ficha de Produto")</f>
        <v>Ficha de Produto</v>
      </c>
      <c r="H2371" s="217">
        <v>10</v>
      </c>
      <c r="I2371" s="34" t="s">
        <v>6366</v>
      </c>
      <c r="J2371" s="34" t="s">
        <v>775</v>
      </c>
      <c r="K2371" s="34" t="s">
        <v>788</v>
      </c>
      <c r="L2371" s="34" t="s">
        <v>765</v>
      </c>
      <c r="M2371" s="247">
        <v>26.200000000000003</v>
      </c>
      <c r="N2371" s="288" t="s">
        <v>722</v>
      </c>
    </row>
    <row r="2372" spans="1:1095" s="39" customFormat="1" ht="14.25" customHeight="1">
      <c r="A2372" s="8" t="s">
        <v>1722</v>
      </c>
      <c r="B2372" s="244" t="s">
        <v>2951</v>
      </c>
      <c r="C2372" s="8"/>
      <c r="D2372" s="7"/>
      <c r="E2372" s="230"/>
      <c r="F2372" s="7"/>
      <c r="G2372" s="68" t="s">
        <v>6505</v>
      </c>
      <c r="H2372" s="230"/>
      <c r="I2372" s="230"/>
      <c r="J2372" s="230"/>
      <c r="K2372" s="230"/>
      <c r="L2372" s="230"/>
      <c r="M2372" s="248"/>
      <c r="N2372" s="284"/>
      <c r="O2372" s="38"/>
      <c r="P2372" s="38"/>
      <c r="Q2372" s="38"/>
      <c r="R2372" s="38"/>
      <c r="S2372" s="38"/>
      <c r="T2372" s="38"/>
      <c r="U2372" s="38"/>
      <c r="V2372" s="38"/>
      <c r="W2372" s="38"/>
      <c r="X2372" s="38"/>
      <c r="Y2372" s="38"/>
      <c r="Z2372" s="38"/>
      <c r="AA2372" s="38"/>
      <c r="AB2372" s="38"/>
      <c r="AC2372" s="38"/>
      <c r="AD2372" s="38"/>
      <c r="AE2372" s="38"/>
      <c r="AF2372" s="38"/>
      <c r="AG2372" s="38"/>
      <c r="AH2372" s="38"/>
      <c r="AI2372" s="38"/>
      <c r="AJ2372" s="38"/>
      <c r="AK2372" s="38"/>
      <c r="AL2372" s="38"/>
      <c r="AM2372" s="38"/>
      <c r="AN2372" s="38"/>
      <c r="AO2372" s="38"/>
      <c r="AP2372" s="38"/>
      <c r="AQ2372" s="38"/>
      <c r="AR2372" s="38"/>
      <c r="AS2372" s="38"/>
      <c r="AT2372" s="38"/>
      <c r="AU2372" s="38"/>
      <c r="AV2372" s="38"/>
      <c r="AW2372" s="38"/>
      <c r="AX2372" s="38"/>
      <c r="AY2372" s="38"/>
      <c r="AZ2372" s="38"/>
      <c r="BA2372" s="38"/>
      <c r="BB2372" s="38"/>
      <c r="BC2372" s="38"/>
      <c r="BD2372" s="38"/>
      <c r="BE2372" s="38"/>
      <c r="BF2372" s="38"/>
      <c r="BG2372" s="38"/>
      <c r="BH2372" s="38"/>
      <c r="BI2372" s="38"/>
      <c r="BJ2372" s="38"/>
      <c r="BK2372" s="38"/>
      <c r="BL2372" s="38"/>
      <c r="BM2372" s="38"/>
      <c r="BN2372" s="38"/>
      <c r="BO2372" s="38"/>
      <c r="BP2372" s="38"/>
      <c r="BQ2372" s="38"/>
      <c r="BR2372" s="38"/>
      <c r="BS2372" s="38"/>
      <c r="BT2372" s="38"/>
      <c r="BU2372" s="38"/>
      <c r="BV2372" s="38"/>
      <c r="BW2372" s="38"/>
      <c r="BX2372" s="38"/>
      <c r="BY2372" s="38"/>
      <c r="BZ2372" s="38"/>
      <c r="CA2372" s="38"/>
      <c r="CB2372" s="38"/>
      <c r="CC2372" s="38"/>
      <c r="CD2372" s="38"/>
      <c r="CE2372" s="38"/>
      <c r="CF2372" s="38"/>
      <c r="CG2372" s="38"/>
      <c r="CH2372" s="38"/>
      <c r="CI2372" s="38"/>
      <c r="CJ2372" s="38"/>
      <c r="CK2372" s="38"/>
      <c r="CL2372" s="38"/>
      <c r="CM2372" s="38"/>
      <c r="CN2372" s="38"/>
      <c r="CO2372" s="38"/>
      <c r="CP2372" s="38"/>
      <c r="CQ2372" s="38"/>
      <c r="CR2372" s="38"/>
      <c r="CS2372" s="38"/>
      <c r="CT2372" s="38"/>
      <c r="CU2372" s="38"/>
      <c r="CV2372" s="38"/>
      <c r="CW2372" s="38"/>
      <c r="CX2372" s="38"/>
      <c r="CY2372" s="38"/>
      <c r="CZ2372" s="38"/>
      <c r="DA2372" s="38"/>
      <c r="DB2372" s="38"/>
      <c r="DC2372" s="38"/>
      <c r="DD2372" s="38"/>
      <c r="DE2372" s="38"/>
      <c r="DF2372" s="38"/>
      <c r="DG2372" s="38"/>
      <c r="DH2372" s="38"/>
      <c r="DI2372" s="38"/>
      <c r="DJ2372" s="38"/>
      <c r="DK2372" s="38"/>
      <c r="DL2372" s="38"/>
      <c r="DM2372" s="38"/>
      <c r="DN2372" s="38"/>
      <c r="DO2372" s="38"/>
      <c r="DP2372" s="38"/>
      <c r="DQ2372" s="38"/>
      <c r="DR2372" s="38"/>
      <c r="DS2372" s="38"/>
      <c r="DT2372" s="38"/>
      <c r="DU2372" s="38"/>
      <c r="DV2372" s="38"/>
      <c r="DW2372" s="38"/>
      <c r="DX2372" s="38"/>
      <c r="DY2372" s="38"/>
      <c r="DZ2372" s="38"/>
      <c r="EA2372" s="38"/>
      <c r="EB2372" s="38"/>
      <c r="EC2372" s="38"/>
      <c r="ED2372" s="38"/>
      <c r="EE2372" s="38"/>
      <c r="EF2372" s="38"/>
      <c r="EG2372" s="38"/>
      <c r="EH2372" s="38"/>
      <c r="EI2372" s="38"/>
      <c r="EJ2372" s="38"/>
      <c r="EK2372" s="38"/>
      <c r="EL2372" s="38"/>
      <c r="EM2372" s="38"/>
      <c r="EN2372" s="38"/>
      <c r="EO2372" s="38"/>
      <c r="EP2372" s="38"/>
      <c r="EQ2372" s="38"/>
      <c r="ER2372" s="38"/>
      <c r="ES2372" s="38"/>
      <c r="ET2372" s="38"/>
      <c r="EU2372" s="38"/>
      <c r="EV2372" s="38"/>
      <c r="EW2372" s="38"/>
      <c r="EX2372" s="38"/>
      <c r="EY2372" s="38"/>
      <c r="EZ2372" s="38"/>
      <c r="FA2372" s="38"/>
      <c r="FB2372" s="38"/>
      <c r="FC2372" s="38"/>
      <c r="FD2372" s="38"/>
      <c r="FE2372" s="38"/>
      <c r="FF2372" s="38"/>
      <c r="FG2372" s="38"/>
      <c r="FH2372" s="38"/>
      <c r="FI2372" s="38"/>
      <c r="FJ2372" s="38"/>
      <c r="FK2372" s="38"/>
      <c r="FL2372" s="38"/>
      <c r="FM2372" s="38"/>
      <c r="FN2372" s="38"/>
      <c r="FO2372" s="38"/>
      <c r="FP2372" s="38"/>
      <c r="FQ2372" s="38"/>
      <c r="FR2372" s="38"/>
      <c r="FS2372" s="38"/>
      <c r="FT2372" s="38"/>
      <c r="FU2372" s="38"/>
      <c r="FV2372" s="38"/>
      <c r="FW2372" s="38"/>
      <c r="FX2372" s="38"/>
      <c r="FY2372" s="38"/>
      <c r="FZ2372" s="38"/>
      <c r="GA2372" s="38"/>
      <c r="GB2372" s="38"/>
      <c r="GC2372" s="38"/>
      <c r="GD2372" s="38"/>
      <c r="GE2372" s="38"/>
      <c r="GF2372" s="38"/>
      <c r="GG2372" s="38"/>
      <c r="GH2372" s="38"/>
      <c r="GI2372" s="38"/>
      <c r="GJ2372" s="38"/>
      <c r="GK2372" s="38"/>
      <c r="GL2372" s="38"/>
      <c r="GM2372" s="38"/>
      <c r="GN2372" s="38"/>
      <c r="GO2372" s="38"/>
      <c r="GP2372" s="38"/>
      <c r="GQ2372" s="38"/>
      <c r="GR2372" s="38"/>
      <c r="GS2372" s="38"/>
      <c r="GT2372" s="38"/>
      <c r="GU2372" s="38"/>
      <c r="GV2372" s="38"/>
      <c r="GW2372" s="38"/>
      <c r="GX2372" s="38"/>
      <c r="GY2372" s="38"/>
      <c r="GZ2372" s="38"/>
      <c r="HA2372" s="38"/>
      <c r="HB2372" s="38"/>
      <c r="HC2372" s="38"/>
      <c r="HD2372" s="38"/>
      <c r="HE2372" s="38"/>
      <c r="HF2372" s="38"/>
      <c r="HG2372" s="38"/>
      <c r="HH2372" s="38"/>
      <c r="HI2372" s="38"/>
      <c r="HJ2372" s="38"/>
      <c r="HK2372" s="38"/>
      <c r="HL2372" s="38"/>
      <c r="HM2372" s="38"/>
      <c r="HN2372" s="38"/>
      <c r="HO2372" s="38"/>
      <c r="HP2372" s="38"/>
      <c r="HQ2372" s="38"/>
      <c r="HR2372" s="38"/>
      <c r="HS2372" s="38"/>
      <c r="HT2372" s="38"/>
      <c r="HU2372" s="38"/>
      <c r="HV2372" s="38"/>
      <c r="HW2372" s="38"/>
      <c r="HX2372" s="38"/>
      <c r="HY2372" s="38"/>
      <c r="HZ2372" s="38"/>
      <c r="IA2372" s="38"/>
      <c r="IB2372" s="38"/>
      <c r="IC2372" s="38"/>
      <c r="ID2372" s="38"/>
      <c r="IE2372" s="38"/>
      <c r="IF2372" s="38"/>
      <c r="IG2372" s="38"/>
      <c r="IH2372" s="38"/>
      <c r="II2372" s="38"/>
      <c r="IJ2372" s="38"/>
      <c r="IK2372" s="38"/>
      <c r="IL2372" s="38"/>
      <c r="IM2372" s="38"/>
      <c r="IN2372" s="38"/>
      <c r="IO2372" s="38"/>
      <c r="IP2372" s="38"/>
      <c r="IQ2372" s="38"/>
      <c r="IR2372" s="38"/>
      <c r="IS2372" s="38"/>
      <c r="IT2372" s="38"/>
      <c r="IU2372" s="38"/>
      <c r="IV2372" s="38"/>
      <c r="IW2372" s="38"/>
      <c r="IX2372" s="38"/>
      <c r="IY2372" s="38"/>
      <c r="IZ2372" s="38"/>
      <c r="JA2372" s="38"/>
      <c r="JB2372" s="38"/>
      <c r="JC2372" s="38"/>
      <c r="JD2372" s="38"/>
      <c r="JE2372" s="38"/>
      <c r="JF2372" s="38"/>
      <c r="JG2372" s="38"/>
      <c r="JH2372" s="38"/>
      <c r="JI2372" s="38"/>
      <c r="JJ2372" s="38"/>
      <c r="JK2372" s="38"/>
      <c r="JL2372" s="38"/>
      <c r="JM2372" s="38"/>
      <c r="JN2372" s="38"/>
      <c r="JO2372" s="38"/>
      <c r="JP2372" s="38"/>
      <c r="JQ2372" s="38"/>
      <c r="JR2372" s="38"/>
      <c r="JS2372" s="38"/>
      <c r="JT2372" s="38"/>
      <c r="JU2372" s="38"/>
      <c r="JV2372" s="38"/>
      <c r="JW2372" s="38"/>
      <c r="JX2372" s="38"/>
      <c r="JY2372" s="38"/>
      <c r="JZ2372" s="38"/>
      <c r="KA2372" s="38"/>
      <c r="KB2372" s="38"/>
      <c r="KC2372" s="38"/>
      <c r="KD2372" s="38"/>
      <c r="KE2372" s="38"/>
      <c r="KF2372" s="38"/>
      <c r="KG2372" s="38"/>
      <c r="KH2372" s="38"/>
      <c r="KI2372" s="38"/>
      <c r="KJ2372" s="38"/>
      <c r="KK2372" s="38"/>
      <c r="KL2372" s="38"/>
      <c r="KM2372" s="38"/>
      <c r="KN2372" s="38"/>
      <c r="KO2372" s="38"/>
      <c r="KP2372" s="38"/>
      <c r="KQ2372" s="38"/>
      <c r="KR2372" s="38"/>
      <c r="KS2372" s="38"/>
      <c r="KT2372" s="38"/>
      <c r="KU2372" s="38"/>
      <c r="KV2372" s="38"/>
      <c r="KW2372" s="38"/>
      <c r="KX2372" s="38"/>
      <c r="KY2372" s="38"/>
      <c r="KZ2372" s="38"/>
      <c r="LA2372" s="38"/>
      <c r="LB2372" s="38"/>
      <c r="LC2372" s="38"/>
      <c r="LD2372" s="38"/>
      <c r="LE2372" s="38"/>
      <c r="LF2372" s="38"/>
      <c r="LG2372" s="38"/>
      <c r="LH2372" s="38"/>
      <c r="LI2372" s="38"/>
      <c r="LJ2372" s="38"/>
      <c r="LK2372" s="38"/>
      <c r="LL2372" s="38"/>
      <c r="LM2372" s="38"/>
      <c r="LN2372" s="38"/>
      <c r="LO2372" s="38"/>
      <c r="LP2372" s="38"/>
      <c r="LQ2372" s="38"/>
      <c r="LR2372" s="38"/>
      <c r="LS2372" s="38"/>
      <c r="LT2372" s="38"/>
      <c r="LU2372" s="38"/>
      <c r="LV2372" s="38"/>
      <c r="LW2372" s="38"/>
      <c r="LX2372" s="38"/>
      <c r="LY2372" s="38"/>
      <c r="LZ2372" s="38"/>
      <c r="MA2372" s="38"/>
      <c r="MB2372" s="38"/>
      <c r="MC2372" s="38"/>
      <c r="MD2372" s="38"/>
      <c r="ME2372" s="38"/>
      <c r="MF2372" s="38"/>
      <c r="MG2372" s="38"/>
      <c r="MH2372" s="38"/>
      <c r="MI2372" s="38"/>
      <c r="MJ2372" s="38"/>
      <c r="MK2372" s="38"/>
      <c r="ML2372" s="38"/>
      <c r="MM2372" s="38"/>
      <c r="MN2372" s="38"/>
      <c r="MO2372" s="38"/>
      <c r="MP2372" s="38"/>
      <c r="MQ2372" s="38"/>
      <c r="MR2372" s="38"/>
      <c r="MS2372" s="38"/>
      <c r="MT2372" s="38"/>
      <c r="MU2372" s="38"/>
      <c r="MV2372" s="38"/>
      <c r="MW2372" s="38"/>
      <c r="MX2372" s="38"/>
      <c r="MY2372" s="38"/>
      <c r="MZ2372" s="38"/>
      <c r="NA2372" s="38"/>
      <c r="NB2372" s="38"/>
      <c r="NC2372" s="38"/>
      <c r="ND2372" s="38"/>
      <c r="NE2372" s="38"/>
      <c r="NF2372" s="38"/>
      <c r="NG2372" s="38"/>
      <c r="NH2372" s="38"/>
      <c r="NI2372" s="38"/>
      <c r="NJ2372" s="38"/>
      <c r="NK2372" s="38"/>
      <c r="NL2372" s="38"/>
      <c r="NM2372" s="38"/>
      <c r="NN2372" s="38"/>
      <c r="NO2372" s="38"/>
      <c r="NP2372" s="38"/>
      <c r="NQ2372" s="38"/>
      <c r="NR2372" s="38"/>
      <c r="NS2372" s="38"/>
      <c r="NT2372" s="38"/>
      <c r="NU2372" s="38"/>
      <c r="NV2372" s="38"/>
      <c r="NW2372" s="38"/>
      <c r="NX2372" s="38"/>
      <c r="NY2372" s="38"/>
      <c r="NZ2372" s="38"/>
      <c r="OA2372" s="38"/>
      <c r="OB2372" s="38"/>
      <c r="OC2372" s="38"/>
      <c r="OD2372" s="38"/>
      <c r="OE2372" s="38"/>
      <c r="OF2372" s="38"/>
      <c r="OG2372" s="38"/>
      <c r="OH2372" s="38"/>
      <c r="OI2372" s="38"/>
      <c r="OJ2372" s="38"/>
      <c r="OK2372" s="38"/>
      <c r="OL2372" s="38"/>
      <c r="OM2372" s="38"/>
      <c r="ON2372" s="38"/>
      <c r="OO2372" s="38"/>
      <c r="OP2372" s="38"/>
      <c r="OQ2372" s="38"/>
      <c r="OR2372" s="38"/>
      <c r="OS2372" s="38"/>
      <c r="OT2372" s="38"/>
      <c r="OU2372" s="38"/>
      <c r="OV2372" s="38"/>
      <c r="OW2372" s="38"/>
      <c r="OX2372" s="38"/>
      <c r="OY2372" s="38"/>
      <c r="OZ2372" s="38"/>
      <c r="PA2372" s="38"/>
      <c r="PB2372" s="38"/>
      <c r="PC2372" s="38"/>
      <c r="PD2372" s="38"/>
      <c r="PE2372" s="38"/>
      <c r="PF2372" s="38"/>
      <c r="PG2372" s="38"/>
      <c r="PH2372" s="38"/>
      <c r="PI2372" s="38"/>
      <c r="PJ2372" s="38"/>
      <c r="PK2372" s="38"/>
      <c r="PL2372" s="38"/>
      <c r="PM2372" s="38"/>
      <c r="PN2372" s="38"/>
      <c r="PO2372" s="38"/>
      <c r="PP2372" s="38"/>
      <c r="PQ2372" s="38"/>
      <c r="PR2372" s="38"/>
      <c r="PS2372" s="38"/>
      <c r="PT2372" s="38"/>
      <c r="PU2372" s="38"/>
      <c r="PV2372" s="38"/>
      <c r="PW2372" s="38"/>
      <c r="PX2372" s="38"/>
      <c r="PY2372" s="38"/>
      <c r="PZ2372" s="38"/>
      <c r="QA2372" s="38"/>
      <c r="QB2372" s="38"/>
      <c r="QC2372" s="38"/>
      <c r="QD2372" s="38"/>
      <c r="QE2372" s="38"/>
      <c r="QF2372" s="38"/>
      <c r="QG2372" s="38"/>
      <c r="QH2372" s="38"/>
      <c r="QI2372" s="38"/>
      <c r="QJ2372" s="38"/>
      <c r="QK2372" s="38"/>
      <c r="QL2372" s="38"/>
      <c r="QM2372" s="38"/>
      <c r="QN2372" s="38"/>
      <c r="QO2372" s="38"/>
      <c r="QP2372" s="38"/>
      <c r="QQ2372" s="38"/>
      <c r="QR2372" s="38"/>
      <c r="QS2372" s="38"/>
      <c r="QT2372" s="38"/>
      <c r="QU2372" s="38"/>
      <c r="QV2372" s="38"/>
      <c r="QW2372" s="38"/>
      <c r="QX2372" s="38"/>
      <c r="QY2372" s="38"/>
      <c r="QZ2372" s="38"/>
      <c r="RA2372" s="38"/>
      <c r="RB2372" s="38"/>
      <c r="RC2372" s="38"/>
      <c r="RD2372" s="38"/>
      <c r="RE2372" s="38"/>
      <c r="RF2372" s="38"/>
      <c r="RG2372" s="38"/>
      <c r="RH2372" s="38"/>
      <c r="RI2372" s="38"/>
      <c r="RJ2372" s="38"/>
      <c r="RK2372" s="38"/>
      <c r="RL2372" s="38"/>
      <c r="RM2372" s="38"/>
      <c r="RN2372" s="38"/>
      <c r="RO2372" s="38"/>
      <c r="RP2372" s="38"/>
      <c r="RQ2372" s="38"/>
      <c r="RR2372" s="38"/>
      <c r="RS2372" s="38"/>
      <c r="RT2372" s="38"/>
      <c r="RU2372" s="38"/>
      <c r="RV2372" s="38"/>
      <c r="RW2372" s="38"/>
      <c r="RX2372" s="38"/>
      <c r="RY2372" s="38"/>
      <c r="RZ2372" s="38"/>
      <c r="SA2372" s="38"/>
      <c r="SB2372" s="38"/>
      <c r="SC2372" s="38"/>
      <c r="SD2372" s="38"/>
      <c r="SE2372" s="38"/>
      <c r="SF2372" s="38"/>
      <c r="SG2372" s="38"/>
      <c r="SH2372" s="38"/>
      <c r="SI2372" s="38"/>
      <c r="SJ2372" s="38"/>
      <c r="SK2372" s="38"/>
      <c r="SL2372" s="38"/>
      <c r="SM2372" s="38"/>
      <c r="SN2372" s="38"/>
      <c r="SO2372" s="38"/>
      <c r="SP2372" s="38"/>
      <c r="SQ2372" s="38"/>
      <c r="SR2372" s="38"/>
      <c r="SS2372" s="38"/>
      <c r="ST2372" s="38"/>
      <c r="SU2372" s="38"/>
      <c r="SV2372" s="38"/>
      <c r="SW2372" s="38"/>
      <c r="SX2372" s="38"/>
      <c r="SY2372" s="38"/>
      <c r="SZ2372" s="38"/>
      <c r="TA2372" s="38"/>
      <c r="TB2372" s="38"/>
      <c r="TC2372" s="38"/>
      <c r="TD2372" s="38"/>
      <c r="TE2372" s="38"/>
      <c r="TF2372" s="38"/>
      <c r="TG2372" s="38"/>
      <c r="TH2372" s="38"/>
      <c r="TI2372" s="38"/>
      <c r="TJ2372" s="38"/>
      <c r="TK2372" s="38"/>
      <c r="TL2372" s="38"/>
      <c r="TM2372" s="38"/>
      <c r="TN2372" s="38"/>
      <c r="TO2372" s="38"/>
      <c r="TP2372" s="38"/>
      <c r="TQ2372" s="38"/>
      <c r="TR2372" s="38"/>
      <c r="TS2372" s="38"/>
      <c r="TT2372" s="38"/>
      <c r="TU2372" s="38"/>
      <c r="TV2372" s="38"/>
      <c r="TW2372" s="38"/>
      <c r="TX2372" s="38"/>
      <c r="TY2372" s="38"/>
      <c r="TZ2372" s="38"/>
      <c r="UA2372" s="38"/>
      <c r="UB2372" s="38"/>
      <c r="UC2372" s="38"/>
      <c r="UD2372" s="38"/>
      <c r="UE2372" s="38"/>
      <c r="UF2372" s="38"/>
      <c r="UG2372" s="38"/>
      <c r="UH2372" s="38"/>
      <c r="UI2372" s="38"/>
      <c r="UJ2372" s="38"/>
      <c r="UK2372" s="38"/>
      <c r="UL2372" s="38"/>
      <c r="UM2372" s="38"/>
      <c r="UN2372" s="38"/>
      <c r="UO2372" s="38"/>
      <c r="UP2372" s="38"/>
      <c r="UQ2372" s="38"/>
      <c r="UR2372" s="38"/>
      <c r="US2372" s="38"/>
      <c r="UT2372" s="38"/>
      <c r="UU2372" s="38"/>
      <c r="UV2372" s="38"/>
      <c r="UW2372" s="38"/>
      <c r="UX2372" s="38"/>
      <c r="UY2372" s="38"/>
      <c r="UZ2372" s="38"/>
      <c r="VA2372" s="38"/>
      <c r="VB2372" s="38"/>
      <c r="VC2372" s="38"/>
      <c r="VD2372" s="38"/>
      <c r="VE2372" s="38"/>
      <c r="VF2372" s="38"/>
      <c r="VG2372" s="38"/>
      <c r="VH2372" s="38"/>
      <c r="VI2372" s="38"/>
      <c r="VJ2372" s="38"/>
      <c r="VK2372" s="38"/>
      <c r="VL2372" s="38"/>
      <c r="VM2372" s="38"/>
      <c r="VN2372" s="38"/>
      <c r="VO2372" s="38"/>
      <c r="VP2372" s="38"/>
      <c r="VQ2372" s="38"/>
      <c r="VR2372" s="38"/>
      <c r="VS2372" s="38"/>
      <c r="VT2372" s="38"/>
      <c r="VU2372" s="38"/>
      <c r="VV2372" s="38"/>
      <c r="VW2372" s="38"/>
      <c r="VX2372" s="38"/>
      <c r="VY2372" s="38"/>
      <c r="VZ2372" s="38"/>
      <c r="WA2372" s="38"/>
      <c r="WB2372" s="38"/>
      <c r="WC2372" s="38"/>
      <c r="WD2372" s="38"/>
      <c r="WE2372" s="38"/>
      <c r="WF2372" s="38"/>
      <c r="WG2372" s="38"/>
      <c r="WH2372" s="38"/>
      <c r="WI2372" s="38"/>
      <c r="WJ2372" s="38"/>
      <c r="WK2372" s="38"/>
      <c r="WL2372" s="38"/>
      <c r="WM2372" s="38"/>
      <c r="WN2372" s="38"/>
      <c r="WO2372" s="38"/>
      <c r="WP2372" s="38"/>
      <c r="WQ2372" s="38"/>
      <c r="WR2372" s="38"/>
      <c r="WS2372" s="38"/>
      <c r="WT2372" s="38"/>
      <c r="WU2372" s="38"/>
      <c r="WV2372" s="38"/>
      <c r="WW2372" s="38"/>
      <c r="WX2372" s="38"/>
      <c r="WY2372" s="38"/>
      <c r="WZ2372" s="38"/>
      <c r="XA2372" s="38"/>
      <c r="XB2372" s="38"/>
      <c r="XC2372" s="38"/>
      <c r="XD2372" s="38"/>
      <c r="XE2372" s="38"/>
      <c r="XF2372" s="38"/>
      <c r="XG2372" s="38"/>
      <c r="XH2372" s="38"/>
      <c r="XI2372" s="38"/>
      <c r="XJ2372" s="38"/>
      <c r="XK2372" s="38"/>
      <c r="XL2372" s="38"/>
      <c r="XM2372" s="38"/>
      <c r="XN2372" s="38"/>
      <c r="XO2372" s="38"/>
      <c r="XP2372" s="38"/>
      <c r="XQ2372" s="38"/>
      <c r="XR2372" s="38"/>
      <c r="XS2372" s="38"/>
      <c r="XT2372" s="38"/>
      <c r="XU2372" s="38"/>
      <c r="XV2372" s="38"/>
      <c r="XW2372" s="38"/>
      <c r="XX2372" s="38"/>
      <c r="XY2372" s="38"/>
      <c r="XZ2372" s="38"/>
      <c r="YA2372" s="38"/>
      <c r="YB2372" s="38"/>
      <c r="YC2372" s="38"/>
      <c r="YD2372" s="38"/>
      <c r="YE2372" s="38"/>
      <c r="YF2372" s="38"/>
      <c r="YG2372" s="38"/>
      <c r="YH2372" s="38"/>
      <c r="YI2372" s="38"/>
      <c r="YJ2372" s="38"/>
      <c r="YK2372" s="38"/>
      <c r="YL2372" s="38"/>
      <c r="YM2372" s="38"/>
      <c r="YN2372" s="38"/>
      <c r="YO2372" s="38"/>
      <c r="YP2372" s="38"/>
      <c r="YQ2372" s="38"/>
      <c r="YR2372" s="38"/>
      <c r="YS2372" s="38"/>
      <c r="YT2372" s="38"/>
      <c r="YU2372" s="38"/>
      <c r="YV2372" s="38"/>
      <c r="YW2372" s="38"/>
      <c r="YX2372" s="38"/>
      <c r="YY2372" s="38"/>
      <c r="YZ2372" s="38"/>
      <c r="ZA2372" s="38"/>
      <c r="ZB2372" s="38"/>
      <c r="ZC2372" s="38"/>
      <c r="ZD2372" s="38"/>
      <c r="ZE2372" s="38"/>
      <c r="ZF2372" s="38"/>
      <c r="ZG2372" s="38"/>
      <c r="ZH2372" s="38"/>
      <c r="ZI2372" s="38"/>
      <c r="ZJ2372" s="38"/>
      <c r="ZK2372" s="38"/>
      <c r="ZL2372" s="38"/>
      <c r="ZM2372" s="38"/>
      <c r="ZN2372" s="38"/>
      <c r="ZO2372" s="38"/>
      <c r="ZP2372" s="38"/>
      <c r="ZQ2372" s="38"/>
      <c r="ZR2372" s="38"/>
      <c r="ZS2372" s="38"/>
      <c r="ZT2372" s="38"/>
      <c r="ZU2372" s="38"/>
      <c r="ZV2372" s="38"/>
      <c r="ZW2372" s="38"/>
      <c r="ZX2372" s="38"/>
      <c r="ZY2372" s="38"/>
      <c r="ZZ2372" s="38"/>
      <c r="AAA2372" s="38"/>
      <c r="AAB2372" s="38"/>
      <c r="AAC2372" s="38"/>
      <c r="AAD2372" s="38"/>
      <c r="AAE2372" s="38"/>
      <c r="AAF2372" s="38"/>
      <c r="AAG2372" s="38"/>
      <c r="AAH2372" s="38"/>
      <c r="AAI2372" s="38"/>
      <c r="AAJ2372" s="38"/>
      <c r="AAK2372" s="38"/>
      <c r="AAL2372" s="38"/>
      <c r="AAM2372" s="38"/>
      <c r="AAN2372" s="38"/>
      <c r="AAO2372" s="38"/>
      <c r="AAP2372" s="38"/>
      <c r="AAQ2372" s="38"/>
      <c r="AAR2372" s="38"/>
      <c r="AAS2372" s="38"/>
      <c r="AAT2372" s="38"/>
      <c r="AAU2372" s="38"/>
      <c r="AAV2372" s="38"/>
      <c r="AAW2372" s="38"/>
      <c r="AAX2372" s="38"/>
      <c r="AAY2372" s="38"/>
      <c r="AAZ2372" s="38"/>
      <c r="ABA2372" s="38"/>
      <c r="ABB2372" s="38"/>
      <c r="ABC2372" s="38"/>
      <c r="ABD2372" s="38"/>
      <c r="ABE2372" s="38"/>
      <c r="ABF2372" s="38"/>
      <c r="ABG2372" s="38"/>
      <c r="ABH2372" s="38"/>
      <c r="ABI2372" s="38"/>
      <c r="ABJ2372" s="38"/>
      <c r="ABK2372" s="38"/>
      <c r="ABL2372" s="38"/>
      <c r="ABM2372" s="38"/>
      <c r="ABN2372" s="38"/>
      <c r="ABO2372" s="38"/>
      <c r="ABP2372" s="38"/>
      <c r="ABQ2372" s="38"/>
      <c r="ABR2372" s="38"/>
      <c r="ABS2372" s="38"/>
      <c r="ABT2372" s="38"/>
      <c r="ABU2372" s="38"/>
      <c r="ABV2372" s="38"/>
      <c r="ABW2372" s="38"/>
      <c r="ABX2372" s="38"/>
      <c r="ABY2372" s="38"/>
      <c r="ABZ2372" s="38"/>
      <c r="ACA2372" s="38"/>
      <c r="ACB2372" s="38"/>
      <c r="ACC2372" s="38"/>
      <c r="ACD2372" s="38"/>
      <c r="ACE2372" s="38"/>
      <c r="ACF2372" s="38"/>
      <c r="ACG2372" s="38"/>
      <c r="ACH2372" s="38"/>
      <c r="ACI2372" s="38"/>
      <c r="ACJ2372" s="38"/>
      <c r="ACK2372" s="38"/>
      <c r="ACL2372" s="38"/>
      <c r="ACM2372" s="38"/>
      <c r="ACN2372" s="38"/>
      <c r="ACO2372" s="38"/>
      <c r="ACP2372" s="38"/>
      <c r="ACQ2372" s="38"/>
      <c r="ACR2372" s="38"/>
      <c r="ACS2372" s="38"/>
      <c r="ACT2372" s="38"/>
      <c r="ACU2372" s="38"/>
      <c r="ACV2372" s="38"/>
      <c r="ACW2372" s="38"/>
      <c r="ACX2372" s="38"/>
      <c r="ACY2372" s="38"/>
      <c r="ACZ2372" s="38"/>
      <c r="ADA2372" s="38"/>
      <c r="ADB2372" s="38"/>
      <c r="ADC2372" s="38"/>
      <c r="ADD2372" s="38"/>
      <c r="ADE2372" s="38"/>
      <c r="ADF2372" s="38"/>
      <c r="ADG2372" s="38"/>
      <c r="ADH2372" s="38"/>
      <c r="ADI2372" s="38"/>
      <c r="ADJ2372" s="38"/>
      <c r="ADK2372" s="38"/>
      <c r="ADL2372" s="38"/>
      <c r="ADM2372" s="38"/>
      <c r="ADN2372" s="38"/>
      <c r="ADO2372" s="38"/>
      <c r="ADP2372" s="38"/>
      <c r="ADQ2372" s="38"/>
      <c r="ADR2372" s="38"/>
      <c r="ADS2372" s="38"/>
      <c r="ADT2372" s="38"/>
      <c r="ADU2372" s="38"/>
      <c r="ADV2372" s="38"/>
      <c r="ADW2372" s="38"/>
      <c r="ADX2372" s="38"/>
      <c r="ADY2372" s="38"/>
      <c r="ADZ2372" s="38"/>
      <c r="AEA2372" s="38"/>
      <c r="AEB2372" s="38"/>
      <c r="AEC2372" s="38"/>
      <c r="AED2372" s="38"/>
      <c r="AEE2372" s="38"/>
      <c r="AEF2372" s="38"/>
      <c r="AEG2372" s="38"/>
      <c r="AEH2372" s="38"/>
      <c r="AEI2372" s="38"/>
      <c r="AEJ2372" s="38"/>
      <c r="AEK2372" s="38"/>
      <c r="AEL2372" s="38"/>
      <c r="AEM2372" s="38"/>
      <c r="AEN2372" s="38"/>
      <c r="AEO2372" s="38"/>
      <c r="AEP2372" s="38"/>
      <c r="AEQ2372" s="38"/>
      <c r="AER2372" s="38"/>
      <c r="AES2372" s="38"/>
      <c r="AET2372" s="38"/>
      <c r="AEU2372" s="38"/>
      <c r="AEV2372" s="38"/>
      <c r="AEW2372" s="38"/>
      <c r="AEX2372" s="38"/>
      <c r="AEY2372" s="38"/>
      <c r="AEZ2372" s="38"/>
      <c r="AFA2372" s="38"/>
      <c r="AFB2372" s="38"/>
      <c r="AFC2372" s="38"/>
      <c r="AFD2372" s="38"/>
      <c r="AFE2372" s="38"/>
      <c r="AFF2372" s="38"/>
      <c r="AFG2372" s="38"/>
      <c r="AFH2372" s="38"/>
      <c r="AFI2372" s="38"/>
      <c r="AFJ2372" s="38"/>
      <c r="AFK2372" s="38"/>
      <c r="AFL2372" s="38"/>
      <c r="AFM2372" s="38"/>
      <c r="AFN2372" s="38"/>
      <c r="AFO2372" s="38"/>
      <c r="AFP2372" s="38"/>
      <c r="AFQ2372" s="38"/>
      <c r="AFR2372" s="38"/>
      <c r="AFS2372" s="38"/>
      <c r="AFT2372" s="38"/>
      <c r="AFU2372" s="38"/>
      <c r="AFV2372" s="38"/>
      <c r="AFW2372" s="38"/>
      <c r="AFX2372" s="38"/>
      <c r="AFY2372" s="38"/>
      <c r="AFZ2372" s="38"/>
      <c r="AGA2372" s="38"/>
      <c r="AGB2372" s="38"/>
      <c r="AGC2372" s="38"/>
      <c r="AGD2372" s="38"/>
      <c r="AGE2372" s="38"/>
      <c r="AGF2372" s="38"/>
      <c r="AGG2372" s="38"/>
      <c r="AGH2372" s="38"/>
      <c r="AGI2372" s="38"/>
      <c r="AGJ2372" s="38"/>
      <c r="AGK2372" s="38"/>
      <c r="AGL2372" s="38"/>
      <c r="AGM2372" s="38"/>
      <c r="AGN2372" s="38"/>
      <c r="AGO2372" s="38"/>
      <c r="AGP2372" s="38"/>
      <c r="AGQ2372" s="38"/>
      <c r="AGR2372" s="38"/>
      <c r="AGS2372" s="38"/>
      <c r="AGT2372" s="38"/>
      <c r="AGU2372" s="38"/>
      <c r="AGV2372" s="38"/>
      <c r="AGW2372" s="38"/>
      <c r="AGX2372" s="38"/>
      <c r="AGY2372" s="38"/>
      <c r="AGZ2372" s="38"/>
      <c r="AHA2372" s="38"/>
      <c r="AHB2372" s="38"/>
      <c r="AHC2372" s="38"/>
      <c r="AHD2372" s="38"/>
      <c r="AHE2372" s="38"/>
      <c r="AHF2372" s="38"/>
      <c r="AHG2372" s="38"/>
      <c r="AHH2372" s="38"/>
      <c r="AHI2372" s="38"/>
      <c r="AHJ2372" s="38"/>
      <c r="AHK2372" s="38"/>
      <c r="AHL2372" s="38"/>
      <c r="AHM2372" s="38"/>
      <c r="AHN2372" s="38"/>
      <c r="AHO2372" s="38"/>
      <c r="AHP2372" s="38"/>
      <c r="AHQ2372" s="38"/>
      <c r="AHR2372" s="38"/>
      <c r="AHS2372" s="38"/>
      <c r="AHT2372" s="38"/>
      <c r="AHU2372" s="38"/>
      <c r="AHV2372" s="38"/>
      <c r="AHW2372" s="38"/>
      <c r="AHX2372" s="38"/>
      <c r="AHY2372" s="38"/>
      <c r="AHZ2372" s="38"/>
      <c r="AIA2372" s="38"/>
      <c r="AIB2372" s="38"/>
      <c r="AIC2372" s="38"/>
      <c r="AID2372" s="38"/>
      <c r="AIE2372" s="38"/>
      <c r="AIF2372" s="38"/>
      <c r="AIG2372" s="38"/>
      <c r="AIH2372" s="38"/>
      <c r="AII2372" s="38"/>
      <c r="AIJ2372" s="38"/>
      <c r="AIK2372" s="38"/>
      <c r="AIL2372" s="38"/>
      <c r="AIM2372" s="38"/>
      <c r="AIN2372" s="38"/>
      <c r="AIO2372" s="38"/>
      <c r="AIP2372" s="38"/>
      <c r="AIQ2372" s="38"/>
      <c r="AIR2372" s="38"/>
      <c r="AIS2372" s="38"/>
      <c r="AIT2372" s="38"/>
      <c r="AIU2372" s="38"/>
      <c r="AIV2372" s="38"/>
      <c r="AIW2372" s="38"/>
      <c r="AIX2372" s="38"/>
      <c r="AIY2372" s="38"/>
      <c r="AIZ2372" s="38"/>
      <c r="AJA2372" s="38"/>
      <c r="AJB2372" s="38"/>
      <c r="AJC2372" s="38"/>
      <c r="AJD2372" s="38"/>
      <c r="AJE2372" s="38"/>
      <c r="AJF2372" s="38"/>
      <c r="AJG2372" s="38"/>
      <c r="AJH2372" s="38"/>
      <c r="AJI2372" s="38"/>
      <c r="AJJ2372" s="38"/>
      <c r="AJK2372" s="38"/>
      <c r="AJL2372" s="38"/>
      <c r="AJM2372" s="38"/>
      <c r="AJN2372" s="38"/>
      <c r="AJO2372" s="38"/>
      <c r="AJP2372" s="38"/>
      <c r="AJQ2372" s="38"/>
      <c r="AJR2372" s="38"/>
      <c r="AJS2372" s="38"/>
      <c r="AJT2372" s="38"/>
      <c r="AJU2372" s="38"/>
      <c r="AJV2372" s="38"/>
      <c r="AJW2372" s="38"/>
      <c r="AJX2372" s="38"/>
      <c r="AJY2372" s="38"/>
      <c r="AJZ2372" s="38"/>
      <c r="AKA2372" s="38"/>
      <c r="AKB2372" s="38"/>
      <c r="AKC2372" s="38"/>
      <c r="AKD2372" s="38"/>
      <c r="AKE2372" s="38"/>
      <c r="AKF2372" s="38"/>
      <c r="AKG2372" s="38"/>
      <c r="AKH2372" s="38"/>
      <c r="AKI2372" s="38"/>
      <c r="AKJ2372" s="38"/>
      <c r="AKK2372" s="38"/>
      <c r="AKL2372" s="38"/>
      <c r="AKM2372" s="38"/>
      <c r="AKN2372" s="38"/>
      <c r="AKO2372" s="38"/>
      <c r="AKP2372" s="38"/>
      <c r="AKQ2372" s="38"/>
      <c r="AKR2372" s="38"/>
      <c r="AKS2372" s="38"/>
      <c r="AKT2372" s="38"/>
      <c r="AKU2372" s="38"/>
      <c r="AKV2372" s="38"/>
      <c r="AKW2372" s="38"/>
      <c r="AKX2372" s="38"/>
      <c r="AKY2372" s="38"/>
      <c r="AKZ2372" s="38"/>
      <c r="ALA2372" s="38"/>
      <c r="ALB2372" s="38"/>
      <c r="ALC2372" s="38"/>
      <c r="ALD2372" s="38"/>
      <c r="ALE2372" s="38"/>
      <c r="ALF2372" s="38"/>
      <c r="ALG2372" s="38"/>
      <c r="ALH2372" s="38"/>
      <c r="ALI2372" s="38"/>
      <c r="ALJ2372" s="38"/>
      <c r="ALK2372" s="38"/>
      <c r="ALL2372" s="38"/>
      <c r="ALM2372" s="38"/>
      <c r="ALN2372" s="38"/>
      <c r="ALO2372" s="38"/>
      <c r="ALP2372" s="38"/>
      <c r="ALQ2372" s="38"/>
      <c r="ALR2372" s="38"/>
      <c r="ALS2372" s="38"/>
      <c r="ALT2372" s="38"/>
      <c r="ALU2372" s="38"/>
      <c r="ALV2372" s="38"/>
      <c r="ALW2372" s="38"/>
      <c r="ALX2372" s="38"/>
      <c r="ALY2372" s="38"/>
      <c r="ALZ2372" s="38"/>
      <c r="AMA2372" s="38"/>
      <c r="AMB2372" s="38"/>
      <c r="AMC2372" s="38"/>
      <c r="AMD2372" s="38"/>
      <c r="AME2372" s="38"/>
      <c r="AMF2372" s="38"/>
      <c r="AMG2372" s="38"/>
      <c r="AMH2372" s="38"/>
      <c r="AMI2372" s="38"/>
      <c r="AMJ2372" s="38"/>
      <c r="AMK2372" s="38"/>
      <c r="AML2372" s="38"/>
      <c r="AMM2372" s="38"/>
      <c r="AMN2372" s="38"/>
      <c r="AMO2372" s="38"/>
      <c r="AMP2372" s="38"/>
      <c r="AMQ2372" s="38"/>
      <c r="AMR2372" s="38"/>
      <c r="AMS2372" s="38"/>
      <c r="AMT2372" s="38"/>
      <c r="AMU2372" s="38"/>
      <c r="AMV2372" s="38"/>
      <c r="AMW2372" s="38"/>
      <c r="AMX2372" s="38"/>
      <c r="AMY2372" s="38"/>
      <c r="AMZ2372" s="38"/>
      <c r="ANA2372" s="38"/>
      <c r="ANB2372" s="38"/>
      <c r="ANC2372" s="38"/>
      <c r="AND2372" s="38"/>
      <c r="ANE2372" s="38"/>
      <c r="ANF2372" s="38"/>
      <c r="ANG2372" s="38"/>
      <c r="ANH2372" s="38"/>
      <c r="ANI2372" s="38"/>
      <c r="ANJ2372" s="38"/>
      <c r="ANK2372" s="38"/>
      <c r="ANL2372" s="38"/>
      <c r="ANM2372" s="38"/>
      <c r="ANN2372" s="38"/>
      <c r="ANO2372" s="38"/>
      <c r="ANP2372" s="38"/>
      <c r="ANQ2372" s="38"/>
      <c r="ANR2372" s="38"/>
      <c r="ANS2372" s="38"/>
      <c r="ANT2372" s="38"/>
      <c r="ANU2372" s="38"/>
      <c r="ANV2372" s="38"/>
      <c r="ANW2372" s="38"/>
      <c r="ANX2372" s="38"/>
      <c r="ANY2372" s="38"/>
      <c r="ANZ2372" s="38"/>
      <c r="AOA2372" s="38"/>
      <c r="AOB2372" s="38"/>
      <c r="AOC2372" s="38"/>
      <c r="AOD2372" s="38"/>
      <c r="AOE2372" s="38"/>
      <c r="AOF2372" s="38"/>
      <c r="AOG2372" s="38"/>
      <c r="AOH2372" s="38"/>
      <c r="AOI2372" s="38"/>
      <c r="AOJ2372" s="38"/>
      <c r="AOK2372" s="38"/>
      <c r="AOL2372" s="38"/>
      <c r="AOM2372" s="38"/>
      <c r="AON2372" s="38"/>
      <c r="AOO2372" s="38"/>
      <c r="AOP2372" s="38"/>
      <c r="AOQ2372" s="38"/>
      <c r="AOR2372" s="38"/>
      <c r="AOS2372" s="38"/>
      <c r="AOT2372" s="38"/>
      <c r="AOU2372" s="38"/>
      <c r="AOV2372" s="38"/>
      <c r="AOW2372" s="38"/>
      <c r="AOX2372" s="38"/>
      <c r="AOY2372" s="38"/>
      <c r="AOZ2372" s="38"/>
      <c r="APA2372" s="38"/>
      <c r="APB2372" s="38"/>
      <c r="APC2372" s="38"/>
    </row>
    <row r="2373" spans="1:1095" s="36" customFormat="1" ht="14.25" customHeight="1">
      <c r="A2373" s="3" t="s">
        <v>1722</v>
      </c>
      <c r="B2373" s="36" t="s">
        <v>2952</v>
      </c>
      <c r="C2373" s="10">
        <v>4099854049460</v>
      </c>
      <c r="D2373" s="224">
        <v>4058075593275</v>
      </c>
      <c r="E2373" s="245" t="s">
        <v>2953</v>
      </c>
      <c r="F2373" s="246"/>
      <c r="G2373" s="66" t="str">
        <f>HYPERLINK("https://ledvance.com/pt/product-datasheet/251763/235287","Ficha de Produto")</f>
        <v>Ficha de Produto</v>
      </c>
      <c r="H2373" s="217">
        <v>10</v>
      </c>
      <c r="I2373" s="34" t="s">
        <v>6354</v>
      </c>
      <c r="J2373" s="34" t="s">
        <v>6398</v>
      </c>
      <c r="K2373" s="34" t="s">
        <v>788</v>
      </c>
      <c r="L2373" s="34" t="s">
        <v>6506</v>
      </c>
      <c r="M2373" s="247">
        <v>4.9000000000000004</v>
      </c>
      <c r="N2373" s="288" t="s">
        <v>722</v>
      </c>
    </row>
    <row r="2374" spans="1:1095" s="36" customFormat="1" ht="14.25" customHeight="1">
      <c r="A2374" s="3" t="s">
        <v>1722</v>
      </c>
      <c r="B2374" s="36" t="s">
        <v>2954</v>
      </c>
      <c r="C2374" s="10">
        <v>4099854049538</v>
      </c>
      <c r="D2374" s="224">
        <v>4058075593299</v>
      </c>
      <c r="E2374" s="245" t="s">
        <v>2955</v>
      </c>
      <c r="F2374" s="246"/>
      <c r="G2374" s="66" t="str">
        <f>HYPERLINK("https://ledvance.com/pt/product-datasheet/251763/235313","Ficha de Produto")</f>
        <v>Ficha de Produto</v>
      </c>
      <c r="H2374" s="217">
        <v>10</v>
      </c>
      <c r="I2374" s="34" t="s">
        <v>6354</v>
      </c>
      <c r="J2374" s="34" t="s">
        <v>6398</v>
      </c>
      <c r="K2374" s="34" t="s">
        <v>788</v>
      </c>
      <c r="L2374" s="34" t="s">
        <v>6506</v>
      </c>
      <c r="M2374" s="247">
        <v>4.9000000000000004</v>
      </c>
      <c r="N2374" s="288" t="s">
        <v>722</v>
      </c>
    </row>
    <row r="2375" spans="1:1095" s="36" customFormat="1" ht="14.25" customHeight="1">
      <c r="A2375" s="3" t="s">
        <v>1722</v>
      </c>
      <c r="B2375" s="36" t="s">
        <v>2956</v>
      </c>
      <c r="C2375" s="10">
        <v>4099854049088</v>
      </c>
      <c r="D2375" s="224">
        <v>4058075593176</v>
      </c>
      <c r="E2375" s="245" t="s">
        <v>2957</v>
      </c>
      <c r="F2375" s="246"/>
      <c r="G2375" s="66" t="str">
        <f>HYPERLINK("https://ledvance.com/pt/product-datasheet/251763/235318","Ficha de Produto")</f>
        <v>Ficha de Produto</v>
      </c>
      <c r="H2375" s="217">
        <v>10</v>
      </c>
      <c r="I2375" s="34" t="s">
        <v>6349</v>
      </c>
      <c r="J2375" s="34" t="s">
        <v>6399</v>
      </c>
      <c r="K2375" s="34" t="s">
        <v>788</v>
      </c>
      <c r="L2375" s="34" t="s">
        <v>6506</v>
      </c>
      <c r="M2375" s="247">
        <v>5.7</v>
      </c>
      <c r="N2375" s="288" t="s">
        <v>722</v>
      </c>
    </row>
    <row r="2376" spans="1:1095" s="36" customFormat="1" ht="14.25" customHeight="1">
      <c r="A2376" s="3" t="s">
        <v>1722</v>
      </c>
      <c r="B2376" s="36" t="s">
        <v>2958</v>
      </c>
      <c r="C2376" s="10">
        <v>4099854049149</v>
      </c>
      <c r="D2376" s="224">
        <v>4058075593190</v>
      </c>
      <c r="E2376" s="245" t="s">
        <v>2959</v>
      </c>
      <c r="F2376" s="246"/>
      <c r="G2376" s="66" t="str">
        <f>HYPERLINK("https://ledvance.com/pt/product-datasheet/251763/235376","Ficha de Produto")</f>
        <v>Ficha de Produto</v>
      </c>
      <c r="H2376" s="217">
        <v>10</v>
      </c>
      <c r="I2376" s="34" t="s">
        <v>6349</v>
      </c>
      <c r="J2376" s="34" t="s">
        <v>6399</v>
      </c>
      <c r="K2376" s="34" t="s">
        <v>788</v>
      </c>
      <c r="L2376" s="34" t="s">
        <v>6506</v>
      </c>
      <c r="M2376" s="247">
        <v>5.7</v>
      </c>
      <c r="N2376" s="288" t="s">
        <v>722</v>
      </c>
    </row>
    <row r="2377" spans="1:1095" s="36" customFormat="1" ht="14.25" customHeight="1">
      <c r="A2377" s="3" t="s">
        <v>1722</v>
      </c>
      <c r="B2377" s="36" t="s">
        <v>2960</v>
      </c>
      <c r="C2377" s="10">
        <v>4099854049101</v>
      </c>
      <c r="D2377" s="224">
        <v>4058075593213</v>
      </c>
      <c r="E2377" s="245" t="s">
        <v>2961</v>
      </c>
      <c r="F2377" s="246"/>
      <c r="G2377" s="66" t="str">
        <f>HYPERLINK("https://ledvance.com/pt/product-datasheet/251763/235355","Ficha de Produto")</f>
        <v>Ficha de Produto</v>
      </c>
      <c r="H2377" s="217">
        <v>10</v>
      </c>
      <c r="I2377" s="34" t="s">
        <v>6349</v>
      </c>
      <c r="J2377" s="34" t="s">
        <v>6399</v>
      </c>
      <c r="K2377" s="34" t="s">
        <v>788</v>
      </c>
      <c r="L2377" s="34" t="s">
        <v>6506</v>
      </c>
      <c r="M2377" s="247">
        <v>5.7</v>
      </c>
      <c r="N2377" s="288" t="s">
        <v>722</v>
      </c>
    </row>
    <row r="2378" spans="1:1095" s="36" customFormat="1" ht="14.25" customHeight="1">
      <c r="A2378" s="3" t="s">
        <v>1722</v>
      </c>
      <c r="B2378" s="36" t="s">
        <v>2962</v>
      </c>
      <c r="C2378" s="10">
        <v>4099854048821</v>
      </c>
      <c r="D2378" s="224">
        <v>4058075593091</v>
      </c>
      <c r="E2378" s="245" t="s">
        <v>2963</v>
      </c>
      <c r="F2378" s="246"/>
      <c r="G2378" s="66" t="str">
        <f>HYPERLINK("https://ledvance.com/pt/product-datasheet/251763/235409","Ficha de Produto")</f>
        <v>Ficha de Produto</v>
      </c>
      <c r="H2378" s="217">
        <v>10</v>
      </c>
      <c r="I2378" s="34" t="s">
        <v>6351</v>
      </c>
      <c r="J2378" s="34" t="s">
        <v>859</v>
      </c>
      <c r="K2378" s="34" t="s">
        <v>788</v>
      </c>
      <c r="L2378" s="34" t="s">
        <v>6506</v>
      </c>
      <c r="M2378" s="247">
        <v>7.4</v>
      </c>
      <c r="N2378" s="288" t="s">
        <v>722</v>
      </c>
    </row>
    <row r="2379" spans="1:1095" s="36" customFormat="1" ht="14.25" customHeight="1">
      <c r="A2379" s="3" t="s">
        <v>1722</v>
      </c>
      <c r="B2379" s="36" t="s">
        <v>2964</v>
      </c>
      <c r="C2379" s="10">
        <v>4099854048869</v>
      </c>
      <c r="D2379" s="224">
        <v>4058075593114</v>
      </c>
      <c r="E2379" s="245" t="s">
        <v>2965</v>
      </c>
      <c r="F2379" s="246"/>
      <c r="G2379" s="66" t="str">
        <f>HYPERLINK("https://ledvance.com/pt/product-datasheet/251763/235433","Ficha de Produto")</f>
        <v>Ficha de Produto</v>
      </c>
      <c r="H2379" s="217">
        <v>10</v>
      </c>
      <c r="I2379" s="34" t="s">
        <v>6351</v>
      </c>
      <c r="J2379" s="34" t="s">
        <v>859</v>
      </c>
      <c r="K2379" s="34" t="s">
        <v>788</v>
      </c>
      <c r="L2379" s="34" t="s">
        <v>6506</v>
      </c>
      <c r="M2379" s="247">
        <v>7.4</v>
      </c>
      <c r="N2379" s="288" t="s">
        <v>722</v>
      </c>
    </row>
    <row r="2380" spans="1:1095" s="36" customFormat="1" ht="14.25" customHeight="1">
      <c r="A2380" s="3" t="s">
        <v>1722</v>
      </c>
      <c r="B2380" s="36" t="s">
        <v>2966</v>
      </c>
      <c r="C2380" s="10">
        <v>4099854048944</v>
      </c>
      <c r="D2380" s="224">
        <v>4058075593138</v>
      </c>
      <c r="E2380" s="245" t="s">
        <v>2967</v>
      </c>
      <c r="F2380" s="246"/>
      <c r="G2380" s="66" t="str">
        <f>HYPERLINK("https://ledvance.com/pt/product-datasheet/251763/235486","Ficha de Produto")</f>
        <v>Ficha de Produto</v>
      </c>
      <c r="H2380" s="217">
        <v>10</v>
      </c>
      <c r="I2380" s="34" t="s">
        <v>6352</v>
      </c>
      <c r="J2380" s="34" t="s">
        <v>771</v>
      </c>
      <c r="K2380" s="34" t="s">
        <v>788</v>
      </c>
      <c r="L2380" s="34" t="s">
        <v>6506</v>
      </c>
      <c r="M2380" s="247">
        <v>10.5</v>
      </c>
      <c r="N2380" s="288" t="s">
        <v>722</v>
      </c>
    </row>
    <row r="2381" spans="1:1095" s="36" customFormat="1" ht="14.25" customHeight="1">
      <c r="A2381" s="3" t="s">
        <v>1722</v>
      </c>
      <c r="B2381" s="36" t="s">
        <v>2968</v>
      </c>
      <c r="C2381" s="10">
        <v>4099854048968</v>
      </c>
      <c r="D2381" s="224">
        <v>4058075593152</v>
      </c>
      <c r="E2381" s="245" t="s">
        <v>2969</v>
      </c>
      <c r="F2381" s="246"/>
      <c r="G2381" s="66" t="str">
        <f>HYPERLINK("https://ledvance.com/pt/product-datasheet/251763/235519","Ficha de Produto")</f>
        <v>Ficha de Produto</v>
      </c>
      <c r="H2381" s="217">
        <v>10</v>
      </c>
      <c r="I2381" s="34" t="s">
        <v>6352</v>
      </c>
      <c r="J2381" s="34" t="s">
        <v>771</v>
      </c>
      <c r="K2381" s="34" t="s">
        <v>788</v>
      </c>
      <c r="L2381" s="34" t="s">
        <v>6506</v>
      </c>
      <c r="M2381" s="247">
        <v>10.5</v>
      </c>
      <c r="N2381" s="288" t="s">
        <v>722</v>
      </c>
    </row>
    <row r="2382" spans="1:1095" s="36" customFormat="1" ht="14.25" customHeight="1">
      <c r="A2382" s="3" t="s">
        <v>1722</v>
      </c>
      <c r="B2382" s="36" t="s">
        <v>2970</v>
      </c>
      <c r="C2382" s="10">
        <v>4099854048784</v>
      </c>
      <c r="D2382" s="224">
        <v>4058075593077</v>
      </c>
      <c r="E2382" s="245" t="s">
        <v>2971</v>
      </c>
      <c r="F2382" s="246"/>
      <c r="G2382" s="66" t="str">
        <f>HYPERLINK("https://ledvance.com/pt/product-datasheet/251763/235436","Ficha de Produto")</f>
        <v>Ficha de Produto</v>
      </c>
      <c r="H2382" s="217">
        <v>10</v>
      </c>
      <c r="I2382" s="34" t="s">
        <v>6366</v>
      </c>
      <c r="J2382" s="34" t="s">
        <v>1099</v>
      </c>
      <c r="K2382" s="34" t="s">
        <v>788</v>
      </c>
      <c r="L2382" s="34" t="s">
        <v>6506</v>
      </c>
      <c r="M2382" s="247">
        <v>19.100000000000001</v>
      </c>
      <c r="N2382" s="288" t="s">
        <v>722</v>
      </c>
    </row>
    <row r="2383" spans="1:1095" s="39" customFormat="1" ht="14.25" customHeight="1">
      <c r="A2383" s="8" t="s">
        <v>1722</v>
      </c>
      <c r="B2383" s="244" t="s">
        <v>2972</v>
      </c>
      <c r="C2383" s="8"/>
      <c r="D2383" s="7"/>
      <c r="E2383" s="230"/>
      <c r="F2383" s="7"/>
      <c r="G2383" s="68"/>
      <c r="H2383" s="230"/>
      <c r="I2383" s="230"/>
      <c r="J2383" s="230"/>
      <c r="K2383" s="230"/>
      <c r="L2383" s="230"/>
      <c r="M2383" s="248"/>
      <c r="N2383" s="292"/>
      <c r="O2383" s="38"/>
      <c r="P2383" s="38"/>
      <c r="Q2383" s="38"/>
      <c r="R2383" s="38"/>
      <c r="S2383" s="38"/>
      <c r="T2383" s="38"/>
      <c r="U2383" s="38"/>
      <c r="V2383" s="38"/>
      <c r="W2383" s="38"/>
      <c r="X2383" s="38"/>
      <c r="Y2383" s="38"/>
      <c r="Z2383" s="38"/>
      <c r="AA2383" s="38"/>
      <c r="AB2383" s="38"/>
      <c r="AC2383" s="38"/>
      <c r="AD2383" s="38"/>
      <c r="AE2383" s="38"/>
      <c r="AF2383" s="38"/>
      <c r="AG2383" s="38"/>
      <c r="AH2383" s="38"/>
      <c r="AI2383" s="38"/>
      <c r="AJ2383" s="38"/>
      <c r="AK2383" s="38"/>
      <c r="AL2383" s="38"/>
      <c r="AM2383" s="38"/>
      <c r="AN2383" s="38"/>
      <c r="AO2383" s="38"/>
      <c r="AP2383" s="38"/>
      <c r="AQ2383" s="38"/>
      <c r="AR2383" s="38"/>
      <c r="AS2383" s="38"/>
      <c r="AT2383" s="38"/>
      <c r="AU2383" s="38"/>
      <c r="AV2383" s="38"/>
      <c r="AW2383" s="38"/>
      <c r="AX2383" s="38"/>
      <c r="AY2383" s="38"/>
      <c r="AZ2383" s="38"/>
      <c r="BA2383" s="38"/>
      <c r="BB2383" s="38"/>
      <c r="BC2383" s="38"/>
      <c r="BD2383" s="38"/>
      <c r="BE2383" s="38"/>
      <c r="BF2383" s="38"/>
      <c r="BG2383" s="38"/>
      <c r="BH2383" s="38"/>
      <c r="BI2383" s="38"/>
      <c r="BJ2383" s="38"/>
      <c r="BK2383" s="38"/>
      <c r="BL2383" s="38"/>
      <c r="BM2383" s="38"/>
      <c r="BN2383" s="38"/>
      <c r="BO2383" s="38"/>
      <c r="BP2383" s="38"/>
      <c r="BQ2383" s="38"/>
      <c r="BR2383" s="38"/>
      <c r="BS2383" s="38"/>
      <c r="BT2383" s="38"/>
      <c r="BU2383" s="38"/>
      <c r="BV2383" s="38"/>
      <c r="BW2383" s="38"/>
      <c r="BX2383" s="38"/>
      <c r="BY2383" s="38"/>
      <c r="BZ2383" s="38"/>
      <c r="CA2383" s="38"/>
      <c r="CB2383" s="38"/>
      <c r="CC2383" s="38"/>
      <c r="CD2383" s="38"/>
      <c r="CE2383" s="38"/>
      <c r="CF2383" s="38"/>
      <c r="CG2383" s="38"/>
      <c r="CH2383" s="38"/>
      <c r="CI2383" s="38"/>
      <c r="CJ2383" s="38"/>
      <c r="CK2383" s="38"/>
      <c r="CL2383" s="38"/>
      <c r="CM2383" s="38"/>
      <c r="CN2383" s="38"/>
      <c r="CO2383" s="38"/>
      <c r="CP2383" s="38"/>
      <c r="CQ2383" s="38"/>
      <c r="CR2383" s="38"/>
      <c r="CS2383" s="38"/>
      <c r="CT2383" s="38"/>
      <c r="CU2383" s="38"/>
      <c r="CV2383" s="38"/>
      <c r="CW2383" s="38"/>
      <c r="CX2383" s="38"/>
      <c r="CY2383" s="38"/>
      <c r="CZ2383" s="38"/>
      <c r="DA2383" s="38"/>
      <c r="DB2383" s="38"/>
      <c r="DC2383" s="38"/>
      <c r="DD2383" s="38"/>
      <c r="DE2383" s="38"/>
      <c r="DF2383" s="38"/>
      <c r="DG2383" s="38"/>
      <c r="DH2383" s="38"/>
      <c r="DI2383" s="38"/>
      <c r="DJ2383" s="38"/>
      <c r="DK2383" s="38"/>
      <c r="DL2383" s="38"/>
      <c r="DM2383" s="38"/>
      <c r="DN2383" s="38"/>
      <c r="DO2383" s="38"/>
      <c r="DP2383" s="38"/>
      <c r="DQ2383" s="38"/>
      <c r="DR2383" s="38"/>
      <c r="DS2383" s="38"/>
      <c r="DT2383" s="38"/>
      <c r="DU2383" s="38"/>
      <c r="DV2383" s="38"/>
      <c r="DW2383" s="38"/>
      <c r="DX2383" s="38"/>
      <c r="DY2383" s="38"/>
      <c r="DZ2383" s="38"/>
      <c r="EA2383" s="38"/>
      <c r="EB2383" s="38"/>
      <c r="EC2383" s="38"/>
      <c r="ED2383" s="38"/>
      <c r="EE2383" s="38"/>
      <c r="EF2383" s="38"/>
      <c r="EG2383" s="38"/>
      <c r="EH2383" s="38"/>
      <c r="EI2383" s="38"/>
      <c r="EJ2383" s="38"/>
      <c r="EK2383" s="38"/>
      <c r="EL2383" s="38"/>
      <c r="EM2383" s="38"/>
      <c r="EN2383" s="38"/>
      <c r="EO2383" s="38"/>
      <c r="EP2383" s="38"/>
      <c r="EQ2383" s="38"/>
      <c r="ER2383" s="38"/>
      <c r="ES2383" s="38"/>
      <c r="ET2383" s="38"/>
      <c r="EU2383" s="38"/>
      <c r="EV2383" s="38"/>
      <c r="EW2383" s="38"/>
      <c r="EX2383" s="38"/>
      <c r="EY2383" s="38"/>
      <c r="EZ2383" s="38"/>
      <c r="FA2383" s="38"/>
      <c r="FB2383" s="38"/>
      <c r="FC2383" s="38"/>
      <c r="FD2383" s="38"/>
      <c r="FE2383" s="38"/>
      <c r="FF2383" s="38"/>
      <c r="FG2383" s="38"/>
      <c r="FH2383" s="38"/>
      <c r="FI2383" s="38"/>
      <c r="FJ2383" s="38"/>
      <c r="FK2383" s="38"/>
      <c r="FL2383" s="38"/>
      <c r="FM2383" s="38"/>
      <c r="FN2383" s="38"/>
      <c r="FO2383" s="38"/>
      <c r="FP2383" s="38"/>
      <c r="FQ2383" s="38"/>
      <c r="FR2383" s="38"/>
      <c r="FS2383" s="38"/>
      <c r="FT2383" s="38"/>
      <c r="FU2383" s="38"/>
      <c r="FV2383" s="38"/>
      <c r="FW2383" s="38"/>
      <c r="FX2383" s="38"/>
      <c r="FY2383" s="38"/>
      <c r="FZ2383" s="38"/>
      <c r="GA2383" s="38"/>
      <c r="GB2383" s="38"/>
      <c r="GC2383" s="38"/>
      <c r="GD2383" s="38"/>
      <c r="GE2383" s="38"/>
      <c r="GF2383" s="38"/>
      <c r="GG2383" s="38"/>
      <c r="GH2383" s="38"/>
      <c r="GI2383" s="38"/>
      <c r="GJ2383" s="38"/>
      <c r="GK2383" s="38"/>
      <c r="GL2383" s="38"/>
      <c r="GM2383" s="38"/>
      <c r="GN2383" s="38"/>
      <c r="GO2383" s="38"/>
      <c r="GP2383" s="38"/>
      <c r="GQ2383" s="38"/>
      <c r="GR2383" s="38"/>
      <c r="GS2383" s="38"/>
      <c r="GT2383" s="38"/>
      <c r="GU2383" s="38"/>
      <c r="GV2383" s="38"/>
      <c r="GW2383" s="38"/>
      <c r="GX2383" s="38"/>
      <c r="GY2383" s="38"/>
      <c r="GZ2383" s="38"/>
      <c r="HA2383" s="38"/>
      <c r="HB2383" s="38"/>
      <c r="HC2383" s="38"/>
      <c r="HD2383" s="38"/>
      <c r="HE2383" s="38"/>
      <c r="HF2383" s="38"/>
      <c r="HG2383" s="38"/>
      <c r="HH2383" s="38"/>
      <c r="HI2383" s="38"/>
      <c r="HJ2383" s="38"/>
      <c r="HK2383" s="38"/>
      <c r="HL2383" s="38"/>
      <c r="HM2383" s="38"/>
      <c r="HN2383" s="38"/>
      <c r="HO2383" s="38"/>
      <c r="HP2383" s="38"/>
      <c r="HQ2383" s="38"/>
      <c r="HR2383" s="38"/>
      <c r="HS2383" s="38"/>
      <c r="HT2383" s="38"/>
      <c r="HU2383" s="38"/>
      <c r="HV2383" s="38"/>
      <c r="HW2383" s="38"/>
      <c r="HX2383" s="38"/>
      <c r="HY2383" s="38"/>
      <c r="HZ2383" s="38"/>
      <c r="IA2383" s="38"/>
      <c r="IB2383" s="38"/>
      <c r="IC2383" s="38"/>
      <c r="ID2383" s="38"/>
      <c r="IE2383" s="38"/>
      <c r="IF2383" s="38"/>
      <c r="IG2383" s="38"/>
      <c r="IH2383" s="38"/>
      <c r="II2383" s="38"/>
      <c r="IJ2383" s="38"/>
      <c r="IK2383" s="38"/>
      <c r="IL2383" s="38"/>
      <c r="IM2383" s="38"/>
      <c r="IN2383" s="38"/>
      <c r="IO2383" s="38"/>
      <c r="IP2383" s="38"/>
      <c r="IQ2383" s="38"/>
      <c r="IR2383" s="38"/>
      <c r="IS2383" s="38"/>
      <c r="IT2383" s="38"/>
      <c r="IU2383" s="38"/>
      <c r="IV2383" s="38"/>
      <c r="IW2383" s="38"/>
      <c r="IX2383" s="38"/>
      <c r="IY2383" s="38"/>
      <c r="IZ2383" s="38"/>
      <c r="JA2383" s="38"/>
      <c r="JB2383" s="38"/>
      <c r="JC2383" s="38"/>
      <c r="JD2383" s="38"/>
      <c r="JE2383" s="38"/>
      <c r="JF2383" s="38"/>
      <c r="JG2383" s="38"/>
      <c r="JH2383" s="38"/>
      <c r="JI2383" s="38"/>
      <c r="JJ2383" s="38"/>
      <c r="JK2383" s="38"/>
      <c r="JL2383" s="38"/>
      <c r="JM2383" s="38"/>
      <c r="JN2383" s="38"/>
      <c r="JO2383" s="38"/>
      <c r="JP2383" s="38"/>
      <c r="JQ2383" s="38"/>
      <c r="JR2383" s="38"/>
      <c r="JS2383" s="38"/>
      <c r="JT2383" s="38"/>
      <c r="JU2383" s="38"/>
      <c r="JV2383" s="38"/>
      <c r="JW2383" s="38"/>
      <c r="JX2383" s="38"/>
      <c r="JY2383" s="38"/>
      <c r="JZ2383" s="38"/>
      <c r="KA2383" s="38"/>
      <c r="KB2383" s="38"/>
      <c r="KC2383" s="38"/>
      <c r="KD2383" s="38"/>
      <c r="KE2383" s="38"/>
      <c r="KF2383" s="38"/>
      <c r="KG2383" s="38"/>
      <c r="KH2383" s="38"/>
      <c r="KI2383" s="38"/>
      <c r="KJ2383" s="38"/>
      <c r="KK2383" s="38"/>
      <c r="KL2383" s="38"/>
      <c r="KM2383" s="38"/>
      <c r="KN2383" s="38"/>
      <c r="KO2383" s="38"/>
      <c r="KP2383" s="38"/>
      <c r="KQ2383" s="38"/>
      <c r="KR2383" s="38"/>
      <c r="KS2383" s="38"/>
      <c r="KT2383" s="38"/>
      <c r="KU2383" s="38"/>
      <c r="KV2383" s="38"/>
      <c r="KW2383" s="38"/>
      <c r="KX2383" s="38"/>
      <c r="KY2383" s="38"/>
      <c r="KZ2383" s="38"/>
      <c r="LA2383" s="38"/>
      <c r="LB2383" s="38"/>
      <c r="LC2383" s="38"/>
      <c r="LD2383" s="38"/>
      <c r="LE2383" s="38"/>
      <c r="LF2383" s="38"/>
      <c r="LG2383" s="38"/>
      <c r="LH2383" s="38"/>
      <c r="LI2383" s="38"/>
      <c r="LJ2383" s="38"/>
      <c r="LK2383" s="38"/>
      <c r="LL2383" s="38"/>
      <c r="LM2383" s="38"/>
      <c r="LN2383" s="38"/>
      <c r="LO2383" s="38"/>
      <c r="LP2383" s="38"/>
      <c r="LQ2383" s="38"/>
      <c r="LR2383" s="38"/>
      <c r="LS2383" s="38"/>
      <c r="LT2383" s="38"/>
      <c r="LU2383" s="38"/>
      <c r="LV2383" s="38"/>
      <c r="LW2383" s="38"/>
      <c r="LX2383" s="38"/>
      <c r="LY2383" s="38"/>
      <c r="LZ2383" s="38"/>
      <c r="MA2383" s="38"/>
      <c r="MB2383" s="38"/>
      <c r="MC2383" s="38"/>
      <c r="MD2383" s="38"/>
      <c r="ME2383" s="38"/>
      <c r="MF2383" s="38"/>
      <c r="MG2383" s="38"/>
      <c r="MH2383" s="38"/>
      <c r="MI2383" s="38"/>
      <c r="MJ2383" s="38"/>
      <c r="MK2383" s="38"/>
      <c r="ML2383" s="38"/>
      <c r="MM2383" s="38"/>
      <c r="MN2383" s="38"/>
      <c r="MO2383" s="38"/>
      <c r="MP2383" s="38"/>
      <c r="MQ2383" s="38"/>
      <c r="MR2383" s="38"/>
      <c r="MS2383" s="38"/>
      <c r="MT2383" s="38"/>
      <c r="MU2383" s="38"/>
      <c r="MV2383" s="38"/>
      <c r="MW2383" s="38"/>
      <c r="MX2383" s="38"/>
      <c r="MY2383" s="38"/>
      <c r="MZ2383" s="38"/>
      <c r="NA2383" s="38"/>
      <c r="NB2383" s="38"/>
      <c r="NC2383" s="38"/>
      <c r="ND2383" s="38"/>
      <c r="NE2383" s="38"/>
      <c r="NF2383" s="38"/>
      <c r="NG2383" s="38"/>
      <c r="NH2383" s="38"/>
      <c r="NI2383" s="38"/>
      <c r="NJ2383" s="38"/>
      <c r="NK2383" s="38"/>
      <c r="NL2383" s="38"/>
      <c r="NM2383" s="38"/>
      <c r="NN2383" s="38"/>
      <c r="NO2383" s="38"/>
      <c r="NP2383" s="38"/>
      <c r="NQ2383" s="38"/>
      <c r="NR2383" s="38"/>
      <c r="NS2383" s="38"/>
      <c r="NT2383" s="38"/>
      <c r="NU2383" s="38"/>
      <c r="NV2383" s="38"/>
      <c r="NW2383" s="38"/>
      <c r="NX2383" s="38"/>
      <c r="NY2383" s="38"/>
      <c r="NZ2383" s="38"/>
      <c r="OA2383" s="38"/>
      <c r="OB2383" s="38"/>
      <c r="OC2383" s="38"/>
      <c r="OD2383" s="38"/>
      <c r="OE2383" s="38"/>
      <c r="OF2383" s="38"/>
      <c r="OG2383" s="38"/>
      <c r="OH2383" s="38"/>
      <c r="OI2383" s="38"/>
      <c r="OJ2383" s="38"/>
      <c r="OK2383" s="38"/>
      <c r="OL2383" s="38"/>
      <c r="OM2383" s="38"/>
      <c r="ON2383" s="38"/>
      <c r="OO2383" s="38"/>
      <c r="OP2383" s="38"/>
      <c r="OQ2383" s="38"/>
      <c r="OR2383" s="38"/>
      <c r="OS2383" s="38"/>
      <c r="OT2383" s="38"/>
      <c r="OU2383" s="38"/>
      <c r="OV2383" s="38"/>
      <c r="OW2383" s="38"/>
      <c r="OX2383" s="38"/>
      <c r="OY2383" s="38"/>
      <c r="OZ2383" s="38"/>
      <c r="PA2383" s="38"/>
      <c r="PB2383" s="38"/>
      <c r="PC2383" s="38"/>
      <c r="PD2383" s="38"/>
      <c r="PE2383" s="38"/>
      <c r="PF2383" s="38"/>
      <c r="PG2383" s="38"/>
      <c r="PH2383" s="38"/>
      <c r="PI2383" s="38"/>
      <c r="PJ2383" s="38"/>
      <c r="PK2383" s="38"/>
      <c r="PL2383" s="38"/>
      <c r="PM2383" s="38"/>
      <c r="PN2383" s="38"/>
      <c r="PO2383" s="38"/>
      <c r="PP2383" s="38"/>
      <c r="PQ2383" s="38"/>
      <c r="PR2383" s="38"/>
      <c r="PS2383" s="38"/>
      <c r="PT2383" s="38"/>
      <c r="PU2383" s="38"/>
      <c r="PV2383" s="38"/>
      <c r="PW2383" s="38"/>
      <c r="PX2383" s="38"/>
      <c r="PY2383" s="38"/>
      <c r="PZ2383" s="38"/>
      <c r="QA2383" s="38"/>
      <c r="QB2383" s="38"/>
      <c r="QC2383" s="38"/>
      <c r="QD2383" s="38"/>
      <c r="QE2383" s="38"/>
      <c r="QF2383" s="38"/>
      <c r="QG2383" s="38"/>
      <c r="QH2383" s="38"/>
      <c r="QI2383" s="38"/>
      <c r="QJ2383" s="38"/>
      <c r="QK2383" s="38"/>
      <c r="QL2383" s="38"/>
      <c r="QM2383" s="38"/>
      <c r="QN2383" s="38"/>
      <c r="QO2383" s="38"/>
      <c r="QP2383" s="38"/>
      <c r="QQ2383" s="38"/>
      <c r="QR2383" s="38"/>
      <c r="QS2383" s="38"/>
      <c r="QT2383" s="38"/>
      <c r="QU2383" s="38"/>
      <c r="QV2383" s="38"/>
      <c r="QW2383" s="38"/>
      <c r="QX2383" s="38"/>
      <c r="QY2383" s="38"/>
      <c r="QZ2383" s="38"/>
      <c r="RA2383" s="38"/>
      <c r="RB2383" s="38"/>
      <c r="RC2383" s="38"/>
      <c r="RD2383" s="38"/>
      <c r="RE2383" s="38"/>
      <c r="RF2383" s="38"/>
      <c r="RG2383" s="38"/>
      <c r="RH2383" s="38"/>
      <c r="RI2383" s="38"/>
      <c r="RJ2383" s="38"/>
      <c r="RK2383" s="38"/>
      <c r="RL2383" s="38"/>
      <c r="RM2383" s="38"/>
      <c r="RN2383" s="38"/>
      <c r="RO2383" s="38"/>
      <c r="RP2383" s="38"/>
      <c r="RQ2383" s="38"/>
      <c r="RR2383" s="38"/>
      <c r="RS2383" s="38"/>
      <c r="RT2383" s="38"/>
      <c r="RU2383" s="38"/>
      <c r="RV2383" s="38"/>
      <c r="RW2383" s="38"/>
      <c r="RX2383" s="38"/>
      <c r="RY2383" s="38"/>
      <c r="RZ2383" s="38"/>
      <c r="SA2383" s="38"/>
      <c r="SB2383" s="38"/>
      <c r="SC2383" s="38"/>
      <c r="SD2383" s="38"/>
      <c r="SE2383" s="38"/>
      <c r="SF2383" s="38"/>
      <c r="SG2383" s="38"/>
      <c r="SH2383" s="38"/>
      <c r="SI2383" s="38"/>
      <c r="SJ2383" s="38"/>
      <c r="SK2383" s="38"/>
      <c r="SL2383" s="38"/>
      <c r="SM2383" s="38"/>
      <c r="SN2383" s="38"/>
      <c r="SO2383" s="38"/>
      <c r="SP2383" s="38"/>
      <c r="SQ2383" s="38"/>
      <c r="SR2383" s="38"/>
      <c r="SS2383" s="38"/>
      <c r="ST2383" s="38"/>
      <c r="SU2383" s="38"/>
      <c r="SV2383" s="38"/>
      <c r="SW2383" s="38"/>
      <c r="SX2383" s="38"/>
      <c r="SY2383" s="38"/>
      <c r="SZ2383" s="38"/>
      <c r="TA2383" s="38"/>
      <c r="TB2383" s="38"/>
      <c r="TC2383" s="38"/>
      <c r="TD2383" s="38"/>
      <c r="TE2383" s="38"/>
      <c r="TF2383" s="38"/>
      <c r="TG2383" s="38"/>
      <c r="TH2383" s="38"/>
      <c r="TI2383" s="38"/>
      <c r="TJ2383" s="38"/>
      <c r="TK2383" s="38"/>
      <c r="TL2383" s="38"/>
      <c r="TM2383" s="38"/>
      <c r="TN2383" s="38"/>
      <c r="TO2383" s="38"/>
      <c r="TP2383" s="38"/>
      <c r="TQ2383" s="38"/>
      <c r="TR2383" s="38"/>
      <c r="TS2383" s="38"/>
      <c r="TT2383" s="38"/>
      <c r="TU2383" s="38"/>
      <c r="TV2383" s="38"/>
      <c r="TW2383" s="38"/>
      <c r="TX2383" s="38"/>
      <c r="TY2383" s="38"/>
      <c r="TZ2383" s="38"/>
      <c r="UA2383" s="38"/>
      <c r="UB2383" s="38"/>
      <c r="UC2383" s="38"/>
      <c r="UD2383" s="38"/>
      <c r="UE2383" s="38"/>
      <c r="UF2383" s="38"/>
      <c r="UG2383" s="38"/>
      <c r="UH2383" s="38"/>
      <c r="UI2383" s="38"/>
      <c r="UJ2383" s="38"/>
      <c r="UK2383" s="38"/>
      <c r="UL2383" s="38"/>
      <c r="UM2383" s="38"/>
      <c r="UN2383" s="38"/>
      <c r="UO2383" s="38"/>
      <c r="UP2383" s="38"/>
      <c r="UQ2383" s="38"/>
      <c r="UR2383" s="38"/>
      <c r="US2383" s="38"/>
      <c r="UT2383" s="38"/>
      <c r="UU2383" s="38"/>
      <c r="UV2383" s="38"/>
      <c r="UW2383" s="38"/>
      <c r="UX2383" s="38"/>
      <c r="UY2383" s="38"/>
      <c r="UZ2383" s="38"/>
      <c r="VA2383" s="38"/>
      <c r="VB2383" s="38"/>
      <c r="VC2383" s="38"/>
      <c r="VD2383" s="38"/>
      <c r="VE2383" s="38"/>
      <c r="VF2383" s="38"/>
      <c r="VG2383" s="38"/>
      <c r="VH2383" s="38"/>
      <c r="VI2383" s="38"/>
      <c r="VJ2383" s="38"/>
      <c r="VK2383" s="38"/>
      <c r="VL2383" s="38"/>
      <c r="VM2383" s="38"/>
      <c r="VN2383" s="38"/>
      <c r="VO2383" s="38"/>
      <c r="VP2383" s="38"/>
      <c r="VQ2383" s="38"/>
      <c r="VR2383" s="38"/>
      <c r="VS2383" s="38"/>
      <c r="VT2383" s="38"/>
      <c r="VU2383" s="38"/>
      <c r="VV2383" s="38"/>
      <c r="VW2383" s="38"/>
      <c r="VX2383" s="38"/>
      <c r="VY2383" s="38"/>
      <c r="VZ2383" s="38"/>
      <c r="WA2383" s="38"/>
      <c r="WB2383" s="38"/>
      <c r="WC2383" s="38"/>
      <c r="WD2383" s="38"/>
      <c r="WE2383" s="38"/>
      <c r="WF2383" s="38"/>
      <c r="WG2383" s="38"/>
      <c r="WH2383" s="38"/>
      <c r="WI2383" s="38"/>
      <c r="WJ2383" s="38"/>
      <c r="WK2383" s="38"/>
      <c r="WL2383" s="38"/>
      <c r="WM2383" s="38"/>
      <c r="WN2383" s="38"/>
      <c r="WO2383" s="38"/>
      <c r="WP2383" s="38"/>
      <c r="WQ2383" s="38"/>
      <c r="WR2383" s="38"/>
      <c r="WS2383" s="38"/>
      <c r="WT2383" s="38"/>
      <c r="WU2383" s="38"/>
      <c r="WV2383" s="38"/>
      <c r="WW2383" s="38"/>
      <c r="WX2383" s="38"/>
      <c r="WY2383" s="38"/>
      <c r="WZ2383" s="38"/>
      <c r="XA2383" s="38"/>
      <c r="XB2383" s="38"/>
      <c r="XC2383" s="38"/>
      <c r="XD2383" s="38"/>
      <c r="XE2383" s="38"/>
      <c r="XF2383" s="38"/>
      <c r="XG2383" s="38"/>
      <c r="XH2383" s="38"/>
      <c r="XI2383" s="38"/>
      <c r="XJ2383" s="38"/>
      <c r="XK2383" s="38"/>
      <c r="XL2383" s="38"/>
      <c r="XM2383" s="38"/>
      <c r="XN2383" s="38"/>
      <c r="XO2383" s="38"/>
      <c r="XP2383" s="38"/>
      <c r="XQ2383" s="38"/>
      <c r="XR2383" s="38"/>
      <c r="XS2383" s="38"/>
      <c r="XT2383" s="38"/>
      <c r="XU2383" s="38"/>
      <c r="XV2383" s="38"/>
      <c r="XW2383" s="38"/>
      <c r="XX2383" s="38"/>
      <c r="XY2383" s="38"/>
      <c r="XZ2383" s="38"/>
      <c r="YA2383" s="38"/>
      <c r="YB2383" s="38"/>
      <c r="YC2383" s="38"/>
      <c r="YD2383" s="38"/>
      <c r="YE2383" s="38"/>
      <c r="YF2383" s="38"/>
      <c r="YG2383" s="38"/>
      <c r="YH2383" s="38"/>
      <c r="YI2383" s="38"/>
      <c r="YJ2383" s="38"/>
      <c r="YK2383" s="38"/>
      <c r="YL2383" s="38"/>
      <c r="YM2383" s="38"/>
      <c r="YN2383" s="38"/>
      <c r="YO2383" s="38"/>
      <c r="YP2383" s="38"/>
      <c r="YQ2383" s="38"/>
      <c r="YR2383" s="38"/>
      <c r="YS2383" s="38"/>
      <c r="YT2383" s="38"/>
      <c r="YU2383" s="38"/>
      <c r="YV2383" s="38"/>
      <c r="YW2383" s="38"/>
      <c r="YX2383" s="38"/>
      <c r="YY2383" s="38"/>
      <c r="YZ2383" s="38"/>
      <c r="ZA2383" s="38"/>
      <c r="ZB2383" s="38"/>
      <c r="ZC2383" s="38"/>
      <c r="ZD2383" s="38"/>
      <c r="ZE2383" s="38"/>
      <c r="ZF2383" s="38"/>
      <c r="ZG2383" s="38"/>
      <c r="ZH2383" s="38"/>
      <c r="ZI2383" s="38"/>
      <c r="ZJ2383" s="38"/>
      <c r="ZK2383" s="38"/>
      <c r="ZL2383" s="38"/>
      <c r="ZM2383" s="38"/>
      <c r="ZN2383" s="38"/>
      <c r="ZO2383" s="38"/>
      <c r="ZP2383" s="38"/>
      <c r="ZQ2383" s="38"/>
      <c r="ZR2383" s="38"/>
      <c r="ZS2383" s="38"/>
      <c r="ZT2383" s="38"/>
      <c r="ZU2383" s="38"/>
      <c r="ZV2383" s="38"/>
      <c r="ZW2383" s="38"/>
      <c r="ZX2383" s="38"/>
      <c r="ZY2383" s="38"/>
      <c r="ZZ2383" s="38"/>
      <c r="AAA2383" s="38"/>
      <c r="AAB2383" s="38"/>
      <c r="AAC2383" s="38"/>
      <c r="AAD2383" s="38"/>
      <c r="AAE2383" s="38"/>
      <c r="AAF2383" s="38"/>
      <c r="AAG2383" s="38"/>
      <c r="AAH2383" s="38"/>
      <c r="AAI2383" s="38"/>
      <c r="AAJ2383" s="38"/>
      <c r="AAK2383" s="38"/>
      <c r="AAL2383" s="38"/>
      <c r="AAM2383" s="38"/>
      <c r="AAN2383" s="38"/>
      <c r="AAO2383" s="38"/>
      <c r="AAP2383" s="38"/>
      <c r="AAQ2383" s="38"/>
      <c r="AAR2383" s="38"/>
      <c r="AAS2383" s="38"/>
      <c r="AAT2383" s="38"/>
      <c r="AAU2383" s="38"/>
      <c r="AAV2383" s="38"/>
      <c r="AAW2383" s="38"/>
      <c r="AAX2383" s="38"/>
      <c r="AAY2383" s="38"/>
      <c r="AAZ2383" s="38"/>
      <c r="ABA2383" s="38"/>
      <c r="ABB2383" s="38"/>
      <c r="ABC2383" s="38"/>
      <c r="ABD2383" s="38"/>
      <c r="ABE2383" s="38"/>
      <c r="ABF2383" s="38"/>
      <c r="ABG2383" s="38"/>
      <c r="ABH2383" s="38"/>
      <c r="ABI2383" s="38"/>
      <c r="ABJ2383" s="38"/>
      <c r="ABK2383" s="38"/>
      <c r="ABL2383" s="38"/>
      <c r="ABM2383" s="38"/>
      <c r="ABN2383" s="38"/>
      <c r="ABO2383" s="38"/>
      <c r="ABP2383" s="38"/>
      <c r="ABQ2383" s="38"/>
      <c r="ABR2383" s="38"/>
      <c r="ABS2383" s="38"/>
      <c r="ABT2383" s="38"/>
      <c r="ABU2383" s="38"/>
      <c r="ABV2383" s="38"/>
      <c r="ABW2383" s="38"/>
      <c r="ABX2383" s="38"/>
      <c r="ABY2383" s="38"/>
      <c r="ABZ2383" s="38"/>
      <c r="ACA2383" s="38"/>
      <c r="ACB2383" s="38"/>
      <c r="ACC2383" s="38"/>
      <c r="ACD2383" s="38"/>
      <c r="ACE2383" s="38"/>
      <c r="ACF2383" s="38"/>
      <c r="ACG2383" s="38"/>
      <c r="ACH2383" s="38"/>
      <c r="ACI2383" s="38"/>
      <c r="ACJ2383" s="38"/>
      <c r="ACK2383" s="38"/>
      <c r="ACL2383" s="38"/>
      <c r="ACM2383" s="38"/>
      <c r="ACN2383" s="38"/>
      <c r="ACO2383" s="38"/>
      <c r="ACP2383" s="38"/>
      <c r="ACQ2383" s="38"/>
      <c r="ACR2383" s="38"/>
      <c r="ACS2383" s="38"/>
      <c r="ACT2383" s="38"/>
      <c r="ACU2383" s="38"/>
      <c r="ACV2383" s="38"/>
      <c r="ACW2383" s="38"/>
      <c r="ACX2383" s="38"/>
      <c r="ACY2383" s="38"/>
      <c r="ACZ2383" s="38"/>
      <c r="ADA2383" s="38"/>
      <c r="ADB2383" s="38"/>
      <c r="ADC2383" s="38"/>
      <c r="ADD2383" s="38"/>
      <c r="ADE2383" s="38"/>
      <c r="ADF2383" s="38"/>
      <c r="ADG2383" s="38"/>
      <c r="ADH2383" s="38"/>
      <c r="ADI2383" s="38"/>
      <c r="ADJ2383" s="38"/>
      <c r="ADK2383" s="38"/>
      <c r="ADL2383" s="38"/>
      <c r="ADM2383" s="38"/>
      <c r="ADN2383" s="38"/>
      <c r="ADO2383" s="38"/>
      <c r="ADP2383" s="38"/>
      <c r="ADQ2383" s="38"/>
      <c r="ADR2383" s="38"/>
      <c r="ADS2383" s="38"/>
      <c r="ADT2383" s="38"/>
      <c r="ADU2383" s="38"/>
      <c r="ADV2383" s="38"/>
      <c r="ADW2383" s="38"/>
      <c r="ADX2383" s="38"/>
      <c r="ADY2383" s="38"/>
      <c r="ADZ2383" s="38"/>
      <c r="AEA2383" s="38"/>
      <c r="AEB2383" s="38"/>
      <c r="AEC2383" s="38"/>
      <c r="AED2383" s="38"/>
      <c r="AEE2383" s="38"/>
      <c r="AEF2383" s="38"/>
      <c r="AEG2383" s="38"/>
      <c r="AEH2383" s="38"/>
      <c r="AEI2383" s="38"/>
      <c r="AEJ2383" s="38"/>
      <c r="AEK2383" s="38"/>
      <c r="AEL2383" s="38"/>
      <c r="AEM2383" s="38"/>
      <c r="AEN2383" s="38"/>
      <c r="AEO2383" s="38"/>
      <c r="AEP2383" s="38"/>
      <c r="AEQ2383" s="38"/>
      <c r="AER2383" s="38"/>
      <c r="AES2383" s="38"/>
      <c r="AET2383" s="38"/>
      <c r="AEU2383" s="38"/>
      <c r="AEV2383" s="38"/>
      <c r="AEW2383" s="38"/>
      <c r="AEX2383" s="38"/>
      <c r="AEY2383" s="38"/>
      <c r="AEZ2383" s="38"/>
      <c r="AFA2383" s="38"/>
      <c r="AFB2383" s="38"/>
      <c r="AFC2383" s="38"/>
      <c r="AFD2383" s="38"/>
      <c r="AFE2383" s="38"/>
      <c r="AFF2383" s="38"/>
      <c r="AFG2383" s="38"/>
      <c r="AFH2383" s="38"/>
      <c r="AFI2383" s="38"/>
      <c r="AFJ2383" s="38"/>
      <c r="AFK2383" s="38"/>
      <c r="AFL2383" s="38"/>
      <c r="AFM2383" s="38"/>
      <c r="AFN2383" s="38"/>
      <c r="AFO2383" s="38"/>
      <c r="AFP2383" s="38"/>
      <c r="AFQ2383" s="38"/>
      <c r="AFR2383" s="38"/>
      <c r="AFS2383" s="38"/>
      <c r="AFT2383" s="38"/>
      <c r="AFU2383" s="38"/>
      <c r="AFV2383" s="38"/>
      <c r="AFW2383" s="38"/>
      <c r="AFX2383" s="38"/>
      <c r="AFY2383" s="38"/>
      <c r="AFZ2383" s="38"/>
      <c r="AGA2383" s="38"/>
      <c r="AGB2383" s="38"/>
      <c r="AGC2383" s="38"/>
      <c r="AGD2383" s="38"/>
      <c r="AGE2383" s="38"/>
      <c r="AGF2383" s="38"/>
      <c r="AGG2383" s="38"/>
      <c r="AGH2383" s="38"/>
      <c r="AGI2383" s="38"/>
      <c r="AGJ2383" s="38"/>
      <c r="AGK2383" s="38"/>
      <c r="AGL2383" s="38"/>
      <c r="AGM2383" s="38"/>
      <c r="AGN2383" s="38"/>
      <c r="AGO2383" s="38"/>
      <c r="AGP2383" s="38"/>
      <c r="AGQ2383" s="38"/>
      <c r="AGR2383" s="38"/>
      <c r="AGS2383" s="38"/>
      <c r="AGT2383" s="38"/>
      <c r="AGU2383" s="38"/>
      <c r="AGV2383" s="38"/>
      <c r="AGW2383" s="38"/>
      <c r="AGX2383" s="38"/>
      <c r="AGY2383" s="38"/>
      <c r="AGZ2383" s="38"/>
      <c r="AHA2383" s="38"/>
      <c r="AHB2383" s="38"/>
      <c r="AHC2383" s="38"/>
      <c r="AHD2383" s="38"/>
      <c r="AHE2383" s="38"/>
      <c r="AHF2383" s="38"/>
      <c r="AHG2383" s="38"/>
      <c r="AHH2383" s="38"/>
      <c r="AHI2383" s="38"/>
      <c r="AHJ2383" s="38"/>
      <c r="AHK2383" s="38"/>
      <c r="AHL2383" s="38"/>
      <c r="AHM2383" s="38"/>
      <c r="AHN2383" s="38"/>
      <c r="AHO2383" s="38"/>
      <c r="AHP2383" s="38"/>
      <c r="AHQ2383" s="38"/>
      <c r="AHR2383" s="38"/>
      <c r="AHS2383" s="38"/>
      <c r="AHT2383" s="38"/>
      <c r="AHU2383" s="38"/>
      <c r="AHV2383" s="38"/>
      <c r="AHW2383" s="38"/>
      <c r="AHX2383" s="38"/>
      <c r="AHY2383" s="38"/>
      <c r="AHZ2383" s="38"/>
      <c r="AIA2383" s="38"/>
      <c r="AIB2383" s="38"/>
      <c r="AIC2383" s="38"/>
      <c r="AID2383" s="38"/>
      <c r="AIE2383" s="38"/>
      <c r="AIF2383" s="38"/>
      <c r="AIG2383" s="38"/>
      <c r="AIH2383" s="38"/>
      <c r="AII2383" s="38"/>
      <c r="AIJ2383" s="38"/>
      <c r="AIK2383" s="38"/>
      <c r="AIL2383" s="38"/>
      <c r="AIM2383" s="38"/>
      <c r="AIN2383" s="38"/>
      <c r="AIO2383" s="38"/>
      <c r="AIP2383" s="38"/>
      <c r="AIQ2383" s="38"/>
      <c r="AIR2383" s="38"/>
      <c r="AIS2383" s="38"/>
      <c r="AIT2383" s="38"/>
      <c r="AIU2383" s="38"/>
      <c r="AIV2383" s="38"/>
      <c r="AIW2383" s="38"/>
      <c r="AIX2383" s="38"/>
      <c r="AIY2383" s="38"/>
      <c r="AIZ2383" s="38"/>
      <c r="AJA2383" s="38"/>
      <c r="AJB2383" s="38"/>
      <c r="AJC2383" s="38"/>
      <c r="AJD2383" s="38"/>
      <c r="AJE2383" s="38"/>
      <c r="AJF2383" s="38"/>
      <c r="AJG2383" s="38"/>
      <c r="AJH2383" s="38"/>
      <c r="AJI2383" s="38"/>
      <c r="AJJ2383" s="38"/>
      <c r="AJK2383" s="38"/>
      <c r="AJL2383" s="38"/>
      <c r="AJM2383" s="38"/>
      <c r="AJN2383" s="38"/>
      <c r="AJO2383" s="38"/>
      <c r="AJP2383" s="38"/>
      <c r="AJQ2383" s="38"/>
      <c r="AJR2383" s="38"/>
      <c r="AJS2383" s="38"/>
      <c r="AJT2383" s="38"/>
      <c r="AJU2383" s="38"/>
      <c r="AJV2383" s="38"/>
      <c r="AJW2383" s="38"/>
      <c r="AJX2383" s="38"/>
      <c r="AJY2383" s="38"/>
      <c r="AJZ2383" s="38"/>
      <c r="AKA2383" s="38"/>
      <c r="AKB2383" s="38"/>
      <c r="AKC2383" s="38"/>
      <c r="AKD2383" s="38"/>
      <c r="AKE2383" s="38"/>
      <c r="AKF2383" s="38"/>
      <c r="AKG2383" s="38"/>
      <c r="AKH2383" s="38"/>
      <c r="AKI2383" s="38"/>
      <c r="AKJ2383" s="38"/>
      <c r="AKK2383" s="38"/>
      <c r="AKL2383" s="38"/>
      <c r="AKM2383" s="38"/>
      <c r="AKN2383" s="38"/>
      <c r="AKO2383" s="38"/>
      <c r="AKP2383" s="38"/>
      <c r="AKQ2383" s="38"/>
      <c r="AKR2383" s="38"/>
      <c r="AKS2383" s="38"/>
      <c r="AKT2383" s="38"/>
      <c r="AKU2383" s="38"/>
      <c r="AKV2383" s="38"/>
      <c r="AKW2383" s="38"/>
      <c r="AKX2383" s="38"/>
      <c r="AKY2383" s="38"/>
      <c r="AKZ2383" s="38"/>
      <c r="ALA2383" s="38"/>
      <c r="ALB2383" s="38"/>
      <c r="ALC2383" s="38"/>
      <c r="ALD2383" s="38"/>
      <c r="ALE2383" s="38"/>
      <c r="ALF2383" s="38"/>
      <c r="ALG2383" s="38"/>
      <c r="ALH2383" s="38"/>
      <c r="ALI2383" s="38"/>
      <c r="ALJ2383" s="38"/>
      <c r="ALK2383" s="38"/>
      <c r="ALL2383" s="38"/>
      <c r="ALM2383" s="38"/>
      <c r="ALN2383" s="38"/>
      <c r="ALO2383" s="38"/>
      <c r="ALP2383" s="38"/>
      <c r="ALQ2383" s="38"/>
      <c r="ALR2383" s="38"/>
      <c r="ALS2383" s="38"/>
      <c r="ALT2383" s="38"/>
      <c r="ALU2383" s="38"/>
      <c r="ALV2383" s="38"/>
      <c r="ALW2383" s="38"/>
      <c r="ALX2383" s="38"/>
      <c r="ALY2383" s="38"/>
      <c r="ALZ2383" s="38"/>
      <c r="AMA2383" s="38"/>
      <c r="AMB2383" s="38"/>
      <c r="AMC2383" s="38"/>
      <c r="AMD2383" s="38"/>
      <c r="AME2383" s="38"/>
      <c r="AMF2383" s="38"/>
      <c r="AMG2383" s="38"/>
      <c r="AMH2383" s="38"/>
      <c r="AMI2383" s="38"/>
      <c r="AMJ2383" s="38"/>
      <c r="AMK2383" s="38"/>
      <c r="AML2383" s="38"/>
      <c r="AMM2383" s="38"/>
      <c r="AMN2383" s="38"/>
      <c r="AMO2383" s="38"/>
      <c r="AMP2383" s="38"/>
      <c r="AMQ2383" s="38"/>
      <c r="AMR2383" s="38"/>
      <c r="AMS2383" s="38"/>
      <c r="AMT2383" s="38"/>
      <c r="AMU2383" s="38"/>
      <c r="AMV2383" s="38"/>
      <c r="AMW2383" s="38"/>
      <c r="AMX2383" s="38"/>
      <c r="AMY2383" s="38"/>
      <c r="AMZ2383" s="38"/>
      <c r="ANA2383" s="38"/>
      <c r="ANB2383" s="38"/>
      <c r="ANC2383" s="38"/>
      <c r="AND2383" s="38"/>
      <c r="ANE2383" s="38"/>
      <c r="ANF2383" s="38"/>
      <c r="ANG2383" s="38"/>
      <c r="ANH2383" s="38"/>
      <c r="ANI2383" s="38"/>
      <c r="ANJ2383" s="38"/>
      <c r="ANK2383" s="38"/>
      <c r="ANL2383" s="38"/>
      <c r="ANM2383" s="38"/>
      <c r="ANN2383" s="38"/>
      <c r="ANO2383" s="38"/>
      <c r="ANP2383" s="38"/>
      <c r="ANQ2383" s="38"/>
      <c r="ANR2383" s="38"/>
      <c r="ANS2383" s="38"/>
      <c r="ANT2383" s="38"/>
      <c r="ANU2383" s="38"/>
      <c r="ANV2383" s="38"/>
      <c r="ANW2383" s="38"/>
      <c r="ANX2383" s="38"/>
      <c r="ANY2383" s="38"/>
      <c r="ANZ2383" s="38"/>
      <c r="AOA2383" s="38"/>
      <c r="AOB2383" s="38"/>
      <c r="AOC2383" s="38"/>
      <c r="AOD2383" s="38"/>
      <c r="AOE2383" s="38"/>
      <c r="AOF2383" s="38"/>
      <c r="AOG2383" s="38"/>
      <c r="AOH2383" s="38"/>
      <c r="AOI2383" s="38"/>
      <c r="AOJ2383" s="38"/>
      <c r="AOK2383" s="38"/>
      <c r="AOL2383" s="38"/>
      <c r="AOM2383" s="38"/>
      <c r="AON2383" s="38"/>
      <c r="AOO2383" s="38"/>
      <c r="AOP2383" s="38"/>
      <c r="AOQ2383" s="38"/>
      <c r="AOR2383" s="38"/>
      <c r="AOS2383" s="38"/>
      <c r="AOT2383" s="38"/>
      <c r="AOU2383" s="38"/>
      <c r="AOV2383" s="38"/>
      <c r="AOW2383" s="38"/>
      <c r="AOX2383" s="38"/>
      <c r="AOY2383" s="38"/>
      <c r="AOZ2383" s="38"/>
      <c r="APA2383" s="38"/>
      <c r="APB2383" s="38"/>
      <c r="APC2383" s="38"/>
    </row>
    <row r="2384" spans="1:1095" s="36" customFormat="1" ht="14.25" customHeight="1">
      <c r="A2384" s="3" t="s">
        <v>1722</v>
      </c>
      <c r="B2384" s="36" t="s">
        <v>2973</v>
      </c>
      <c r="C2384" s="10">
        <v>4058075757608</v>
      </c>
      <c r="D2384" s="224"/>
      <c r="E2384" s="245" t="s">
        <v>1695</v>
      </c>
      <c r="F2384" s="246"/>
      <c r="G2384" s="66" t="str">
        <f>HYPERLINK("https://ledvance.com/pt/product-datasheet/220048/203091","Ficha de Produto")</f>
        <v>Ficha de Produto</v>
      </c>
      <c r="H2384" s="217">
        <v>6</v>
      </c>
      <c r="I2384" s="34" t="s">
        <v>1052</v>
      </c>
      <c r="J2384" s="34" t="s">
        <v>6367</v>
      </c>
      <c r="K2384" s="34" t="s">
        <v>788</v>
      </c>
      <c r="L2384" s="34" t="s">
        <v>6506</v>
      </c>
      <c r="M2384" s="247">
        <v>15.2</v>
      </c>
      <c r="N2384" s="288" t="s">
        <v>722</v>
      </c>
    </row>
    <row r="2385" spans="1:1095" s="36" customFormat="1" ht="14.25" customHeight="1">
      <c r="A2385" s="3" t="s">
        <v>1722</v>
      </c>
      <c r="B2385" s="36" t="s">
        <v>2974</v>
      </c>
      <c r="C2385" s="10">
        <v>4058075757622</v>
      </c>
      <c r="D2385" s="224"/>
      <c r="E2385" s="245" t="s">
        <v>1696</v>
      </c>
      <c r="F2385" s="246"/>
      <c r="G2385" s="66" t="str">
        <f>HYPERLINK("https://ledvance.com/pt/product-datasheet/220048/203094","Ficha de Produto")</f>
        <v>Ficha de Produto</v>
      </c>
      <c r="H2385" s="217">
        <v>6</v>
      </c>
      <c r="I2385" s="34" t="s">
        <v>6420</v>
      </c>
      <c r="J2385" s="34" t="s">
        <v>886</v>
      </c>
      <c r="K2385" s="34" t="s">
        <v>788</v>
      </c>
      <c r="L2385" s="34" t="s">
        <v>6506</v>
      </c>
      <c r="M2385" s="247">
        <v>19.900000000000002</v>
      </c>
      <c r="N2385" s="288" t="s">
        <v>722</v>
      </c>
    </row>
    <row r="2386" spans="1:1095" s="36" customFormat="1" ht="14.25" customHeight="1">
      <c r="A2386" s="3" t="s">
        <v>1722</v>
      </c>
      <c r="B2386" s="36" t="s">
        <v>2975</v>
      </c>
      <c r="C2386" s="10">
        <v>4099854040368</v>
      </c>
      <c r="D2386" s="246"/>
      <c r="E2386" s="249"/>
      <c r="F2386" s="222" t="s">
        <v>3136</v>
      </c>
      <c r="G2386" s="66" t="str">
        <f>HYPERLINK("https://ledvance.com/pt/product-datasheet/220048/233754","Ficha de Produto")</f>
        <v>Ficha de Produto</v>
      </c>
      <c r="H2386" s="217">
        <v>6</v>
      </c>
      <c r="I2386" s="34" t="s">
        <v>1052</v>
      </c>
      <c r="J2386" s="34" t="s">
        <v>6367</v>
      </c>
      <c r="K2386" s="34" t="s">
        <v>788</v>
      </c>
      <c r="L2386" s="34" t="s">
        <v>6506</v>
      </c>
      <c r="M2386" s="247">
        <v>13.2</v>
      </c>
      <c r="N2386" s="288" t="s">
        <v>722</v>
      </c>
    </row>
    <row r="2387" spans="1:1095" s="36" customFormat="1" ht="14.25" customHeight="1">
      <c r="A2387" s="3" t="s">
        <v>1722</v>
      </c>
      <c r="B2387" s="36" t="s">
        <v>2976</v>
      </c>
      <c r="C2387" s="10">
        <v>4099854040467</v>
      </c>
      <c r="D2387" s="246"/>
      <c r="E2387" s="249"/>
      <c r="F2387" s="222" t="s">
        <v>3136</v>
      </c>
      <c r="G2387" s="66" t="str">
        <f>HYPERLINK("https://ledvance.com/pt/product-datasheet/220048/233760","Ficha de Produto")</f>
        <v>Ficha de Produto</v>
      </c>
      <c r="H2387" s="217">
        <v>6</v>
      </c>
      <c r="I2387" s="34" t="s">
        <v>6420</v>
      </c>
      <c r="J2387" s="34" t="s">
        <v>886</v>
      </c>
      <c r="K2387" s="34" t="s">
        <v>788</v>
      </c>
      <c r="L2387" s="34" t="s">
        <v>6506</v>
      </c>
      <c r="M2387" s="247">
        <v>17</v>
      </c>
      <c r="N2387" s="288" t="s">
        <v>722</v>
      </c>
    </row>
    <row r="2388" spans="1:1095" s="39" customFormat="1" ht="14.25" customHeight="1">
      <c r="A2388" s="8" t="s">
        <v>1722</v>
      </c>
      <c r="B2388" s="244" t="s">
        <v>2977</v>
      </c>
      <c r="C2388" s="8"/>
      <c r="D2388" s="7"/>
      <c r="E2388" s="230"/>
      <c r="F2388" s="7"/>
      <c r="G2388" s="68"/>
      <c r="H2388" s="230"/>
      <c r="I2388" s="230"/>
      <c r="J2388" s="230"/>
      <c r="K2388" s="230"/>
      <c r="L2388" s="230"/>
      <c r="M2388" s="248"/>
      <c r="N2388" s="292"/>
      <c r="O2388" s="38"/>
      <c r="P2388" s="38"/>
      <c r="Q2388" s="38"/>
      <c r="R2388" s="38"/>
      <c r="S2388" s="38"/>
      <c r="T2388" s="38"/>
      <c r="U2388" s="38"/>
      <c r="V2388" s="38"/>
      <c r="W2388" s="38"/>
      <c r="X2388" s="38"/>
      <c r="Y2388" s="38"/>
      <c r="Z2388" s="38"/>
      <c r="AA2388" s="38"/>
      <c r="AB2388" s="38"/>
      <c r="AC2388" s="38"/>
      <c r="AD2388" s="38"/>
      <c r="AE2388" s="38"/>
      <c r="AF2388" s="38"/>
      <c r="AG2388" s="38"/>
      <c r="AH2388" s="38"/>
      <c r="AI2388" s="38"/>
      <c r="AJ2388" s="38"/>
      <c r="AK2388" s="38"/>
      <c r="AL2388" s="38"/>
      <c r="AM2388" s="38"/>
      <c r="AN2388" s="38"/>
      <c r="AO2388" s="38"/>
      <c r="AP2388" s="38"/>
      <c r="AQ2388" s="38"/>
      <c r="AR2388" s="38"/>
      <c r="AS2388" s="38"/>
      <c r="AT2388" s="38"/>
      <c r="AU2388" s="38"/>
      <c r="AV2388" s="38"/>
      <c r="AW2388" s="38"/>
      <c r="AX2388" s="38"/>
      <c r="AY2388" s="38"/>
      <c r="AZ2388" s="38"/>
      <c r="BA2388" s="38"/>
      <c r="BB2388" s="38"/>
      <c r="BC2388" s="38"/>
      <c r="BD2388" s="38"/>
      <c r="BE2388" s="38"/>
      <c r="BF2388" s="38"/>
      <c r="BG2388" s="38"/>
      <c r="BH2388" s="38"/>
      <c r="BI2388" s="38"/>
      <c r="BJ2388" s="38"/>
      <c r="BK2388" s="38"/>
      <c r="BL2388" s="38"/>
      <c r="BM2388" s="38"/>
      <c r="BN2388" s="38"/>
      <c r="BO2388" s="38"/>
      <c r="BP2388" s="38"/>
      <c r="BQ2388" s="38"/>
      <c r="BR2388" s="38"/>
      <c r="BS2388" s="38"/>
      <c r="BT2388" s="38"/>
      <c r="BU2388" s="38"/>
      <c r="BV2388" s="38"/>
      <c r="BW2388" s="38"/>
      <c r="BX2388" s="38"/>
      <c r="BY2388" s="38"/>
      <c r="BZ2388" s="38"/>
      <c r="CA2388" s="38"/>
      <c r="CB2388" s="38"/>
      <c r="CC2388" s="38"/>
      <c r="CD2388" s="38"/>
      <c r="CE2388" s="38"/>
      <c r="CF2388" s="38"/>
      <c r="CG2388" s="38"/>
      <c r="CH2388" s="38"/>
      <c r="CI2388" s="38"/>
      <c r="CJ2388" s="38"/>
      <c r="CK2388" s="38"/>
      <c r="CL2388" s="38"/>
      <c r="CM2388" s="38"/>
      <c r="CN2388" s="38"/>
      <c r="CO2388" s="38"/>
      <c r="CP2388" s="38"/>
      <c r="CQ2388" s="38"/>
      <c r="CR2388" s="38"/>
      <c r="CS2388" s="38"/>
      <c r="CT2388" s="38"/>
      <c r="CU2388" s="38"/>
      <c r="CV2388" s="38"/>
      <c r="CW2388" s="38"/>
      <c r="CX2388" s="38"/>
      <c r="CY2388" s="38"/>
      <c r="CZ2388" s="38"/>
      <c r="DA2388" s="38"/>
      <c r="DB2388" s="38"/>
      <c r="DC2388" s="38"/>
      <c r="DD2388" s="38"/>
      <c r="DE2388" s="38"/>
      <c r="DF2388" s="38"/>
      <c r="DG2388" s="38"/>
      <c r="DH2388" s="38"/>
      <c r="DI2388" s="38"/>
      <c r="DJ2388" s="38"/>
      <c r="DK2388" s="38"/>
      <c r="DL2388" s="38"/>
      <c r="DM2388" s="38"/>
      <c r="DN2388" s="38"/>
      <c r="DO2388" s="38"/>
      <c r="DP2388" s="38"/>
      <c r="DQ2388" s="38"/>
      <c r="DR2388" s="38"/>
      <c r="DS2388" s="38"/>
      <c r="DT2388" s="38"/>
      <c r="DU2388" s="38"/>
      <c r="DV2388" s="38"/>
      <c r="DW2388" s="38"/>
      <c r="DX2388" s="38"/>
      <c r="DY2388" s="38"/>
      <c r="DZ2388" s="38"/>
      <c r="EA2388" s="38"/>
      <c r="EB2388" s="38"/>
      <c r="EC2388" s="38"/>
      <c r="ED2388" s="38"/>
      <c r="EE2388" s="38"/>
      <c r="EF2388" s="38"/>
      <c r="EG2388" s="38"/>
      <c r="EH2388" s="38"/>
      <c r="EI2388" s="38"/>
      <c r="EJ2388" s="38"/>
      <c r="EK2388" s="38"/>
      <c r="EL2388" s="38"/>
      <c r="EM2388" s="38"/>
      <c r="EN2388" s="38"/>
      <c r="EO2388" s="38"/>
      <c r="EP2388" s="38"/>
      <c r="EQ2388" s="38"/>
      <c r="ER2388" s="38"/>
      <c r="ES2388" s="38"/>
      <c r="ET2388" s="38"/>
      <c r="EU2388" s="38"/>
      <c r="EV2388" s="38"/>
      <c r="EW2388" s="38"/>
      <c r="EX2388" s="38"/>
      <c r="EY2388" s="38"/>
      <c r="EZ2388" s="38"/>
      <c r="FA2388" s="38"/>
      <c r="FB2388" s="38"/>
      <c r="FC2388" s="38"/>
      <c r="FD2388" s="38"/>
      <c r="FE2388" s="38"/>
      <c r="FF2388" s="38"/>
      <c r="FG2388" s="38"/>
      <c r="FH2388" s="38"/>
      <c r="FI2388" s="38"/>
      <c r="FJ2388" s="38"/>
      <c r="FK2388" s="38"/>
      <c r="FL2388" s="38"/>
      <c r="FM2388" s="38"/>
      <c r="FN2388" s="38"/>
      <c r="FO2388" s="38"/>
      <c r="FP2388" s="38"/>
      <c r="FQ2388" s="38"/>
      <c r="FR2388" s="38"/>
      <c r="FS2388" s="38"/>
      <c r="FT2388" s="38"/>
      <c r="FU2388" s="38"/>
      <c r="FV2388" s="38"/>
      <c r="FW2388" s="38"/>
      <c r="FX2388" s="38"/>
      <c r="FY2388" s="38"/>
      <c r="FZ2388" s="38"/>
      <c r="GA2388" s="38"/>
      <c r="GB2388" s="38"/>
      <c r="GC2388" s="38"/>
      <c r="GD2388" s="38"/>
      <c r="GE2388" s="38"/>
      <c r="GF2388" s="38"/>
      <c r="GG2388" s="38"/>
      <c r="GH2388" s="38"/>
      <c r="GI2388" s="38"/>
      <c r="GJ2388" s="38"/>
      <c r="GK2388" s="38"/>
      <c r="GL2388" s="38"/>
      <c r="GM2388" s="38"/>
      <c r="GN2388" s="38"/>
      <c r="GO2388" s="38"/>
      <c r="GP2388" s="38"/>
      <c r="GQ2388" s="38"/>
      <c r="GR2388" s="38"/>
      <c r="GS2388" s="38"/>
      <c r="GT2388" s="38"/>
      <c r="GU2388" s="38"/>
      <c r="GV2388" s="38"/>
      <c r="GW2388" s="38"/>
      <c r="GX2388" s="38"/>
      <c r="GY2388" s="38"/>
      <c r="GZ2388" s="38"/>
      <c r="HA2388" s="38"/>
      <c r="HB2388" s="38"/>
      <c r="HC2388" s="38"/>
      <c r="HD2388" s="38"/>
      <c r="HE2388" s="38"/>
      <c r="HF2388" s="38"/>
      <c r="HG2388" s="38"/>
      <c r="HH2388" s="38"/>
      <c r="HI2388" s="38"/>
      <c r="HJ2388" s="38"/>
      <c r="HK2388" s="38"/>
      <c r="HL2388" s="38"/>
      <c r="HM2388" s="38"/>
      <c r="HN2388" s="38"/>
      <c r="HO2388" s="38"/>
      <c r="HP2388" s="38"/>
      <c r="HQ2388" s="38"/>
      <c r="HR2388" s="38"/>
      <c r="HS2388" s="38"/>
      <c r="HT2388" s="38"/>
      <c r="HU2388" s="38"/>
      <c r="HV2388" s="38"/>
      <c r="HW2388" s="38"/>
      <c r="HX2388" s="38"/>
      <c r="HY2388" s="38"/>
      <c r="HZ2388" s="38"/>
      <c r="IA2388" s="38"/>
      <c r="IB2388" s="38"/>
      <c r="IC2388" s="38"/>
      <c r="ID2388" s="38"/>
      <c r="IE2388" s="38"/>
      <c r="IF2388" s="38"/>
      <c r="IG2388" s="38"/>
      <c r="IH2388" s="38"/>
      <c r="II2388" s="38"/>
      <c r="IJ2388" s="38"/>
      <c r="IK2388" s="38"/>
      <c r="IL2388" s="38"/>
      <c r="IM2388" s="38"/>
      <c r="IN2388" s="38"/>
      <c r="IO2388" s="38"/>
      <c r="IP2388" s="38"/>
      <c r="IQ2388" s="38"/>
      <c r="IR2388" s="38"/>
      <c r="IS2388" s="38"/>
      <c r="IT2388" s="38"/>
      <c r="IU2388" s="38"/>
      <c r="IV2388" s="38"/>
      <c r="IW2388" s="38"/>
      <c r="IX2388" s="38"/>
      <c r="IY2388" s="38"/>
      <c r="IZ2388" s="38"/>
      <c r="JA2388" s="38"/>
      <c r="JB2388" s="38"/>
      <c r="JC2388" s="38"/>
      <c r="JD2388" s="38"/>
      <c r="JE2388" s="38"/>
      <c r="JF2388" s="38"/>
      <c r="JG2388" s="38"/>
      <c r="JH2388" s="38"/>
      <c r="JI2388" s="38"/>
      <c r="JJ2388" s="38"/>
      <c r="JK2388" s="38"/>
      <c r="JL2388" s="38"/>
      <c r="JM2388" s="38"/>
      <c r="JN2388" s="38"/>
      <c r="JO2388" s="38"/>
      <c r="JP2388" s="38"/>
      <c r="JQ2388" s="38"/>
      <c r="JR2388" s="38"/>
      <c r="JS2388" s="38"/>
      <c r="JT2388" s="38"/>
      <c r="JU2388" s="38"/>
      <c r="JV2388" s="38"/>
      <c r="JW2388" s="38"/>
      <c r="JX2388" s="38"/>
      <c r="JY2388" s="38"/>
      <c r="JZ2388" s="38"/>
      <c r="KA2388" s="38"/>
      <c r="KB2388" s="38"/>
      <c r="KC2388" s="38"/>
      <c r="KD2388" s="38"/>
      <c r="KE2388" s="38"/>
      <c r="KF2388" s="38"/>
      <c r="KG2388" s="38"/>
      <c r="KH2388" s="38"/>
      <c r="KI2388" s="38"/>
      <c r="KJ2388" s="38"/>
      <c r="KK2388" s="38"/>
      <c r="KL2388" s="38"/>
      <c r="KM2388" s="38"/>
      <c r="KN2388" s="38"/>
      <c r="KO2388" s="38"/>
      <c r="KP2388" s="38"/>
      <c r="KQ2388" s="38"/>
      <c r="KR2388" s="38"/>
      <c r="KS2388" s="38"/>
      <c r="KT2388" s="38"/>
      <c r="KU2388" s="38"/>
      <c r="KV2388" s="38"/>
      <c r="KW2388" s="38"/>
      <c r="KX2388" s="38"/>
      <c r="KY2388" s="38"/>
      <c r="KZ2388" s="38"/>
      <c r="LA2388" s="38"/>
      <c r="LB2388" s="38"/>
      <c r="LC2388" s="38"/>
      <c r="LD2388" s="38"/>
      <c r="LE2388" s="38"/>
      <c r="LF2388" s="38"/>
      <c r="LG2388" s="38"/>
      <c r="LH2388" s="38"/>
      <c r="LI2388" s="38"/>
      <c r="LJ2388" s="38"/>
      <c r="LK2388" s="38"/>
      <c r="LL2388" s="38"/>
      <c r="LM2388" s="38"/>
      <c r="LN2388" s="38"/>
      <c r="LO2388" s="38"/>
      <c r="LP2388" s="38"/>
      <c r="LQ2388" s="38"/>
      <c r="LR2388" s="38"/>
      <c r="LS2388" s="38"/>
      <c r="LT2388" s="38"/>
      <c r="LU2388" s="38"/>
      <c r="LV2388" s="38"/>
      <c r="LW2388" s="38"/>
      <c r="LX2388" s="38"/>
      <c r="LY2388" s="38"/>
      <c r="LZ2388" s="38"/>
      <c r="MA2388" s="38"/>
      <c r="MB2388" s="38"/>
      <c r="MC2388" s="38"/>
      <c r="MD2388" s="38"/>
      <c r="ME2388" s="38"/>
      <c r="MF2388" s="38"/>
      <c r="MG2388" s="38"/>
      <c r="MH2388" s="38"/>
      <c r="MI2388" s="38"/>
      <c r="MJ2388" s="38"/>
      <c r="MK2388" s="38"/>
      <c r="ML2388" s="38"/>
      <c r="MM2388" s="38"/>
      <c r="MN2388" s="38"/>
      <c r="MO2388" s="38"/>
      <c r="MP2388" s="38"/>
      <c r="MQ2388" s="38"/>
      <c r="MR2388" s="38"/>
      <c r="MS2388" s="38"/>
      <c r="MT2388" s="38"/>
      <c r="MU2388" s="38"/>
      <c r="MV2388" s="38"/>
      <c r="MW2388" s="38"/>
      <c r="MX2388" s="38"/>
      <c r="MY2388" s="38"/>
      <c r="MZ2388" s="38"/>
      <c r="NA2388" s="38"/>
      <c r="NB2388" s="38"/>
      <c r="NC2388" s="38"/>
      <c r="ND2388" s="38"/>
      <c r="NE2388" s="38"/>
      <c r="NF2388" s="38"/>
      <c r="NG2388" s="38"/>
      <c r="NH2388" s="38"/>
      <c r="NI2388" s="38"/>
      <c r="NJ2388" s="38"/>
      <c r="NK2388" s="38"/>
      <c r="NL2388" s="38"/>
      <c r="NM2388" s="38"/>
      <c r="NN2388" s="38"/>
      <c r="NO2388" s="38"/>
      <c r="NP2388" s="38"/>
      <c r="NQ2388" s="38"/>
      <c r="NR2388" s="38"/>
      <c r="NS2388" s="38"/>
      <c r="NT2388" s="38"/>
      <c r="NU2388" s="38"/>
      <c r="NV2388" s="38"/>
      <c r="NW2388" s="38"/>
      <c r="NX2388" s="38"/>
      <c r="NY2388" s="38"/>
      <c r="NZ2388" s="38"/>
      <c r="OA2388" s="38"/>
      <c r="OB2388" s="38"/>
      <c r="OC2388" s="38"/>
      <c r="OD2388" s="38"/>
      <c r="OE2388" s="38"/>
      <c r="OF2388" s="38"/>
      <c r="OG2388" s="38"/>
      <c r="OH2388" s="38"/>
      <c r="OI2388" s="38"/>
      <c r="OJ2388" s="38"/>
      <c r="OK2388" s="38"/>
      <c r="OL2388" s="38"/>
      <c r="OM2388" s="38"/>
      <c r="ON2388" s="38"/>
      <c r="OO2388" s="38"/>
      <c r="OP2388" s="38"/>
      <c r="OQ2388" s="38"/>
      <c r="OR2388" s="38"/>
      <c r="OS2388" s="38"/>
      <c r="OT2388" s="38"/>
      <c r="OU2388" s="38"/>
      <c r="OV2388" s="38"/>
      <c r="OW2388" s="38"/>
      <c r="OX2388" s="38"/>
      <c r="OY2388" s="38"/>
      <c r="OZ2388" s="38"/>
      <c r="PA2388" s="38"/>
      <c r="PB2388" s="38"/>
      <c r="PC2388" s="38"/>
      <c r="PD2388" s="38"/>
      <c r="PE2388" s="38"/>
      <c r="PF2388" s="38"/>
      <c r="PG2388" s="38"/>
      <c r="PH2388" s="38"/>
      <c r="PI2388" s="38"/>
      <c r="PJ2388" s="38"/>
      <c r="PK2388" s="38"/>
      <c r="PL2388" s="38"/>
      <c r="PM2388" s="38"/>
      <c r="PN2388" s="38"/>
      <c r="PO2388" s="38"/>
      <c r="PP2388" s="38"/>
      <c r="PQ2388" s="38"/>
      <c r="PR2388" s="38"/>
      <c r="PS2388" s="38"/>
      <c r="PT2388" s="38"/>
      <c r="PU2388" s="38"/>
      <c r="PV2388" s="38"/>
      <c r="PW2388" s="38"/>
      <c r="PX2388" s="38"/>
      <c r="PY2388" s="38"/>
      <c r="PZ2388" s="38"/>
      <c r="QA2388" s="38"/>
      <c r="QB2388" s="38"/>
      <c r="QC2388" s="38"/>
      <c r="QD2388" s="38"/>
      <c r="QE2388" s="38"/>
      <c r="QF2388" s="38"/>
      <c r="QG2388" s="38"/>
      <c r="QH2388" s="38"/>
      <c r="QI2388" s="38"/>
      <c r="QJ2388" s="38"/>
      <c r="QK2388" s="38"/>
      <c r="QL2388" s="38"/>
      <c r="QM2388" s="38"/>
      <c r="QN2388" s="38"/>
      <c r="QO2388" s="38"/>
      <c r="QP2388" s="38"/>
      <c r="QQ2388" s="38"/>
      <c r="QR2388" s="38"/>
      <c r="QS2388" s="38"/>
      <c r="QT2388" s="38"/>
      <c r="QU2388" s="38"/>
      <c r="QV2388" s="38"/>
      <c r="QW2388" s="38"/>
      <c r="QX2388" s="38"/>
      <c r="QY2388" s="38"/>
      <c r="QZ2388" s="38"/>
      <c r="RA2388" s="38"/>
      <c r="RB2388" s="38"/>
      <c r="RC2388" s="38"/>
      <c r="RD2388" s="38"/>
      <c r="RE2388" s="38"/>
      <c r="RF2388" s="38"/>
      <c r="RG2388" s="38"/>
      <c r="RH2388" s="38"/>
      <c r="RI2388" s="38"/>
      <c r="RJ2388" s="38"/>
      <c r="RK2388" s="38"/>
      <c r="RL2388" s="38"/>
      <c r="RM2388" s="38"/>
      <c r="RN2388" s="38"/>
      <c r="RO2388" s="38"/>
      <c r="RP2388" s="38"/>
      <c r="RQ2388" s="38"/>
      <c r="RR2388" s="38"/>
      <c r="RS2388" s="38"/>
      <c r="RT2388" s="38"/>
      <c r="RU2388" s="38"/>
      <c r="RV2388" s="38"/>
      <c r="RW2388" s="38"/>
      <c r="RX2388" s="38"/>
      <c r="RY2388" s="38"/>
      <c r="RZ2388" s="38"/>
      <c r="SA2388" s="38"/>
      <c r="SB2388" s="38"/>
      <c r="SC2388" s="38"/>
      <c r="SD2388" s="38"/>
      <c r="SE2388" s="38"/>
      <c r="SF2388" s="38"/>
      <c r="SG2388" s="38"/>
      <c r="SH2388" s="38"/>
      <c r="SI2388" s="38"/>
      <c r="SJ2388" s="38"/>
      <c r="SK2388" s="38"/>
      <c r="SL2388" s="38"/>
      <c r="SM2388" s="38"/>
      <c r="SN2388" s="38"/>
      <c r="SO2388" s="38"/>
      <c r="SP2388" s="38"/>
      <c r="SQ2388" s="38"/>
      <c r="SR2388" s="38"/>
      <c r="SS2388" s="38"/>
      <c r="ST2388" s="38"/>
      <c r="SU2388" s="38"/>
      <c r="SV2388" s="38"/>
      <c r="SW2388" s="38"/>
      <c r="SX2388" s="38"/>
      <c r="SY2388" s="38"/>
      <c r="SZ2388" s="38"/>
      <c r="TA2388" s="38"/>
      <c r="TB2388" s="38"/>
      <c r="TC2388" s="38"/>
      <c r="TD2388" s="38"/>
      <c r="TE2388" s="38"/>
      <c r="TF2388" s="38"/>
      <c r="TG2388" s="38"/>
      <c r="TH2388" s="38"/>
      <c r="TI2388" s="38"/>
      <c r="TJ2388" s="38"/>
      <c r="TK2388" s="38"/>
      <c r="TL2388" s="38"/>
      <c r="TM2388" s="38"/>
      <c r="TN2388" s="38"/>
      <c r="TO2388" s="38"/>
      <c r="TP2388" s="38"/>
      <c r="TQ2388" s="38"/>
      <c r="TR2388" s="38"/>
      <c r="TS2388" s="38"/>
      <c r="TT2388" s="38"/>
      <c r="TU2388" s="38"/>
      <c r="TV2388" s="38"/>
      <c r="TW2388" s="38"/>
      <c r="TX2388" s="38"/>
      <c r="TY2388" s="38"/>
      <c r="TZ2388" s="38"/>
      <c r="UA2388" s="38"/>
      <c r="UB2388" s="38"/>
      <c r="UC2388" s="38"/>
      <c r="UD2388" s="38"/>
      <c r="UE2388" s="38"/>
      <c r="UF2388" s="38"/>
      <c r="UG2388" s="38"/>
      <c r="UH2388" s="38"/>
      <c r="UI2388" s="38"/>
      <c r="UJ2388" s="38"/>
      <c r="UK2388" s="38"/>
      <c r="UL2388" s="38"/>
      <c r="UM2388" s="38"/>
      <c r="UN2388" s="38"/>
      <c r="UO2388" s="38"/>
      <c r="UP2388" s="38"/>
      <c r="UQ2388" s="38"/>
      <c r="UR2388" s="38"/>
      <c r="US2388" s="38"/>
      <c r="UT2388" s="38"/>
      <c r="UU2388" s="38"/>
      <c r="UV2388" s="38"/>
      <c r="UW2388" s="38"/>
      <c r="UX2388" s="38"/>
      <c r="UY2388" s="38"/>
      <c r="UZ2388" s="38"/>
      <c r="VA2388" s="38"/>
      <c r="VB2388" s="38"/>
      <c r="VC2388" s="38"/>
      <c r="VD2388" s="38"/>
      <c r="VE2388" s="38"/>
      <c r="VF2388" s="38"/>
      <c r="VG2388" s="38"/>
      <c r="VH2388" s="38"/>
      <c r="VI2388" s="38"/>
      <c r="VJ2388" s="38"/>
      <c r="VK2388" s="38"/>
      <c r="VL2388" s="38"/>
      <c r="VM2388" s="38"/>
      <c r="VN2388" s="38"/>
      <c r="VO2388" s="38"/>
      <c r="VP2388" s="38"/>
      <c r="VQ2388" s="38"/>
      <c r="VR2388" s="38"/>
      <c r="VS2388" s="38"/>
      <c r="VT2388" s="38"/>
      <c r="VU2388" s="38"/>
      <c r="VV2388" s="38"/>
      <c r="VW2388" s="38"/>
      <c r="VX2388" s="38"/>
      <c r="VY2388" s="38"/>
      <c r="VZ2388" s="38"/>
      <c r="WA2388" s="38"/>
      <c r="WB2388" s="38"/>
      <c r="WC2388" s="38"/>
      <c r="WD2388" s="38"/>
      <c r="WE2388" s="38"/>
      <c r="WF2388" s="38"/>
      <c r="WG2388" s="38"/>
      <c r="WH2388" s="38"/>
      <c r="WI2388" s="38"/>
      <c r="WJ2388" s="38"/>
      <c r="WK2388" s="38"/>
      <c r="WL2388" s="38"/>
      <c r="WM2388" s="38"/>
      <c r="WN2388" s="38"/>
      <c r="WO2388" s="38"/>
      <c r="WP2388" s="38"/>
      <c r="WQ2388" s="38"/>
      <c r="WR2388" s="38"/>
      <c r="WS2388" s="38"/>
      <c r="WT2388" s="38"/>
      <c r="WU2388" s="38"/>
      <c r="WV2388" s="38"/>
      <c r="WW2388" s="38"/>
      <c r="WX2388" s="38"/>
      <c r="WY2388" s="38"/>
      <c r="WZ2388" s="38"/>
      <c r="XA2388" s="38"/>
      <c r="XB2388" s="38"/>
      <c r="XC2388" s="38"/>
      <c r="XD2388" s="38"/>
      <c r="XE2388" s="38"/>
      <c r="XF2388" s="38"/>
      <c r="XG2388" s="38"/>
      <c r="XH2388" s="38"/>
      <c r="XI2388" s="38"/>
      <c r="XJ2388" s="38"/>
      <c r="XK2388" s="38"/>
      <c r="XL2388" s="38"/>
      <c r="XM2388" s="38"/>
      <c r="XN2388" s="38"/>
      <c r="XO2388" s="38"/>
      <c r="XP2388" s="38"/>
      <c r="XQ2388" s="38"/>
      <c r="XR2388" s="38"/>
      <c r="XS2388" s="38"/>
      <c r="XT2388" s="38"/>
      <c r="XU2388" s="38"/>
      <c r="XV2388" s="38"/>
      <c r="XW2388" s="38"/>
      <c r="XX2388" s="38"/>
      <c r="XY2388" s="38"/>
      <c r="XZ2388" s="38"/>
      <c r="YA2388" s="38"/>
      <c r="YB2388" s="38"/>
      <c r="YC2388" s="38"/>
      <c r="YD2388" s="38"/>
      <c r="YE2388" s="38"/>
      <c r="YF2388" s="38"/>
      <c r="YG2388" s="38"/>
      <c r="YH2388" s="38"/>
      <c r="YI2388" s="38"/>
      <c r="YJ2388" s="38"/>
      <c r="YK2388" s="38"/>
      <c r="YL2388" s="38"/>
      <c r="YM2388" s="38"/>
      <c r="YN2388" s="38"/>
      <c r="YO2388" s="38"/>
      <c r="YP2388" s="38"/>
      <c r="YQ2388" s="38"/>
      <c r="YR2388" s="38"/>
      <c r="YS2388" s="38"/>
      <c r="YT2388" s="38"/>
      <c r="YU2388" s="38"/>
      <c r="YV2388" s="38"/>
      <c r="YW2388" s="38"/>
      <c r="YX2388" s="38"/>
      <c r="YY2388" s="38"/>
      <c r="YZ2388" s="38"/>
      <c r="ZA2388" s="38"/>
      <c r="ZB2388" s="38"/>
      <c r="ZC2388" s="38"/>
      <c r="ZD2388" s="38"/>
      <c r="ZE2388" s="38"/>
      <c r="ZF2388" s="38"/>
      <c r="ZG2388" s="38"/>
      <c r="ZH2388" s="38"/>
      <c r="ZI2388" s="38"/>
      <c r="ZJ2388" s="38"/>
      <c r="ZK2388" s="38"/>
      <c r="ZL2388" s="38"/>
      <c r="ZM2388" s="38"/>
      <c r="ZN2388" s="38"/>
      <c r="ZO2388" s="38"/>
      <c r="ZP2388" s="38"/>
      <c r="ZQ2388" s="38"/>
      <c r="ZR2388" s="38"/>
      <c r="ZS2388" s="38"/>
      <c r="ZT2388" s="38"/>
      <c r="ZU2388" s="38"/>
      <c r="ZV2388" s="38"/>
      <c r="ZW2388" s="38"/>
      <c r="ZX2388" s="38"/>
      <c r="ZY2388" s="38"/>
      <c r="ZZ2388" s="38"/>
      <c r="AAA2388" s="38"/>
      <c r="AAB2388" s="38"/>
      <c r="AAC2388" s="38"/>
      <c r="AAD2388" s="38"/>
      <c r="AAE2388" s="38"/>
      <c r="AAF2388" s="38"/>
      <c r="AAG2388" s="38"/>
      <c r="AAH2388" s="38"/>
      <c r="AAI2388" s="38"/>
      <c r="AAJ2388" s="38"/>
      <c r="AAK2388" s="38"/>
      <c r="AAL2388" s="38"/>
      <c r="AAM2388" s="38"/>
      <c r="AAN2388" s="38"/>
      <c r="AAO2388" s="38"/>
      <c r="AAP2388" s="38"/>
      <c r="AAQ2388" s="38"/>
      <c r="AAR2388" s="38"/>
      <c r="AAS2388" s="38"/>
      <c r="AAT2388" s="38"/>
      <c r="AAU2388" s="38"/>
      <c r="AAV2388" s="38"/>
      <c r="AAW2388" s="38"/>
      <c r="AAX2388" s="38"/>
      <c r="AAY2388" s="38"/>
      <c r="AAZ2388" s="38"/>
      <c r="ABA2388" s="38"/>
      <c r="ABB2388" s="38"/>
      <c r="ABC2388" s="38"/>
      <c r="ABD2388" s="38"/>
      <c r="ABE2388" s="38"/>
      <c r="ABF2388" s="38"/>
      <c r="ABG2388" s="38"/>
      <c r="ABH2388" s="38"/>
      <c r="ABI2388" s="38"/>
      <c r="ABJ2388" s="38"/>
      <c r="ABK2388" s="38"/>
      <c r="ABL2388" s="38"/>
      <c r="ABM2388" s="38"/>
      <c r="ABN2388" s="38"/>
      <c r="ABO2388" s="38"/>
      <c r="ABP2388" s="38"/>
      <c r="ABQ2388" s="38"/>
      <c r="ABR2388" s="38"/>
      <c r="ABS2388" s="38"/>
      <c r="ABT2388" s="38"/>
      <c r="ABU2388" s="38"/>
      <c r="ABV2388" s="38"/>
      <c r="ABW2388" s="38"/>
      <c r="ABX2388" s="38"/>
      <c r="ABY2388" s="38"/>
      <c r="ABZ2388" s="38"/>
      <c r="ACA2388" s="38"/>
      <c r="ACB2388" s="38"/>
      <c r="ACC2388" s="38"/>
      <c r="ACD2388" s="38"/>
      <c r="ACE2388" s="38"/>
      <c r="ACF2388" s="38"/>
      <c r="ACG2388" s="38"/>
      <c r="ACH2388" s="38"/>
      <c r="ACI2388" s="38"/>
      <c r="ACJ2388" s="38"/>
      <c r="ACK2388" s="38"/>
      <c r="ACL2388" s="38"/>
      <c r="ACM2388" s="38"/>
      <c r="ACN2388" s="38"/>
      <c r="ACO2388" s="38"/>
      <c r="ACP2388" s="38"/>
      <c r="ACQ2388" s="38"/>
      <c r="ACR2388" s="38"/>
      <c r="ACS2388" s="38"/>
      <c r="ACT2388" s="38"/>
      <c r="ACU2388" s="38"/>
      <c r="ACV2388" s="38"/>
      <c r="ACW2388" s="38"/>
      <c r="ACX2388" s="38"/>
      <c r="ACY2388" s="38"/>
      <c r="ACZ2388" s="38"/>
      <c r="ADA2388" s="38"/>
      <c r="ADB2388" s="38"/>
      <c r="ADC2388" s="38"/>
      <c r="ADD2388" s="38"/>
      <c r="ADE2388" s="38"/>
      <c r="ADF2388" s="38"/>
      <c r="ADG2388" s="38"/>
      <c r="ADH2388" s="38"/>
      <c r="ADI2388" s="38"/>
      <c r="ADJ2388" s="38"/>
      <c r="ADK2388" s="38"/>
      <c r="ADL2388" s="38"/>
      <c r="ADM2388" s="38"/>
      <c r="ADN2388" s="38"/>
      <c r="ADO2388" s="38"/>
      <c r="ADP2388" s="38"/>
      <c r="ADQ2388" s="38"/>
      <c r="ADR2388" s="38"/>
      <c r="ADS2388" s="38"/>
      <c r="ADT2388" s="38"/>
      <c r="ADU2388" s="38"/>
      <c r="ADV2388" s="38"/>
      <c r="ADW2388" s="38"/>
      <c r="ADX2388" s="38"/>
      <c r="ADY2388" s="38"/>
      <c r="ADZ2388" s="38"/>
      <c r="AEA2388" s="38"/>
      <c r="AEB2388" s="38"/>
      <c r="AEC2388" s="38"/>
      <c r="AED2388" s="38"/>
      <c r="AEE2388" s="38"/>
      <c r="AEF2388" s="38"/>
      <c r="AEG2388" s="38"/>
      <c r="AEH2388" s="38"/>
      <c r="AEI2388" s="38"/>
      <c r="AEJ2388" s="38"/>
      <c r="AEK2388" s="38"/>
      <c r="AEL2388" s="38"/>
      <c r="AEM2388" s="38"/>
      <c r="AEN2388" s="38"/>
      <c r="AEO2388" s="38"/>
      <c r="AEP2388" s="38"/>
      <c r="AEQ2388" s="38"/>
      <c r="AER2388" s="38"/>
      <c r="AES2388" s="38"/>
      <c r="AET2388" s="38"/>
      <c r="AEU2388" s="38"/>
      <c r="AEV2388" s="38"/>
      <c r="AEW2388" s="38"/>
      <c r="AEX2388" s="38"/>
      <c r="AEY2388" s="38"/>
      <c r="AEZ2388" s="38"/>
      <c r="AFA2388" s="38"/>
      <c r="AFB2388" s="38"/>
      <c r="AFC2388" s="38"/>
      <c r="AFD2388" s="38"/>
      <c r="AFE2388" s="38"/>
      <c r="AFF2388" s="38"/>
      <c r="AFG2388" s="38"/>
      <c r="AFH2388" s="38"/>
      <c r="AFI2388" s="38"/>
      <c r="AFJ2388" s="38"/>
      <c r="AFK2388" s="38"/>
      <c r="AFL2388" s="38"/>
      <c r="AFM2388" s="38"/>
      <c r="AFN2388" s="38"/>
      <c r="AFO2388" s="38"/>
      <c r="AFP2388" s="38"/>
      <c r="AFQ2388" s="38"/>
      <c r="AFR2388" s="38"/>
      <c r="AFS2388" s="38"/>
      <c r="AFT2388" s="38"/>
      <c r="AFU2388" s="38"/>
      <c r="AFV2388" s="38"/>
      <c r="AFW2388" s="38"/>
      <c r="AFX2388" s="38"/>
      <c r="AFY2388" s="38"/>
      <c r="AFZ2388" s="38"/>
      <c r="AGA2388" s="38"/>
      <c r="AGB2388" s="38"/>
      <c r="AGC2388" s="38"/>
      <c r="AGD2388" s="38"/>
      <c r="AGE2388" s="38"/>
      <c r="AGF2388" s="38"/>
      <c r="AGG2388" s="38"/>
      <c r="AGH2388" s="38"/>
      <c r="AGI2388" s="38"/>
      <c r="AGJ2388" s="38"/>
      <c r="AGK2388" s="38"/>
      <c r="AGL2388" s="38"/>
      <c r="AGM2388" s="38"/>
      <c r="AGN2388" s="38"/>
      <c r="AGO2388" s="38"/>
      <c r="AGP2388" s="38"/>
      <c r="AGQ2388" s="38"/>
      <c r="AGR2388" s="38"/>
      <c r="AGS2388" s="38"/>
      <c r="AGT2388" s="38"/>
      <c r="AGU2388" s="38"/>
      <c r="AGV2388" s="38"/>
      <c r="AGW2388" s="38"/>
      <c r="AGX2388" s="38"/>
      <c r="AGY2388" s="38"/>
      <c r="AGZ2388" s="38"/>
      <c r="AHA2388" s="38"/>
      <c r="AHB2388" s="38"/>
      <c r="AHC2388" s="38"/>
      <c r="AHD2388" s="38"/>
      <c r="AHE2388" s="38"/>
      <c r="AHF2388" s="38"/>
      <c r="AHG2388" s="38"/>
      <c r="AHH2388" s="38"/>
      <c r="AHI2388" s="38"/>
      <c r="AHJ2388" s="38"/>
      <c r="AHK2388" s="38"/>
      <c r="AHL2388" s="38"/>
      <c r="AHM2388" s="38"/>
      <c r="AHN2388" s="38"/>
      <c r="AHO2388" s="38"/>
      <c r="AHP2388" s="38"/>
      <c r="AHQ2388" s="38"/>
      <c r="AHR2388" s="38"/>
      <c r="AHS2388" s="38"/>
      <c r="AHT2388" s="38"/>
      <c r="AHU2388" s="38"/>
      <c r="AHV2388" s="38"/>
      <c r="AHW2388" s="38"/>
      <c r="AHX2388" s="38"/>
      <c r="AHY2388" s="38"/>
      <c r="AHZ2388" s="38"/>
      <c r="AIA2388" s="38"/>
      <c r="AIB2388" s="38"/>
      <c r="AIC2388" s="38"/>
      <c r="AID2388" s="38"/>
      <c r="AIE2388" s="38"/>
      <c r="AIF2388" s="38"/>
      <c r="AIG2388" s="38"/>
      <c r="AIH2388" s="38"/>
      <c r="AII2388" s="38"/>
      <c r="AIJ2388" s="38"/>
      <c r="AIK2388" s="38"/>
      <c r="AIL2388" s="38"/>
      <c r="AIM2388" s="38"/>
      <c r="AIN2388" s="38"/>
      <c r="AIO2388" s="38"/>
      <c r="AIP2388" s="38"/>
      <c r="AIQ2388" s="38"/>
      <c r="AIR2388" s="38"/>
      <c r="AIS2388" s="38"/>
      <c r="AIT2388" s="38"/>
      <c r="AIU2388" s="38"/>
      <c r="AIV2388" s="38"/>
      <c r="AIW2388" s="38"/>
      <c r="AIX2388" s="38"/>
      <c r="AIY2388" s="38"/>
      <c r="AIZ2388" s="38"/>
      <c r="AJA2388" s="38"/>
      <c r="AJB2388" s="38"/>
      <c r="AJC2388" s="38"/>
      <c r="AJD2388" s="38"/>
      <c r="AJE2388" s="38"/>
      <c r="AJF2388" s="38"/>
      <c r="AJG2388" s="38"/>
      <c r="AJH2388" s="38"/>
      <c r="AJI2388" s="38"/>
      <c r="AJJ2388" s="38"/>
      <c r="AJK2388" s="38"/>
      <c r="AJL2388" s="38"/>
      <c r="AJM2388" s="38"/>
      <c r="AJN2388" s="38"/>
      <c r="AJO2388" s="38"/>
      <c r="AJP2388" s="38"/>
      <c r="AJQ2388" s="38"/>
      <c r="AJR2388" s="38"/>
      <c r="AJS2388" s="38"/>
      <c r="AJT2388" s="38"/>
      <c r="AJU2388" s="38"/>
      <c r="AJV2388" s="38"/>
      <c r="AJW2388" s="38"/>
      <c r="AJX2388" s="38"/>
      <c r="AJY2388" s="38"/>
      <c r="AJZ2388" s="38"/>
      <c r="AKA2388" s="38"/>
      <c r="AKB2388" s="38"/>
      <c r="AKC2388" s="38"/>
      <c r="AKD2388" s="38"/>
      <c r="AKE2388" s="38"/>
      <c r="AKF2388" s="38"/>
      <c r="AKG2388" s="38"/>
      <c r="AKH2388" s="38"/>
      <c r="AKI2388" s="38"/>
      <c r="AKJ2388" s="38"/>
      <c r="AKK2388" s="38"/>
      <c r="AKL2388" s="38"/>
      <c r="AKM2388" s="38"/>
      <c r="AKN2388" s="38"/>
      <c r="AKO2388" s="38"/>
      <c r="AKP2388" s="38"/>
      <c r="AKQ2388" s="38"/>
      <c r="AKR2388" s="38"/>
      <c r="AKS2388" s="38"/>
      <c r="AKT2388" s="38"/>
      <c r="AKU2388" s="38"/>
      <c r="AKV2388" s="38"/>
      <c r="AKW2388" s="38"/>
      <c r="AKX2388" s="38"/>
      <c r="AKY2388" s="38"/>
      <c r="AKZ2388" s="38"/>
      <c r="ALA2388" s="38"/>
      <c r="ALB2388" s="38"/>
      <c r="ALC2388" s="38"/>
      <c r="ALD2388" s="38"/>
      <c r="ALE2388" s="38"/>
      <c r="ALF2388" s="38"/>
      <c r="ALG2388" s="38"/>
      <c r="ALH2388" s="38"/>
      <c r="ALI2388" s="38"/>
      <c r="ALJ2388" s="38"/>
      <c r="ALK2388" s="38"/>
      <c r="ALL2388" s="38"/>
      <c r="ALM2388" s="38"/>
      <c r="ALN2388" s="38"/>
      <c r="ALO2388" s="38"/>
      <c r="ALP2388" s="38"/>
      <c r="ALQ2388" s="38"/>
      <c r="ALR2388" s="38"/>
      <c r="ALS2388" s="38"/>
      <c r="ALT2388" s="38"/>
      <c r="ALU2388" s="38"/>
      <c r="ALV2388" s="38"/>
      <c r="ALW2388" s="38"/>
      <c r="ALX2388" s="38"/>
      <c r="ALY2388" s="38"/>
      <c r="ALZ2388" s="38"/>
      <c r="AMA2388" s="38"/>
      <c r="AMB2388" s="38"/>
      <c r="AMC2388" s="38"/>
      <c r="AMD2388" s="38"/>
      <c r="AME2388" s="38"/>
      <c r="AMF2388" s="38"/>
      <c r="AMG2388" s="38"/>
      <c r="AMH2388" s="38"/>
      <c r="AMI2388" s="38"/>
      <c r="AMJ2388" s="38"/>
      <c r="AMK2388" s="38"/>
      <c r="AML2388" s="38"/>
      <c r="AMM2388" s="38"/>
      <c r="AMN2388" s="38"/>
      <c r="AMO2388" s="38"/>
      <c r="AMP2388" s="38"/>
      <c r="AMQ2388" s="38"/>
      <c r="AMR2388" s="38"/>
      <c r="AMS2388" s="38"/>
      <c r="AMT2388" s="38"/>
      <c r="AMU2388" s="38"/>
      <c r="AMV2388" s="38"/>
      <c r="AMW2388" s="38"/>
      <c r="AMX2388" s="38"/>
      <c r="AMY2388" s="38"/>
      <c r="AMZ2388" s="38"/>
      <c r="ANA2388" s="38"/>
      <c r="ANB2388" s="38"/>
      <c r="ANC2388" s="38"/>
      <c r="AND2388" s="38"/>
      <c r="ANE2388" s="38"/>
      <c r="ANF2388" s="38"/>
      <c r="ANG2388" s="38"/>
      <c r="ANH2388" s="38"/>
      <c r="ANI2388" s="38"/>
      <c r="ANJ2388" s="38"/>
      <c r="ANK2388" s="38"/>
      <c r="ANL2388" s="38"/>
      <c r="ANM2388" s="38"/>
      <c r="ANN2388" s="38"/>
      <c r="ANO2388" s="38"/>
      <c r="ANP2388" s="38"/>
      <c r="ANQ2388" s="38"/>
      <c r="ANR2388" s="38"/>
      <c r="ANS2388" s="38"/>
      <c r="ANT2388" s="38"/>
      <c r="ANU2388" s="38"/>
      <c r="ANV2388" s="38"/>
      <c r="ANW2388" s="38"/>
      <c r="ANX2388" s="38"/>
      <c r="ANY2388" s="38"/>
      <c r="ANZ2388" s="38"/>
      <c r="AOA2388" s="38"/>
      <c r="AOB2388" s="38"/>
      <c r="AOC2388" s="38"/>
      <c r="AOD2388" s="38"/>
      <c r="AOE2388" s="38"/>
      <c r="AOF2388" s="38"/>
      <c r="AOG2388" s="38"/>
      <c r="AOH2388" s="38"/>
      <c r="AOI2388" s="38"/>
      <c r="AOJ2388" s="38"/>
      <c r="AOK2388" s="38"/>
      <c r="AOL2388" s="38"/>
      <c r="AOM2388" s="38"/>
      <c r="AON2388" s="38"/>
      <c r="AOO2388" s="38"/>
      <c r="AOP2388" s="38"/>
      <c r="AOQ2388" s="38"/>
      <c r="AOR2388" s="38"/>
      <c r="AOS2388" s="38"/>
      <c r="AOT2388" s="38"/>
      <c r="AOU2388" s="38"/>
      <c r="AOV2388" s="38"/>
      <c r="AOW2388" s="38"/>
      <c r="AOX2388" s="38"/>
      <c r="AOY2388" s="38"/>
      <c r="AOZ2388" s="38"/>
      <c r="APA2388" s="38"/>
      <c r="APB2388" s="38"/>
      <c r="APC2388" s="38"/>
    </row>
    <row r="2389" spans="1:1095" s="36" customFormat="1" ht="14.25" customHeight="1">
      <c r="A2389" s="3" t="s">
        <v>1722</v>
      </c>
      <c r="B2389" s="36" t="s">
        <v>2978</v>
      </c>
      <c r="C2389" s="10">
        <v>4099854044052</v>
      </c>
      <c r="D2389" s="224">
        <v>4058075594265</v>
      </c>
      <c r="E2389" s="245" t="s">
        <v>1697</v>
      </c>
      <c r="F2389" s="246"/>
      <c r="G2389" s="66" t="str">
        <f>HYPERLINK("https://ledvance.com/pt/product-datasheet/251797/234678","Ficha de Produto")</f>
        <v>Ficha de Produto</v>
      </c>
      <c r="H2389" s="217">
        <v>10</v>
      </c>
      <c r="I2389" s="34" t="s">
        <v>6354</v>
      </c>
      <c r="J2389" s="34" t="s">
        <v>6398</v>
      </c>
      <c r="K2389" s="34" t="s">
        <v>788</v>
      </c>
      <c r="L2389" s="34" t="s">
        <v>765</v>
      </c>
      <c r="M2389" s="247">
        <v>8</v>
      </c>
      <c r="N2389" s="288" t="s">
        <v>722</v>
      </c>
    </row>
    <row r="2390" spans="1:1095" s="39" customFormat="1" ht="14.25" customHeight="1">
      <c r="A2390" s="8" t="s">
        <v>1722</v>
      </c>
      <c r="B2390" s="244" t="s">
        <v>3167</v>
      </c>
      <c r="C2390" s="8"/>
      <c r="D2390" s="7"/>
      <c r="E2390" s="230"/>
      <c r="F2390" s="7"/>
      <c r="G2390" s="68"/>
      <c r="H2390" s="230"/>
      <c r="I2390" s="230"/>
      <c r="J2390" s="230"/>
      <c r="K2390" s="230"/>
      <c r="L2390" s="230"/>
      <c r="M2390" s="248"/>
      <c r="N2390" s="292"/>
      <c r="O2390" s="38"/>
      <c r="P2390" s="38"/>
      <c r="Q2390" s="38"/>
      <c r="R2390" s="38"/>
      <c r="S2390" s="38"/>
      <c r="T2390" s="38"/>
      <c r="U2390" s="38"/>
      <c r="V2390" s="38"/>
      <c r="W2390" s="38"/>
      <c r="X2390" s="38"/>
      <c r="Y2390" s="38"/>
      <c r="Z2390" s="38"/>
      <c r="AA2390" s="38"/>
      <c r="AB2390" s="38"/>
      <c r="AC2390" s="38"/>
      <c r="AD2390" s="38"/>
      <c r="AE2390" s="38"/>
      <c r="AF2390" s="38"/>
      <c r="AG2390" s="38"/>
      <c r="AH2390" s="38"/>
      <c r="AI2390" s="38"/>
      <c r="AJ2390" s="38"/>
      <c r="AK2390" s="38"/>
      <c r="AL2390" s="38"/>
      <c r="AM2390" s="38"/>
      <c r="AN2390" s="38"/>
      <c r="AO2390" s="38"/>
      <c r="AP2390" s="38"/>
      <c r="AQ2390" s="38"/>
      <c r="AR2390" s="38"/>
      <c r="AS2390" s="38"/>
      <c r="AT2390" s="38"/>
      <c r="AU2390" s="38"/>
      <c r="AV2390" s="38"/>
      <c r="AW2390" s="38"/>
      <c r="AX2390" s="38"/>
      <c r="AY2390" s="38"/>
      <c r="AZ2390" s="38"/>
      <c r="BA2390" s="38"/>
      <c r="BB2390" s="38"/>
      <c r="BC2390" s="38"/>
      <c r="BD2390" s="38"/>
      <c r="BE2390" s="38"/>
      <c r="BF2390" s="38"/>
      <c r="BG2390" s="38"/>
      <c r="BH2390" s="38"/>
      <c r="BI2390" s="38"/>
      <c r="BJ2390" s="38"/>
      <c r="BK2390" s="38"/>
      <c r="BL2390" s="38"/>
      <c r="BM2390" s="38"/>
      <c r="BN2390" s="38"/>
      <c r="BO2390" s="38"/>
      <c r="BP2390" s="38"/>
      <c r="BQ2390" s="38"/>
      <c r="BR2390" s="38"/>
      <c r="BS2390" s="38"/>
      <c r="BT2390" s="38"/>
      <c r="BU2390" s="38"/>
      <c r="BV2390" s="38"/>
      <c r="BW2390" s="38"/>
      <c r="BX2390" s="38"/>
      <c r="BY2390" s="38"/>
      <c r="BZ2390" s="38"/>
      <c r="CA2390" s="38"/>
      <c r="CB2390" s="38"/>
      <c r="CC2390" s="38"/>
      <c r="CD2390" s="38"/>
      <c r="CE2390" s="38"/>
      <c r="CF2390" s="38"/>
      <c r="CG2390" s="38"/>
      <c r="CH2390" s="38"/>
      <c r="CI2390" s="38"/>
      <c r="CJ2390" s="38"/>
      <c r="CK2390" s="38"/>
      <c r="CL2390" s="38"/>
      <c r="CM2390" s="38"/>
      <c r="CN2390" s="38"/>
      <c r="CO2390" s="38"/>
      <c r="CP2390" s="38"/>
      <c r="CQ2390" s="38"/>
      <c r="CR2390" s="38"/>
      <c r="CS2390" s="38"/>
      <c r="CT2390" s="38"/>
      <c r="CU2390" s="38"/>
      <c r="CV2390" s="38"/>
      <c r="CW2390" s="38"/>
      <c r="CX2390" s="38"/>
      <c r="CY2390" s="38"/>
      <c r="CZ2390" s="38"/>
      <c r="DA2390" s="38"/>
      <c r="DB2390" s="38"/>
      <c r="DC2390" s="38"/>
      <c r="DD2390" s="38"/>
      <c r="DE2390" s="38"/>
      <c r="DF2390" s="38"/>
      <c r="DG2390" s="38"/>
      <c r="DH2390" s="38"/>
      <c r="DI2390" s="38"/>
      <c r="DJ2390" s="38"/>
      <c r="DK2390" s="38"/>
      <c r="DL2390" s="38"/>
      <c r="DM2390" s="38"/>
      <c r="DN2390" s="38"/>
      <c r="DO2390" s="38"/>
      <c r="DP2390" s="38"/>
      <c r="DQ2390" s="38"/>
      <c r="DR2390" s="38"/>
      <c r="DS2390" s="38"/>
      <c r="DT2390" s="38"/>
      <c r="DU2390" s="38"/>
      <c r="DV2390" s="38"/>
      <c r="DW2390" s="38"/>
      <c r="DX2390" s="38"/>
      <c r="DY2390" s="38"/>
      <c r="DZ2390" s="38"/>
      <c r="EA2390" s="38"/>
      <c r="EB2390" s="38"/>
      <c r="EC2390" s="38"/>
      <c r="ED2390" s="38"/>
      <c r="EE2390" s="38"/>
      <c r="EF2390" s="38"/>
      <c r="EG2390" s="38"/>
      <c r="EH2390" s="38"/>
      <c r="EI2390" s="38"/>
      <c r="EJ2390" s="38"/>
      <c r="EK2390" s="38"/>
      <c r="EL2390" s="38"/>
      <c r="EM2390" s="38"/>
      <c r="EN2390" s="38"/>
      <c r="EO2390" s="38"/>
      <c r="EP2390" s="38"/>
      <c r="EQ2390" s="38"/>
      <c r="ER2390" s="38"/>
      <c r="ES2390" s="38"/>
      <c r="ET2390" s="38"/>
      <c r="EU2390" s="38"/>
      <c r="EV2390" s="38"/>
      <c r="EW2390" s="38"/>
      <c r="EX2390" s="38"/>
      <c r="EY2390" s="38"/>
      <c r="EZ2390" s="38"/>
      <c r="FA2390" s="38"/>
      <c r="FB2390" s="38"/>
      <c r="FC2390" s="38"/>
      <c r="FD2390" s="38"/>
      <c r="FE2390" s="38"/>
      <c r="FF2390" s="38"/>
      <c r="FG2390" s="38"/>
      <c r="FH2390" s="38"/>
      <c r="FI2390" s="38"/>
      <c r="FJ2390" s="38"/>
      <c r="FK2390" s="38"/>
      <c r="FL2390" s="38"/>
      <c r="FM2390" s="38"/>
      <c r="FN2390" s="38"/>
      <c r="FO2390" s="38"/>
      <c r="FP2390" s="38"/>
      <c r="FQ2390" s="38"/>
      <c r="FR2390" s="38"/>
      <c r="FS2390" s="38"/>
      <c r="FT2390" s="38"/>
      <c r="FU2390" s="38"/>
      <c r="FV2390" s="38"/>
      <c r="FW2390" s="38"/>
      <c r="FX2390" s="38"/>
      <c r="FY2390" s="38"/>
      <c r="FZ2390" s="38"/>
      <c r="GA2390" s="38"/>
      <c r="GB2390" s="38"/>
      <c r="GC2390" s="38"/>
      <c r="GD2390" s="38"/>
      <c r="GE2390" s="38"/>
      <c r="GF2390" s="38"/>
      <c r="GG2390" s="38"/>
      <c r="GH2390" s="38"/>
      <c r="GI2390" s="38"/>
      <c r="GJ2390" s="38"/>
      <c r="GK2390" s="38"/>
      <c r="GL2390" s="38"/>
      <c r="GM2390" s="38"/>
      <c r="GN2390" s="38"/>
      <c r="GO2390" s="38"/>
      <c r="GP2390" s="38"/>
      <c r="GQ2390" s="38"/>
      <c r="GR2390" s="38"/>
      <c r="GS2390" s="38"/>
      <c r="GT2390" s="38"/>
      <c r="GU2390" s="38"/>
      <c r="GV2390" s="38"/>
      <c r="GW2390" s="38"/>
      <c r="GX2390" s="38"/>
      <c r="GY2390" s="38"/>
      <c r="GZ2390" s="38"/>
      <c r="HA2390" s="38"/>
      <c r="HB2390" s="38"/>
      <c r="HC2390" s="38"/>
      <c r="HD2390" s="38"/>
      <c r="HE2390" s="38"/>
      <c r="HF2390" s="38"/>
      <c r="HG2390" s="38"/>
      <c r="HH2390" s="38"/>
      <c r="HI2390" s="38"/>
      <c r="HJ2390" s="38"/>
      <c r="HK2390" s="38"/>
      <c r="HL2390" s="38"/>
      <c r="HM2390" s="38"/>
      <c r="HN2390" s="38"/>
      <c r="HO2390" s="38"/>
      <c r="HP2390" s="38"/>
      <c r="HQ2390" s="38"/>
      <c r="HR2390" s="38"/>
      <c r="HS2390" s="38"/>
      <c r="HT2390" s="38"/>
      <c r="HU2390" s="38"/>
      <c r="HV2390" s="38"/>
      <c r="HW2390" s="38"/>
      <c r="HX2390" s="38"/>
      <c r="HY2390" s="38"/>
      <c r="HZ2390" s="38"/>
      <c r="IA2390" s="38"/>
      <c r="IB2390" s="38"/>
      <c r="IC2390" s="38"/>
      <c r="ID2390" s="38"/>
      <c r="IE2390" s="38"/>
      <c r="IF2390" s="38"/>
      <c r="IG2390" s="38"/>
      <c r="IH2390" s="38"/>
      <c r="II2390" s="38"/>
      <c r="IJ2390" s="38"/>
      <c r="IK2390" s="38"/>
      <c r="IL2390" s="38"/>
      <c r="IM2390" s="38"/>
      <c r="IN2390" s="38"/>
      <c r="IO2390" s="38"/>
      <c r="IP2390" s="38"/>
      <c r="IQ2390" s="38"/>
      <c r="IR2390" s="38"/>
      <c r="IS2390" s="38"/>
      <c r="IT2390" s="38"/>
      <c r="IU2390" s="38"/>
      <c r="IV2390" s="38"/>
      <c r="IW2390" s="38"/>
      <c r="IX2390" s="38"/>
      <c r="IY2390" s="38"/>
      <c r="IZ2390" s="38"/>
      <c r="JA2390" s="38"/>
      <c r="JB2390" s="38"/>
      <c r="JC2390" s="38"/>
      <c r="JD2390" s="38"/>
      <c r="JE2390" s="38"/>
      <c r="JF2390" s="38"/>
      <c r="JG2390" s="38"/>
      <c r="JH2390" s="38"/>
      <c r="JI2390" s="38"/>
      <c r="JJ2390" s="38"/>
      <c r="JK2390" s="38"/>
      <c r="JL2390" s="38"/>
      <c r="JM2390" s="38"/>
      <c r="JN2390" s="38"/>
      <c r="JO2390" s="38"/>
      <c r="JP2390" s="38"/>
      <c r="JQ2390" s="38"/>
      <c r="JR2390" s="38"/>
      <c r="JS2390" s="38"/>
      <c r="JT2390" s="38"/>
      <c r="JU2390" s="38"/>
      <c r="JV2390" s="38"/>
      <c r="JW2390" s="38"/>
      <c r="JX2390" s="38"/>
      <c r="JY2390" s="38"/>
      <c r="JZ2390" s="38"/>
      <c r="KA2390" s="38"/>
      <c r="KB2390" s="38"/>
      <c r="KC2390" s="38"/>
      <c r="KD2390" s="38"/>
      <c r="KE2390" s="38"/>
      <c r="KF2390" s="38"/>
      <c r="KG2390" s="38"/>
      <c r="KH2390" s="38"/>
      <c r="KI2390" s="38"/>
      <c r="KJ2390" s="38"/>
      <c r="KK2390" s="38"/>
      <c r="KL2390" s="38"/>
      <c r="KM2390" s="38"/>
      <c r="KN2390" s="38"/>
      <c r="KO2390" s="38"/>
      <c r="KP2390" s="38"/>
      <c r="KQ2390" s="38"/>
      <c r="KR2390" s="38"/>
      <c r="KS2390" s="38"/>
      <c r="KT2390" s="38"/>
      <c r="KU2390" s="38"/>
      <c r="KV2390" s="38"/>
      <c r="KW2390" s="38"/>
      <c r="KX2390" s="38"/>
      <c r="KY2390" s="38"/>
      <c r="KZ2390" s="38"/>
      <c r="LA2390" s="38"/>
      <c r="LB2390" s="38"/>
      <c r="LC2390" s="38"/>
      <c r="LD2390" s="38"/>
      <c r="LE2390" s="38"/>
      <c r="LF2390" s="38"/>
      <c r="LG2390" s="38"/>
      <c r="LH2390" s="38"/>
      <c r="LI2390" s="38"/>
      <c r="LJ2390" s="38"/>
      <c r="LK2390" s="38"/>
      <c r="LL2390" s="38"/>
      <c r="LM2390" s="38"/>
      <c r="LN2390" s="38"/>
      <c r="LO2390" s="38"/>
      <c r="LP2390" s="38"/>
      <c r="LQ2390" s="38"/>
      <c r="LR2390" s="38"/>
      <c r="LS2390" s="38"/>
      <c r="LT2390" s="38"/>
      <c r="LU2390" s="38"/>
      <c r="LV2390" s="38"/>
      <c r="LW2390" s="38"/>
      <c r="LX2390" s="38"/>
      <c r="LY2390" s="38"/>
      <c r="LZ2390" s="38"/>
      <c r="MA2390" s="38"/>
      <c r="MB2390" s="38"/>
      <c r="MC2390" s="38"/>
      <c r="MD2390" s="38"/>
      <c r="ME2390" s="38"/>
      <c r="MF2390" s="38"/>
      <c r="MG2390" s="38"/>
      <c r="MH2390" s="38"/>
      <c r="MI2390" s="38"/>
      <c r="MJ2390" s="38"/>
      <c r="MK2390" s="38"/>
      <c r="ML2390" s="38"/>
      <c r="MM2390" s="38"/>
      <c r="MN2390" s="38"/>
      <c r="MO2390" s="38"/>
      <c r="MP2390" s="38"/>
      <c r="MQ2390" s="38"/>
      <c r="MR2390" s="38"/>
      <c r="MS2390" s="38"/>
      <c r="MT2390" s="38"/>
      <c r="MU2390" s="38"/>
      <c r="MV2390" s="38"/>
      <c r="MW2390" s="38"/>
      <c r="MX2390" s="38"/>
      <c r="MY2390" s="38"/>
      <c r="MZ2390" s="38"/>
      <c r="NA2390" s="38"/>
      <c r="NB2390" s="38"/>
      <c r="NC2390" s="38"/>
      <c r="ND2390" s="38"/>
      <c r="NE2390" s="38"/>
      <c r="NF2390" s="38"/>
      <c r="NG2390" s="38"/>
      <c r="NH2390" s="38"/>
      <c r="NI2390" s="38"/>
      <c r="NJ2390" s="38"/>
      <c r="NK2390" s="38"/>
      <c r="NL2390" s="38"/>
      <c r="NM2390" s="38"/>
      <c r="NN2390" s="38"/>
      <c r="NO2390" s="38"/>
      <c r="NP2390" s="38"/>
      <c r="NQ2390" s="38"/>
      <c r="NR2390" s="38"/>
      <c r="NS2390" s="38"/>
      <c r="NT2390" s="38"/>
      <c r="NU2390" s="38"/>
      <c r="NV2390" s="38"/>
      <c r="NW2390" s="38"/>
      <c r="NX2390" s="38"/>
      <c r="NY2390" s="38"/>
      <c r="NZ2390" s="38"/>
      <c r="OA2390" s="38"/>
      <c r="OB2390" s="38"/>
      <c r="OC2390" s="38"/>
      <c r="OD2390" s="38"/>
      <c r="OE2390" s="38"/>
      <c r="OF2390" s="38"/>
      <c r="OG2390" s="38"/>
      <c r="OH2390" s="38"/>
      <c r="OI2390" s="38"/>
      <c r="OJ2390" s="38"/>
      <c r="OK2390" s="38"/>
      <c r="OL2390" s="38"/>
      <c r="OM2390" s="38"/>
      <c r="ON2390" s="38"/>
      <c r="OO2390" s="38"/>
      <c r="OP2390" s="38"/>
      <c r="OQ2390" s="38"/>
      <c r="OR2390" s="38"/>
      <c r="OS2390" s="38"/>
      <c r="OT2390" s="38"/>
      <c r="OU2390" s="38"/>
      <c r="OV2390" s="38"/>
      <c r="OW2390" s="38"/>
      <c r="OX2390" s="38"/>
      <c r="OY2390" s="38"/>
      <c r="OZ2390" s="38"/>
      <c r="PA2390" s="38"/>
      <c r="PB2390" s="38"/>
      <c r="PC2390" s="38"/>
      <c r="PD2390" s="38"/>
      <c r="PE2390" s="38"/>
      <c r="PF2390" s="38"/>
      <c r="PG2390" s="38"/>
      <c r="PH2390" s="38"/>
      <c r="PI2390" s="38"/>
      <c r="PJ2390" s="38"/>
      <c r="PK2390" s="38"/>
      <c r="PL2390" s="38"/>
      <c r="PM2390" s="38"/>
      <c r="PN2390" s="38"/>
      <c r="PO2390" s="38"/>
      <c r="PP2390" s="38"/>
      <c r="PQ2390" s="38"/>
      <c r="PR2390" s="38"/>
      <c r="PS2390" s="38"/>
      <c r="PT2390" s="38"/>
      <c r="PU2390" s="38"/>
      <c r="PV2390" s="38"/>
      <c r="PW2390" s="38"/>
      <c r="PX2390" s="38"/>
      <c r="PY2390" s="38"/>
      <c r="PZ2390" s="38"/>
      <c r="QA2390" s="38"/>
      <c r="QB2390" s="38"/>
      <c r="QC2390" s="38"/>
      <c r="QD2390" s="38"/>
      <c r="QE2390" s="38"/>
      <c r="QF2390" s="38"/>
      <c r="QG2390" s="38"/>
      <c r="QH2390" s="38"/>
      <c r="QI2390" s="38"/>
      <c r="QJ2390" s="38"/>
      <c r="QK2390" s="38"/>
      <c r="QL2390" s="38"/>
      <c r="QM2390" s="38"/>
      <c r="QN2390" s="38"/>
      <c r="QO2390" s="38"/>
      <c r="QP2390" s="38"/>
      <c r="QQ2390" s="38"/>
      <c r="QR2390" s="38"/>
      <c r="QS2390" s="38"/>
      <c r="QT2390" s="38"/>
      <c r="QU2390" s="38"/>
      <c r="QV2390" s="38"/>
      <c r="QW2390" s="38"/>
      <c r="QX2390" s="38"/>
      <c r="QY2390" s="38"/>
      <c r="QZ2390" s="38"/>
      <c r="RA2390" s="38"/>
      <c r="RB2390" s="38"/>
      <c r="RC2390" s="38"/>
      <c r="RD2390" s="38"/>
      <c r="RE2390" s="38"/>
      <c r="RF2390" s="38"/>
      <c r="RG2390" s="38"/>
      <c r="RH2390" s="38"/>
      <c r="RI2390" s="38"/>
      <c r="RJ2390" s="38"/>
      <c r="RK2390" s="38"/>
      <c r="RL2390" s="38"/>
      <c r="RM2390" s="38"/>
      <c r="RN2390" s="38"/>
      <c r="RO2390" s="38"/>
      <c r="RP2390" s="38"/>
      <c r="RQ2390" s="38"/>
      <c r="RR2390" s="38"/>
      <c r="RS2390" s="38"/>
      <c r="RT2390" s="38"/>
      <c r="RU2390" s="38"/>
      <c r="RV2390" s="38"/>
      <c r="RW2390" s="38"/>
      <c r="RX2390" s="38"/>
      <c r="RY2390" s="38"/>
      <c r="RZ2390" s="38"/>
      <c r="SA2390" s="38"/>
      <c r="SB2390" s="38"/>
      <c r="SC2390" s="38"/>
      <c r="SD2390" s="38"/>
      <c r="SE2390" s="38"/>
      <c r="SF2390" s="38"/>
      <c r="SG2390" s="38"/>
      <c r="SH2390" s="38"/>
      <c r="SI2390" s="38"/>
      <c r="SJ2390" s="38"/>
      <c r="SK2390" s="38"/>
      <c r="SL2390" s="38"/>
      <c r="SM2390" s="38"/>
      <c r="SN2390" s="38"/>
      <c r="SO2390" s="38"/>
      <c r="SP2390" s="38"/>
      <c r="SQ2390" s="38"/>
      <c r="SR2390" s="38"/>
      <c r="SS2390" s="38"/>
      <c r="ST2390" s="38"/>
      <c r="SU2390" s="38"/>
      <c r="SV2390" s="38"/>
      <c r="SW2390" s="38"/>
      <c r="SX2390" s="38"/>
      <c r="SY2390" s="38"/>
      <c r="SZ2390" s="38"/>
      <c r="TA2390" s="38"/>
      <c r="TB2390" s="38"/>
      <c r="TC2390" s="38"/>
      <c r="TD2390" s="38"/>
      <c r="TE2390" s="38"/>
      <c r="TF2390" s="38"/>
      <c r="TG2390" s="38"/>
      <c r="TH2390" s="38"/>
      <c r="TI2390" s="38"/>
      <c r="TJ2390" s="38"/>
      <c r="TK2390" s="38"/>
      <c r="TL2390" s="38"/>
      <c r="TM2390" s="38"/>
      <c r="TN2390" s="38"/>
      <c r="TO2390" s="38"/>
      <c r="TP2390" s="38"/>
      <c r="TQ2390" s="38"/>
      <c r="TR2390" s="38"/>
      <c r="TS2390" s="38"/>
      <c r="TT2390" s="38"/>
      <c r="TU2390" s="38"/>
      <c r="TV2390" s="38"/>
      <c r="TW2390" s="38"/>
      <c r="TX2390" s="38"/>
      <c r="TY2390" s="38"/>
      <c r="TZ2390" s="38"/>
      <c r="UA2390" s="38"/>
      <c r="UB2390" s="38"/>
      <c r="UC2390" s="38"/>
      <c r="UD2390" s="38"/>
      <c r="UE2390" s="38"/>
      <c r="UF2390" s="38"/>
      <c r="UG2390" s="38"/>
      <c r="UH2390" s="38"/>
      <c r="UI2390" s="38"/>
      <c r="UJ2390" s="38"/>
      <c r="UK2390" s="38"/>
      <c r="UL2390" s="38"/>
      <c r="UM2390" s="38"/>
      <c r="UN2390" s="38"/>
      <c r="UO2390" s="38"/>
      <c r="UP2390" s="38"/>
      <c r="UQ2390" s="38"/>
      <c r="UR2390" s="38"/>
      <c r="US2390" s="38"/>
      <c r="UT2390" s="38"/>
      <c r="UU2390" s="38"/>
      <c r="UV2390" s="38"/>
      <c r="UW2390" s="38"/>
      <c r="UX2390" s="38"/>
      <c r="UY2390" s="38"/>
      <c r="UZ2390" s="38"/>
      <c r="VA2390" s="38"/>
      <c r="VB2390" s="38"/>
      <c r="VC2390" s="38"/>
      <c r="VD2390" s="38"/>
      <c r="VE2390" s="38"/>
      <c r="VF2390" s="38"/>
      <c r="VG2390" s="38"/>
      <c r="VH2390" s="38"/>
      <c r="VI2390" s="38"/>
      <c r="VJ2390" s="38"/>
      <c r="VK2390" s="38"/>
      <c r="VL2390" s="38"/>
      <c r="VM2390" s="38"/>
      <c r="VN2390" s="38"/>
      <c r="VO2390" s="38"/>
      <c r="VP2390" s="38"/>
      <c r="VQ2390" s="38"/>
      <c r="VR2390" s="38"/>
      <c r="VS2390" s="38"/>
      <c r="VT2390" s="38"/>
      <c r="VU2390" s="38"/>
      <c r="VV2390" s="38"/>
      <c r="VW2390" s="38"/>
      <c r="VX2390" s="38"/>
      <c r="VY2390" s="38"/>
      <c r="VZ2390" s="38"/>
      <c r="WA2390" s="38"/>
      <c r="WB2390" s="38"/>
      <c r="WC2390" s="38"/>
      <c r="WD2390" s="38"/>
      <c r="WE2390" s="38"/>
      <c r="WF2390" s="38"/>
      <c r="WG2390" s="38"/>
      <c r="WH2390" s="38"/>
      <c r="WI2390" s="38"/>
      <c r="WJ2390" s="38"/>
      <c r="WK2390" s="38"/>
      <c r="WL2390" s="38"/>
      <c r="WM2390" s="38"/>
      <c r="WN2390" s="38"/>
      <c r="WO2390" s="38"/>
      <c r="WP2390" s="38"/>
      <c r="WQ2390" s="38"/>
      <c r="WR2390" s="38"/>
      <c r="WS2390" s="38"/>
      <c r="WT2390" s="38"/>
      <c r="WU2390" s="38"/>
      <c r="WV2390" s="38"/>
      <c r="WW2390" s="38"/>
      <c r="WX2390" s="38"/>
      <c r="WY2390" s="38"/>
      <c r="WZ2390" s="38"/>
      <c r="XA2390" s="38"/>
      <c r="XB2390" s="38"/>
      <c r="XC2390" s="38"/>
      <c r="XD2390" s="38"/>
      <c r="XE2390" s="38"/>
      <c r="XF2390" s="38"/>
      <c r="XG2390" s="38"/>
      <c r="XH2390" s="38"/>
      <c r="XI2390" s="38"/>
      <c r="XJ2390" s="38"/>
      <c r="XK2390" s="38"/>
      <c r="XL2390" s="38"/>
      <c r="XM2390" s="38"/>
      <c r="XN2390" s="38"/>
      <c r="XO2390" s="38"/>
      <c r="XP2390" s="38"/>
      <c r="XQ2390" s="38"/>
      <c r="XR2390" s="38"/>
      <c r="XS2390" s="38"/>
      <c r="XT2390" s="38"/>
      <c r="XU2390" s="38"/>
      <c r="XV2390" s="38"/>
      <c r="XW2390" s="38"/>
      <c r="XX2390" s="38"/>
      <c r="XY2390" s="38"/>
      <c r="XZ2390" s="38"/>
      <c r="YA2390" s="38"/>
      <c r="YB2390" s="38"/>
      <c r="YC2390" s="38"/>
      <c r="YD2390" s="38"/>
      <c r="YE2390" s="38"/>
      <c r="YF2390" s="38"/>
      <c r="YG2390" s="38"/>
      <c r="YH2390" s="38"/>
      <c r="YI2390" s="38"/>
      <c r="YJ2390" s="38"/>
      <c r="YK2390" s="38"/>
      <c r="YL2390" s="38"/>
      <c r="YM2390" s="38"/>
      <c r="YN2390" s="38"/>
      <c r="YO2390" s="38"/>
      <c r="YP2390" s="38"/>
      <c r="YQ2390" s="38"/>
      <c r="YR2390" s="38"/>
      <c r="YS2390" s="38"/>
      <c r="YT2390" s="38"/>
      <c r="YU2390" s="38"/>
      <c r="YV2390" s="38"/>
      <c r="YW2390" s="38"/>
      <c r="YX2390" s="38"/>
      <c r="YY2390" s="38"/>
      <c r="YZ2390" s="38"/>
      <c r="ZA2390" s="38"/>
      <c r="ZB2390" s="38"/>
      <c r="ZC2390" s="38"/>
      <c r="ZD2390" s="38"/>
      <c r="ZE2390" s="38"/>
      <c r="ZF2390" s="38"/>
      <c r="ZG2390" s="38"/>
      <c r="ZH2390" s="38"/>
      <c r="ZI2390" s="38"/>
      <c r="ZJ2390" s="38"/>
      <c r="ZK2390" s="38"/>
      <c r="ZL2390" s="38"/>
      <c r="ZM2390" s="38"/>
      <c r="ZN2390" s="38"/>
      <c r="ZO2390" s="38"/>
      <c r="ZP2390" s="38"/>
      <c r="ZQ2390" s="38"/>
      <c r="ZR2390" s="38"/>
      <c r="ZS2390" s="38"/>
      <c r="ZT2390" s="38"/>
      <c r="ZU2390" s="38"/>
      <c r="ZV2390" s="38"/>
      <c r="ZW2390" s="38"/>
      <c r="ZX2390" s="38"/>
      <c r="ZY2390" s="38"/>
      <c r="ZZ2390" s="38"/>
      <c r="AAA2390" s="38"/>
      <c r="AAB2390" s="38"/>
      <c r="AAC2390" s="38"/>
      <c r="AAD2390" s="38"/>
      <c r="AAE2390" s="38"/>
      <c r="AAF2390" s="38"/>
      <c r="AAG2390" s="38"/>
      <c r="AAH2390" s="38"/>
      <c r="AAI2390" s="38"/>
      <c r="AAJ2390" s="38"/>
      <c r="AAK2390" s="38"/>
      <c r="AAL2390" s="38"/>
      <c r="AAM2390" s="38"/>
      <c r="AAN2390" s="38"/>
      <c r="AAO2390" s="38"/>
      <c r="AAP2390" s="38"/>
      <c r="AAQ2390" s="38"/>
      <c r="AAR2390" s="38"/>
      <c r="AAS2390" s="38"/>
      <c r="AAT2390" s="38"/>
      <c r="AAU2390" s="38"/>
      <c r="AAV2390" s="38"/>
      <c r="AAW2390" s="38"/>
      <c r="AAX2390" s="38"/>
      <c r="AAY2390" s="38"/>
      <c r="AAZ2390" s="38"/>
      <c r="ABA2390" s="38"/>
      <c r="ABB2390" s="38"/>
      <c r="ABC2390" s="38"/>
      <c r="ABD2390" s="38"/>
      <c r="ABE2390" s="38"/>
      <c r="ABF2390" s="38"/>
      <c r="ABG2390" s="38"/>
      <c r="ABH2390" s="38"/>
      <c r="ABI2390" s="38"/>
      <c r="ABJ2390" s="38"/>
      <c r="ABK2390" s="38"/>
      <c r="ABL2390" s="38"/>
      <c r="ABM2390" s="38"/>
      <c r="ABN2390" s="38"/>
      <c r="ABO2390" s="38"/>
      <c r="ABP2390" s="38"/>
      <c r="ABQ2390" s="38"/>
      <c r="ABR2390" s="38"/>
      <c r="ABS2390" s="38"/>
      <c r="ABT2390" s="38"/>
      <c r="ABU2390" s="38"/>
      <c r="ABV2390" s="38"/>
      <c r="ABW2390" s="38"/>
      <c r="ABX2390" s="38"/>
      <c r="ABY2390" s="38"/>
      <c r="ABZ2390" s="38"/>
      <c r="ACA2390" s="38"/>
      <c r="ACB2390" s="38"/>
      <c r="ACC2390" s="38"/>
      <c r="ACD2390" s="38"/>
      <c r="ACE2390" s="38"/>
      <c r="ACF2390" s="38"/>
      <c r="ACG2390" s="38"/>
      <c r="ACH2390" s="38"/>
      <c r="ACI2390" s="38"/>
      <c r="ACJ2390" s="38"/>
      <c r="ACK2390" s="38"/>
      <c r="ACL2390" s="38"/>
      <c r="ACM2390" s="38"/>
      <c r="ACN2390" s="38"/>
      <c r="ACO2390" s="38"/>
      <c r="ACP2390" s="38"/>
      <c r="ACQ2390" s="38"/>
      <c r="ACR2390" s="38"/>
      <c r="ACS2390" s="38"/>
      <c r="ACT2390" s="38"/>
      <c r="ACU2390" s="38"/>
      <c r="ACV2390" s="38"/>
      <c r="ACW2390" s="38"/>
      <c r="ACX2390" s="38"/>
      <c r="ACY2390" s="38"/>
      <c r="ACZ2390" s="38"/>
      <c r="ADA2390" s="38"/>
      <c r="ADB2390" s="38"/>
      <c r="ADC2390" s="38"/>
      <c r="ADD2390" s="38"/>
      <c r="ADE2390" s="38"/>
      <c r="ADF2390" s="38"/>
      <c r="ADG2390" s="38"/>
      <c r="ADH2390" s="38"/>
      <c r="ADI2390" s="38"/>
      <c r="ADJ2390" s="38"/>
      <c r="ADK2390" s="38"/>
      <c r="ADL2390" s="38"/>
      <c r="ADM2390" s="38"/>
      <c r="ADN2390" s="38"/>
      <c r="ADO2390" s="38"/>
      <c r="ADP2390" s="38"/>
      <c r="ADQ2390" s="38"/>
      <c r="ADR2390" s="38"/>
      <c r="ADS2390" s="38"/>
      <c r="ADT2390" s="38"/>
      <c r="ADU2390" s="38"/>
      <c r="ADV2390" s="38"/>
      <c r="ADW2390" s="38"/>
      <c r="ADX2390" s="38"/>
      <c r="ADY2390" s="38"/>
      <c r="ADZ2390" s="38"/>
      <c r="AEA2390" s="38"/>
      <c r="AEB2390" s="38"/>
      <c r="AEC2390" s="38"/>
      <c r="AED2390" s="38"/>
      <c r="AEE2390" s="38"/>
      <c r="AEF2390" s="38"/>
      <c r="AEG2390" s="38"/>
      <c r="AEH2390" s="38"/>
      <c r="AEI2390" s="38"/>
      <c r="AEJ2390" s="38"/>
      <c r="AEK2390" s="38"/>
      <c r="AEL2390" s="38"/>
      <c r="AEM2390" s="38"/>
      <c r="AEN2390" s="38"/>
      <c r="AEO2390" s="38"/>
      <c r="AEP2390" s="38"/>
      <c r="AEQ2390" s="38"/>
      <c r="AER2390" s="38"/>
      <c r="AES2390" s="38"/>
      <c r="AET2390" s="38"/>
      <c r="AEU2390" s="38"/>
      <c r="AEV2390" s="38"/>
      <c r="AEW2390" s="38"/>
      <c r="AEX2390" s="38"/>
      <c r="AEY2390" s="38"/>
      <c r="AEZ2390" s="38"/>
      <c r="AFA2390" s="38"/>
      <c r="AFB2390" s="38"/>
      <c r="AFC2390" s="38"/>
      <c r="AFD2390" s="38"/>
      <c r="AFE2390" s="38"/>
      <c r="AFF2390" s="38"/>
      <c r="AFG2390" s="38"/>
      <c r="AFH2390" s="38"/>
      <c r="AFI2390" s="38"/>
      <c r="AFJ2390" s="38"/>
      <c r="AFK2390" s="38"/>
      <c r="AFL2390" s="38"/>
      <c r="AFM2390" s="38"/>
      <c r="AFN2390" s="38"/>
      <c r="AFO2390" s="38"/>
      <c r="AFP2390" s="38"/>
      <c r="AFQ2390" s="38"/>
      <c r="AFR2390" s="38"/>
      <c r="AFS2390" s="38"/>
      <c r="AFT2390" s="38"/>
      <c r="AFU2390" s="38"/>
      <c r="AFV2390" s="38"/>
      <c r="AFW2390" s="38"/>
      <c r="AFX2390" s="38"/>
      <c r="AFY2390" s="38"/>
      <c r="AFZ2390" s="38"/>
      <c r="AGA2390" s="38"/>
      <c r="AGB2390" s="38"/>
      <c r="AGC2390" s="38"/>
      <c r="AGD2390" s="38"/>
      <c r="AGE2390" s="38"/>
      <c r="AGF2390" s="38"/>
      <c r="AGG2390" s="38"/>
      <c r="AGH2390" s="38"/>
      <c r="AGI2390" s="38"/>
      <c r="AGJ2390" s="38"/>
      <c r="AGK2390" s="38"/>
      <c r="AGL2390" s="38"/>
      <c r="AGM2390" s="38"/>
      <c r="AGN2390" s="38"/>
      <c r="AGO2390" s="38"/>
      <c r="AGP2390" s="38"/>
      <c r="AGQ2390" s="38"/>
      <c r="AGR2390" s="38"/>
      <c r="AGS2390" s="38"/>
      <c r="AGT2390" s="38"/>
      <c r="AGU2390" s="38"/>
      <c r="AGV2390" s="38"/>
      <c r="AGW2390" s="38"/>
      <c r="AGX2390" s="38"/>
      <c r="AGY2390" s="38"/>
      <c r="AGZ2390" s="38"/>
      <c r="AHA2390" s="38"/>
      <c r="AHB2390" s="38"/>
      <c r="AHC2390" s="38"/>
      <c r="AHD2390" s="38"/>
      <c r="AHE2390" s="38"/>
      <c r="AHF2390" s="38"/>
      <c r="AHG2390" s="38"/>
      <c r="AHH2390" s="38"/>
      <c r="AHI2390" s="38"/>
      <c r="AHJ2390" s="38"/>
      <c r="AHK2390" s="38"/>
      <c r="AHL2390" s="38"/>
      <c r="AHM2390" s="38"/>
      <c r="AHN2390" s="38"/>
      <c r="AHO2390" s="38"/>
      <c r="AHP2390" s="38"/>
      <c r="AHQ2390" s="38"/>
      <c r="AHR2390" s="38"/>
      <c r="AHS2390" s="38"/>
      <c r="AHT2390" s="38"/>
      <c r="AHU2390" s="38"/>
      <c r="AHV2390" s="38"/>
      <c r="AHW2390" s="38"/>
      <c r="AHX2390" s="38"/>
      <c r="AHY2390" s="38"/>
      <c r="AHZ2390" s="38"/>
      <c r="AIA2390" s="38"/>
      <c r="AIB2390" s="38"/>
      <c r="AIC2390" s="38"/>
      <c r="AID2390" s="38"/>
      <c r="AIE2390" s="38"/>
      <c r="AIF2390" s="38"/>
      <c r="AIG2390" s="38"/>
      <c r="AIH2390" s="38"/>
      <c r="AII2390" s="38"/>
      <c r="AIJ2390" s="38"/>
      <c r="AIK2390" s="38"/>
      <c r="AIL2390" s="38"/>
      <c r="AIM2390" s="38"/>
      <c r="AIN2390" s="38"/>
      <c r="AIO2390" s="38"/>
      <c r="AIP2390" s="38"/>
      <c r="AIQ2390" s="38"/>
      <c r="AIR2390" s="38"/>
      <c r="AIS2390" s="38"/>
      <c r="AIT2390" s="38"/>
      <c r="AIU2390" s="38"/>
      <c r="AIV2390" s="38"/>
      <c r="AIW2390" s="38"/>
      <c r="AIX2390" s="38"/>
      <c r="AIY2390" s="38"/>
      <c r="AIZ2390" s="38"/>
      <c r="AJA2390" s="38"/>
      <c r="AJB2390" s="38"/>
      <c r="AJC2390" s="38"/>
      <c r="AJD2390" s="38"/>
      <c r="AJE2390" s="38"/>
      <c r="AJF2390" s="38"/>
      <c r="AJG2390" s="38"/>
      <c r="AJH2390" s="38"/>
      <c r="AJI2390" s="38"/>
      <c r="AJJ2390" s="38"/>
      <c r="AJK2390" s="38"/>
      <c r="AJL2390" s="38"/>
      <c r="AJM2390" s="38"/>
      <c r="AJN2390" s="38"/>
      <c r="AJO2390" s="38"/>
      <c r="AJP2390" s="38"/>
      <c r="AJQ2390" s="38"/>
      <c r="AJR2390" s="38"/>
      <c r="AJS2390" s="38"/>
      <c r="AJT2390" s="38"/>
      <c r="AJU2390" s="38"/>
      <c r="AJV2390" s="38"/>
      <c r="AJW2390" s="38"/>
      <c r="AJX2390" s="38"/>
      <c r="AJY2390" s="38"/>
      <c r="AJZ2390" s="38"/>
      <c r="AKA2390" s="38"/>
      <c r="AKB2390" s="38"/>
      <c r="AKC2390" s="38"/>
      <c r="AKD2390" s="38"/>
      <c r="AKE2390" s="38"/>
      <c r="AKF2390" s="38"/>
      <c r="AKG2390" s="38"/>
      <c r="AKH2390" s="38"/>
      <c r="AKI2390" s="38"/>
      <c r="AKJ2390" s="38"/>
      <c r="AKK2390" s="38"/>
      <c r="AKL2390" s="38"/>
      <c r="AKM2390" s="38"/>
      <c r="AKN2390" s="38"/>
      <c r="AKO2390" s="38"/>
      <c r="AKP2390" s="38"/>
      <c r="AKQ2390" s="38"/>
      <c r="AKR2390" s="38"/>
      <c r="AKS2390" s="38"/>
      <c r="AKT2390" s="38"/>
      <c r="AKU2390" s="38"/>
      <c r="AKV2390" s="38"/>
      <c r="AKW2390" s="38"/>
      <c r="AKX2390" s="38"/>
      <c r="AKY2390" s="38"/>
      <c r="AKZ2390" s="38"/>
      <c r="ALA2390" s="38"/>
      <c r="ALB2390" s="38"/>
      <c r="ALC2390" s="38"/>
      <c r="ALD2390" s="38"/>
      <c r="ALE2390" s="38"/>
      <c r="ALF2390" s="38"/>
      <c r="ALG2390" s="38"/>
      <c r="ALH2390" s="38"/>
      <c r="ALI2390" s="38"/>
      <c r="ALJ2390" s="38"/>
      <c r="ALK2390" s="38"/>
      <c r="ALL2390" s="38"/>
      <c r="ALM2390" s="38"/>
      <c r="ALN2390" s="38"/>
      <c r="ALO2390" s="38"/>
      <c r="ALP2390" s="38"/>
      <c r="ALQ2390" s="38"/>
      <c r="ALR2390" s="38"/>
      <c r="ALS2390" s="38"/>
      <c r="ALT2390" s="38"/>
      <c r="ALU2390" s="38"/>
      <c r="ALV2390" s="38"/>
      <c r="ALW2390" s="38"/>
      <c r="ALX2390" s="38"/>
      <c r="ALY2390" s="38"/>
      <c r="ALZ2390" s="38"/>
      <c r="AMA2390" s="38"/>
      <c r="AMB2390" s="38"/>
      <c r="AMC2390" s="38"/>
      <c r="AMD2390" s="38"/>
      <c r="AME2390" s="38"/>
      <c r="AMF2390" s="38"/>
      <c r="AMG2390" s="38"/>
      <c r="AMH2390" s="38"/>
      <c r="AMI2390" s="38"/>
      <c r="AMJ2390" s="38"/>
      <c r="AMK2390" s="38"/>
      <c r="AML2390" s="38"/>
      <c r="AMM2390" s="38"/>
      <c r="AMN2390" s="38"/>
      <c r="AMO2390" s="38"/>
      <c r="AMP2390" s="38"/>
      <c r="AMQ2390" s="38"/>
      <c r="AMR2390" s="38"/>
      <c r="AMS2390" s="38"/>
      <c r="AMT2390" s="38"/>
      <c r="AMU2390" s="38"/>
      <c r="AMV2390" s="38"/>
      <c r="AMW2390" s="38"/>
      <c r="AMX2390" s="38"/>
      <c r="AMY2390" s="38"/>
      <c r="AMZ2390" s="38"/>
      <c r="ANA2390" s="38"/>
      <c r="ANB2390" s="38"/>
      <c r="ANC2390" s="38"/>
      <c r="AND2390" s="38"/>
      <c r="ANE2390" s="38"/>
      <c r="ANF2390" s="38"/>
      <c r="ANG2390" s="38"/>
      <c r="ANH2390" s="38"/>
      <c r="ANI2390" s="38"/>
      <c r="ANJ2390" s="38"/>
      <c r="ANK2390" s="38"/>
      <c r="ANL2390" s="38"/>
      <c r="ANM2390" s="38"/>
      <c r="ANN2390" s="38"/>
      <c r="ANO2390" s="38"/>
      <c r="ANP2390" s="38"/>
      <c r="ANQ2390" s="38"/>
      <c r="ANR2390" s="38"/>
      <c r="ANS2390" s="38"/>
      <c r="ANT2390" s="38"/>
      <c r="ANU2390" s="38"/>
      <c r="ANV2390" s="38"/>
      <c r="ANW2390" s="38"/>
      <c r="ANX2390" s="38"/>
      <c r="ANY2390" s="38"/>
      <c r="ANZ2390" s="38"/>
      <c r="AOA2390" s="38"/>
      <c r="AOB2390" s="38"/>
      <c r="AOC2390" s="38"/>
      <c r="AOD2390" s="38"/>
      <c r="AOE2390" s="38"/>
      <c r="AOF2390" s="38"/>
      <c r="AOG2390" s="38"/>
      <c r="AOH2390" s="38"/>
      <c r="AOI2390" s="38"/>
      <c r="AOJ2390" s="38"/>
      <c r="AOK2390" s="38"/>
      <c r="AOL2390" s="38"/>
      <c r="AOM2390" s="38"/>
      <c r="AON2390" s="38"/>
      <c r="AOO2390" s="38"/>
      <c r="AOP2390" s="38"/>
      <c r="AOQ2390" s="38"/>
      <c r="AOR2390" s="38"/>
      <c r="AOS2390" s="38"/>
      <c r="AOT2390" s="38"/>
      <c r="AOU2390" s="38"/>
      <c r="AOV2390" s="38"/>
      <c r="AOW2390" s="38"/>
      <c r="AOX2390" s="38"/>
      <c r="AOY2390" s="38"/>
      <c r="AOZ2390" s="38"/>
      <c r="APA2390" s="38"/>
      <c r="APB2390" s="38"/>
      <c r="APC2390" s="38"/>
    </row>
    <row r="2391" spans="1:1095" s="36" customFormat="1" ht="14.25" customHeight="1">
      <c r="A2391" s="3" t="s">
        <v>1722</v>
      </c>
      <c r="B2391" s="36" t="s">
        <v>2979</v>
      </c>
      <c r="C2391" s="10">
        <v>4099854049309</v>
      </c>
      <c r="D2391" s="224">
        <v>4058075593237</v>
      </c>
      <c r="E2391" s="245" t="s">
        <v>2980</v>
      </c>
      <c r="F2391" s="246"/>
      <c r="G2391" s="66" t="str">
        <f>HYPERLINK("https://ledvance.com/pt/product-datasheet/251765/235517","Ficha de Produto")</f>
        <v>Ficha de Produto</v>
      </c>
      <c r="H2391" s="217">
        <v>10</v>
      </c>
      <c r="I2391" s="34" t="s">
        <v>6354</v>
      </c>
      <c r="J2391" s="34" t="s">
        <v>6398</v>
      </c>
      <c r="K2391" s="34" t="s">
        <v>788</v>
      </c>
      <c r="L2391" s="34" t="s">
        <v>6506</v>
      </c>
      <c r="M2391" s="247">
        <v>5.6000000000000005</v>
      </c>
      <c r="N2391" s="288" t="s">
        <v>722</v>
      </c>
    </row>
    <row r="2392" spans="1:1095" s="39" customFormat="1" ht="14.25" customHeight="1">
      <c r="A2392" s="8" t="s">
        <v>1722</v>
      </c>
      <c r="B2392" s="244" t="s">
        <v>2981</v>
      </c>
      <c r="C2392" s="8"/>
      <c r="D2392" s="7"/>
      <c r="E2392" s="230"/>
      <c r="F2392" s="7"/>
      <c r="G2392" s="68"/>
      <c r="H2392" s="230"/>
      <c r="I2392" s="230"/>
      <c r="J2392" s="230"/>
      <c r="K2392" s="230"/>
      <c r="L2392" s="230"/>
      <c r="M2392" s="248"/>
      <c r="N2392" s="284"/>
      <c r="O2392" s="38"/>
      <c r="P2392" s="38"/>
      <c r="Q2392" s="38"/>
      <c r="R2392" s="38"/>
      <c r="S2392" s="38"/>
      <c r="T2392" s="38"/>
      <c r="U2392" s="38"/>
      <c r="V2392" s="38"/>
      <c r="W2392" s="38"/>
      <c r="X2392" s="38"/>
      <c r="Y2392" s="38"/>
      <c r="Z2392" s="38"/>
      <c r="AA2392" s="38"/>
      <c r="AB2392" s="38"/>
      <c r="AC2392" s="38"/>
      <c r="AD2392" s="38"/>
      <c r="AE2392" s="38"/>
      <c r="AF2392" s="38"/>
      <c r="AG2392" s="38"/>
      <c r="AH2392" s="38"/>
      <c r="AI2392" s="38"/>
      <c r="AJ2392" s="38"/>
      <c r="AK2392" s="38"/>
      <c r="AL2392" s="38"/>
      <c r="AM2392" s="38"/>
      <c r="AN2392" s="38"/>
      <c r="AO2392" s="38"/>
      <c r="AP2392" s="38"/>
      <c r="AQ2392" s="38"/>
      <c r="AR2392" s="38"/>
      <c r="AS2392" s="38"/>
      <c r="AT2392" s="38"/>
      <c r="AU2392" s="38"/>
      <c r="AV2392" s="38"/>
      <c r="AW2392" s="38"/>
      <c r="AX2392" s="38"/>
      <c r="AY2392" s="38"/>
      <c r="AZ2392" s="38"/>
      <c r="BA2392" s="38"/>
      <c r="BB2392" s="38"/>
      <c r="BC2392" s="38"/>
      <c r="BD2392" s="38"/>
      <c r="BE2392" s="38"/>
      <c r="BF2392" s="38"/>
      <c r="BG2392" s="38"/>
      <c r="BH2392" s="38"/>
      <c r="BI2392" s="38"/>
      <c r="BJ2392" s="38"/>
      <c r="BK2392" s="38"/>
      <c r="BL2392" s="38"/>
      <c r="BM2392" s="38"/>
      <c r="BN2392" s="38"/>
      <c r="BO2392" s="38"/>
      <c r="BP2392" s="38"/>
      <c r="BQ2392" s="38"/>
      <c r="BR2392" s="38"/>
      <c r="BS2392" s="38"/>
      <c r="BT2392" s="38"/>
      <c r="BU2392" s="38"/>
      <c r="BV2392" s="38"/>
      <c r="BW2392" s="38"/>
      <c r="BX2392" s="38"/>
      <c r="BY2392" s="38"/>
      <c r="BZ2392" s="38"/>
      <c r="CA2392" s="38"/>
      <c r="CB2392" s="38"/>
      <c r="CC2392" s="38"/>
      <c r="CD2392" s="38"/>
      <c r="CE2392" s="38"/>
      <c r="CF2392" s="38"/>
      <c r="CG2392" s="38"/>
      <c r="CH2392" s="38"/>
      <c r="CI2392" s="38"/>
      <c r="CJ2392" s="38"/>
      <c r="CK2392" s="38"/>
      <c r="CL2392" s="38"/>
      <c r="CM2392" s="38"/>
      <c r="CN2392" s="38"/>
      <c r="CO2392" s="38"/>
      <c r="CP2392" s="38"/>
      <c r="CQ2392" s="38"/>
      <c r="CR2392" s="38"/>
      <c r="CS2392" s="38"/>
      <c r="CT2392" s="38"/>
      <c r="CU2392" s="38"/>
      <c r="CV2392" s="38"/>
      <c r="CW2392" s="38"/>
      <c r="CX2392" s="38"/>
      <c r="CY2392" s="38"/>
      <c r="CZ2392" s="38"/>
      <c r="DA2392" s="38"/>
      <c r="DB2392" s="38"/>
      <c r="DC2392" s="38"/>
      <c r="DD2392" s="38"/>
      <c r="DE2392" s="38"/>
      <c r="DF2392" s="38"/>
      <c r="DG2392" s="38"/>
      <c r="DH2392" s="38"/>
      <c r="DI2392" s="38"/>
      <c r="DJ2392" s="38"/>
      <c r="DK2392" s="38"/>
      <c r="DL2392" s="38"/>
      <c r="DM2392" s="38"/>
      <c r="DN2392" s="38"/>
      <c r="DO2392" s="38"/>
      <c r="DP2392" s="38"/>
      <c r="DQ2392" s="38"/>
      <c r="DR2392" s="38"/>
      <c r="DS2392" s="38"/>
      <c r="DT2392" s="38"/>
      <c r="DU2392" s="38"/>
      <c r="DV2392" s="38"/>
      <c r="DW2392" s="38"/>
      <c r="DX2392" s="38"/>
      <c r="DY2392" s="38"/>
      <c r="DZ2392" s="38"/>
      <c r="EA2392" s="38"/>
      <c r="EB2392" s="38"/>
      <c r="EC2392" s="38"/>
      <c r="ED2392" s="38"/>
      <c r="EE2392" s="38"/>
      <c r="EF2392" s="38"/>
      <c r="EG2392" s="38"/>
      <c r="EH2392" s="38"/>
      <c r="EI2392" s="38"/>
      <c r="EJ2392" s="38"/>
      <c r="EK2392" s="38"/>
      <c r="EL2392" s="38"/>
      <c r="EM2392" s="38"/>
      <c r="EN2392" s="38"/>
      <c r="EO2392" s="38"/>
      <c r="EP2392" s="38"/>
      <c r="EQ2392" s="38"/>
      <c r="ER2392" s="38"/>
      <c r="ES2392" s="38"/>
      <c r="ET2392" s="38"/>
      <c r="EU2392" s="38"/>
      <c r="EV2392" s="38"/>
      <c r="EW2392" s="38"/>
      <c r="EX2392" s="38"/>
      <c r="EY2392" s="38"/>
      <c r="EZ2392" s="38"/>
      <c r="FA2392" s="38"/>
      <c r="FB2392" s="38"/>
      <c r="FC2392" s="38"/>
      <c r="FD2392" s="38"/>
      <c r="FE2392" s="38"/>
      <c r="FF2392" s="38"/>
      <c r="FG2392" s="38"/>
      <c r="FH2392" s="38"/>
      <c r="FI2392" s="38"/>
      <c r="FJ2392" s="38"/>
      <c r="FK2392" s="38"/>
      <c r="FL2392" s="38"/>
      <c r="FM2392" s="38"/>
      <c r="FN2392" s="38"/>
      <c r="FO2392" s="38"/>
      <c r="FP2392" s="38"/>
      <c r="FQ2392" s="38"/>
      <c r="FR2392" s="38"/>
      <c r="FS2392" s="38"/>
      <c r="FT2392" s="38"/>
      <c r="FU2392" s="38"/>
      <c r="FV2392" s="38"/>
      <c r="FW2392" s="38"/>
      <c r="FX2392" s="38"/>
      <c r="FY2392" s="38"/>
      <c r="FZ2392" s="38"/>
      <c r="GA2392" s="38"/>
      <c r="GB2392" s="38"/>
      <c r="GC2392" s="38"/>
      <c r="GD2392" s="38"/>
      <c r="GE2392" s="38"/>
      <c r="GF2392" s="38"/>
      <c r="GG2392" s="38"/>
      <c r="GH2392" s="38"/>
      <c r="GI2392" s="38"/>
      <c r="GJ2392" s="38"/>
      <c r="GK2392" s="38"/>
      <c r="GL2392" s="38"/>
      <c r="GM2392" s="38"/>
      <c r="GN2392" s="38"/>
      <c r="GO2392" s="38"/>
      <c r="GP2392" s="38"/>
      <c r="GQ2392" s="38"/>
      <c r="GR2392" s="38"/>
      <c r="GS2392" s="38"/>
      <c r="GT2392" s="38"/>
      <c r="GU2392" s="38"/>
      <c r="GV2392" s="38"/>
      <c r="GW2392" s="38"/>
      <c r="GX2392" s="38"/>
      <c r="GY2392" s="38"/>
      <c r="GZ2392" s="38"/>
      <c r="HA2392" s="38"/>
      <c r="HB2392" s="38"/>
      <c r="HC2392" s="38"/>
      <c r="HD2392" s="38"/>
      <c r="HE2392" s="38"/>
      <c r="HF2392" s="38"/>
      <c r="HG2392" s="38"/>
      <c r="HH2392" s="38"/>
      <c r="HI2392" s="38"/>
      <c r="HJ2392" s="38"/>
      <c r="HK2392" s="38"/>
      <c r="HL2392" s="38"/>
      <c r="HM2392" s="38"/>
      <c r="HN2392" s="38"/>
      <c r="HO2392" s="38"/>
      <c r="HP2392" s="38"/>
      <c r="HQ2392" s="38"/>
      <c r="HR2392" s="38"/>
      <c r="HS2392" s="38"/>
      <c r="HT2392" s="38"/>
      <c r="HU2392" s="38"/>
      <c r="HV2392" s="38"/>
      <c r="HW2392" s="38"/>
      <c r="HX2392" s="38"/>
      <c r="HY2392" s="38"/>
      <c r="HZ2392" s="38"/>
      <c r="IA2392" s="38"/>
      <c r="IB2392" s="38"/>
      <c r="IC2392" s="38"/>
      <c r="ID2392" s="38"/>
      <c r="IE2392" s="38"/>
      <c r="IF2392" s="38"/>
      <c r="IG2392" s="38"/>
      <c r="IH2392" s="38"/>
      <c r="II2392" s="38"/>
      <c r="IJ2392" s="38"/>
      <c r="IK2392" s="38"/>
      <c r="IL2392" s="38"/>
      <c r="IM2392" s="38"/>
      <c r="IN2392" s="38"/>
      <c r="IO2392" s="38"/>
      <c r="IP2392" s="38"/>
      <c r="IQ2392" s="38"/>
      <c r="IR2392" s="38"/>
      <c r="IS2392" s="38"/>
      <c r="IT2392" s="38"/>
      <c r="IU2392" s="38"/>
      <c r="IV2392" s="38"/>
      <c r="IW2392" s="38"/>
      <c r="IX2392" s="38"/>
      <c r="IY2392" s="38"/>
      <c r="IZ2392" s="38"/>
      <c r="JA2392" s="38"/>
      <c r="JB2392" s="38"/>
      <c r="JC2392" s="38"/>
      <c r="JD2392" s="38"/>
      <c r="JE2392" s="38"/>
      <c r="JF2392" s="38"/>
      <c r="JG2392" s="38"/>
      <c r="JH2392" s="38"/>
      <c r="JI2392" s="38"/>
      <c r="JJ2392" s="38"/>
      <c r="JK2392" s="38"/>
      <c r="JL2392" s="38"/>
      <c r="JM2392" s="38"/>
      <c r="JN2392" s="38"/>
      <c r="JO2392" s="38"/>
      <c r="JP2392" s="38"/>
      <c r="JQ2392" s="38"/>
      <c r="JR2392" s="38"/>
      <c r="JS2392" s="38"/>
      <c r="JT2392" s="38"/>
      <c r="JU2392" s="38"/>
      <c r="JV2392" s="38"/>
      <c r="JW2392" s="38"/>
      <c r="JX2392" s="38"/>
      <c r="JY2392" s="38"/>
      <c r="JZ2392" s="38"/>
      <c r="KA2392" s="38"/>
      <c r="KB2392" s="38"/>
      <c r="KC2392" s="38"/>
      <c r="KD2392" s="38"/>
      <c r="KE2392" s="38"/>
      <c r="KF2392" s="38"/>
      <c r="KG2392" s="38"/>
      <c r="KH2392" s="38"/>
      <c r="KI2392" s="38"/>
      <c r="KJ2392" s="38"/>
      <c r="KK2392" s="38"/>
      <c r="KL2392" s="38"/>
      <c r="KM2392" s="38"/>
      <c r="KN2392" s="38"/>
      <c r="KO2392" s="38"/>
      <c r="KP2392" s="38"/>
      <c r="KQ2392" s="38"/>
      <c r="KR2392" s="38"/>
      <c r="KS2392" s="38"/>
      <c r="KT2392" s="38"/>
      <c r="KU2392" s="38"/>
      <c r="KV2392" s="38"/>
      <c r="KW2392" s="38"/>
      <c r="KX2392" s="38"/>
      <c r="KY2392" s="38"/>
      <c r="KZ2392" s="38"/>
      <c r="LA2392" s="38"/>
      <c r="LB2392" s="38"/>
      <c r="LC2392" s="38"/>
      <c r="LD2392" s="38"/>
      <c r="LE2392" s="38"/>
      <c r="LF2392" s="38"/>
      <c r="LG2392" s="38"/>
      <c r="LH2392" s="38"/>
      <c r="LI2392" s="38"/>
      <c r="LJ2392" s="38"/>
      <c r="LK2392" s="38"/>
      <c r="LL2392" s="38"/>
      <c r="LM2392" s="38"/>
      <c r="LN2392" s="38"/>
      <c r="LO2392" s="38"/>
      <c r="LP2392" s="38"/>
      <c r="LQ2392" s="38"/>
      <c r="LR2392" s="38"/>
      <c r="LS2392" s="38"/>
      <c r="LT2392" s="38"/>
      <c r="LU2392" s="38"/>
      <c r="LV2392" s="38"/>
      <c r="LW2392" s="38"/>
      <c r="LX2392" s="38"/>
      <c r="LY2392" s="38"/>
      <c r="LZ2392" s="38"/>
      <c r="MA2392" s="38"/>
      <c r="MB2392" s="38"/>
      <c r="MC2392" s="38"/>
      <c r="MD2392" s="38"/>
      <c r="ME2392" s="38"/>
      <c r="MF2392" s="38"/>
      <c r="MG2392" s="38"/>
      <c r="MH2392" s="38"/>
      <c r="MI2392" s="38"/>
      <c r="MJ2392" s="38"/>
      <c r="MK2392" s="38"/>
      <c r="ML2392" s="38"/>
      <c r="MM2392" s="38"/>
      <c r="MN2392" s="38"/>
      <c r="MO2392" s="38"/>
      <c r="MP2392" s="38"/>
      <c r="MQ2392" s="38"/>
      <c r="MR2392" s="38"/>
      <c r="MS2392" s="38"/>
      <c r="MT2392" s="38"/>
      <c r="MU2392" s="38"/>
      <c r="MV2392" s="38"/>
      <c r="MW2392" s="38"/>
      <c r="MX2392" s="38"/>
      <c r="MY2392" s="38"/>
      <c r="MZ2392" s="38"/>
      <c r="NA2392" s="38"/>
      <c r="NB2392" s="38"/>
      <c r="NC2392" s="38"/>
      <c r="ND2392" s="38"/>
      <c r="NE2392" s="38"/>
      <c r="NF2392" s="38"/>
      <c r="NG2392" s="38"/>
      <c r="NH2392" s="38"/>
      <c r="NI2392" s="38"/>
      <c r="NJ2392" s="38"/>
      <c r="NK2392" s="38"/>
      <c r="NL2392" s="38"/>
      <c r="NM2392" s="38"/>
      <c r="NN2392" s="38"/>
      <c r="NO2392" s="38"/>
      <c r="NP2392" s="38"/>
      <c r="NQ2392" s="38"/>
      <c r="NR2392" s="38"/>
      <c r="NS2392" s="38"/>
      <c r="NT2392" s="38"/>
      <c r="NU2392" s="38"/>
      <c r="NV2392" s="38"/>
      <c r="NW2392" s="38"/>
      <c r="NX2392" s="38"/>
      <c r="NY2392" s="38"/>
      <c r="NZ2392" s="38"/>
      <c r="OA2392" s="38"/>
      <c r="OB2392" s="38"/>
      <c r="OC2392" s="38"/>
      <c r="OD2392" s="38"/>
      <c r="OE2392" s="38"/>
      <c r="OF2392" s="38"/>
      <c r="OG2392" s="38"/>
      <c r="OH2392" s="38"/>
      <c r="OI2392" s="38"/>
      <c r="OJ2392" s="38"/>
      <c r="OK2392" s="38"/>
      <c r="OL2392" s="38"/>
      <c r="OM2392" s="38"/>
      <c r="ON2392" s="38"/>
      <c r="OO2392" s="38"/>
      <c r="OP2392" s="38"/>
      <c r="OQ2392" s="38"/>
      <c r="OR2392" s="38"/>
      <c r="OS2392" s="38"/>
      <c r="OT2392" s="38"/>
      <c r="OU2392" s="38"/>
      <c r="OV2392" s="38"/>
      <c r="OW2392" s="38"/>
      <c r="OX2392" s="38"/>
      <c r="OY2392" s="38"/>
      <c r="OZ2392" s="38"/>
      <c r="PA2392" s="38"/>
      <c r="PB2392" s="38"/>
      <c r="PC2392" s="38"/>
      <c r="PD2392" s="38"/>
      <c r="PE2392" s="38"/>
      <c r="PF2392" s="38"/>
      <c r="PG2392" s="38"/>
      <c r="PH2392" s="38"/>
      <c r="PI2392" s="38"/>
      <c r="PJ2392" s="38"/>
      <c r="PK2392" s="38"/>
      <c r="PL2392" s="38"/>
      <c r="PM2392" s="38"/>
      <c r="PN2392" s="38"/>
      <c r="PO2392" s="38"/>
      <c r="PP2392" s="38"/>
      <c r="PQ2392" s="38"/>
      <c r="PR2392" s="38"/>
      <c r="PS2392" s="38"/>
      <c r="PT2392" s="38"/>
      <c r="PU2392" s="38"/>
      <c r="PV2392" s="38"/>
      <c r="PW2392" s="38"/>
      <c r="PX2392" s="38"/>
      <c r="PY2392" s="38"/>
      <c r="PZ2392" s="38"/>
      <c r="QA2392" s="38"/>
      <c r="QB2392" s="38"/>
      <c r="QC2392" s="38"/>
      <c r="QD2392" s="38"/>
      <c r="QE2392" s="38"/>
      <c r="QF2392" s="38"/>
      <c r="QG2392" s="38"/>
      <c r="QH2392" s="38"/>
      <c r="QI2392" s="38"/>
      <c r="QJ2392" s="38"/>
      <c r="QK2392" s="38"/>
      <c r="QL2392" s="38"/>
      <c r="QM2392" s="38"/>
      <c r="QN2392" s="38"/>
      <c r="QO2392" s="38"/>
      <c r="QP2392" s="38"/>
      <c r="QQ2392" s="38"/>
      <c r="QR2392" s="38"/>
      <c r="QS2392" s="38"/>
      <c r="QT2392" s="38"/>
      <c r="QU2392" s="38"/>
      <c r="QV2392" s="38"/>
      <c r="QW2392" s="38"/>
      <c r="QX2392" s="38"/>
      <c r="QY2392" s="38"/>
      <c r="QZ2392" s="38"/>
      <c r="RA2392" s="38"/>
      <c r="RB2392" s="38"/>
      <c r="RC2392" s="38"/>
      <c r="RD2392" s="38"/>
      <c r="RE2392" s="38"/>
      <c r="RF2392" s="38"/>
      <c r="RG2392" s="38"/>
      <c r="RH2392" s="38"/>
      <c r="RI2392" s="38"/>
      <c r="RJ2392" s="38"/>
      <c r="RK2392" s="38"/>
      <c r="RL2392" s="38"/>
      <c r="RM2392" s="38"/>
      <c r="RN2392" s="38"/>
      <c r="RO2392" s="38"/>
      <c r="RP2392" s="38"/>
      <c r="RQ2392" s="38"/>
      <c r="RR2392" s="38"/>
      <c r="RS2392" s="38"/>
      <c r="RT2392" s="38"/>
      <c r="RU2392" s="38"/>
      <c r="RV2392" s="38"/>
      <c r="RW2392" s="38"/>
      <c r="RX2392" s="38"/>
      <c r="RY2392" s="38"/>
      <c r="RZ2392" s="38"/>
      <c r="SA2392" s="38"/>
      <c r="SB2392" s="38"/>
      <c r="SC2392" s="38"/>
      <c r="SD2392" s="38"/>
      <c r="SE2392" s="38"/>
      <c r="SF2392" s="38"/>
      <c r="SG2392" s="38"/>
      <c r="SH2392" s="38"/>
      <c r="SI2392" s="38"/>
      <c r="SJ2392" s="38"/>
      <c r="SK2392" s="38"/>
      <c r="SL2392" s="38"/>
      <c r="SM2392" s="38"/>
      <c r="SN2392" s="38"/>
      <c r="SO2392" s="38"/>
      <c r="SP2392" s="38"/>
      <c r="SQ2392" s="38"/>
      <c r="SR2392" s="38"/>
      <c r="SS2392" s="38"/>
      <c r="ST2392" s="38"/>
      <c r="SU2392" s="38"/>
      <c r="SV2392" s="38"/>
      <c r="SW2392" s="38"/>
      <c r="SX2392" s="38"/>
      <c r="SY2392" s="38"/>
      <c r="SZ2392" s="38"/>
      <c r="TA2392" s="38"/>
      <c r="TB2392" s="38"/>
      <c r="TC2392" s="38"/>
      <c r="TD2392" s="38"/>
      <c r="TE2392" s="38"/>
      <c r="TF2392" s="38"/>
      <c r="TG2392" s="38"/>
      <c r="TH2392" s="38"/>
      <c r="TI2392" s="38"/>
      <c r="TJ2392" s="38"/>
      <c r="TK2392" s="38"/>
      <c r="TL2392" s="38"/>
      <c r="TM2392" s="38"/>
      <c r="TN2392" s="38"/>
      <c r="TO2392" s="38"/>
      <c r="TP2392" s="38"/>
      <c r="TQ2392" s="38"/>
      <c r="TR2392" s="38"/>
      <c r="TS2392" s="38"/>
      <c r="TT2392" s="38"/>
      <c r="TU2392" s="38"/>
      <c r="TV2392" s="38"/>
      <c r="TW2392" s="38"/>
      <c r="TX2392" s="38"/>
      <c r="TY2392" s="38"/>
      <c r="TZ2392" s="38"/>
      <c r="UA2392" s="38"/>
      <c r="UB2392" s="38"/>
      <c r="UC2392" s="38"/>
      <c r="UD2392" s="38"/>
      <c r="UE2392" s="38"/>
      <c r="UF2392" s="38"/>
      <c r="UG2392" s="38"/>
      <c r="UH2392" s="38"/>
      <c r="UI2392" s="38"/>
      <c r="UJ2392" s="38"/>
      <c r="UK2392" s="38"/>
      <c r="UL2392" s="38"/>
      <c r="UM2392" s="38"/>
      <c r="UN2392" s="38"/>
      <c r="UO2392" s="38"/>
      <c r="UP2392" s="38"/>
      <c r="UQ2392" s="38"/>
      <c r="UR2392" s="38"/>
      <c r="US2392" s="38"/>
      <c r="UT2392" s="38"/>
      <c r="UU2392" s="38"/>
      <c r="UV2392" s="38"/>
      <c r="UW2392" s="38"/>
      <c r="UX2392" s="38"/>
      <c r="UY2392" s="38"/>
      <c r="UZ2392" s="38"/>
      <c r="VA2392" s="38"/>
      <c r="VB2392" s="38"/>
      <c r="VC2392" s="38"/>
      <c r="VD2392" s="38"/>
      <c r="VE2392" s="38"/>
      <c r="VF2392" s="38"/>
      <c r="VG2392" s="38"/>
      <c r="VH2392" s="38"/>
      <c r="VI2392" s="38"/>
      <c r="VJ2392" s="38"/>
      <c r="VK2392" s="38"/>
      <c r="VL2392" s="38"/>
      <c r="VM2392" s="38"/>
      <c r="VN2392" s="38"/>
      <c r="VO2392" s="38"/>
      <c r="VP2392" s="38"/>
      <c r="VQ2392" s="38"/>
      <c r="VR2392" s="38"/>
      <c r="VS2392" s="38"/>
      <c r="VT2392" s="38"/>
      <c r="VU2392" s="38"/>
      <c r="VV2392" s="38"/>
      <c r="VW2392" s="38"/>
      <c r="VX2392" s="38"/>
      <c r="VY2392" s="38"/>
      <c r="VZ2392" s="38"/>
      <c r="WA2392" s="38"/>
      <c r="WB2392" s="38"/>
      <c r="WC2392" s="38"/>
      <c r="WD2392" s="38"/>
      <c r="WE2392" s="38"/>
      <c r="WF2392" s="38"/>
      <c r="WG2392" s="38"/>
      <c r="WH2392" s="38"/>
      <c r="WI2392" s="38"/>
      <c r="WJ2392" s="38"/>
      <c r="WK2392" s="38"/>
      <c r="WL2392" s="38"/>
      <c r="WM2392" s="38"/>
      <c r="WN2392" s="38"/>
      <c r="WO2392" s="38"/>
      <c r="WP2392" s="38"/>
      <c r="WQ2392" s="38"/>
      <c r="WR2392" s="38"/>
      <c r="WS2392" s="38"/>
      <c r="WT2392" s="38"/>
      <c r="WU2392" s="38"/>
      <c r="WV2392" s="38"/>
      <c r="WW2392" s="38"/>
      <c r="WX2392" s="38"/>
      <c r="WY2392" s="38"/>
      <c r="WZ2392" s="38"/>
      <c r="XA2392" s="38"/>
      <c r="XB2392" s="38"/>
      <c r="XC2392" s="38"/>
      <c r="XD2392" s="38"/>
      <c r="XE2392" s="38"/>
      <c r="XF2392" s="38"/>
      <c r="XG2392" s="38"/>
      <c r="XH2392" s="38"/>
      <c r="XI2392" s="38"/>
      <c r="XJ2392" s="38"/>
      <c r="XK2392" s="38"/>
      <c r="XL2392" s="38"/>
      <c r="XM2392" s="38"/>
      <c r="XN2392" s="38"/>
      <c r="XO2392" s="38"/>
      <c r="XP2392" s="38"/>
      <c r="XQ2392" s="38"/>
      <c r="XR2392" s="38"/>
      <c r="XS2392" s="38"/>
      <c r="XT2392" s="38"/>
      <c r="XU2392" s="38"/>
      <c r="XV2392" s="38"/>
      <c r="XW2392" s="38"/>
      <c r="XX2392" s="38"/>
      <c r="XY2392" s="38"/>
      <c r="XZ2392" s="38"/>
      <c r="YA2392" s="38"/>
      <c r="YB2392" s="38"/>
      <c r="YC2392" s="38"/>
      <c r="YD2392" s="38"/>
      <c r="YE2392" s="38"/>
      <c r="YF2392" s="38"/>
      <c r="YG2392" s="38"/>
      <c r="YH2392" s="38"/>
      <c r="YI2392" s="38"/>
      <c r="YJ2392" s="38"/>
      <c r="YK2392" s="38"/>
      <c r="YL2392" s="38"/>
      <c r="YM2392" s="38"/>
      <c r="YN2392" s="38"/>
      <c r="YO2392" s="38"/>
      <c r="YP2392" s="38"/>
      <c r="YQ2392" s="38"/>
      <c r="YR2392" s="38"/>
      <c r="YS2392" s="38"/>
      <c r="YT2392" s="38"/>
      <c r="YU2392" s="38"/>
      <c r="YV2392" s="38"/>
      <c r="YW2392" s="38"/>
      <c r="YX2392" s="38"/>
      <c r="YY2392" s="38"/>
      <c r="YZ2392" s="38"/>
      <c r="ZA2392" s="38"/>
      <c r="ZB2392" s="38"/>
      <c r="ZC2392" s="38"/>
      <c r="ZD2392" s="38"/>
      <c r="ZE2392" s="38"/>
      <c r="ZF2392" s="38"/>
      <c r="ZG2392" s="38"/>
      <c r="ZH2392" s="38"/>
      <c r="ZI2392" s="38"/>
      <c r="ZJ2392" s="38"/>
      <c r="ZK2392" s="38"/>
      <c r="ZL2392" s="38"/>
      <c r="ZM2392" s="38"/>
      <c r="ZN2392" s="38"/>
      <c r="ZO2392" s="38"/>
      <c r="ZP2392" s="38"/>
      <c r="ZQ2392" s="38"/>
      <c r="ZR2392" s="38"/>
      <c r="ZS2392" s="38"/>
      <c r="ZT2392" s="38"/>
      <c r="ZU2392" s="38"/>
      <c r="ZV2392" s="38"/>
      <c r="ZW2392" s="38"/>
      <c r="ZX2392" s="38"/>
      <c r="ZY2392" s="38"/>
      <c r="ZZ2392" s="38"/>
      <c r="AAA2392" s="38"/>
      <c r="AAB2392" s="38"/>
      <c r="AAC2392" s="38"/>
      <c r="AAD2392" s="38"/>
      <c r="AAE2392" s="38"/>
      <c r="AAF2392" s="38"/>
      <c r="AAG2392" s="38"/>
      <c r="AAH2392" s="38"/>
      <c r="AAI2392" s="38"/>
      <c r="AAJ2392" s="38"/>
      <c r="AAK2392" s="38"/>
      <c r="AAL2392" s="38"/>
      <c r="AAM2392" s="38"/>
      <c r="AAN2392" s="38"/>
      <c r="AAO2392" s="38"/>
      <c r="AAP2392" s="38"/>
      <c r="AAQ2392" s="38"/>
      <c r="AAR2392" s="38"/>
      <c r="AAS2392" s="38"/>
      <c r="AAT2392" s="38"/>
      <c r="AAU2392" s="38"/>
      <c r="AAV2392" s="38"/>
      <c r="AAW2392" s="38"/>
      <c r="AAX2392" s="38"/>
      <c r="AAY2392" s="38"/>
      <c r="AAZ2392" s="38"/>
      <c r="ABA2392" s="38"/>
      <c r="ABB2392" s="38"/>
      <c r="ABC2392" s="38"/>
      <c r="ABD2392" s="38"/>
      <c r="ABE2392" s="38"/>
      <c r="ABF2392" s="38"/>
      <c r="ABG2392" s="38"/>
      <c r="ABH2392" s="38"/>
      <c r="ABI2392" s="38"/>
      <c r="ABJ2392" s="38"/>
      <c r="ABK2392" s="38"/>
      <c r="ABL2392" s="38"/>
      <c r="ABM2392" s="38"/>
      <c r="ABN2392" s="38"/>
      <c r="ABO2392" s="38"/>
      <c r="ABP2392" s="38"/>
      <c r="ABQ2392" s="38"/>
      <c r="ABR2392" s="38"/>
      <c r="ABS2392" s="38"/>
      <c r="ABT2392" s="38"/>
      <c r="ABU2392" s="38"/>
      <c r="ABV2392" s="38"/>
      <c r="ABW2392" s="38"/>
      <c r="ABX2392" s="38"/>
      <c r="ABY2392" s="38"/>
      <c r="ABZ2392" s="38"/>
      <c r="ACA2392" s="38"/>
      <c r="ACB2392" s="38"/>
      <c r="ACC2392" s="38"/>
      <c r="ACD2392" s="38"/>
      <c r="ACE2392" s="38"/>
      <c r="ACF2392" s="38"/>
      <c r="ACG2392" s="38"/>
      <c r="ACH2392" s="38"/>
      <c r="ACI2392" s="38"/>
      <c r="ACJ2392" s="38"/>
      <c r="ACK2392" s="38"/>
      <c r="ACL2392" s="38"/>
      <c r="ACM2392" s="38"/>
      <c r="ACN2392" s="38"/>
      <c r="ACO2392" s="38"/>
      <c r="ACP2392" s="38"/>
      <c r="ACQ2392" s="38"/>
      <c r="ACR2392" s="38"/>
      <c r="ACS2392" s="38"/>
      <c r="ACT2392" s="38"/>
      <c r="ACU2392" s="38"/>
      <c r="ACV2392" s="38"/>
      <c r="ACW2392" s="38"/>
      <c r="ACX2392" s="38"/>
      <c r="ACY2392" s="38"/>
      <c r="ACZ2392" s="38"/>
      <c r="ADA2392" s="38"/>
      <c r="ADB2392" s="38"/>
      <c r="ADC2392" s="38"/>
      <c r="ADD2392" s="38"/>
      <c r="ADE2392" s="38"/>
      <c r="ADF2392" s="38"/>
      <c r="ADG2392" s="38"/>
      <c r="ADH2392" s="38"/>
      <c r="ADI2392" s="38"/>
      <c r="ADJ2392" s="38"/>
      <c r="ADK2392" s="38"/>
      <c r="ADL2392" s="38"/>
      <c r="ADM2392" s="38"/>
      <c r="ADN2392" s="38"/>
      <c r="ADO2392" s="38"/>
      <c r="ADP2392" s="38"/>
      <c r="ADQ2392" s="38"/>
      <c r="ADR2392" s="38"/>
      <c r="ADS2392" s="38"/>
      <c r="ADT2392" s="38"/>
      <c r="ADU2392" s="38"/>
      <c r="ADV2392" s="38"/>
      <c r="ADW2392" s="38"/>
      <c r="ADX2392" s="38"/>
      <c r="ADY2392" s="38"/>
      <c r="ADZ2392" s="38"/>
      <c r="AEA2392" s="38"/>
      <c r="AEB2392" s="38"/>
      <c r="AEC2392" s="38"/>
      <c r="AED2392" s="38"/>
      <c r="AEE2392" s="38"/>
      <c r="AEF2392" s="38"/>
      <c r="AEG2392" s="38"/>
      <c r="AEH2392" s="38"/>
      <c r="AEI2392" s="38"/>
      <c r="AEJ2392" s="38"/>
      <c r="AEK2392" s="38"/>
      <c r="AEL2392" s="38"/>
      <c r="AEM2392" s="38"/>
      <c r="AEN2392" s="38"/>
      <c r="AEO2392" s="38"/>
      <c r="AEP2392" s="38"/>
      <c r="AEQ2392" s="38"/>
      <c r="AER2392" s="38"/>
      <c r="AES2392" s="38"/>
      <c r="AET2392" s="38"/>
      <c r="AEU2392" s="38"/>
      <c r="AEV2392" s="38"/>
      <c r="AEW2392" s="38"/>
      <c r="AEX2392" s="38"/>
      <c r="AEY2392" s="38"/>
      <c r="AEZ2392" s="38"/>
      <c r="AFA2392" s="38"/>
      <c r="AFB2392" s="38"/>
      <c r="AFC2392" s="38"/>
      <c r="AFD2392" s="38"/>
      <c r="AFE2392" s="38"/>
      <c r="AFF2392" s="38"/>
      <c r="AFG2392" s="38"/>
      <c r="AFH2392" s="38"/>
      <c r="AFI2392" s="38"/>
      <c r="AFJ2392" s="38"/>
      <c r="AFK2392" s="38"/>
      <c r="AFL2392" s="38"/>
      <c r="AFM2392" s="38"/>
      <c r="AFN2392" s="38"/>
      <c r="AFO2392" s="38"/>
      <c r="AFP2392" s="38"/>
      <c r="AFQ2392" s="38"/>
      <c r="AFR2392" s="38"/>
      <c r="AFS2392" s="38"/>
      <c r="AFT2392" s="38"/>
      <c r="AFU2392" s="38"/>
      <c r="AFV2392" s="38"/>
      <c r="AFW2392" s="38"/>
      <c r="AFX2392" s="38"/>
      <c r="AFY2392" s="38"/>
      <c r="AFZ2392" s="38"/>
      <c r="AGA2392" s="38"/>
      <c r="AGB2392" s="38"/>
      <c r="AGC2392" s="38"/>
      <c r="AGD2392" s="38"/>
      <c r="AGE2392" s="38"/>
      <c r="AGF2392" s="38"/>
      <c r="AGG2392" s="38"/>
      <c r="AGH2392" s="38"/>
      <c r="AGI2392" s="38"/>
      <c r="AGJ2392" s="38"/>
      <c r="AGK2392" s="38"/>
      <c r="AGL2392" s="38"/>
      <c r="AGM2392" s="38"/>
      <c r="AGN2392" s="38"/>
      <c r="AGO2392" s="38"/>
      <c r="AGP2392" s="38"/>
      <c r="AGQ2392" s="38"/>
      <c r="AGR2392" s="38"/>
      <c r="AGS2392" s="38"/>
      <c r="AGT2392" s="38"/>
      <c r="AGU2392" s="38"/>
      <c r="AGV2392" s="38"/>
      <c r="AGW2392" s="38"/>
      <c r="AGX2392" s="38"/>
      <c r="AGY2392" s="38"/>
      <c r="AGZ2392" s="38"/>
      <c r="AHA2392" s="38"/>
      <c r="AHB2392" s="38"/>
      <c r="AHC2392" s="38"/>
      <c r="AHD2392" s="38"/>
      <c r="AHE2392" s="38"/>
      <c r="AHF2392" s="38"/>
      <c r="AHG2392" s="38"/>
      <c r="AHH2392" s="38"/>
      <c r="AHI2392" s="38"/>
      <c r="AHJ2392" s="38"/>
      <c r="AHK2392" s="38"/>
      <c r="AHL2392" s="38"/>
      <c r="AHM2392" s="38"/>
      <c r="AHN2392" s="38"/>
      <c r="AHO2392" s="38"/>
      <c r="AHP2392" s="38"/>
      <c r="AHQ2392" s="38"/>
      <c r="AHR2392" s="38"/>
      <c r="AHS2392" s="38"/>
      <c r="AHT2392" s="38"/>
      <c r="AHU2392" s="38"/>
      <c r="AHV2392" s="38"/>
      <c r="AHW2392" s="38"/>
      <c r="AHX2392" s="38"/>
      <c r="AHY2392" s="38"/>
      <c r="AHZ2392" s="38"/>
      <c r="AIA2392" s="38"/>
      <c r="AIB2392" s="38"/>
      <c r="AIC2392" s="38"/>
      <c r="AID2392" s="38"/>
      <c r="AIE2392" s="38"/>
      <c r="AIF2392" s="38"/>
      <c r="AIG2392" s="38"/>
      <c r="AIH2392" s="38"/>
      <c r="AII2392" s="38"/>
      <c r="AIJ2392" s="38"/>
      <c r="AIK2392" s="38"/>
      <c r="AIL2392" s="38"/>
      <c r="AIM2392" s="38"/>
      <c r="AIN2392" s="38"/>
      <c r="AIO2392" s="38"/>
      <c r="AIP2392" s="38"/>
      <c r="AIQ2392" s="38"/>
      <c r="AIR2392" s="38"/>
      <c r="AIS2392" s="38"/>
      <c r="AIT2392" s="38"/>
      <c r="AIU2392" s="38"/>
      <c r="AIV2392" s="38"/>
      <c r="AIW2392" s="38"/>
      <c r="AIX2392" s="38"/>
      <c r="AIY2392" s="38"/>
      <c r="AIZ2392" s="38"/>
      <c r="AJA2392" s="38"/>
      <c r="AJB2392" s="38"/>
      <c r="AJC2392" s="38"/>
      <c r="AJD2392" s="38"/>
      <c r="AJE2392" s="38"/>
      <c r="AJF2392" s="38"/>
      <c r="AJG2392" s="38"/>
      <c r="AJH2392" s="38"/>
      <c r="AJI2392" s="38"/>
      <c r="AJJ2392" s="38"/>
      <c r="AJK2392" s="38"/>
      <c r="AJL2392" s="38"/>
      <c r="AJM2392" s="38"/>
      <c r="AJN2392" s="38"/>
      <c r="AJO2392" s="38"/>
      <c r="AJP2392" s="38"/>
      <c r="AJQ2392" s="38"/>
      <c r="AJR2392" s="38"/>
      <c r="AJS2392" s="38"/>
      <c r="AJT2392" s="38"/>
      <c r="AJU2392" s="38"/>
      <c r="AJV2392" s="38"/>
      <c r="AJW2392" s="38"/>
      <c r="AJX2392" s="38"/>
      <c r="AJY2392" s="38"/>
      <c r="AJZ2392" s="38"/>
      <c r="AKA2392" s="38"/>
      <c r="AKB2392" s="38"/>
      <c r="AKC2392" s="38"/>
      <c r="AKD2392" s="38"/>
      <c r="AKE2392" s="38"/>
      <c r="AKF2392" s="38"/>
      <c r="AKG2392" s="38"/>
      <c r="AKH2392" s="38"/>
      <c r="AKI2392" s="38"/>
      <c r="AKJ2392" s="38"/>
      <c r="AKK2392" s="38"/>
      <c r="AKL2392" s="38"/>
      <c r="AKM2392" s="38"/>
      <c r="AKN2392" s="38"/>
      <c r="AKO2392" s="38"/>
      <c r="AKP2392" s="38"/>
      <c r="AKQ2392" s="38"/>
      <c r="AKR2392" s="38"/>
      <c r="AKS2392" s="38"/>
      <c r="AKT2392" s="38"/>
      <c r="AKU2392" s="38"/>
      <c r="AKV2392" s="38"/>
      <c r="AKW2392" s="38"/>
      <c r="AKX2392" s="38"/>
      <c r="AKY2392" s="38"/>
      <c r="AKZ2392" s="38"/>
      <c r="ALA2392" s="38"/>
      <c r="ALB2392" s="38"/>
      <c r="ALC2392" s="38"/>
      <c r="ALD2392" s="38"/>
      <c r="ALE2392" s="38"/>
      <c r="ALF2392" s="38"/>
      <c r="ALG2392" s="38"/>
      <c r="ALH2392" s="38"/>
      <c r="ALI2392" s="38"/>
      <c r="ALJ2392" s="38"/>
      <c r="ALK2392" s="38"/>
      <c r="ALL2392" s="38"/>
      <c r="ALM2392" s="38"/>
      <c r="ALN2392" s="38"/>
      <c r="ALO2392" s="38"/>
      <c r="ALP2392" s="38"/>
      <c r="ALQ2392" s="38"/>
      <c r="ALR2392" s="38"/>
      <c r="ALS2392" s="38"/>
      <c r="ALT2392" s="38"/>
      <c r="ALU2392" s="38"/>
      <c r="ALV2392" s="38"/>
      <c r="ALW2392" s="38"/>
      <c r="ALX2392" s="38"/>
      <c r="ALY2392" s="38"/>
      <c r="ALZ2392" s="38"/>
      <c r="AMA2392" s="38"/>
      <c r="AMB2392" s="38"/>
      <c r="AMC2392" s="38"/>
      <c r="AMD2392" s="38"/>
      <c r="AME2392" s="38"/>
      <c r="AMF2392" s="38"/>
      <c r="AMG2392" s="38"/>
      <c r="AMH2392" s="38"/>
      <c r="AMI2392" s="38"/>
      <c r="AMJ2392" s="38"/>
      <c r="AMK2392" s="38"/>
      <c r="AML2392" s="38"/>
      <c r="AMM2392" s="38"/>
      <c r="AMN2392" s="38"/>
      <c r="AMO2392" s="38"/>
      <c r="AMP2392" s="38"/>
      <c r="AMQ2392" s="38"/>
      <c r="AMR2392" s="38"/>
      <c r="AMS2392" s="38"/>
      <c r="AMT2392" s="38"/>
      <c r="AMU2392" s="38"/>
      <c r="AMV2392" s="38"/>
      <c r="AMW2392" s="38"/>
      <c r="AMX2392" s="38"/>
      <c r="AMY2392" s="38"/>
      <c r="AMZ2392" s="38"/>
      <c r="ANA2392" s="38"/>
      <c r="ANB2392" s="38"/>
      <c r="ANC2392" s="38"/>
      <c r="AND2392" s="38"/>
      <c r="ANE2392" s="38"/>
      <c r="ANF2392" s="38"/>
      <c r="ANG2392" s="38"/>
      <c r="ANH2392" s="38"/>
      <c r="ANI2392" s="38"/>
      <c r="ANJ2392" s="38"/>
      <c r="ANK2392" s="38"/>
      <c r="ANL2392" s="38"/>
      <c r="ANM2392" s="38"/>
      <c r="ANN2392" s="38"/>
      <c r="ANO2392" s="38"/>
      <c r="ANP2392" s="38"/>
      <c r="ANQ2392" s="38"/>
      <c r="ANR2392" s="38"/>
      <c r="ANS2392" s="38"/>
      <c r="ANT2392" s="38"/>
      <c r="ANU2392" s="38"/>
      <c r="ANV2392" s="38"/>
      <c r="ANW2392" s="38"/>
      <c r="ANX2392" s="38"/>
      <c r="ANY2392" s="38"/>
      <c r="ANZ2392" s="38"/>
      <c r="AOA2392" s="38"/>
      <c r="AOB2392" s="38"/>
      <c r="AOC2392" s="38"/>
      <c r="AOD2392" s="38"/>
      <c r="AOE2392" s="38"/>
      <c r="AOF2392" s="38"/>
      <c r="AOG2392" s="38"/>
      <c r="AOH2392" s="38"/>
      <c r="AOI2392" s="38"/>
      <c r="AOJ2392" s="38"/>
      <c r="AOK2392" s="38"/>
      <c r="AOL2392" s="38"/>
      <c r="AOM2392" s="38"/>
      <c r="AON2392" s="38"/>
      <c r="AOO2392" s="38"/>
      <c r="AOP2392" s="38"/>
      <c r="AOQ2392" s="38"/>
      <c r="AOR2392" s="38"/>
      <c r="AOS2392" s="38"/>
      <c r="AOT2392" s="38"/>
      <c r="AOU2392" s="38"/>
      <c r="AOV2392" s="38"/>
      <c r="AOW2392" s="38"/>
      <c r="AOX2392" s="38"/>
      <c r="AOY2392" s="38"/>
      <c r="AOZ2392" s="38"/>
      <c r="APA2392" s="38"/>
      <c r="APB2392" s="38"/>
      <c r="APC2392" s="38"/>
    </row>
    <row r="2393" spans="1:1095" s="36" customFormat="1" ht="14.25" customHeight="1">
      <c r="A2393" s="3" t="s">
        <v>1722</v>
      </c>
      <c r="B2393" s="36" t="s">
        <v>2982</v>
      </c>
      <c r="C2393" s="10">
        <v>4099854044083</v>
      </c>
      <c r="D2393" s="224">
        <v>4058075594289</v>
      </c>
      <c r="E2393" s="245" t="s">
        <v>1698</v>
      </c>
      <c r="F2393" s="246"/>
      <c r="G2393" s="66" t="str">
        <f>HYPERLINK("https://ledvance.com/pt/product-datasheet/251799/234681","Ficha de Produto")</f>
        <v>Ficha de Produto</v>
      </c>
      <c r="H2393" s="217">
        <v>10</v>
      </c>
      <c r="I2393" s="34" t="s">
        <v>6354</v>
      </c>
      <c r="J2393" s="34" t="s">
        <v>6398</v>
      </c>
      <c r="K2393" s="34" t="s">
        <v>788</v>
      </c>
      <c r="L2393" s="34" t="s">
        <v>765</v>
      </c>
      <c r="M2393" s="247">
        <v>8</v>
      </c>
      <c r="N2393" s="288" t="s">
        <v>722</v>
      </c>
    </row>
    <row r="2394" spans="1:1095" s="39" customFormat="1" ht="14.25" customHeight="1">
      <c r="A2394" s="8" t="s">
        <v>1722</v>
      </c>
      <c r="B2394" s="244" t="s">
        <v>3167</v>
      </c>
      <c r="C2394" s="8"/>
      <c r="D2394" s="7"/>
      <c r="E2394" s="230"/>
      <c r="F2394" s="7"/>
      <c r="G2394" s="68"/>
      <c r="H2394" s="230"/>
      <c r="I2394" s="230"/>
      <c r="J2394" s="230"/>
      <c r="K2394" s="230"/>
      <c r="L2394" s="230"/>
      <c r="M2394" s="248"/>
      <c r="N2394" s="292"/>
      <c r="O2394" s="38"/>
      <c r="P2394" s="38"/>
      <c r="Q2394" s="38"/>
      <c r="R2394" s="38"/>
      <c r="S2394" s="38"/>
      <c r="T2394" s="38"/>
      <c r="U2394" s="38"/>
      <c r="V2394" s="38"/>
      <c r="W2394" s="38"/>
      <c r="X2394" s="38"/>
      <c r="Y2394" s="38"/>
      <c r="Z2394" s="38"/>
      <c r="AA2394" s="38"/>
      <c r="AB2394" s="38"/>
      <c r="AC2394" s="38"/>
      <c r="AD2394" s="38"/>
      <c r="AE2394" s="38"/>
      <c r="AF2394" s="38"/>
      <c r="AG2394" s="38"/>
      <c r="AH2394" s="38"/>
      <c r="AI2394" s="38"/>
      <c r="AJ2394" s="38"/>
      <c r="AK2394" s="38"/>
      <c r="AL2394" s="38"/>
      <c r="AM2394" s="38"/>
      <c r="AN2394" s="38"/>
      <c r="AO2394" s="38"/>
      <c r="AP2394" s="38"/>
      <c r="AQ2394" s="38"/>
      <c r="AR2394" s="38"/>
      <c r="AS2394" s="38"/>
      <c r="AT2394" s="38"/>
      <c r="AU2394" s="38"/>
      <c r="AV2394" s="38"/>
      <c r="AW2394" s="38"/>
      <c r="AX2394" s="38"/>
      <c r="AY2394" s="38"/>
      <c r="AZ2394" s="38"/>
      <c r="BA2394" s="38"/>
      <c r="BB2394" s="38"/>
      <c r="BC2394" s="38"/>
      <c r="BD2394" s="38"/>
      <c r="BE2394" s="38"/>
      <c r="BF2394" s="38"/>
      <c r="BG2394" s="38"/>
      <c r="BH2394" s="38"/>
      <c r="BI2394" s="38"/>
      <c r="BJ2394" s="38"/>
      <c r="BK2394" s="38"/>
      <c r="BL2394" s="38"/>
      <c r="BM2394" s="38"/>
      <c r="BN2394" s="38"/>
      <c r="BO2394" s="38"/>
      <c r="BP2394" s="38"/>
      <c r="BQ2394" s="38"/>
      <c r="BR2394" s="38"/>
      <c r="BS2394" s="38"/>
      <c r="BT2394" s="38"/>
      <c r="BU2394" s="38"/>
      <c r="BV2394" s="38"/>
      <c r="BW2394" s="38"/>
      <c r="BX2394" s="38"/>
      <c r="BY2394" s="38"/>
      <c r="BZ2394" s="38"/>
      <c r="CA2394" s="38"/>
      <c r="CB2394" s="38"/>
      <c r="CC2394" s="38"/>
      <c r="CD2394" s="38"/>
      <c r="CE2394" s="38"/>
      <c r="CF2394" s="38"/>
      <c r="CG2394" s="38"/>
      <c r="CH2394" s="38"/>
      <c r="CI2394" s="38"/>
      <c r="CJ2394" s="38"/>
      <c r="CK2394" s="38"/>
      <c r="CL2394" s="38"/>
      <c r="CM2394" s="38"/>
      <c r="CN2394" s="38"/>
      <c r="CO2394" s="38"/>
      <c r="CP2394" s="38"/>
      <c r="CQ2394" s="38"/>
      <c r="CR2394" s="38"/>
      <c r="CS2394" s="38"/>
      <c r="CT2394" s="38"/>
      <c r="CU2394" s="38"/>
      <c r="CV2394" s="38"/>
      <c r="CW2394" s="38"/>
      <c r="CX2394" s="38"/>
      <c r="CY2394" s="38"/>
      <c r="CZ2394" s="38"/>
      <c r="DA2394" s="38"/>
      <c r="DB2394" s="38"/>
      <c r="DC2394" s="38"/>
      <c r="DD2394" s="38"/>
      <c r="DE2394" s="38"/>
      <c r="DF2394" s="38"/>
      <c r="DG2394" s="38"/>
      <c r="DH2394" s="38"/>
      <c r="DI2394" s="38"/>
      <c r="DJ2394" s="38"/>
      <c r="DK2394" s="38"/>
      <c r="DL2394" s="38"/>
      <c r="DM2394" s="38"/>
      <c r="DN2394" s="38"/>
      <c r="DO2394" s="38"/>
      <c r="DP2394" s="38"/>
      <c r="DQ2394" s="38"/>
      <c r="DR2394" s="38"/>
      <c r="DS2394" s="38"/>
      <c r="DT2394" s="38"/>
      <c r="DU2394" s="38"/>
      <c r="DV2394" s="38"/>
      <c r="DW2394" s="38"/>
      <c r="DX2394" s="38"/>
      <c r="DY2394" s="38"/>
      <c r="DZ2394" s="38"/>
      <c r="EA2394" s="38"/>
      <c r="EB2394" s="38"/>
      <c r="EC2394" s="38"/>
      <c r="ED2394" s="38"/>
      <c r="EE2394" s="38"/>
      <c r="EF2394" s="38"/>
      <c r="EG2394" s="38"/>
      <c r="EH2394" s="38"/>
      <c r="EI2394" s="38"/>
      <c r="EJ2394" s="38"/>
      <c r="EK2394" s="38"/>
      <c r="EL2394" s="38"/>
      <c r="EM2394" s="38"/>
      <c r="EN2394" s="38"/>
      <c r="EO2394" s="38"/>
      <c r="EP2394" s="38"/>
      <c r="EQ2394" s="38"/>
      <c r="ER2394" s="38"/>
      <c r="ES2394" s="38"/>
      <c r="ET2394" s="38"/>
      <c r="EU2394" s="38"/>
      <c r="EV2394" s="38"/>
      <c r="EW2394" s="38"/>
      <c r="EX2394" s="38"/>
      <c r="EY2394" s="38"/>
      <c r="EZ2394" s="38"/>
      <c r="FA2394" s="38"/>
      <c r="FB2394" s="38"/>
      <c r="FC2394" s="38"/>
      <c r="FD2394" s="38"/>
      <c r="FE2394" s="38"/>
      <c r="FF2394" s="38"/>
      <c r="FG2394" s="38"/>
      <c r="FH2394" s="38"/>
      <c r="FI2394" s="38"/>
      <c r="FJ2394" s="38"/>
      <c r="FK2394" s="38"/>
      <c r="FL2394" s="38"/>
      <c r="FM2394" s="38"/>
      <c r="FN2394" s="38"/>
      <c r="FO2394" s="38"/>
      <c r="FP2394" s="38"/>
      <c r="FQ2394" s="38"/>
      <c r="FR2394" s="38"/>
      <c r="FS2394" s="38"/>
      <c r="FT2394" s="38"/>
      <c r="FU2394" s="38"/>
      <c r="FV2394" s="38"/>
      <c r="FW2394" s="38"/>
      <c r="FX2394" s="38"/>
      <c r="FY2394" s="38"/>
      <c r="FZ2394" s="38"/>
      <c r="GA2394" s="38"/>
      <c r="GB2394" s="38"/>
      <c r="GC2394" s="38"/>
      <c r="GD2394" s="38"/>
      <c r="GE2394" s="38"/>
      <c r="GF2394" s="38"/>
      <c r="GG2394" s="38"/>
      <c r="GH2394" s="38"/>
      <c r="GI2394" s="38"/>
      <c r="GJ2394" s="38"/>
      <c r="GK2394" s="38"/>
      <c r="GL2394" s="38"/>
      <c r="GM2394" s="38"/>
      <c r="GN2394" s="38"/>
      <c r="GO2394" s="38"/>
      <c r="GP2394" s="38"/>
      <c r="GQ2394" s="38"/>
      <c r="GR2394" s="38"/>
      <c r="GS2394" s="38"/>
      <c r="GT2394" s="38"/>
      <c r="GU2394" s="38"/>
      <c r="GV2394" s="38"/>
      <c r="GW2394" s="38"/>
      <c r="GX2394" s="38"/>
      <c r="GY2394" s="38"/>
      <c r="GZ2394" s="38"/>
      <c r="HA2394" s="38"/>
      <c r="HB2394" s="38"/>
      <c r="HC2394" s="38"/>
      <c r="HD2394" s="38"/>
      <c r="HE2394" s="38"/>
      <c r="HF2394" s="38"/>
      <c r="HG2394" s="38"/>
      <c r="HH2394" s="38"/>
      <c r="HI2394" s="38"/>
      <c r="HJ2394" s="38"/>
      <c r="HK2394" s="38"/>
      <c r="HL2394" s="38"/>
      <c r="HM2394" s="38"/>
      <c r="HN2394" s="38"/>
      <c r="HO2394" s="38"/>
      <c r="HP2394" s="38"/>
      <c r="HQ2394" s="38"/>
      <c r="HR2394" s="38"/>
      <c r="HS2394" s="38"/>
      <c r="HT2394" s="38"/>
      <c r="HU2394" s="38"/>
      <c r="HV2394" s="38"/>
      <c r="HW2394" s="38"/>
      <c r="HX2394" s="38"/>
      <c r="HY2394" s="38"/>
      <c r="HZ2394" s="38"/>
      <c r="IA2394" s="38"/>
      <c r="IB2394" s="38"/>
      <c r="IC2394" s="38"/>
      <c r="ID2394" s="38"/>
      <c r="IE2394" s="38"/>
      <c r="IF2394" s="38"/>
      <c r="IG2394" s="38"/>
      <c r="IH2394" s="38"/>
      <c r="II2394" s="38"/>
      <c r="IJ2394" s="38"/>
      <c r="IK2394" s="38"/>
      <c r="IL2394" s="38"/>
      <c r="IM2394" s="38"/>
      <c r="IN2394" s="38"/>
      <c r="IO2394" s="38"/>
      <c r="IP2394" s="38"/>
      <c r="IQ2394" s="38"/>
      <c r="IR2394" s="38"/>
      <c r="IS2394" s="38"/>
      <c r="IT2394" s="38"/>
      <c r="IU2394" s="38"/>
      <c r="IV2394" s="38"/>
      <c r="IW2394" s="38"/>
      <c r="IX2394" s="38"/>
      <c r="IY2394" s="38"/>
      <c r="IZ2394" s="38"/>
      <c r="JA2394" s="38"/>
      <c r="JB2394" s="38"/>
      <c r="JC2394" s="38"/>
      <c r="JD2394" s="38"/>
      <c r="JE2394" s="38"/>
      <c r="JF2394" s="38"/>
      <c r="JG2394" s="38"/>
      <c r="JH2394" s="38"/>
      <c r="JI2394" s="38"/>
      <c r="JJ2394" s="38"/>
      <c r="JK2394" s="38"/>
      <c r="JL2394" s="38"/>
      <c r="JM2394" s="38"/>
      <c r="JN2394" s="38"/>
      <c r="JO2394" s="38"/>
      <c r="JP2394" s="38"/>
      <c r="JQ2394" s="38"/>
      <c r="JR2394" s="38"/>
      <c r="JS2394" s="38"/>
      <c r="JT2394" s="38"/>
      <c r="JU2394" s="38"/>
      <c r="JV2394" s="38"/>
      <c r="JW2394" s="38"/>
      <c r="JX2394" s="38"/>
      <c r="JY2394" s="38"/>
      <c r="JZ2394" s="38"/>
      <c r="KA2394" s="38"/>
      <c r="KB2394" s="38"/>
      <c r="KC2394" s="38"/>
      <c r="KD2394" s="38"/>
      <c r="KE2394" s="38"/>
      <c r="KF2394" s="38"/>
      <c r="KG2394" s="38"/>
      <c r="KH2394" s="38"/>
      <c r="KI2394" s="38"/>
      <c r="KJ2394" s="38"/>
      <c r="KK2394" s="38"/>
      <c r="KL2394" s="38"/>
      <c r="KM2394" s="38"/>
      <c r="KN2394" s="38"/>
      <c r="KO2394" s="38"/>
      <c r="KP2394" s="38"/>
      <c r="KQ2394" s="38"/>
      <c r="KR2394" s="38"/>
      <c r="KS2394" s="38"/>
      <c r="KT2394" s="38"/>
      <c r="KU2394" s="38"/>
      <c r="KV2394" s="38"/>
      <c r="KW2394" s="38"/>
      <c r="KX2394" s="38"/>
      <c r="KY2394" s="38"/>
      <c r="KZ2394" s="38"/>
      <c r="LA2394" s="38"/>
      <c r="LB2394" s="38"/>
      <c r="LC2394" s="38"/>
      <c r="LD2394" s="38"/>
      <c r="LE2394" s="38"/>
      <c r="LF2394" s="38"/>
      <c r="LG2394" s="38"/>
      <c r="LH2394" s="38"/>
      <c r="LI2394" s="38"/>
      <c r="LJ2394" s="38"/>
      <c r="LK2394" s="38"/>
      <c r="LL2394" s="38"/>
      <c r="LM2394" s="38"/>
      <c r="LN2394" s="38"/>
      <c r="LO2394" s="38"/>
      <c r="LP2394" s="38"/>
      <c r="LQ2394" s="38"/>
      <c r="LR2394" s="38"/>
      <c r="LS2394" s="38"/>
      <c r="LT2394" s="38"/>
      <c r="LU2394" s="38"/>
      <c r="LV2394" s="38"/>
      <c r="LW2394" s="38"/>
      <c r="LX2394" s="38"/>
      <c r="LY2394" s="38"/>
      <c r="LZ2394" s="38"/>
      <c r="MA2394" s="38"/>
      <c r="MB2394" s="38"/>
      <c r="MC2394" s="38"/>
      <c r="MD2394" s="38"/>
      <c r="ME2394" s="38"/>
      <c r="MF2394" s="38"/>
      <c r="MG2394" s="38"/>
      <c r="MH2394" s="38"/>
      <c r="MI2394" s="38"/>
      <c r="MJ2394" s="38"/>
      <c r="MK2394" s="38"/>
      <c r="ML2394" s="38"/>
      <c r="MM2394" s="38"/>
      <c r="MN2394" s="38"/>
      <c r="MO2394" s="38"/>
      <c r="MP2394" s="38"/>
      <c r="MQ2394" s="38"/>
      <c r="MR2394" s="38"/>
      <c r="MS2394" s="38"/>
      <c r="MT2394" s="38"/>
      <c r="MU2394" s="38"/>
      <c r="MV2394" s="38"/>
      <c r="MW2394" s="38"/>
      <c r="MX2394" s="38"/>
      <c r="MY2394" s="38"/>
      <c r="MZ2394" s="38"/>
      <c r="NA2394" s="38"/>
      <c r="NB2394" s="38"/>
      <c r="NC2394" s="38"/>
      <c r="ND2394" s="38"/>
      <c r="NE2394" s="38"/>
      <c r="NF2394" s="38"/>
      <c r="NG2394" s="38"/>
      <c r="NH2394" s="38"/>
      <c r="NI2394" s="38"/>
      <c r="NJ2394" s="38"/>
      <c r="NK2394" s="38"/>
      <c r="NL2394" s="38"/>
      <c r="NM2394" s="38"/>
      <c r="NN2394" s="38"/>
      <c r="NO2394" s="38"/>
      <c r="NP2394" s="38"/>
      <c r="NQ2394" s="38"/>
      <c r="NR2394" s="38"/>
      <c r="NS2394" s="38"/>
      <c r="NT2394" s="38"/>
      <c r="NU2394" s="38"/>
      <c r="NV2394" s="38"/>
      <c r="NW2394" s="38"/>
      <c r="NX2394" s="38"/>
      <c r="NY2394" s="38"/>
      <c r="NZ2394" s="38"/>
      <c r="OA2394" s="38"/>
      <c r="OB2394" s="38"/>
      <c r="OC2394" s="38"/>
      <c r="OD2394" s="38"/>
      <c r="OE2394" s="38"/>
      <c r="OF2394" s="38"/>
      <c r="OG2394" s="38"/>
      <c r="OH2394" s="38"/>
      <c r="OI2394" s="38"/>
      <c r="OJ2394" s="38"/>
      <c r="OK2394" s="38"/>
      <c r="OL2394" s="38"/>
      <c r="OM2394" s="38"/>
      <c r="ON2394" s="38"/>
      <c r="OO2394" s="38"/>
      <c r="OP2394" s="38"/>
      <c r="OQ2394" s="38"/>
      <c r="OR2394" s="38"/>
      <c r="OS2394" s="38"/>
      <c r="OT2394" s="38"/>
      <c r="OU2394" s="38"/>
      <c r="OV2394" s="38"/>
      <c r="OW2394" s="38"/>
      <c r="OX2394" s="38"/>
      <c r="OY2394" s="38"/>
      <c r="OZ2394" s="38"/>
      <c r="PA2394" s="38"/>
      <c r="PB2394" s="38"/>
      <c r="PC2394" s="38"/>
      <c r="PD2394" s="38"/>
      <c r="PE2394" s="38"/>
      <c r="PF2394" s="38"/>
      <c r="PG2394" s="38"/>
      <c r="PH2394" s="38"/>
      <c r="PI2394" s="38"/>
      <c r="PJ2394" s="38"/>
      <c r="PK2394" s="38"/>
      <c r="PL2394" s="38"/>
      <c r="PM2394" s="38"/>
      <c r="PN2394" s="38"/>
      <c r="PO2394" s="38"/>
      <c r="PP2394" s="38"/>
      <c r="PQ2394" s="38"/>
      <c r="PR2394" s="38"/>
      <c r="PS2394" s="38"/>
      <c r="PT2394" s="38"/>
      <c r="PU2394" s="38"/>
      <c r="PV2394" s="38"/>
      <c r="PW2394" s="38"/>
      <c r="PX2394" s="38"/>
      <c r="PY2394" s="38"/>
      <c r="PZ2394" s="38"/>
      <c r="QA2394" s="38"/>
      <c r="QB2394" s="38"/>
      <c r="QC2394" s="38"/>
      <c r="QD2394" s="38"/>
      <c r="QE2394" s="38"/>
      <c r="QF2394" s="38"/>
      <c r="QG2394" s="38"/>
      <c r="QH2394" s="38"/>
      <c r="QI2394" s="38"/>
      <c r="QJ2394" s="38"/>
      <c r="QK2394" s="38"/>
      <c r="QL2394" s="38"/>
      <c r="QM2394" s="38"/>
      <c r="QN2394" s="38"/>
      <c r="QO2394" s="38"/>
      <c r="QP2394" s="38"/>
      <c r="QQ2394" s="38"/>
      <c r="QR2394" s="38"/>
      <c r="QS2394" s="38"/>
      <c r="QT2394" s="38"/>
      <c r="QU2394" s="38"/>
      <c r="QV2394" s="38"/>
      <c r="QW2394" s="38"/>
      <c r="QX2394" s="38"/>
      <c r="QY2394" s="38"/>
      <c r="QZ2394" s="38"/>
      <c r="RA2394" s="38"/>
      <c r="RB2394" s="38"/>
      <c r="RC2394" s="38"/>
      <c r="RD2394" s="38"/>
      <c r="RE2394" s="38"/>
      <c r="RF2394" s="38"/>
      <c r="RG2394" s="38"/>
      <c r="RH2394" s="38"/>
      <c r="RI2394" s="38"/>
      <c r="RJ2394" s="38"/>
      <c r="RK2394" s="38"/>
      <c r="RL2394" s="38"/>
      <c r="RM2394" s="38"/>
      <c r="RN2394" s="38"/>
      <c r="RO2394" s="38"/>
      <c r="RP2394" s="38"/>
      <c r="RQ2394" s="38"/>
      <c r="RR2394" s="38"/>
      <c r="RS2394" s="38"/>
      <c r="RT2394" s="38"/>
      <c r="RU2394" s="38"/>
      <c r="RV2394" s="38"/>
      <c r="RW2394" s="38"/>
      <c r="RX2394" s="38"/>
      <c r="RY2394" s="38"/>
      <c r="RZ2394" s="38"/>
      <c r="SA2394" s="38"/>
      <c r="SB2394" s="38"/>
      <c r="SC2394" s="38"/>
      <c r="SD2394" s="38"/>
      <c r="SE2394" s="38"/>
      <c r="SF2394" s="38"/>
      <c r="SG2394" s="38"/>
      <c r="SH2394" s="38"/>
      <c r="SI2394" s="38"/>
      <c r="SJ2394" s="38"/>
      <c r="SK2394" s="38"/>
      <c r="SL2394" s="38"/>
      <c r="SM2394" s="38"/>
      <c r="SN2394" s="38"/>
      <c r="SO2394" s="38"/>
      <c r="SP2394" s="38"/>
      <c r="SQ2394" s="38"/>
      <c r="SR2394" s="38"/>
      <c r="SS2394" s="38"/>
      <c r="ST2394" s="38"/>
      <c r="SU2394" s="38"/>
      <c r="SV2394" s="38"/>
      <c r="SW2394" s="38"/>
      <c r="SX2394" s="38"/>
      <c r="SY2394" s="38"/>
      <c r="SZ2394" s="38"/>
      <c r="TA2394" s="38"/>
      <c r="TB2394" s="38"/>
      <c r="TC2394" s="38"/>
      <c r="TD2394" s="38"/>
      <c r="TE2394" s="38"/>
      <c r="TF2394" s="38"/>
      <c r="TG2394" s="38"/>
      <c r="TH2394" s="38"/>
      <c r="TI2394" s="38"/>
      <c r="TJ2394" s="38"/>
      <c r="TK2394" s="38"/>
      <c r="TL2394" s="38"/>
      <c r="TM2394" s="38"/>
      <c r="TN2394" s="38"/>
      <c r="TO2394" s="38"/>
      <c r="TP2394" s="38"/>
      <c r="TQ2394" s="38"/>
      <c r="TR2394" s="38"/>
      <c r="TS2394" s="38"/>
      <c r="TT2394" s="38"/>
      <c r="TU2394" s="38"/>
      <c r="TV2394" s="38"/>
      <c r="TW2394" s="38"/>
      <c r="TX2394" s="38"/>
      <c r="TY2394" s="38"/>
      <c r="TZ2394" s="38"/>
      <c r="UA2394" s="38"/>
      <c r="UB2394" s="38"/>
      <c r="UC2394" s="38"/>
      <c r="UD2394" s="38"/>
      <c r="UE2394" s="38"/>
      <c r="UF2394" s="38"/>
      <c r="UG2394" s="38"/>
      <c r="UH2394" s="38"/>
      <c r="UI2394" s="38"/>
      <c r="UJ2394" s="38"/>
      <c r="UK2394" s="38"/>
      <c r="UL2394" s="38"/>
      <c r="UM2394" s="38"/>
      <c r="UN2394" s="38"/>
      <c r="UO2394" s="38"/>
      <c r="UP2394" s="38"/>
      <c r="UQ2394" s="38"/>
      <c r="UR2394" s="38"/>
      <c r="US2394" s="38"/>
      <c r="UT2394" s="38"/>
      <c r="UU2394" s="38"/>
      <c r="UV2394" s="38"/>
      <c r="UW2394" s="38"/>
      <c r="UX2394" s="38"/>
      <c r="UY2394" s="38"/>
      <c r="UZ2394" s="38"/>
      <c r="VA2394" s="38"/>
      <c r="VB2394" s="38"/>
      <c r="VC2394" s="38"/>
      <c r="VD2394" s="38"/>
      <c r="VE2394" s="38"/>
      <c r="VF2394" s="38"/>
      <c r="VG2394" s="38"/>
      <c r="VH2394" s="38"/>
      <c r="VI2394" s="38"/>
      <c r="VJ2394" s="38"/>
      <c r="VK2394" s="38"/>
      <c r="VL2394" s="38"/>
      <c r="VM2394" s="38"/>
      <c r="VN2394" s="38"/>
      <c r="VO2394" s="38"/>
      <c r="VP2394" s="38"/>
      <c r="VQ2394" s="38"/>
      <c r="VR2394" s="38"/>
      <c r="VS2394" s="38"/>
      <c r="VT2394" s="38"/>
      <c r="VU2394" s="38"/>
      <c r="VV2394" s="38"/>
      <c r="VW2394" s="38"/>
      <c r="VX2394" s="38"/>
      <c r="VY2394" s="38"/>
      <c r="VZ2394" s="38"/>
      <c r="WA2394" s="38"/>
      <c r="WB2394" s="38"/>
      <c r="WC2394" s="38"/>
      <c r="WD2394" s="38"/>
      <c r="WE2394" s="38"/>
      <c r="WF2394" s="38"/>
      <c r="WG2394" s="38"/>
      <c r="WH2394" s="38"/>
      <c r="WI2394" s="38"/>
      <c r="WJ2394" s="38"/>
      <c r="WK2394" s="38"/>
      <c r="WL2394" s="38"/>
      <c r="WM2394" s="38"/>
      <c r="WN2394" s="38"/>
      <c r="WO2394" s="38"/>
      <c r="WP2394" s="38"/>
      <c r="WQ2394" s="38"/>
      <c r="WR2394" s="38"/>
      <c r="WS2394" s="38"/>
      <c r="WT2394" s="38"/>
      <c r="WU2394" s="38"/>
      <c r="WV2394" s="38"/>
      <c r="WW2394" s="38"/>
      <c r="WX2394" s="38"/>
      <c r="WY2394" s="38"/>
      <c r="WZ2394" s="38"/>
      <c r="XA2394" s="38"/>
      <c r="XB2394" s="38"/>
      <c r="XC2394" s="38"/>
      <c r="XD2394" s="38"/>
      <c r="XE2394" s="38"/>
      <c r="XF2394" s="38"/>
      <c r="XG2394" s="38"/>
      <c r="XH2394" s="38"/>
      <c r="XI2394" s="38"/>
      <c r="XJ2394" s="38"/>
      <c r="XK2394" s="38"/>
      <c r="XL2394" s="38"/>
      <c r="XM2394" s="38"/>
      <c r="XN2394" s="38"/>
      <c r="XO2394" s="38"/>
      <c r="XP2394" s="38"/>
      <c r="XQ2394" s="38"/>
      <c r="XR2394" s="38"/>
      <c r="XS2394" s="38"/>
      <c r="XT2394" s="38"/>
      <c r="XU2394" s="38"/>
      <c r="XV2394" s="38"/>
      <c r="XW2394" s="38"/>
      <c r="XX2394" s="38"/>
      <c r="XY2394" s="38"/>
      <c r="XZ2394" s="38"/>
      <c r="YA2394" s="38"/>
      <c r="YB2394" s="38"/>
      <c r="YC2394" s="38"/>
      <c r="YD2394" s="38"/>
      <c r="YE2394" s="38"/>
      <c r="YF2394" s="38"/>
      <c r="YG2394" s="38"/>
      <c r="YH2394" s="38"/>
      <c r="YI2394" s="38"/>
      <c r="YJ2394" s="38"/>
      <c r="YK2394" s="38"/>
      <c r="YL2394" s="38"/>
      <c r="YM2394" s="38"/>
      <c r="YN2394" s="38"/>
      <c r="YO2394" s="38"/>
      <c r="YP2394" s="38"/>
      <c r="YQ2394" s="38"/>
      <c r="YR2394" s="38"/>
      <c r="YS2394" s="38"/>
      <c r="YT2394" s="38"/>
      <c r="YU2394" s="38"/>
      <c r="YV2394" s="38"/>
      <c r="YW2394" s="38"/>
      <c r="YX2394" s="38"/>
      <c r="YY2394" s="38"/>
      <c r="YZ2394" s="38"/>
      <c r="ZA2394" s="38"/>
      <c r="ZB2394" s="38"/>
      <c r="ZC2394" s="38"/>
      <c r="ZD2394" s="38"/>
      <c r="ZE2394" s="38"/>
      <c r="ZF2394" s="38"/>
      <c r="ZG2394" s="38"/>
      <c r="ZH2394" s="38"/>
      <c r="ZI2394" s="38"/>
      <c r="ZJ2394" s="38"/>
      <c r="ZK2394" s="38"/>
      <c r="ZL2394" s="38"/>
      <c r="ZM2394" s="38"/>
      <c r="ZN2394" s="38"/>
      <c r="ZO2394" s="38"/>
      <c r="ZP2394" s="38"/>
      <c r="ZQ2394" s="38"/>
      <c r="ZR2394" s="38"/>
      <c r="ZS2394" s="38"/>
      <c r="ZT2394" s="38"/>
      <c r="ZU2394" s="38"/>
      <c r="ZV2394" s="38"/>
      <c r="ZW2394" s="38"/>
      <c r="ZX2394" s="38"/>
      <c r="ZY2394" s="38"/>
      <c r="ZZ2394" s="38"/>
      <c r="AAA2394" s="38"/>
      <c r="AAB2394" s="38"/>
      <c r="AAC2394" s="38"/>
      <c r="AAD2394" s="38"/>
      <c r="AAE2394" s="38"/>
      <c r="AAF2394" s="38"/>
      <c r="AAG2394" s="38"/>
      <c r="AAH2394" s="38"/>
      <c r="AAI2394" s="38"/>
      <c r="AAJ2394" s="38"/>
      <c r="AAK2394" s="38"/>
      <c r="AAL2394" s="38"/>
      <c r="AAM2394" s="38"/>
      <c r="AAN2394" s="38"/>
      <c r="AAO2394" s="38"/>
      <c r="AAP2394" s="38"/>
      <c r="AAQ2394" s="38"/>
      <c r="AAR2394" s="38"/>
      <c r="AAS2394" s="38"/>
      <c r="AAT2394" s="38"/>
      <c r="AAU2394" s="38"/>
      <c r="AAV2394" s="38"/>
      <c r="AAW2394" s="38"/>
      <c r="AAX2394" s="38"/>
      <c r="AAY2394" s="38"/>
      <c r="AAZ2394" s="38"/>
      <c r="ABA2394" s="38"/>
      <c r="ABB2394" s="38"/>
      <c r="ABC2394" s="38"/>
      <c r="ABD2394" s="38"/>
      <c r="ABE2394" s="38"/>
      <c r="ABF2394" s="38"/>
      <c r="ABG2394" s="38"/>
      <c r="ABH2394" s="38"/>
      <c r="ABI2394" s="38"/>
      <c r="ABJ2394" s="38"/>
      <c r="ABK2394" s="38"/>
      <c r="ABL2394" s="38"/>
      <c r="ABM2394" s="38"/>
      <c r="ABN2394" s="38"/>
      <c r="ABO2394" s="38"/>
      <c r="ABP2394" s="38"/>
      <c r="ABQ2394" s="38"/>
      <c r="ABR2394" s="38"/>
      <c r="ABS2394" s="38"/>
      <c r="ABT2394" s="38"/>
      <c r="ABU2394" s="38"/>
      <c r="ABV2394" s="38"/>
      <c r="ABW2394" s="38"/>
      <c r="ABX2394" s="38"/>
      <c r="ABY2394" s="38"/>
      <c r="ABZ2394" s="38"/>
      <c r="ACA2394" s="38"/>
      <c r="ACB2394" s="38"/>
      <c r="ACC2394" s="38"/>
      <c r="ACD2394" s="38"/>
      <c r="ACE2394" s="38"/>
      <c r="ACF2394" s="38"/>
      <c r="ACG2394" s="38"/>
      <c r="ACH2394" s="38"/>
      <c r="ACI2394" s="38"/>
      <c r="ACJ2394" s="38"/>
      <c r="ACK2394" s="38"/>
      <c r="ACL2394" s="38"/>
      <c r="ACM2394" s="38"/>
      <c r="ACN2394" s="38"/>
      <c r="ACO2394" s="38"/>
      <c r="ACP2394" s="38"/>
      <c r="ACQ2394" s="38"/>
      <c r="ACR2394" s="38"/>
      <c r="ACS2394" s="38"/>
      <c r="ACT2394" s="38"/>
      <c r="ACU2394" s="38"/>
      <c r="ACV2394" s="38"/>
      <c r="ACW2394" s="38"/>
      <c r="ACX2394" s="38"/>
      <c r="ACY2394" s="38"/>
      <c r="ACZ2394" s="38"/>
      <c r="ADA2394" s="38"/>
      <c r="ADB2394" s="38"/>
      <c r="ADC2394" s="38"/>
      <c r="ADD2394" s="38"/>
      <c r="ADE2394" s="38"/>
      <c r="ADF2394" s="38"/>
      <c r="ADG2394" s="38"/>
      <c r="ADH2394" s="38"/>
      <c r="ADI2394" s="38"/>
      <c r="ADJ2394" s="38"/>
      <c r="ADK2394" s="38"/>
      <c r="ADL2394" s="38"/>
      <c r="ADM2394" s="38"/>
      <c r="ADN2394" s="38"/>
      <c r="ADO2394" s="38"/>
      <c r="ADP2394" s="38"/>
      <c r="ADQ2394" s="38"/>
      <c r="ADR2394" s="38"/>
      <c r="ADS2394" s="38"/>
      <c r="ADT2394" s="38"/>
      <c r="ADU2394" s="38"/>
      <c r="ADV2394" s="38"/>
      <c r="ADW2394" s="38"/>
      <c r="ADX2394" s="38"/>
      <c r="ADY2394" s="38"/>
      <c r="ADZ2394" s="38"/>
      <c r="AEA2394" s="38"/>
      <c r="AEB2394" s="38"/>
      <c r="AEC2394" s="38"/>
      <c r="AED2394" s="38"/>
      <c r="AEE2394" s="38"/>
      <c r="AEF2394" s="38"/>
      <c r="AEG2394" s="38"/>
      <c r="AEH2394" s="38"/>
      <c r="AEI2394" s="38"/>
      <c r="AEJ2394" s="38"/>
      <c r="AEK2394" s="38"/>
      <c r="AEL2394" s="38"/>
      <c r="AEM2394" s="38"/>
      <c r="AEN2394" s="38"/>
      <c r="AEO2394" s="38"/>
      <c r="AEP2394" s="38"/>
      <c r="AEQ2394" s="38"/>
      <c r="AER2394" s="38"/>
      <c r="AES2394" s="38"/>
      <c r="AET2394" s="38"/>
      <c r="AEU2394" s="38"/>
      <c r="AEV2394" s="38"/>
      <c r="AEW2394" s="38"/>
      <c r="AEX2394" s="38"/>
      <c r="AEY2394" s="38"/>
      <c r="AEZ2394" s="38"/>
      <c r="AFA2394" s="38"/>
      <c r="AFB2394" s="38"/>
      <c r="AFC2394" s="38"/>
      <c r="AFD2394" s="38"/>
      <c r="AFE2394" s="38"/>
      <c r="AFF2394" s="38"/>
      <c r="AFG2394" s="38"/>
      <c r="AFH2394" s="38"/>
      <c r="AFI2394" s="38"/>
      <c r="AFJ2394" s="38"/>
      <c r="AFK2394" s="38"/>
      <c r="AFL2394" s="38"/>
      <c r="AFM2394" s="38"/>
      <c r="AFN2394" s="38"/>
      <c r="AFO2394" s="38"/>
      <c r="AFP2394" s="38"/>
      <c r="AFQ2394" s="38"/>
      <c r="AFR2394" s="38"/>
      <c r="AFS2394" s="38"/>
      <c r="AFT2394" s="38"/>
      <c r="AFU2394" s="38"/>
      <c r="AFV2394" s="38"/>
      <c r="AFW2394" s="38"/>
      <c r="AFX2394" s="38"/>
      <c r="AFY2394" s="38"/>
      <c r="AFZ2394" s="38"/>
      <c r="AGA2394" s="38"/>
      <c r="AGB2394" s="38"/>
      <c r="AGC2394" s="38"/>
      <c r="AGD2394" s="38"/>
      <c r="AGE2394" s="38"/>
      <c r="AGF2394" s="38"/>
      <c r="AGG2394" s="38"/>
      <c r="AGH2394" s="38"/>
      <c r="AGI2394" s="38"/>
      <c r="AGJ2394" s="38"/>
      <c r="AGK2394" s="38"/>
      <c r="AGL2394" s="38"/>
      <c r="AGM2394" s="38"/>
      <c r="AGN2394" s="38"/>
      <c r="AGO2394" s="38"/>
      <c r="AGP2394" s="38"/>
      <c r="AGQ2394" s="38"/>
      <c r="AGR2394" s="38"/>
      <c r="AGS2394" s="38"/>
      <c r="AGT2394" s="38"/>
      <c r="AGU2394" s="38"/>
      <c r="AGV2394" s="38"/>
      <c r="AGW2394" s="38"/>
      <c r="AGX2394" s="38"/>
      <c r="AGY2394" s="38"/>
      <c r="AGZ2394" s="38"/>
      <c r="AHA2394" s="38"/>
      <c r="AHB2394" s="38"/>
      <c r="AHC2394" s="38"/>
      <c r="AHD2394" s="38"/>
      <c r="AHE2394" s="38"/>
      <c r="AHF2394" s="38"/>
      <c r="AHG2394" s="38"/>
      <c r="AHH2394" s="38"/>
      <c r="AHI2394" s="38"/>
      <c r="AHJ2394" s="38"/>
      <c r="AHK2394" s="38"/>
      <c r="AHL2394" s="38"/>
      <c r="AHM2394" s="38"/>
      <c r="AHN2394" s="38"/>
      <c r="AHO2394" s="38"/>
      <c r="AHP2394" s="38"/>
      <c r="AHQ2394" s="38"/>
      <c r="AHR2394" s="38"/>
      <c r="AHS2394" s="38"/>
      <c r="AHT2394" s="38"/>
      <c r="AHU2394" s="38"/>
      <c r="AHV2394" s="38"/>
      <c r="AHW2394" s="38"/>
      <c r="AHX2394" s="38"/>
      <c r="AHY2394" s="38"/>
      <c r="AHZ2394" s="38"/>
      <c r="AIA2394" s="38"/>
      <c r="AIB2394" s="38"/>
      <c r="AIC2394" s="38"/>
      <c r="AID2394" s="38"/>
      <c r="AIE2394" s="38"/>
      <c r="AIF2394" s="38"/>
      <c r="AIG2394" s="38"/>
      <c r="AIH2394" s="38"/>
      <c r="AII2394" s="38"/>
      <c r="AIJ2394" s="38"/>
      <c r="AIK2394" s="38"/>
      <c r="AIL2394" s="38"/>
      <c r="AIM2394" s="38"/>
      <c r="AIN2394" s="38"/>
      <c r="AIO2394" s="38"/>
      <c r="AIP2394" s="38"/>
      <c r="AIQ2394" s="38"/>
      <c r="AIR2394" s="38"/>
      <c r="AIS2394" s="38"/>
      <c r="AIT2394" s="38"/>
      <c r="AIU2394" s="38"/>
      <c r="AIV2394" s="38"/>
      <c r="AIW2394" s="38"/>
      <c r="AIX2394" s="38"/>
      <c r="AIY2394" s="38"/>
      <c r="AIZ2394" s="38"/>
      <c r="AJA2394" s="38"/>
      <c r="AJB2394" s="38"/>
      <c r="AJC2394" s="38"/>
      <c r="AJD2394" s="38"/>
      <c r="AJE2394" s="38"/>
      <c r="AJF2394" s="38"/>
      <c r="AJG2394" s="38"/>
      <c r="AJH2394" s="38"/>
      <c r="AJI2394" s="38"/>
      <c r="AJJ2394" s="38"/>
      <c r="AJK2394" s="38"/>
      <c r="AJL2394" s="38"/>
      <c r="AJM2394" s="38"/>
      <c r="AJN2394" s="38"/>
      <c r="AJO2394" s="38"/>
      <c r="AJP2394" s="38"/>
      <c r="AJQ2394" s="38"/>
      <c r="AJR2394" s="38"/>
      <c r="AJS2394" s="38"/>
      <c r="AJT2394" s="38"/>
      <c r="AJU2394" s="38"/>
      <c r="AJV2394" s="38"/>
      <c r="AJW2394" s="38"/>
      <c r="AJX2394" s="38"/>
      <c r="AJY2394" s="38"/>
      <c r="AJZ2394" s="38"/>
      <c r="AKA2394" s="38"/>
      <c r="AKB2394" s="38"/>
      <c r="AKC2394" s="38"/>
      <c r="AKD2394" s="38"/>
      <c r="AKE2394" s="38"/>
      <c r="AKF2394" s="38"/>
      <c r="AKG2394" s="38"/>
      <c r="AKH2394" s="38"/>
      <c r="AKI2394" s="38"/>
      <c r="AKJ2394" s="38"/>
      <c r="AKK2394" s="38"/>
      <c r="AKL2394" s="38"/>
      <c r="AKM2394" s="38"/>
      <c r="AKN2394" s="38"/>
      <c r="AKO2394" s="38"/>
      <c r="AKP2394" s="38"/>
      <c r="AKQ2394" s="38"/>
      <c r="AKR2394" s="38"/>
      <c r="AKS2394" s="38"/>
      <c r="AKT2394" s="38"/>
      <c r="AKU2394" s="38"/>
      <c r="AKV2394" s="38"/>
      <c r="AKW2394" s="38"/>
      <c r="AKX2394" s="38"/>
      <c r="AKY2394" s="38"/>
      <c r="AKZ2394" s="38"/>
      <c r="ALA2394" s="38"/>
      <c r="ALB2394" s="38"/>
      <c r="ALC2394" s="38"/>
      <c r="ALD2394" s="38"/>
      <c r="ALE2394" s="38"/>
      <c r="ALF2394" s="38"/>
      <c r="ALG2394" s="38"/>
      <c r="ALH2394" s="38"/>
      <c r="ALI2394" s="38"/>
      <c r="ALJ2394" s="38"/>
      <c r="ALK2394" s="38"/>
      <c r="ALL2394" s="38"/>
      <c r="ALM2394" s="38"/>
      <c r="ALN2394" s="38"/>
      <c r="ALO2394" s="38"/>
      <c r="ALP2394" s="38"/>
      <c r="ALQ2394" s="38"/>
      <c r="ALR2394" s="38"/>
      <c r="ALS2394" s="38"/>
      <c r="ALT2394" s="38"/>
      <c r="ALU2394" s="38"/>
      <c r="ALV2394" s="38"/>
      <c r="ALW2394" s="38"/>
      <c r="ALX2394" s="38"/>
      <c r="ALY2394" s="38"/>
      <c r="ALZ2394" s="38"/>
      <c r="AMA2394" s="38"/>
      <c r="AMB2394" s="38"/>
      <c r="AMC2394" s="38"/>
      <c r="AMD2394" s="38"/>
      <c r="AME2394" s="38"/>
      <c r="AMF2394" s="38"/>
      <c r="AMG2394" s="38"/>
      <c r="AMH2394" s="38"/>
      <c r="AMI2394" s="38"/>
      <c r="AMJ2394" s="38"/>
      <c r="AMK2394" s="38"/>
      <c r="AML2394" s="38"/>
      <c r="AMM2394" s="38"/>
      <c r="AMN2394" s="38"/>
      <c r="AMO2394" s="38"/>
      <c r="AMP2394" s="38"/>
      <c r="AMQ2394" s="38"/>
      <c r="AMR2394" s="38"/>
      <c r="AMS2394" s="38"/>
      <c r="AMT2394" s="38"/>
      <c r="AMU2394" s="38"/>
      <c r="AMV2394" s="38"/>
      <c r="AMW2394" s="38"/>
      <c r="AMX2394" s="38"/>
      <c r="AMY2394" s="38"/>
      <c r="AMZ2394" s="38"/>
      <c r="ANA2394" s="38"/>
      <c r="ANB2394" s="38"/>
      <c r="ANC2394" s="38"/>
      <c r="AND2394" s="38"/>
      <c r="ANE2394" s="38"/>
      <c r="ANF2394" s="38"/>
      <c r="ANG2394" s="38"/>
      <c r="ANH2394" s="38"/>
      <c r="ANI2394" s="38"/>
      <c r="ANJ2394" s="38"/>
      <c r="ANK2394" s="38"/>
      <c r="ANL2394" s="38"/>
      <c r="ANM2394" s="38"/>
      <c r="ANN2394" s="38"/>
      <c r="ANO2394" s="38"/>
      <c r="ANP2394" s="38"/>
      <c r="ANQ2394" s="38"/>
      <c r="ANR2394" s="38"/>
      <c r="ANS2394" s="38"/>
      <c r="ANT2394" s="38"/>
      <c r="ANU2394" s="38"/>
      <c r="ANV2394" s="38"/>
      <c r="ANW2394" s="38"/>
      <c r="ANX2394" s="38"/>
      <c r="ANY2394" s="38"/>
      <c r="ANZ2394" s="38"/>
      <c r="AOA2394" s="38"/>
      <c r="AOB2394" s="38"/>
      <c r="AOC2394" s="38"/>
      <c r="AOD2394" s="38"/>
      <c r="AOE2394" s="38"/>
      <c r="AOF2394" s="38"/>
      <c r="AOG2394" s="38"/>
      <c r="AOH2394" s="38"/>
      <c r="AOI2394" s="38"/>
      <c r="AOJ2394" s="38"/>
      <c r="AOK2394" s="38"/>
      <c r="AOL2394" s="38"/>
      <c r="AOM2394" s="38"/>
      <c r="AON2394" s="38"/>
      <c r="AOO2394" s="38"/>
      <c r="AOP2394" s="38"/>
      <c r="AOQ2394" s="38"/>
      <c r="AOR2394" s="38"/>
      <c r="AOS2394" s="38"/>
      <c r="AOT2394" s="38"/>
      <c r="AOU2394" s="38"/>
      <c r="AOV2394" s="38"/>
      <c r="AOW2394" s="38"/>
      <c r="AOX2394" s="38"/>
      <c r="AOY2394" s="38"/>
      <c r="AOZ2394" s="38"/>
      <c r="APA2394" s="38"/>
      <c r="APB2394" s="38"/>
      <c r="APC2394" s="38"/>
    </row>
    <row r="2395" spans="1:1095" s="36" customFormat="1" ht="14.25" customHeight="1">
      <c r="A2395" s="3" t="s">
        <v>1722</v>
      </c>
      <c r="B2395" s="36" t="s">
        <v>2983</v>
      </c>
      <c r="C2395" s="10">
        <v>4099854049385</v>
      </c>
      <c r="D2395" s="224">
        <v>4058075593251</v>
      </c>
      <c r="E2395" s="245" t="s">
        <v>1699</v>
      </c>
      <c r="F2395" s="246"/>
      <c r="G2395" s="66" t="str">
        <f>HYPERLINK("https://ledvance.com/pt/product-datasheet/251767/235596","Ficha de Produto")</f>
        <v>Ficha de Produto</v>
      </c>
      <c r="H2395" s="217">
        <v>10</v>
      </c>
      <c r="I2395" s="34" t="s">
        <v>6354</v>
      </c>
      <c r="J2395" s="34" t="s">
        <v>6398</v>
      </c>
      <c r="K2395" s="34" t="s">
        <v>788</v>
      </c>
      <c r="L2395" s="34" t="s">
        <v>6506</v>
      </c>
      <c r="M2395" s="247">
        <v>5.6000000000000005</v>
      </c>
      <c r="N2395" s="288" t="s">
        <v>722</v>
      </c>
    </row>
    <row r="2396" spans="1:1095" s="39" customFormat="1" ht="14.25" customHeight="1">
      <c r="A2396" s="8" t="s">
        <v>1722</v>
      </c>
      <c r="B2396" s="244" t="s">
        <v>2984</v>
      </c>
      <c r="C2396" s="8"/>
      <c r="D2396" s="7"/>
      <c r="E2396" s="230"/>
      <c r="F2396" s="7"/>
      <c r="G2396" s="68"/>
      <c r="H2396" s="230"/>
      <c r="I2396" s="230"/>
      <c r="J2396" s="230"/>
      <c r="K2396" s="230"/>
      <c r="L2396" s="230"/>
      <c r="M2396" s="248"/>
      <c r="N2396" s="289"/>
      <c r="O2396" s="38"/>
      <c r="P2396" s="38"/>
      <c r="Q2396" s="38"/>
      <c r="R2396" s="38"/>
      <c r="S2396" s="38"/>
      <c r="T2396" s="38"/>
      <c r="U2396" s="38"/>
      <c r="V2396" s="38"/>
      <c r="W2396" s="38"/>
      <c r="X2396" s="38"/>
      <c r="Y2396" s="38"/>
      <c r="Z2396" s="38"/>
      <c r="AA2396" s="38"/>
      <c r="AB2396" s="38"/>
      <c r="AC2396" s="38"/>
      <c r="AD2396" s="38"/>
      <c r="AE2396" s="38"/>
      <c r="AF2396" s="38"/>
      <c r="AG2396" s="38"/>
      <c r="AH2396" s="38"/>
      <c r="AI2396" s="38"/>
      <c r="AJ2396" s="38"/>
      <c r="AK2396" s="38"/>
      <c r="AL2396" s="38"/>
      <c r="AM2396" s="38"/>
      <c r="AN2396" s="38"/>
      <c r="AO2396" s="38"/>
      <c r="AP2396" s="38"/>
      <c r="AQ2396" s="38"/>
      <c r="AR2396" s="38"/>
      <c r="AS2396" s="38"/>
      <c r="AT2396" s="38"/>
      <c r="AU2396" s="38"/>
      <c r="AV2396" s="38"/>
      <c r="AW2396" s="38"/>
      <c r="AX2396" s="38"/>
      <c r="AY2396" s="38"/>
      <c r="AZ2396" s="38"/>
      <c r="BA2396" s="38"/>
      <c r="BB2396" s="38"/>
      <c r="BC2396" s="38"/>
      <c r="BD2396" s="38"/>
      <c r="BE2396" s="38"/>
      <c r="BF2396" s="38"/>
      <c r="BG2396" s="38"/>
      <c r="BH2396" s="38"/>
      <c r="BI2396" s="38"/>
      <c r="BJ2396" s="38"/>
      <c r="BK2396" s="38"/>
      <c r="BL2396" s="38"/>
      <c r="BM2396" s="38"/>
      <c r="BN2396" s="38"/>
      <c r="BO2396" s="38"/>
      <c r="BP2396" s="38"/>
      <c r="BQ2396" s="38"/>
      <c r="BR2396" s="38"/>
      <c r="BS2396" s="38"/>
      <c r="BT2396" s="38"/>
      <c r="BU2396" s="38"/>
      <c r="BV2396" s="38"/>
      <c r="BW2396" s="38"/>
      <c r="BX2396" s="38"/>
      <c r="BY2396" s="38"/>
      <c r="BZ2396" s="38"/>
      <c r="CA2396" s="38"/>
      <c r="CB2396" s="38"/>
      <c r="CC2396" s="38"/>
      <c r="CD2396" s="38"/>
      <c r="CE2396" s="38"/>
      <c r="CF2396" s="38"/>
      <c r="CG2396" s="38"/>
      <c r="CH2396" s="38"/>
      <c r="CI2396" s="38"/>
      <c r="CJ2396" s="38"/>
      <c r="CK2396" s="38"/>
      <c r="CL2396" s="38"/>
      <c r="CM2396" s="38"/>
      <c r="CN2396" s="38"/>
      <c r="CO2396" s="38"/>
      <c r="CP2396" s="38"/>
      <c r="CQ2396" s="38"/>
      <c r="CR2396" s="38"/>
      <c r="CS2396" s="38"/>
      <c r="CT2396" s="38"/>
      <c r="CU2396" s="38"/>
      <c r="CV2396" s="38"/>
      <c r="CW2396" s="38"/>
      <c r="CX2396" s="38"/>
      <c r="CY2396" s="38"/>
      <c r="CZ2396" s="38"/>
      <c r="DA2396" s="38"/>
      <c r="DB2396" s="38"/>
      <c r="DC2396" s="38"/>
      <c r="DD2396" s="38"/>
      <c r="DE2396" s="38"/>
      <c r="DF2396" s="38"/>
      <c r="DG2396" s="38"/>
      <c r="DH2396" s="38"/>
      <c r="DI2396" s="38"/>
      <c r="DJ2396" s="38"/>
      <c r="DK2396" s="38"/>
      <c r="DL2396" s="38"/>
      <c r="DM2396" s="38"/>
      <c r="DN2396" s="38"/>
      <c r="DO2396" s="38"/>
      <c r="DP2396" s="38"/>
      <c r="DQ2396" s="38"/>
      <c r="DR2396" s="38"/>
      <c r="DS2396" s="38"/>
      <c r="DT2396" s="38"/>
      <c r="DU2396" s="38"/>
      <c r="DV2396" s="38"/>
      <c r="DW2396" s="38"/>
      <c r="DX2396" s="38"/>
      <c r="DY2396" s="38"/>
      <c r="DZ2396" s="38"/>
      <c r="EA2396" s="38"/>
      <c r="EB2396" s="38"/>
      <c r="EC2396" s="38"/>
      <c r="ED2396" s="38"/>
      <c r="EE2396" s="38"/>
      <c r="EF2396" s="38"/>
      <c r="EG2396" s="38"/>
      <c r="EH2396" s="38"/>
      <c r="EI2396" s="38"/>
      <c r="EJ2396" s="38"/>
      <c r="EK2396" s="38"/>
      <c r="EL2396" s="38"/>
      <c r="EM2396" s="38"/>
      <c r="EN2396" s="38"/>
      <c r="EO2396" s="38"/>
      <c r="EP2396" s="38"/>
      <c r="EQ2396" s="38"/>
      <c r="ER2396" s="38"/>
      <c r="ES2396" s="38"/>
      <c r="ET2396" s="38"/>
      <c r="EU2396" s="38"/>
      <c r="EV2396" s="38"/>
      <c r="EW2396" s="38"/>
      <c r="EX2396" s="38"/>
      <c r="EY2396" s="38"/>
      <c r="EZ2396" s="38"/>
      <c r="FA2396" s="38"/>
      <c r="FB2396" s="38"/>
      <c r="FC2396" s="38"/>
      <c r="FD2396" s="38"/>
      <c r="FE2396" s="38"/>
      <c r="FF2396" s="38"/>
      <c r="FG2396" s="38"/>
      <c r="FH2396" s="38"/>
      <c r="FI2396" s="38"/>
      <c r="FJ2396" s="38"/>
      <c r="FK2396" s="38"/>
      <c r="FL2396" s="38"/>
      <c r="FM2396" s="38"/>
      <c r="FN2396" s="38"/>
      <c r="FO2396" s="38"/>
      <c r="FP2396" s="38"/>
      <c r="FQ2396" s="38"/>
      <c r="FR2396" s="38"/>
      <c r="FS2396" s="38"/>
      <c r="FT2396" s="38"/>
      <c r="FU2396" s="38"/>
      <c r="FV2396" s="38"/>
      <c r="FW2396" s="38"/>
      <c r="FX2396" s="38"/>
      <c r="FY2396" s="38"/>
      <c r="FZ2396" s="38"/>
      <c r="GA2396" s="38"/>
      <c r="GB2396" s="38"/>
      <c r="GC2396" s="38"/>
      <c r="GD2396" s="38"/>
      <c r="GE2396" s="38"/>
      <c r="GF2396" s="38"/>
      <c r="GG2396" s="38"/>
      <c r="GH2396" s="38"/>
      <c r="GI2396" s="38"/>
      <c r="GJ2396" s="38"/>
      <c r="GK2396" s="38"/>
      <c r="GL2396" s="38"/>
      <c r="GM2396" s="38"/>
      <c r="GN2396" s="38"/>
      <c r="GO2396" s="38"/>
      <c r="GP2396" s="38"/>
      <c r="GQ2396" s="38"/>
      <c r="GR2396" s="38"/>
      <c r="GS2396" s="38"/>
      <c r="GT2396" s="38"/>
      <c r="GU2396" s="38"/>
      <c r="GV2396" s="38"/>
      <c r="GW2396" s="38"/>
      <c r="GX2396" s="38"/>
      <c r="GY2396" s="38"/>
      <c r="GZ2396" s="38"/>
      <c r="HA2396" s="38"/>
      <c r="HB2396" s="38"/>
      <c r="HC2396" s="38"/>
      <c r="HD2396" s="38"/>
      <c r="HE2396" s="38"/>
      <c r="HF2396" s="38"/>
      <c r="HG2396" s="38"/>
      <c r="HH2396" s="38"/>
      <c r="HI2396" s="38"/>
      <c r="HJ2396" s="38"/>
      <c r="HK2396" s="38"/>
      <c r="HL2396" s="38"/>
      <c r="HM2396" s="38"/>
      <c r="HN2396" s="38"/>
      <c r="HO2396" s="38"/>
      <c r="HP2396" s="38"/>
      <c r="HQ2396" s="38"/>
      <c r="HR2396" s="38"/>
      <c r="HS2396" s="38"/>
      <c r="HT2396" s="38"/>
      <c r="HU2396" s="38"/>
      <c r="HV2396" s="38"/>
      <c r="HW2396" s="38"/>
      <c r="HX2396" s="38"/>
      <c r="HY2396" s="38"/>
      <c r="HZ2396" s="38"/>
      <c r="IA2396" s="38"/>
      <c r="IB2396" s="38"/>
      <c r="IC2396" s="38"/>
      <c r="ID2396" s="38"/>
      <c r="IE2396" s="38"/>
      <c r="IF2396" s="38"/>
      <c r="IG2396" s="38"/>
      <c r="IH2396" s="38"/>
      <c r="II2396" s="38"/>
      <c r="IJ2396" s="38"/>
      <c r="IK2396" s="38"/>
      <c r="IL2396" s="38"/>
      <c r="IM2396" s="38"/>
      <c r="IN2396" s="38"/>
      <c r="IO2396" s="38"/>
      <c r="IP2396" s="38"/>
      <c r="IQ2396" s="38"/>
      <c r="IR2396" s="38"/>
      <c r="IS2396" s="38"/>
      <c r="IT2396" s="38"/>
      <c r="IU2396" s="38"/>
      <c r="IV2396" s="38"/>
      <c r="IW2396" s="38"/>
      <c r="IX2396" s="38"/>
      <c r="IY2396" s="38"/>
      <c r="IZ2396" s="38"/>
      <c r="JA2396" s="38"/>
      <c r="JB2396" s="38"/>
      <c r="JC2396" s="38"/>
      <c r="JD2396" s="38"/>
      <c r="JE2396" s="38"/>
      <c r="JF2396" s="38"/>
      <c r="JG2396" s="38"/>
      <c r="JH2396" s="38"/>
      <c r="JI2396" s="38"/>
      <c r="JJ2396" s="38"/>
      <c r="JK2396" s="38"/>
      <c r="JL2396" s="38"/>
      <c r="JM2396" s="38"/>
      <c r="JN2396" s="38"/>
      <c r="JO2396" s="38"/>
      <c r="JP2396" s="38"/>
      <c r="JQ2396" s="38"/>
      <c r="JR2396" s="38"/>
      <c r="JS2396" s="38"/>
      <c r="JT2396" s="38"/>
      <c r="JU2396" s="38"/>
      <c r="JV2396" s="38"/>
      <c r="JW2396" s="38"/>
      <c r="JX2396" s="38"/>
      <c r="JY2396" s="38"/>
      <c r="JZ2396" s="38"/>
      <c r="KA2396" s="38"/>
      <c r="KB2396" s="38"/>
      <c r="KC2396" s="38"/>
      <c r="KD2396" s="38"/>
      <c r="KE2396" s="38"/>
      <c r="KF2396" s="38"/>
      <c r="KG2396" s="38"/>
      <c r="KH2396" s="38"/>
      <c r="KI2396" s="38"/>
      <c r="KJ2396" s="38"/>
      <c r="KK2396" s="38"/>
      <c r="KL2396" s="38"/>
      <c r="KM2396" s="38"/>
      <c r="KN2396" s="38"/>
      <c r="KO2396" s="38"/>
      <c r="KP2396" s="38"/>
      <c r="KQ2396" s="38"/>
      <c r="KR2396" s="38"/>
      <c r="KS2396" s="38"/>
      <c r="KT2396" s="38"/>
      <c r="KU2396" s="38"/>
      <c r="KV2396" s="38"/>
      <c r="KW2396" s="38"/>
      <c r="KX2396" s="38"/>
      <c r="KY2396" s="38"/>
      <c r="KZ2396" s="38"/>
      <c r="LA2396" s="38"/>
      <c r="LB2396" s="38"/>
      <c r="LC2396" s="38"/>
      <c r="LD2396" s="38"/>
      <c r="LE2396" s="38"/>
      <c r="LF2396" s="38"/>
      <c r="LG2396" s="38"/>
      <c r="LH2396" s="38"/>
      <c r="LI2396" s="38"/>
      <c r="LJ2396" s="38"/>
      <c r="LK2396" s="38"/>
      <c r="LL2396" s="38"/>
      <c r="LM2396" s="38"/>
      <c r="LN2396" s="38"/>
      <c r="LO2396" s="38"/>
      <c r="LP2396" s="38"/>
      <c r="LQ2396" s="38"/>
      <c r="LR2396" s="38"/>
      <c r="LS2396" s="38"/>
      <c r="LT2396" s="38"/>
      <c r="LU2396" s="38"/>
      <c r="LV2396" s="38"/>
      <c r="LW2396" s="38"/>
      <c r="LX2396" s="38"/>
      <c r="LY2396" s="38"/>
      <c r="LZ2396" s="38"/>
      <c r="MA2396" s="38"/>
      <c r="MB2396" s="38"/>
      <c r="MC2396" s="38"/>
      <c r="MD2396" s="38"/>
      <c r="ME2396" s="38"/>
      <c r="MF2396" s="38"/>
      <c r="MG2396" s="38"/>
      <c r="MH2396" s="38"/>
      <c r="MI2396" s="38"/>
      <c r="MJ2396" s="38"/>
      <c r="MK2396" s="38"/>
      <c r="ML2396" s="38"/>
      <c r="MM2396" s="38"/>
      <c r="MN2396" s="38"/>
      <c r="MO2396" s="38"/>
      <c r="MP2396" s="38"/>
      <c r="MQ2396" s="38"/>
      <c r="MR2396" s="38"/>
      <c r="MS2396" s="38"/>
      <c r="MT2396" s="38"/>
      <c r="MU2396" s="38"/>
      <c r="MV2396" s="38"/>
      <c r="MW2396" s="38"/>
      <c r="MX2396" s="38"/>
      <c r="MY2396" s="38"/>
      <c r="MZ2396" s="38"/>
      <c r="NA2396" s="38"/>
      <c r="NB2396" s="38"/>
      <c r="NC2396" s="38"/>
      <c r="ND2396" s="38"/>
      <c r="NE2396" s="38"/>
      <c r="NF2396" s="38"/>
      <c r="NG2396" s="38"/>
      <c r="NH2396" s="38"/>
      <c r="NI2396" s="38"/>
      <c r="NJ2396" s="38"/>
      <c r="NK2396" s="38"/>
      <c r="NL2396" s="38"/>
      <c r="NM2396" s="38"/>
      <c r="NN2396" s="38"/>
      <c r="NO2396" s="38"/>
      <c r="NP2396" s="38"/>
      <c r="NQ2396" s="38"/>
      <c r="NR2396" s="38"/>
      <c r="NS2396" s="38"/>
      <c r="NT2396" s="38"/>
      <c r="NU2396" s="38"/>
      <c r="NV2396" s="38"/>
      <c r="NW2396" s="38"/>
      <c r="NX2396" s="38"/>
      <c r="NY2396" s="38"/>
      <c r="NZ2396" s="38"/>
      <c r="OA2396" s="38"/>
      <c r="OB2396" s="38"/>
      <c r="OC2396" s="38"/>
      <c r="OD2396" s="38"/>
      <c r="OE2396" s="38"/>
      <c r="OF2396" s="38"/>
      <c r="OG2396" s="38"/>
      <c r="OH2396" s="38"/>
      <c r="OI2396" s="38"/>
      <c r="OJ2396" s="38"/>
      <c r="OK2396" s="38"/>
      <c r="OL2396" s="38"/>
      <c r="OM2396" s="38"/>
      <c r="ON2396" s="38"/>
      <c r="OO2396" s="38"/>
      <c r="OP2396" s="38"/>
      <c r="OQ2396" s="38"/>
      <c r="OR2396" s="38"/>
      <c r="OS2396" s="38"/>
      <c r="OT2396" s="38"/>
      <c r="OU2396" s="38"/>
      <c r="OV2396" s="38"/>
      <c r="OW2396" s="38"/>
      <c r="OX2396" s="38"/>
      <c r="OY2396" s="38"/>
      <c r="OZ2396" s="38"/>
      <c r="PA2396" s="38"/>
      <c r="PB2396" s="38"/>
      <c r="PC2396" s="38"/>
      <c r="PD2396" s="38"/>
      <c r="PE2396" s="38"/>
      <c r="PF2396" s="38"/>
      <c r="PG2396" s="38"/>
      <c r="PH2396" s="38"/>
      <c r="PI2396" s="38"/>
      <c r="PJ2396" s="38"/>
      <c r="PK2396" s="38"/>
      <c r="PL2396" s="38"/>
      <c r="PM2396" s="38"/>
      <c r="PN2396" s="38"/>
      <c r="PO2396" s="38"/>
      <c r="PP2396" s="38"/>
      <c r="PQ2396" s="38"/>
      <c r="PR2396" s="38"/>
      <c r="PS2396" s="38"/>
      <c r="PT2396" s="38"/>
      <c r="PU2396" s="38"/>
      <c r="PV2396" s="38"/>
      <c r="PW2396" s="38"/>
      <c r="PX2396" s="38"/>
      <c r="PY2396" s="38"/>
      <c r="PZ2396" s="38"/>
      <c r="QA2396" s="38"/>
      <c r="QB2396" s="38"/>
      <c r="QC2396" s="38"/>
      <c r="QD2396" s="38"/>
      <c r="QE2396" s="38"/>
      <c r="QF2396" s="38"/>
      <c r="QG2396" s="38"/>
      <c r="QH2396" s="38"/>
      <c r="QI2396" s="38"/>
      <c r="QJ2396" s="38"/>
      <c r="QK2396" s="38"/>
      <c r="QL2396" s="38"/>
      <c r="QM2396" s="38"/>
      <c r="QN2396" s="38"/>
      <c r="QO2396" s="38"/>
      <c r="QP2396" s="38"/>
      <c r="QQ2396" s="38"/>
      <c r="QR2396" s="38"/>
      <c r="QS2396" s="38"/>
      <c r="QT2396" s="38"/>
      <c r="QU2396" s="38"/>
      <c r="QV2396" s="38"/>
      <c r="QW2396" s="38"/>
      <c r="QX2396" s="38"/>
      <c r="QY2396" s="38"/>
      <c r="QZ2396" s="38"/>
      <c r="RA2396" s="38"/>
      <c r="RB2396" s="38"/>
      <c r="RC2396" s="38"/>
      <c r="RD2396" s="38"/>
      <c r="RE2396" s="38"/>
      <c r="RF2396" s="38"/>
      <c r="RG2396" s="38"/>
      <c r="RH2396" s="38"/>
      <c r="RI2396" s="38"/>
      <c r="RJ2396" s="38"/>
      <c r="RK2396" s="38"/>
      <c r="RL2396" s="38"/>
      <c r="RM2396" s="38"/>
      <c r="RN2396" s="38"/>
      <c r="RO2396" s="38"/>
      <c r="RP2396" s="38"/>
      <c r="RQ2396" s="38"/>
      <c r="RR2396" s="38"/>
      <c r="RS2396" s="38"/>
      <c r="RT2396" s="38"/>
      <c r="RU2396" s="38"/>
      <c r="RV2396" s="38"/>
      <c r="RW2396" s="38"/>
      <c r="RX2396" s="38"/>
      <c r="RY2396" s="38"/>
      <c r="RZ2396" s="38"/>
      <c r="SA2396" s="38"/>
      <c r="SB2396" s="38"/>
      <c r="SC2396" s="38"/>
      <c r="SD2396" s="38"/>
      <c r="SE2396" s="38"/>
      <c r="SF2396" s="38"/>
      <c r="SG2396" s="38"/>
      <c r="SH2396" s="38"/>
      <c r="SI2396" s="38"/>
      <c r="SJ2396" s="38"/>
      <c r="SK2396" s="38"/>
      <c r="SL2396" s="38"/>
      <c r="SM2396" s="38"/>
      <c r="SN2396" s="38"/>
      <c r="SO2396" s="38"/>
      <c r="SP2396" s="38"/>
      <c r="SQ2396" s="38"/>
      <c r="SR2396" s="38"/>
      <c r="SS2396" s="38"/>
      <c r="ST2396" s="38"/>
      <c r="SU2396" s="38"/>
      <c r="SV2396" s="38"/>
      <c r="SW2396" s="38"/>
      <c r="SX2396" s="38"/>
      <c r="SY2396" s="38"/>
      <c r="SZ2396" s="38"/>
      <c r="TA2396" s="38"/>
      <c r="TB2396" s="38"/>
      <c r="TC2396" s="38"/>
      <c r="TD2396" s="38"/>
      <c r="TE2396" s="38"/>
      <c r="TF2396" s="38"/>
      <c r="TG2396" s="38"/>
      <c r="TH2396" s="38"/>
      <c r="TI2396" s="38"/>
      <c r="TJ2396" s="38"/>
      <c r="TK2396" s="38"/>
      <c r="TL2396" s="38"/>
      <c r="TM2396" s="38"/>
      <c r="TN2396" s="38"/>
      <c r="TO2396" s="38"/>
      <c r="TP2396" s="38"/>
      <c r="TQ2396" s="38"/>
      <c r="TR2396" s="38"/>
      <c r="TS2396" s="38"/>
      <c r="TT2396" s="38"/>
      <c r="TU2396" s="38"/>
      <c r="TV2396" s="38"/>
      <c r="TW2396" s="38"/>
      <c r="TX2396" s="38"/>
      <c r="TY2396" s="38"/>
      <c r="TZ2396" s="38"/>
      <c r="UA2396" s="38"/>
      <c r="UB2396" s="38"/>
      <c r="UC2396" s="38"/>
      <c r="UD2396" s="38"/>
      <c r="UE2396" s="38"/>
      <c r="UF2396" s="38"/>
      <c r="UG2396" s="38"/>
      <c r="UH2396" s="38"/>
      <c r="UI2396" s="38"/>
      <c r="UJ2396" s="38"/>
      <c r="UK2396" s="38"/>
      <c r="UL2396" s="38"/>
      <c r="UM2396" s="38"/>
      <c r="UN2396" s="38"/>
      <c r="UO2396" s="38"/>
      <c r="UP2396" s="38"/>
      <c r="UQ2396" s="38"/>
      <c r="UR2396" s="38"/>
      <c r="US2396" s="38"/>
      <c r="UT2396" s="38"/>
      <c r="UU2396" s="38"/>
      <c r="UV2396" s="38"/>
      <c r="UW2396" s="38"/>
      <c r="UX2396" s="38"/>
      <c r="UY2396" s="38"/>
      <c r="UZ2396" s="38"/>
      <c r="VA2396" s="38"/>
      <c r="VB2396" s="38"/>
      <c r="VC2396" s="38"/>
      <c r="VD2396" s="38"/>
      <c r="VE2396" s="38"/>
      <c r="VF2396" s="38"/>
      <c r="VG2396" s="38"/>
      <c r="VH2396" s="38"/>
      <c r="VI2396" s="38"/>
      <c r="VJ2396" s="38"/>
      <c r="VK2396" s="38"/>
      <c r="VL2396" s="38"/>
      <c r="VM2396" s="38"/>
      <c r="VN2396" s="38"/>
      <c r="VO2396" s="38"/>
      <c r="VP2396" s="38"/>
      <c r="VQ2396" s="38"/>
      <c r="VR2396" s="38"/>
      <c r="VS2396" s="38"/>
      <c r="VT2396" s="38"/>
      <c r="VU2396" s="38"/>
      <c r="VV2396" s="38"/>
      <c r="VW2396" s="38"/>
      <c r="VX2396" s="38"/>
      <c r="VY2396" s="38"/>
      <c r="VZ2396" s="38"/>
      <c r="WA2396" s="38"/>
      <c r="WB2396" s="38"/>
      <c r="WC2396" s="38"/>
      <c r="WD2396" s="38"/>
      <c r="WE2396" s="38"/>
      <c r="WF2396" s="38"/>
      <c r="WG2396" s="38"/>
      <c r="WH2396" s="38"/>
      <c r="WI2396" s="38"/>
      <c r="WJ2396" s="38"/>
      <c r="WK2396" s="38"/>
      <c r="WL2396" s="38"/>
      <c r="WM2396" s="38"/>
      <c r="WN2396" s="38"/>
      <c r="WO2396" s="38"/>
      <c r="WP2396" s="38"/>
      <c r="WQ2396" s="38"/>
      <c r="WR2396" s="38"/>
      <c r="WS2396" s="38"/>
      <c r="WT2396" s="38"/>
      <c r="WU2396" s="38"/>
      <c r="WV2396" s="38"/>
      <c r="WW2396" s="38"/>
      <c r="WX2396" s="38"/>
      <c r="WY2396" s="38"/>
      <c r="WZ2396" s="38"/>
      <c r="XA2396" s="38"/>
      <c r="XB2396" s="38"/>
      <c r="XC2396" s="38"/>
      <c r="XD2396" s="38"/>
      <c r="XE2396" s="38"/>
      <c r="XF2396" s="38"/>
      <c r="XG2396" s="38"/>
      <c r="XH2396" s="38"/>
      <c r="XI2396" s="38"/>
      <c r="XJ2396" s="38"/>
      <c r="XK2396" s="38"/>
      <c r="XL2396" s="38"/>
      <c r="XM2396" s="38"/>
      <c r="XN2396" s="38"/>
      <c r="XO2396" s="38"/>
      <c r="XP2396" s="38"/>
      <c r="XQ2396" s="38"/>
      <c r="XR2396" s="38"/>
      <c r="XS2396" s="38"/>
      <c r="XT2396" s="38"/>
      <c r="XU2396" s="38"/>
      <c r="XV2396" s="38"/>
      <c r="XW2396" s="38"/>
      <c r="XX2396" s="38"/>
      <c r="XY2396" s="38"/>
      <c r="XZ2396" s="38"/>
      <c r="YA2396" s="38"/>
      <c r="YB2396" s="38"/>
      <c r="YC2396" s="38"/>
      <c r="YD2396" s="38"/>
      <c r="YE2396" s="38"/>
      <c r="YF2396" s="38"/>
      <c r="YG2396" s="38"/>
      <c r="YH2396" s="38"/>
      <c r="YI2396" s="38"/>
      <c r="YJ2396" s="38"/>
      <c r="YK2396" s="38"/>
      <c r="YL2396" s="38"/>
      <c r="YM2396" s="38"/>
      <c r="YN2396" s="38"/>
      <c r="YO2396" s="38"/>
      <c r="YP2396" s="38"/>
      <c r="YQ2396" s="38"/>
      <c r="YR2396" s="38"/>
      <c r="YS2396" s="38"/>
      <c r="YT2396" s="38"/>
      <c r="YU2396" s="38"/>
      <c r="YV2396" s="38"/>
      <c r="YW2396" s="38"/>
      <c r="YX2396" s="38"/>
      <c r="YY2396" s="38"/>
      <c r="YZ2396" s="38"/>
      <c r="ZA2396" s="38"/>
      <c r="ZB2396" s="38"/>
      <c r="ZC2396" s="38"/>
      <c r="ZD2396" s="38"/>
      <c r="ZE2396" s="38"/>
      <c r="ZF2396" s="38"/>
      <c r="ZG2396" s="38"/>
      <c r="ZH2396" s="38"/>
      <c r="ZI2396" s="38"/>
      <c r="ZJ2396" s="38"/>
      <c r="ZK2396" s="38"/>
      <c r="ZL2396" s="38"/>
      <c r="ZM2396" s="38"/>
      <c r="ZN2396" s="38"/>
      <c r="ZO2396" s="38"/>
      <c r="ZP2396" s="38"/>
      <c r="ZQ2396" s="38"/>
      <c r="ZR2396" s="38"/>
      <c r="ZS2396" s="38"/>
      <c r="ZT2396" s="38"/>
      <c r="ZU2396" s="38"/>
      <c r="ZV2396" s="38"/>
      <c r="ZW2396" s="38"/>
      <c r="ZX2396" s="38"/>
      <c r="ZY2396" s="38"/>
      <c r="ZZ2396" s="38"/>
      <c r="AAA2396" s="38"/>
      <c r="AAB2396" s="38"/>
      <c r="AAC2396" s="38"/>
      <c r="AAD2396" s="38"/>
      <c r="AAE2396" s="38"/>
      <c r="AAF2396" s="38"/>
      <c r="AAG2396" s="38"/>
      <c r="AAH2396" s="38"/>
      <c r="AAI2396" s="38"/>
      <c r="AAJ2396" s="38"/>
      <c r="AAK2396" s="38"/>
      <c r="AAL2396" s="38"/>
      <c r="AAM2396" s="38"/>
      <c r="AAN2396" s="38"/>
      <c r="AAO2396" s="38"/>
      <c r="AAP2396" s="38"/>
      <c r="AAQ2396" s="38"/>
      <c r="AAR2396" s="38"/>
      <c r="AAS2396" s="38"/>
      <c r="AAT2396" s="38"/>
      <c r="AAU2396" s="38"/>
      <c r="AAV2396" s="38"/>
      <c r="AAW2396" s="38"/>
      <c r="AAX2396" s="38"/>
      <c r="AAY2396" s="38"/>
      <c r="AAZ2396" s="38"/>
      <c r="ABA2396" s="38"/>
      <c r="ABB2396" s="38"/>
      <c r="ABC2396" s="38"/>
      <c r="ABD2396" s="38"/>
      <c r="ABE2396" s="38"/>
      <c r="ABF2396" s="38"/>
      <c r="ABG2396" s="38"/>
      <c r="ABH2396" s="38"/>
      <c r="ABI2396" s="38"/>
      <c r="ABJ2396" s="38"/>
      <c r="ABK2396" s="38"/>
      <c r="ABL2396" s="38"/>
      <c r="ABM2396" s="38"/>
      <c r="ABN2396" s="38"/>
      <c r="ABO2396" s="38"/>
      <c r="ABP2396" s="38"/>
      <c r="ABQ2396" s="38"/>
      <c r="ABR2396" s="38"/>
      <c r="ABS2396" s="38"/>
      <c r="ABT2396" s="38"/>
      <c r="ABU2396" s="38"/>
      <c r="ABV2396" s="38"/>
      <c r="ABW2396" s="38"/>
      <c r="ABX2396" s="38"/>
      <c r="ABY2396" s="38"/>
      <c r="ABZ2396" s="38"/>
      <c r="ACA2396" s="38"/>
      <c r="ACB2396" s="38"/>
      <c r="ACC2396" s="38"/>
      <c r="ACD2396" s="38"/>
      <c r="ACE2396" s="38"/>
      <c r="ACF2396" s="38"/>
      <c r="ACG2396" s="38"/>
      <c r="ACH2396" s="38"/>
      <c r="ACI2396" s="38"/>
      <c r="ACJ2396" s="38"/>
      <c r="ACK2396" s="38"/>
      <c r="ACL2396" s="38"/>
      <c r="ACM2396" s="38"/>
      <c r="ACN2396" s="38"/>
      <c r="ACO2396" s="38"/>
      <c r="ACP2396" s="38"/>
      <c r="ACQ2396" s="38"/>
      <c r="ACR2396" s="38"/>
      <c r="ACS2396" s="38"/>
      <c r="ACT2396" s="38"/>
      <c r="ACU2396" s="38"/>
      <c r="ACV2396" s="38"/>
      <c r="ACW2396" s="38"/>
      <c r="ACX2396" s="38"/>
      <c r="ACY2396" s="38"/>
      <c r="ACZ2396" s="38"/>
      <c r="ADA2396" s="38"/>
      <c r="ADB2396" s="38"/>
      <c r="ADC2396" s="38"/>
      <c r="ADD2396" s="38"/>
      <c r="ADE2396" s="38"/>
      <c r="ADF2396" s="38"/>
      <c r="ADG2396" s="38"/>
      <c r="ADH2396" s="38"/>
      <c r="ADI2396" s="38"/>
      <c r="ADJ2396" s="38"/>
      <c r="ADK2396" s="38"/>
      <c r="ADL2396" s="38"/>
      <c r="ADM2396" s="38"/>
      <c r="ADN2396" s="38"/>
      <c r="ADO2396" s="38"/>
      <c r="ADP2396" s="38"/>
      <c r="ADQ2396" s="38"/>
      <c r="ADR2396" s="38"/>
      <c r="ADS2396" s="38"/>
      <c r="ADT2396" s="38"/>
      <c r="ADU2396" s="38"/>
      <c r="ADV2396" s="38"/>
      <c r="ADW2396" s="38"/>
      <c r="ADX2396" s="38"/>
      <c r="ADY2396" s="38"/>
      <c r="ADZ2396" s="38"/>
      <c r="AEA2396" s="38"/>
      <c r="AEB2396" s="38"/>
      <c r="AEC2396" s="38"/>
      <c r="AED2396" s="38"/>
      <c r="AEE2396" s="38"/>
      <c r="AEF2396" s="38"/>
      <c r="AEG2396" s="38"/>
      <c r="AEH2396" s="38"/>
      <c r="AEI2396" s="38"/>
      <c r="AEJ2396" s="38"/>
      <c r="AEK2396" s="38"/>
      <c r="AEL2396" s="38"/>
      <c r="AEM2396" s="38"/>
      <c r="AEN2396" s="38"/>
      <c r="AEO2396" s="38"/>
      <c r="AEP2396" s="38"/>
      <c r="AEQ2396" s="38"/>
      <c r="AER2396" s="38"/>
      <c r="AES2396" s="38"/>
      <c r="AET2396" s="38"/>
      <c r="AEU2396" s="38"/>
      <c r="AEV2396" s="38"/>
      <c r="AEW2396" s="38"/>
      <c r="AEX2396" s="38"/>
      <c r="AEY2396" s="38"/>
      <c r="AEZ2396" s="38"/>
      <c r="AFA2396" s="38"/>
      <c r="AFB2396" s="38"/>
      <c r="AFC2396" s="38"/>
      <c r="AFD2396" s="38"/>
      <c r="AFE2396" s="38"/>
      <c r="AFF2396" s="38"/>
      <c r="AFG2396" s="38"/>
      <c r="AFH2396" s="38"/>
      <c r="AFI2396" s="38"/>
      <c r="AFJ2396" s="38"/>
      <c r="AFK2396" s="38"/>
      <c r="AFL2396" s="38"/>
      <c r="AFM2396" s="38"/>
      <c r="AFN2396" s="38"/>
      <c r="AFO2396" s="38"/>
      <c r="AFP2396" s="38"/>
      <c r="AFQ2396" s="38"/>
      <c r="AFR2396" s="38"/>
      <c r="AFS2396" s="38"/>
      <c r="AFT2396" s="38"/>
      <c r="AFU2396" s="38"/>
      <c r="AFV2396" s="38"/>
      <c r="AFW2396" s="38"/>
      <c r="AFX2396" s="38"/>
      <c r="AFY2396" s="38"/>
      <c r="AFZ2396" s="38"/>
      <c r="AGA2396" s="38"/>
      <c r="AGB2396" s="38"/>
      <c r="AGC2396" s="38"/>
      <c r="AGD2396" s="38"/>
      <c r="AGE2396" s="38"/>
      <c r="AGF2396" s="38"/>
      <c r="AGG2396" s="38"/>
      <c r="AGH2396" s="38"/>
      <c r="AGI2396" s="38"/>
      <c r="AGJ2396" s="38"/>
      <c r="AGK2396" s="38"/>
      <c r="AGL2396" s="38"/>
      <c r="AGM2396" s="38"/>
      <c r="AGN2396" s="38"/>
      <c r="AGO2396" s="38"/>
      <c r="AGP2396" s="38"/>
      <c r="AGQ2396" s="38"/>
      <c r="AGR2396" s="38"/>
      <c r="AGS2396" s="38"/>
      <c r="AGT2396" s="38"/>
      <c r="AGU2396" s="38"/>
      <c r="AGV2396" s="38"/>
      <c r="AGW2396" s="38"/>
      <c r="AGX2396" s="38"/>
      <c r="AGY2396" s="38"/>
      <c r="AGZ2396" s="38"/>
      <c r="AHA2396" s="38"/>
      <c r="AHB2396" s="38"/>
      <c r="AHC2396" s="38"/>
      <c r="AHD2396" s="38"/>
      <c r="AHE2396" s="38"/>
      <c r="AHF2396" s="38"/>
      <c r="AHG2396" s="38"/>
      <c r="AHH2396" s="38"/>
      <c r="AHI2396" s="38"/>
      <c r="AHJ2396" s="38"/>
      <c r="AHK2396" s="38"/>
      <c r="AHL2396" s="38"/>
      <c r="AHM2396" s="38"/>
      <c r="AHN2396" s="38"/>
      <c r="AHO2396" s="38"/>
      <c r="AHP2396" s="38"/>
      <c r="AHQ2396" s="38"/>
      <c r="AHR2396" s="38"/>
      <c r="AHS2396" s="38"/>
      <c r="AHT2396" s="38"/>
      <c r="AHU2396" s="38"/>
      <c r="AHV2396" s="38"/>
      <c r="AHW2396" s="38"/>
      <c r="AHX2396" s="38"/>
      <c r="AHY2396" s="38"/>
      <c r="AHZ2396" s="38"/>
      <c r="AIA2396" s="38"/>
      <c r="AIB2396" s="38"/>
      <c r="AIC2396" s="38"/>
      <c r="AID2396" s="38"/>
      <c r="AIE2396" s="38"/>
      <c r="AIF2396" s="38"/>
      <c r="AIG2396" s="38"/>
      <c r="AIH2396" s="38"/>
      <c r="AII2396" s="38"/>
      <c r="AIJ2396" s="38"/>
      <c r="AIK2396" s="38"/>
      <c r="AIL2396" s="38"/>
      <c r="AIM2396" s="38"/>
      <c r="AIN2396" s="38"/>
      <c r="AIO2396" s="38"/>
      <c r="AIP2396" s="38"/>
      <c r="AIQ2396" s="38"/>
      <c r="AIR2396" s="38"/>
      <c r="AIS2396" s="38"/>
      <c r="AIT2396" s="38"/>
      <c r="AIU2396" s="38"/>
      <c r="AIV2396" s="38"/>
      <c r="AIW2396" s="38"/>
      <c r="AIX2396" s="38"/>
      <c r="AIY2396" s="38"/>
      <c r="AIZ2396" s="38"/>
      <c r="AJA2396" s="38"/>
      <c r="AJB2396" s="38"/>
      <c r="AJC2396" s="38"/>
      <c r="AJD2396" s="38"/>
      <c r="AJE2396" s="38"/>
      <c r="AJF2396" s="38"/>
      <c r="AJG2396" s="38"/>
      <c r="AJH2396" s="38"/>
      <c r="AJI2396" s="38"/>
      <c r="AJJ2396" s="38"/>
      <c r="AJK2396" s="38"/>
      <c r="AJL2396" s="38"/>
      <c r="AJM2396" s="38"/>
      <c r="AJN2396" s="38"/>
      <c r="AJO2396" s="38"/>
      <c r="AJP2396" s="38"/>
      <c r="AJQ2396" s="38"/>
      <c r="AJR2396" s="38"/>
      <c r="AJS2396" s="38"/>
      <c r="AJT2396" s="38"/>
      <c r="AJU2396" s="38"/>
      <c r="AJV2396" s="38"/>
      <c r="AJW2396" s="38"/>
      <c r="AJX2396" s="38"/>
      <c r="AJY2396" s="38"/>
      <c r="AJZ2396" s="38"/>
      <c r="AKA2396" s="38"/>
      <c r="AKB2396" s="38"/>
      <c r="AKC2396" s="38"/>
      <c r="AKD2396" s="38"/>
      <c r="AKE2396" s="38"/>
      <c r="AKF2396" s="38"/>
      <c r="AKG2396" s="38"/>
      <c r="AKH2396" s="38"/>
      <c r="AKI2396" s="38"/>
      <c r="AKJ2396" s="38"/>
      <c r="AKK2396" s="38"/>
      <c r="AKL2396" s="38"/>
      <c r="AKM2396" s="38"/>
      <c r="AKN2396" s="38"/>
      <c r="AKO2396" s="38"/>
      <c r="AKP2396" s="38"/>
      <c r="AKQ2396" s="38"/>
      <c r="AKR2396" s="38"/>
      <c r="AKS2396" s="38"/>
      <c r="AKT2396" s="38"/>
      <c r="AKU2396" s="38"/>
      <c r="AKV2396" s="38"/>
      <c r="AKW2396" s="38"/>
      <c r="AKX2396" s="38"/>
      <c r="AKY2396" s="38"/>
      <c r="AKZ2396" s="38"/>
      <c r="ALA2396" s="38"/>
      <c r="ALB2396" s="38"/>
      <c r="ALC2396" s="38"/>
      <c r="ALD2396" s="38"/>
      <c r="ALE2396" s="38"/>
      <c r="ALF2396" s="38"/>
      <c r="ALG2396" s="38"/>
      <c r="ALH2396" s="38"/>
      <c r="ALI2396" s="38"/>
      <c r="ALJ2396" s="38"/>
      <c r="ALK2396" s="38"/>
      <c r="ALL2396" s="38"/>
      <c r="ALM2396" s="38"/>
      <c r="ALN2396" s="38"/>
      <c r="ALO2396" s="38"/>
      <c r="ALP2396" s="38"/>
      <c r="ALQ2396" s="38"/>
      <c r="ALR2396" s="38"/>
      <c r="ALS2396" s="38"/>
      <c r="ALT2396" s="38"/>
      <c r="ALU2396" s="38"/>
      <c r="ALV2396" s="38"/>
      <c r="ALW2396" s="38"/>
      <c r="ALX2396" s="38"/>
      <c r="ALY2396" s="38"/>
      <c r="ALZ2396" s="38"/>
      <c r="AMA2396" s="38"/>
      <c r="AMB2396" s="38"/>
      <c r="AMC2396" s="38"/>
      <c r="AMD2396" s="38"/>
      <c r="AME2396" s="38"/>
      <c r="AMF2396" s="38"/>
      <c r="AMG2396" s="38"/>
      <c r="AMH2396" s="38"/>
      <c r="AMI2396" s="38"/>
      <c r="AMJ2396" s="38"/>
      <c r="AMK2396" s="38"/>
      <c r="AML2396" s="38"/>
      <c r="AMM2396" s="38"/>
      <c r="AMN2396" s="38"/>
      <c r="AMO2396" s="38"/>
      <c r="AMP2396" s="38"/>
      <c r="AMQ2396" s="38"/>
      <c r="AMR2396" s="38"/>
      <c r="AMS2396" s="38"/>
      <c r="AMT2396" s="38"/>
      <c r="AMU2396" s="38"/>
      <c r="AMV2396" s="38"/>
      <c r="AMW2396" s="38"/>
      <c r="AMX2396" s="38"/>
      <c r="AMY2396" s="38"/>
      <c r="AMZ2396" s="38"/>
      <c r="ANA2396" s="38"/>
      <c r="ANB2396" s="38"/>
      <c r="ANC2396" s="38"/>
      <c r="AND2396" s="38"/>
      <c r="ANE2396" s="38"/>
      <c r="ANF2396" s="38"/>
      <c r="ANG2396" s="38"/>
      <c r="ANH2396" s="38"/>
      <c r="ANI2396" s="38"/>
      <c r="ANJ2396" s="38"/>
      <c r="ANK2396" s="38"/>
      <c r="ANL2396" s="38"/>
      <c r="ANM2396" s="38"/>
      <c r="ANN2396" s="38"/>
      <c r="ANO2396" s="38"/>
      <c r="ANP2396" s="38"/>
      <c r="ANQ2396" s="38"/>
      <c r="ANR2396" s="38"/>
      <c r="ANS2396" s="38"/>
      <c r="ANT2396" s="38"/>
      <c r="ANU2396" s="38"/>
      <c r="ANV2396" s="38"/>
      <c r="ANW2396" s="38"/>
      <c r="ANX2396" s="38"/>
      <c r="ANY2396" s="38"/>
      <c r="ANZ2396" s="38"/>
      <c r="AOA2396" s="38"/>
      <c r="AOB2396" s="38"/>
      <c r="AOC2396" s="38"/>
      <c r="AOD2396" s="38"/>
      <c r="AOE2396" s="38"/>
      <c r="AOF2396" s="38"/>
      <c r="AOG2396" s="38"/>
      <c r="AOH2396" s="38"/>
      <c r="AOI2396" s="38"/>
      <c r="AOJ2396" s="38"/>
      <c r="AOK2396" s="38"/>
      <c r="AOL2396" s="38"/>
      <c r="AOM2396" s="38"/>
      <c r="AON2396" s="38"/>
      <c r="AOO2396" s="38"/>
      <c r="AOP2396" s="38"/>
      <c r="AOQ2396" s="38"/>
      <c r="AOR2396" s="38"/>
      <c r="AOS2396" s="38"/>
      <c r="AOT2396" s="38"/>
      <c r="AOU2396" s="38"/>
      <c r="AOV2396" s="38"/>
      <c r="AOW2396" s="38"/>
      <c r="AOX2396" s="38"/>
      <c r="AOY2396" s="38"/>
      <c r="AOZ2396" s="38"/>
      <c r="APA2396" s="38"/>
      <c r="APB2396" s="38"/>
      <c r="APC2396" s="38"/>
    </row>
    <row r="2397" spans="1:1095" s="36" customFormat="1" ht="14.25" customHeight="1">
      <c r="A2397" s="3" t="s">
        <v>1722</v>
      </c>
      <c r="B2397" s="36" t="s">
        <v>2985</v>
      </c>
      <c r="C2397" s="10">
        <v>4099854055713</v>
      </c>
      <c r="D2397" s="224">
        <v>4058075759602</v>
      </c>
      <c r="E2397" s="245" t="s">
        <v>2986</v>
      </c>
      <c r="F2397" s="246"/>
      <c r="G2397" s="66" t="str">
        <f>HYPERLINK("https://ledvance.com/pt/product-datasheet/251752/236507","Ficha de Produto")</f>
        <v>Ficha de Produto</v>
      </c>
      <c r="H2397" s="217">
        <v>10</v>
      </c>
      <c r="I2397" s="34" t="s">
        <v>858</v>
      </c>
      <c r="J2397" s="34" t="s">
        <v>1053</v>
      </c>
      <c r="K2397" s="34" t="s">
        <v>788</v>
      </c>
      <c r="L2397" s="34" t="s">
        <v>765</v>
      </c>
      <c r="M2397" s="247">
        <v>9.1</v>
      </c>
      <c r="N2397" s="288" t="s">
        <v>722</v>
      </c>
    </row>
    <row r="2398" spans="1:1095" s="36" customFormat="1" ht="14.25" customHeight="1">
      <c r="A2398" s="3" t="s">
        <v>1722</v>
      </c>
      <c r="B2398" s="36" t="s">
        <v>2987</v>
      </c>
      <c r="C2398" s="10">
        <v>4099854055751</v>
      </c>
      <c r="D2398" s="224">
        <v>4058075759626</v>
      </c>
      <c r="E2398" s="245" t="s">
        <v>2988</v>
      </c>
      <c r="F2398" s="246"/>
      <c r="G2398" s="66" t="str">
        <f>HYPERLINK("https://ledvance.com/pt/product-datasheet/251752/236513","Ficha de Produto")</f>
        <v>Ficha de Produto</v>
      </c>
      <c r="H2398" s="217">
        <v>10</v>
      </c>
      <c r="I2398" s="34" t="s">
        <v>1054</v>
      </c>
      <c r="J2398" s="34" t="s">
        <v>1053</v>
      </c>
      <c r="K2398" s="34" t="s">
        <v>788</v>
      </c>
      <c r="L2398" s="34" t="s">
        <v>765</v>
      </c>
      <c r="M2398" s="247">
        <v>9.1</v>
      </c>
      <c r="N2398" s="288" t="s">
        <v>722</v>
      </c>
    </row>
    <row r="2399" spans="1:1095" s="36" customFormat="1" ht="14.25" customHeight="1">
      <c r="A2399" s="3" t="s">
        <v>1722</v>
      </c>
      <c r="B2399" s="36" t="s">
        <v>2989</v>
      </c>
      <c r="C2399" s="10">
        <v>4099854055850</v>
      </c>
      <c r="D2399" s="224">
        <v>4058075759640</v>
      </c>
      <c r="E2399" s="245" t="s">
        <v>2990</v>
      </c>
      <c r="F2399" s="246"/>
      <c r="G2399" s="66" t="str">
        <f>HYPERLINK("https://ledvance.com/pt/product-datasheet/251752/236519","Ficha de Produto")</f>
        <v>Ficha de Produto</v>
      </c>
      <c r="H2399" s="217">
        <v>10</v>
      </c>
      <c r="I2399" s="34" t="s">
        <v>1054</v>
      </c>
      <c r="J2399" s="34" t="s">
        <v>1053</v>
      </c>
      <c r="K2399" s="34" t="s">
        <v>788</v>
      </c>
      <c r="L2399" s="34" t="s">
        <v>765</v>
      </c>
      <c r="M2399" s="247">
        <v>9.1</v>
      </c>
      <c r="N2399" s="288" t="s">
        <v>722</v>
      </c>
    </row>
    <row r="2400" spans="1:1095" s="39" customFormat="1" ht="14.25" customHeight="1">
      <c r="A2400" s="8" t="s">
        <v>1722</v>
      </c>
      <c r="B2400" s="244" t="s">
        <v>2991</v>
      </c>
      <c r="C2400" s="8"/>
      <c r="D2400" s="7"/>
      <c r="E2400" s="230"/>
      <c r="F2400" s="7"/>
      <c r="G2400" s="68"/>
      <c r="H2400" s="230"/>
      <c r="I2400" s="230"/>
      <c r="J2400" s="230"/>
      <c r="K2400" s="230"/>
      <c r="L2400" s="230"/>
      <c r="M2400" s="248"/>
      <c r="N2400" s="284"/>
      <c r="O2400" s="38"/>
      <c r="P2400" s="38"/>
      <c r="Q2400" s="38"/>
      <c r="R2400" s="38"/>
      <c r="S2400" s="38"/>
      <c r="T2400" s="38"/>
      <c r="U2400" s="38"/>
      <c r="V2400" s="38"/>
      <c r="W2400" s="38"/>
      <c r="X2400" s="38"/>
      <c r="Y2400" s="38"/>
      <c r="Z2400" s="38"/>
      <c r="AA2400" s="38"/>
      <c r="AB2400" s="38"/>
      <c r="AC2400" s="38"/>
      <c r="AD2400" s="38"/>
      <c r="AE2400" s="38"/>
      <c r="AF2400" s="38"/>
      <c r="AG2400" s="38"/>
      <c r="AH2400" s="38"/>
      <c r="AI2400" s="38"/>
      <c r="AJ2400" s="38"/>
      <c r="AK2400" s="38"/>
      <c r="AL2400" s="38"/>
      <c r="AM2400" s="38"/>
      <c r="AN2400" s="38"/>
      <c r="AO2400" s="38"/>
      <c r="AP2400" s="38"/>
      <c r="AQ2400" s="38"/>
      <c r="AR2400" s="38"/>
      <c r="AS2400" s="38"/>
      <c r="AT2400" s="38"/>
      <c r="AU2400" s="38"/>
      <c r="AV2400" s="38"/>
      <c r="AW2400" s="38"/>
      <c r="AX2400" s="38"/>
      <c r="AY2400" s="38"/>
      <c r="AZ2400" s="38"/>
      <c r="BA2400" s="38"/>
      <c r="BB2400" s="38"/>
      <c r="BC2400" s="38"/>
      <c r="BD2400" s="38"/>
      <c r="BE2400" s="38"/>
      <c r="BF2400" s="38"/>
      <c r="BG2400" s="38"/>
      <c r="BH2400" s="38"/>
      <c r="BI2400" s="38"/>
      <c r="BJ2400" s="38"/>
      <c r="BK2400" s="38"/>
      <c r="BL2400" s="38"/>
      <c r="BM2400" s="38"/>
      <c r="BN2400" s="38"/>
      <c r="BO2400" s="38"/>
      <c r="BP2400" s="38"/>
      <c r="BQ2400" s="38"/>
      <c r="BR2400" s="38"/>
      <c r="BS2400" s="38"/>
      <c r="BT2400" s="38"/>
      <c r="BU2400" s="38"/>
      <c r="BV2400" s="38"/>
      <c r="BW2400" s="38"/>
      <c r="BX2400" s="38"/>
      <c r="BY2400" s="38"/>
      <c r="BZ2400" s="38"/>
      <c r="CA2400" s="38"/>
      <c r="CB2400" s="38"/>
      <c r="CC2400" s="38"/>
      <c r="CD2400" s="38"/>
      <c r="CE2400" s="38"/>
      <c r="CF2400" s="38"/>
      <c r="CG2400" s="38"/>
      <c r="CH2400" s="38"/>
      <c r="CI2400" s="38"/>
      <c r="CJ2400" s="38"/>
      <c r="CK2400" s="38"/>
      <c r="CL2400" s="38"/>
      <c r="CM2400" s="38"/>
      <c r="CN2400" s="38"/>
      <c r="CO2400" s="38"/>
      <c r="CP2400" s="38"/>
      <c r="CQ2400" s="38"/>
      <c r="CR2400" s="38"/>
      <c r="CS2400" s="38"/>
      <c r="CT2400" s="38"/>
      <c r="CU2400" s="38"/>
      <c r="CV2400" s="38"/>
      <c r="CW2400" s="38"/>
      <c r="CX2400" s="38"/>
      <c r="CY2400" s="38"/>
      <c r="CZ2400" s="38"/>
      <c r="DA2400" s="38"/>
      <c r="DB2400" s="38"/>
      <c r="DC2400" s="38"/>
      <c r="DD2400" s="38"/>
      <c r="DE2400" s="38"/>
      <c r="DF2400" s="38"/>
      <c r="DG2400" s="38"/>
      <c r="DH2400" s="38"/>
      <c r="DI2400" s="38"/>
      <c r="DJ2400" s="38"/>
      <c r="DK2400" s="38"/>
      <c r="DL2400" s="38"/>
      <c r="DM2400" s="38"/>
      <c r="DN2400" s="38"/>
      <c r="DO2400" s="38"/>
      <c r="DP2400" s="38"/>
      <c r="DQ2400" s="38"/>
      <c r="DR2400" s="38"/>
      <c r="DS2400" s="38"/>
      <c r="DT2400" s="38"/>
      <c r="DU2400" s="38"/>
      <c r="DV2400" s="38"/>
      <c r="DW2400" s="38"/>
      <c r="DX2400" s="38"/>
      <c r="DY2400" s="38"/>
      <c r="DZ2400" s="38"/>
      <c r="EA2400" s="38"/>
      <c r="EB2400" s="38"/>
      <c r="EC2400" s="38"/>
      <c r="ED2400" s="38"/>
      <c r="EE2400" s="38"/>
      <c r="EF2400" s="38"/>
      <c r="EG2400" s="38"/>
      <c r="EH2400" s="38"/>
      <c r="EI2400" s="38"/>
      <c r="EJ2400" s="38"/>
      <c r="EK2400" s="38"/>
      <c r="EL2400" s="38"/>
      <c r="EM2400" s="38"/>
      <c r="EN2400" s="38"/>
      <c r="EO2400" s="38"/>
      <c r="EP2400" s="38"/>
      <c r="EQ2400" s="38"/>
      <c r="ER2400" s="38"/>
      <c r="ES2400" s="38"/>
      <c r="ET2400" s="38"/>
      <c r="EU2400" s="38"/>
      <c r="EV2400" s="38"/>
      <c r="EW2400" s="38"/>
      <c r="EX2400" s="38"/>
      <c r="EY2400" s="38"/>
      <c r="EZ2400" s="38"/>
      <c r="FA2400" s="38"/>
      <c r="FB2400" s="38"/>
      <c r="FC2400" s="38"/>
      <c r="FD2400" s="38"/>
      <c r="FE2400" s="38"/>
      <c r="FF2400" s="38"/>
      <c r="FG2400" s="38"/>
      <c r="FH2400" s="38"/>
      <c r="FI2400" s="38"/>
      <c r="FJ2400" s="38"/>
      <c r="FK2400" s="38"/>
      <c r="FL2400" s="38"/>
      <c r="FM2400" s="38"/>
      <c r="FN2400" s="38"/>
      <c r="FO2400" s="38"/>
      <c r="FP2400" s="38"/>
      <c r="FQ2400" s="38"/>
      <c r="FR2400" s="38"/>
      <c r="FS2400" s="38"/>
      <c r="FT2400" s="38"/>
      <c r="FU2400" s="38"/>
      <c r="FV2400" s="38"/>
      <c r="FW2400" s="38"/>
      <c r="FX2400" s="38"/>
      <c r="FY2400" s="38"/>
      <c r="FZ2400" s="38"/>
      <c r="GA2400" s="38"/>
      <c r="GB2400" s="38"/>
      <c r="GC2400" s="38"/>
      <c r="GD2400" s="38"/>
      <c r="GE2400" s="38"/>
      <c r="GF2400" s="38"/>
      <c r="GG2400" s="38"/>
      <c r="GH2400" s="38"/>
      <c r="GI2400" s="38"/>
      <c r="GJ2400" s="38"/>
      <c r="GK2400" s="38"/>
      <c r="GL2400" s="38"/>
      <c r="GM2400" s="38"/>
      <c r="GN2400" s="38"/>
      <c r="GO2400" s="38"/>
      <c r="GP2400" s="38"/>
      <c r="GQ2400" s="38"/>
      <c r="GR2400" s="38"/>
      <c r="GS2400" s="38"/>
      <c r="GT2400" s="38"/>
      <c r="GU2400" s="38"/>
      <c r="GV2400" s="38"/>
      <c r="GW2400" s="38"/>
      <c r="GX2400" s="38"/>
      <c r="GY2400" s="38"/>
      <c r="GZ2400" s="38"/>
      <c r="HA2400" s="38"/>
      <c r="HB2400" s="38"/>
      <c r="HC2400" s="38"/>
      <c r="HD2400" s="38"/>
      <c r="HE2400" s="38"/>
      <c r="HF2400" s="38"/>
      <c r="HG2400" s="38"/>
      <c r="HH2400" s="38"/>
      <c r="HI2400" s="38"/>
      <c r="HJ2400" s="38"/>
      <c r="HK2400" s="38"/>
      <c r="HL2400" s="38"/>
      <c r="HM2400" s="38"/>
      <c r="HN2400" s="38"/>
      <c r="HO2400" s="38"/>
      <c r="HP2400" s="38"/>
      <c r="HQ2400" s="38"/>
      <c r="HR2400" s="38"/>
      <c r="HS2400" s="38"/>
      <c r="HT2400" s="38"/>
      <c r="HU2400" s="38"/>
      <c r="HV2400" s="38"/>
      <c r="HW2400" s="38"/>
      <c r="HX2400" s="38"/>
      <c r="HY2400" s="38"/>
      <c r="HZ2400" s="38"/>
      <c r="IA2400" s="38"/>
      <c r="IB2400" s="38"/>
      <c r="IC2400" s="38"/>
      <c r="ID2400" s="38"/>
      <c r="IE2400" s="38"/>
      <c r="IF2400" s="38"/>
      <c r="IG2400" s="38"/>
      <c r="IH2400" s="38"/>
      <c r="II2400" s="38"/>
      <c r="IJ2400" s="38"/>
      <c r="IK2400" s="38"/>
      <c r="IL2400" s="38"/>
      <c r="IM2400" s="38"/>
      <c r="IN2400" s="38"/>
      <c r="IO2400" s="38"/>
      <c r="IP2400" s="38"/>
      <c r="IQ2400" s="38"/>
      <c r="IR2400" s="38"/>
      <c r="IS2400" s="38"/>
      <c r="IT2400" s="38"/>
      <c r="IU2400" s="38"/>
      <c r="IV2400" s="38"/>
      <c r="IW2400" s="38"/>
      <c r="IX2400" s="38"/>
      <c r="IY2400" s="38"/>
      <c r="IZ2400" s="38"/>
      <c r="JA2400" s="38"/>
      <c r="JB2400" s="38"/>
      <c r="JC2400" s="38"/>
      <c r="JD2400" s="38"/>
      <c r="JE2400" s="38"/>
      <c r="JF2400" s="38"/>
      <c r="JG2400" s="38"/>
      <c r="JH2400" s="38"/>
      <c r="JI2400" s="38"/>
      <c r="JJ2400" s="38"/>
      <c r="JK2400" s="38"/>
      <c r="JL2400" s="38"/>
      <c r="JM2400" s="38"/>
      <c r="JN2400" s="38"/>
      <c r="JO2400" s="38"/>
      <c r="JP2400" s="38"/>
      <c r="JQ2400" s="38"/>
      <c r="JR2400" s="38"/>
      <c r="JS2400" s="38"/>
      <c r="JT2400" s="38"/>
      <c r="JU2400" s="38"/>
      <c r="JV2400" s="38"/>
      <c r="JW2400" s="38"/>
      <c r="JX2400" s="38"/>
      <c r="JY2400" s="38"/>
      <c r="JZ2400" s="38"/>
      <c r="KA2400" s="38"/>
      <c r="KB2400" s="38"/>
      <c r="KC2400" s="38"/>
      <c r="KD2400" s="38"/>
      <c r="KE2400" s="38"/>
      <c r="KF2400" s="38"/>
      <c r="KG2400" s="38"/>
      <c r="KH2400" s="38"/>
      <c r="KI2400" s="38"/>
      <c r="KJ2400" s="38"/>
      <c r="KK2400" s="38"/>
      <c r="KL2400" s="38"/>
      <c r="KM2400" s="38"/>
      <c r="KN2400" s="38"/>
      <c r="KO2400" s="38"/>
      <c r="KP2400" s="38"/>
      <c r="KQ2400" s="38"/>
      <c r="KR2400" s="38"/>
      <c r="KS2400" s="38"/>
      <c r="KT2400" s="38"/>
      <c r="KU2400" s="38"/>
      <c r="KV2400" s="38"/>
      <c r="KW2400" s="38"/>
      <c r="KX2400" s="38"/>
      <c r="KY2400" s="38"/>
      <c r="KZ2400" s="38"/>
      <c r="LA2400" s="38"/>
      <c r="LB2400" s="38"/>
      <c r="LC2400" s="38"/>
      <c r="LD2400" s="38"/>
      <c r="LE2400" s="38"/>
      <c r="LF2400" s="38"/>
      <c r="LG2400" s="38"/>
      <c r="LH2400" s="38"/>
      <c r="LI2400" s="38"/>
      <c r="LJ2400" s="38"/>
      <c r="LK2400" s="38"/>
      <c r="LL2400" s="38"/>
      <c r="LM2400" s="38"/>
      <c r="LN2400" s="38"/>
      <c r="LO2400" s="38"/>
      <c r="LP2400" s="38"/>
      <c r="LQ2400" s="38"/>
      <c r="LR2400" s="38"/>
      <c r="LS2400" s="38"/>
      <c r="LT2400" s="38"/>
      <c r="LU2400" s="38"/>
      <c r="LV2400" s="38"/>
      <c r="LW2400" s="38"/>
      <c r="LX2400" s="38"/>
      <c r="LY2400" s="38"/>
      <c r="LZ2400" s="38"/>
      <c r="MA2400" s="38"/>
      <c r="MB2400" s="38"/>
      <c r="MC2400" s="38"/>
      <c r="MD2400" s="38"/>
      <c r="ME2400" s="38"/>
      <c r="MF2400" s="38"/>
      <c r="MG2400" s="38"/>
      <c r="MH2400" s="38"/>
      <c r="MI2400" s="38"/>
      <c r="MJ2400" s="38"/>
      <c r="MK2400" s="38"/>
      <c r="ML2400" s="38"/>
      <c r="MM2400" s="38"/>
      <c r="MN2400" s="38"/>
      <c r="MO2400" s="38"/>
      <c r="MP2400" s="38"/>
      <c r="MQ2400" s="38"/>
      <c r="MR2400" s="38"/>
      <c r="MS2400" s="38"/>
      <c r="MT2400" s="38"/>
      <c r="MU2400" s="38"/>
      <c r="MV2400" s="38"/>
      <c r="MW2400" s="38"/>
      <c r="MX2400" s="38"/>
      <c r="MY2400" s="38"/>
      <c r="MZ2400" s="38"/>
      <c r="NA2400" s="38"/>
      <c r="NB2400" s="38"/>
      <c r="NC2400" s="38"/>
      <c r="ND2400" s="38"/>
      <c r="NE2400" s="38"/>
      <c r="NF2400" s="38"/>
      <c r="NG2400" s="38"/>
      <c r="NH2400" s="38"/>
      <c r="NI2400" s="38"/>
      <c r="NJ2400" s="38"/>
      <c r="NK2400" s="38"/>
      <c r="NL2400" s="38"/>
      <c r="NM2400" s="38"/>
      <c r="NN2400" s="38"/>
      <c r="NO2400" s="38"/>
      <c r="NP2400" s="38"/>
      <c r="NQ2400" s="38"/>
      <c r="NR2400" s="38"/>
      <c r="NS2400" s="38"/>
      <c r="NT2400" s="38"/>
      <c r="NU2400" s="38"/>
      <c r="NV2400" s="38"/>
      <c r="NW2400" s="38"/>
      <c r="NX2400" s="38"/>
      <c r="NY2400" s="38"/>
      <c r="NZ2400" s="38"/>
      <c r="OA2400" s="38"/>
      <c r="OB2400" s="38"/>
      <c r="OC2400" s="38"/>
      <c r="OD2400" s="38"/>
      <c r="OE2400" s="38"/>
      <c r="OF2400" s="38"/>
      <c r="OG2400" s="38"/>
      <c r="OH2400" s="38"/>
      <c r="OI2400" s="38"/>
      <c r="OJ2400" s="38"/>
      <c r="OK2400" s="38"/>
      <c r="OL2400" s="38"/>
      <c r="OM2400" s="38"/>
      <c r="ON2400" s="38"/>
      <c r="OO2400" s="38"/>
      <c r="OP2400" s="38"/>
      <c r="OQ2400" s="38"/>
      <c r="OR2400" s="38"/>
      <c r="OS2400" s="38"/>
      <c r="OT2400" s="38"/>
      <c r="OU2400" s="38"/>
      <c r="OV2400" s="38"/>
      <c r="OW2400" s="38"/>
      <c r="OX2400" s="38"/>
      <c r="OY2400" s="38"/>
      <c r="OZ2400" s="38"/>
      <c r="PA2400" s="38"/>
      <c r="PB2400" s="38"/>
      <c r="PC2400" s="38"/>
      <c r="PD2400" s="38"/>
      <c r="PE2400" s="38"/>
      <c r="PF2400" s="38"/>
      <c r="PG2400" s="38"/>
      <c r="PH2400" s="38"/>
      <c r="PI2400" s="38"/>
      <c r="PJ2400" s="38"/>
      <c r="PK2400" s="38"/>
      <c r="PL2400" s="38"/>
      <c r="PM2400" s="38"/>
      <c r="PN2400" s="38"/>
      <c r="PO2400" s="38"/>
      <c r="PP2400" s="38"/>
      <c r="PQ2400" s="38"/>
      <c r="PR2400" s="38"/>
      <c r="PS2400" s="38"/>
      <c r="PT2400" s="38"/>
      <c r="PU2400" s="38"/>
      <c r="PV2400" s="38"/>
      <c r="PW2400" s="38"/>
      <c r="PX2400" s="38"/>
      <c r="PY2400" s="38"/>
      <c r="PZ2400" s="38"/>
      <c r="QA2400" s="38"/>
      <c r="QB2400" s="38"/>
      <c r="QC2400" s="38"/>
      <c r="QD2400" s="38"/>
      <c r="QE2400" s="38"/>
      <c r="QF2400" s="38"/>
      <c r="QG2400" s="38"/>
      <c r="QH2400" s="38"/>
      <c r="QI2400" s="38"/>
      <c r="QJ2400" s="38"/>
      <c r="QK2400" s="38"/>
      <c r="QL2400" s="38"/>
      <c r="QM2400" s="38"/>
      <c r="QN2400" s="38"/>
      <c r="QO2400" s="38"/>
      <c r="QP2400" s="38"/>
      <c r="QQ2400" s="38"/>
      <c r="QR2400" s="38"/>
      <c r="QS2400" s="38"/>
      <c r="QT2400" s="38"/>
      <c r="QU2400" s="38"/>
      <c r="QV2400" s="38"/>
      <c r="QW2400" s="38"/>
      <c r="QX2400" s="38"/>
      <c r="QY2400" s="38"/>
      <c r="QZ2400" s="38"/>
      <c r="RA2400" s="38"/>
      <c r="RB2400" s="38"/>
      <c r="RC2400" s="38"/>
      <c r="RD2400" s="38"/>
      <c r="RE2400" s="38"/>
      <c r="RF2400" s="38"/>
      <c r="RG2400" s="38"/>
      <c r="RH2400" s="38"/>
      <c r="RI2400" s="38"/>
      <c r="RJ2400" s="38"/>
      <c r="RK2400" s="38"/>
      <c r="RL2400" s="38"/>
      <c r="RM2400" s="38"/>
      <c r="RN2400" s="38"/>
      <c r="RO2400" s="38"/>
      <c r="RP2400" s="38"/>
      <c r="RQ2400" s="38"/>
      <c r="RR2400" s="38"/>
      <c r="RS2400" s="38"/>
      <c r="RT2400" s="38"/>
      <c r="RU2400" s="38"/>
      <c r="RV2400" s="38"/>
      <c r="RW2400" s="38"/>
      <c r="RX2400" s="38"/>
      <c r="RY2400" s="38"/>
      <c r="RZ2400" s="38"/>
      <c r="SA2400" s="38"/>
      <c r="SB2400" s="38"/>
      <c r="SC2400" s="38"/>
      <c r="SD2400" s="38"/>
      <c r="SE2400" s="38"/>
      <c r="SF2400" s="38"/>
      <c r="SG2400" s="38"/>
      <c r="SH2400" s="38"/>
      <c r="SI2400" s="38"/>
      <c r="SJ2400" s="38"/>
      <c r="SK2400" s="38"/>
      <c r="SL2400" s="38"/>
      <c r="SM2400" s="38"/>
      <c r="SN2400" s="38"/>
      <c r="SO2400" s="38"/>
      <c r="SP2400" s="38"/>
      <c r="SQ2400" s="38"/>
      <c r="SR2400" s="38"/>
      <c r="SS2400" s="38"/>
      <c r="ST2400" s="38"/>
      <c r="SU2400" s="38"/>
      <c r="SV2400" s="38"/>
      <c r="SW2400" s="38"/>
      <c r="SX2400" s="38"/>
      <c r="SY2400" s="38"/>
      <c r="SZ2400" s="38"/>
      <c r="TA2400" s="38"/>
      <c r="TB2400" s="38"/>
      <c r="TC2400" s="38"/>
      <c r="TD2400" s="38"/>
      <c r="TE2400" s="38"/>
      <c r="TF2400" s="38"/>
      <c r="TG2400" s="38"/>
      <c r="TH2400" s="38"/>
      <c r="TI2400" s="38"/>
      <c r="TJ2400" s="38"/>
      <c r="TK2400" s="38"/>
      <c r="TL2400" s="38"/>
      <c r="TM2400" s="38"/>
      <c r="TN2400" s="38"/>
      <c r="TO2400" s="38"/>
      <c r="TP2400" s="38"/>
      <c r="TQ2400" s="38"/>
      <c r="TR2400" s="38"/>
      <c r="TS2400" s="38"/>
      <c r="TT2400" s="38"/>
      <c r="TU2400" s="38"/>
      <c r="TV2400" s="38"/>
      <c r="TW2400" s="38"/>
      <c r="TX2400" s="38"/>
      <c r="TY2400" s="38"/>
      <c r="TZ2400" s="38"/>
      <c r="UA2400" s="38"/>
      <c r="UB2400" s="38"/>
      <c r="UC2400" s="38"/>
      <c r="UD2400" s="38"/>
      <c r="UE2400" s="38"/>
      <c r="UF2400" s="38"/>
      <c r="UG2400" s="38"/>
      <c r="UH2400" s="38"/>
      <c r="UI2400" s="38"/>
      <c r="UJ2400" s="38"/>
      <c r="UK2400" s="38"/>
      <c r="UL2400" s="38"/>
      <c r="UM2400" s="38"/>
      <c r="UN2400" s="38"/>
      <c r="UO2400" s="38"/>
      <c r="UP2400" s="38"/>
      <c r="UQ2400" s="38"/>
      <c r="UR2400" s="38"/>
      <c r="US2400" s="38"/>
      <c r="UT2400" s="38"/>
      <c r="UU2400" s="38"/>
      <c r="UV2400" s="38"/>
      <c r="UW2400" s="38"/>
      <c r="UX2400" s="38"/>
      <c r="UY2400" s="38"/>
      <c r="UZ2400" s="38"/>
      <c r="VA2400" s="38"/>
      <c r="VB2400" s="38"/>
      <c r="VC2400" s="38"/>
      <c r="VD2400" s="38"/>
      <c r="VE2400" s="38"/>
      <c r="VF2400" s="38"/>
      <c r="VG2400" s="38"/>
      <c r="VH2400" s="38"/>
      <c r="VI2400" s="38"/>
      <c r="VJ2400" s="38"/>
      <c r="VK2400" s="38"/>
      <c r="VL2400" s="38"/>
      <c r="VM2400" s="38"/>
      <c r="VN2400" s="38"/>
      <c r="VO2400" s="38"/>
      <c r="VP2400" s="38"/>
      <c r="VQ2400" s="38"/>
      <c r="VR2400" s="38"/>
      <c r="VS2400" s="38"/>
      <c r="VT2400" s="38"/>
      <c r="VU2400" s="38"/>
      <c r="VV2400" s="38"/>
      <c r="VW2400" s="38"/>
      <c r="VX2400" s="38"/>
      <c r="VY2400" s="38"/>
      <c r="VZ2400" s="38"/>
      <c r="WA2400" s="38"/>
      <c r="WB2400" s="38"/>
      <c r="WC2400" s="38"/>
      <c r="WD2400" s="38"/>
      <c r="WE2400" s="38"/>
      <c r="WF2400" s="38"/>
      <c r="WG2400" s="38"/>
      <c r="WH2400" s="38"/>
      <c r="WI2400" s="38"/>
      <c r="WJ2400" s="38"/>
      <c r="WK2400" s="38"/>
      <c r="WL2400" s="38"/>
      <c r="WM2400" s="38"/>
      <c r="WN2400" s="38"/>
      <c r="WO2400" s="38"/>
      <c r="WP2400" s="38"/>
      <c r="WQ2400" s="38"/>
      <c r="WR2400" s="38"/>
      <c r="WS2400" s="38"/>
      <c r="WT2400" s="38"/>
      <c r="WU2400" s="38"/>
      <c r="WV2400" s="38"/>
      <c r="WW2400" s="38"/>
      <c r="WX2400" s="38"/>
      <c r="WY2400" s="38"/>
      <c r="WZ2400" s="38"/>
      <c r="XA2400" s="38"/>
      <c r="XB2400" s="38"/>
      <c r="XC2400" s="38"/>
      <c r="XD2400" s="38"/>
      <c r="XE2400" s="38"/>
      <c r="XF2400" s="38"/>
      <c r="XG2400" s="38"/>
      <c r="XH2400" s="38"/>
      <c r="XI2400" s="38"/>
      <c r="XJ2400" s="38"/>
      <c r="XK2400" s="38"/>
      <c r="XL2400" s="38"/>
      <c r="XM2400" s="38"/>
      <c r="XN2400" s="38"/>
      <c r="XO2400" s="38"/>
      <c r="XP2400" s="38"/>
      <c r="XQ2400" s="38"/>
      <c r="XR2400" s="38"/>
      <c r="XS2400" s="38"/>
      <c r="XT2400" s="38"/>
      <c r="XU2400" s="38"/>
      <c r="XV2400" s="38"/>
      <c r="XW2400" s="38"/>
      <c r="XX2400" s="38"/>
      <c r="XY2400" s="38"/>
      <c r="XZ2400" s="38"/>
      <c r="YA2400" s="38"/>
      <c r="YB2400" s="38"/>
      <c r="YC2400" s="38"/>
      <c r="YD2400" s="38"/>
      <c r="YE2400" s="38"/>
      <c r="YF2400" s="38"/>
      <c r="YG2400" s="38"/>
      <c r="YH2400" s="38"/>
      <c r="YI2400" s="38"/>
      <c r="YJ2400" s="38"/>
      <c r="YK2400" s="38"/>
      <c r="YL2400" s="38"/>
      <c r="YM2400" s="38"/>
      <c r="YN2400" s="38"/>
      <c r="YO2400" s="38"/>
      <c r="YP2400" s="38"/>
      <c r="YQ2400" s="38"/>
      <c r="YR2400" s="38"/>
      <c r="YS2400" s="38"/>
      <c r="YT2400" s="38"/>
      <c r="YU2400" s="38"/>
      <c r="YV2400" s="38"/>
      <c r="YW2400" s="38"/>
      <c r="YX2400" s="38"/>
      <c r="YY2400" s="38"/>
      <c r="YZ2400" s="38"/>
      <c r="ZA2400" s="38"/>
      <c r="ZB2400" s="38"/>
      <c r="ZC2400" s="38"/>
      <c r="ZD2400" s="38"/>
      <c r="ZE2400" s="38"/>
      <c r="ZF2400" s="38"/>
      <c r="ZG2400" s="38"/>
      <c r="ZH2400" s="38"/>
      <c r="ZI2400" s="38"/>
      <c r="ZJ2400" s="38"/>
      <c r="ZK2400" s="38"/>
      <c r="ZL2400" s="38"/>
      <c r="ZM2400" s="38"/>
      <c r="ZN2400" s="38"/>
      <c r="ZO2400" s="38"/>
      <c r="ZP2400" s="38"/>
      <c r="ZQ2400" s="38"/>
      <c r="ZR2400" s="38"/>
      <c r="ZS2400" s="38"/>
      <c r="ZT2400" s="38"/>
      <c r="ZU2400" s="38"/>
      <c r="ZV2400" s="38"/>
      <c r="ZW2400" s="38"/>
      <c r="ZX2400" s="38"/>
      <c r="ZY2400" s="38"/>
      <c r="ZZ2400" s="38"/>
      <c r="AAA2400" s="38"/>
      <c r="AAB2400" s="38"/>
      <c r="AAC2400" s="38"/>
      <c r="AAD2400" s="38"/>
      <c r="AAE2400" s="38"/>
      <c r="AAF2400" s="38"/>
      <c r="AAG2400" s="38"/>
      <c r="AAH2400" s="38"/>
      <c r="AAI2400" s="38"/>
      <c r="AAJ2400" s="38"/>
      <c r="AAK2400" s="38"/>
      <c r="AAL2400" s="38"/>
      <c r="AAM2400" s="38"/>
      <c r="AAN2400" s="38"/>
      <c r="AAO2400" s="38"/>
      <c r="AAP2400" s="38"/>
      <c r="AAQ2400" s="38"/>
      <c r="AAR2400" s="38"/>
      <c r="AAS2400" s="38"/>
      <c r="AAT2400" s="38"/>
      <c r="AAU2400" s="38"/>
      <c r="AAV2400" s="38"/>
      <c r="AAW2400" s="38"/>
      <c r="AAX2400" s="38"/>
      <c r="AAY2400" s="38"/>
      <c r="AAZ2400" s="38"/>
      <c r="ABA2400" s="38"/>
      <c r="ABB2400" s="38"/>
      <c r="ABC2400" s="38"/>
      <c r="ABD2400" s="38"/>
      <c r="ABE2400" s="38"/>
      <c r="ABF2400" s="38"/>
      <c r="ABG2400" s="38"/>
      <c r="ABH2400" s="38"/>
      <c r="ABI2400" s="38"/>
      <c r="ABJ2400" s="38"/>
      <c r="ABK2400" s="38"/>
      <c r="ABL2400" s="38"/>
      <c r="ABM2400" s="38"/>
      <c r="ABN2400" s="38"/>
      <c r="ABO2400" s="38"/>
      <c r="ABP2400" s="38"/>
      <c r="ABQ2400" s="38"/>
      <c r="ABR2400" s="38"/>
      <c r="ABS2400" s="38"/>
      <c r="ABT2400" s="38"/>
      <c r="ABU2400" s="38"/>
      <c r="ABV2400" s="38"/>
      <c r="ABW2400" s="38"/>
      <c r="ABX2400" s="38"/>
      <c r="ABY2400" s="38"/>
      <c r="ABZ2400" s="38"/>
      <c r="ACA2400" s="38"/>
      <c r="ACB2400" s="38"/>
      <c r="ACC2400" s="38"/>
      <c r="ACD2400" s="38"/>
      <c r="ACE2400" s="38"/>
      <c r="ACF2400" s="38"/>
      <c r="ACG2400" s="38"/>
      <c r="ACH2400" s="38"/>
      <c r="ACI2400" s="38"/>
      <c r="ACJ2400" s="38"/>
      <c r="ACK2400" s="38"/>
      <c r="ACL2400" s="38"/>
      <c r="ACM2400" s="38"/>
      <c r="ACN2400" s="38"/>
      <c r="ACO2400" s="38"/>
      <c r="ACP2400" s="38"/>
      <c r="ACQ2400" s="38"/>
      <c r="ACR2400" s="38"/>
      <c r="ACS2400" s="38"/>
      <c r="ACT2400" s="38"/>
      <c r="ACU2400" s="38"/>
      <c r="ACV2400" s="38"/>
      <c r="ACW2400" s="38"/>
      <c r="ACX2400" s="38"/>
      <c r="ACY2400" s="38"/>
      <c r="ACZ2400" s="38"/>
      <c r="ADA2400" s="38"/>
      <c r="ADB2400" s="38"/>
      <c r="ADC2400" s="38"/>
      <c r="ADD2400" s="38"/>
      <c r="ADE2400" s="38"/>
      <c r="ADF2400" s="38"/>
      <c r="ADG2400" s="38"/>
      <c r="ADH2400" s="38"/>
      <c r="ADI2400" s="38"/>
      <c r="ADJ2400" s="38"/>
      <c r="ADK2400" s="38"/>
      <c r="ADL2400" s="38"/>
      <c r="ADM2400" s="38"/>
      <c r="ADN2400" s="38"/>
      <c r="ADO2400" s="38"/>
      <c r="ADP2400" s="38"/>
      <c r="ADQ2400" s="38"/>
      <c r="ADR2400" s="38"/>
      <c r="ADS2400" s="38"/>
      <c r="ADT2400" s="38"/>
      <c r="ADU2400" s="38"/>
      <c r="ADV2400" s="38"/>
      <c r="ADW2400" s="38"/>
      <c r="ADX2400" s="38"/>
      <c r="ADY2400" s="38"/>
      <c r="ADZ2400" s="38"/>
      <c r="AEA2400" s="38"/>
      <c r="AEB2400" s="38"/>
      <c r="AEC2400" s="38"/>
      <c r="AED2400" s="38"/>
      <c r="AEE2400" s="38"/>
      <c r="AEF2400" s="38"/>
      <c r="AEG2400" s="38"/>
      <c r="AEH2400" s="38"/>
      <c r="AEI2400" s="38"/>
      <c r="AEJ2400" s="38"/>
      <c r="AEK2400" s="38"/>
      <c r="AEL2400" s="38"/>
      <c r="AEM2400" s="38"/>
      <c r="AEN2400" s="38"/>
      <c r="AEO2400" s="38"/>
      <c r="AEP2400" s="38"/>
      <c r="AEQ2400" s="38"/>
      <c r="AER2400" s="38"/>
      <c r="AES2400" s="38"/>
      <c r="AET2400" s="38"/>
      <c r="AEU2400" s="38"/>
      <c r="AEV2400" s="38"/>
      <c r="AEW2400" s="38"/>
      <c r="AEX2400" s="38"/>
      <c r="AEY2400" s="38"/>
      <c r="AEZ2400" s="38"/>
      <c r="AFA2400" s="38"/>
      <c r="AFB2400" s="38"/>
      <c r="AFC2400" s="38"/>
      <c r="AFD2400" s="38"/>
      <c r="AFE2400" s="38"/>
      <c r="AFF2400" s="38"/>
      <c r="AFG2400" s="38"/>
      <c r="AFH2400" s="38"/>
      <c r="AFI2400" s="38"/>
      <c r="AFJ2400" s="38"/>
      <c r="AFK2400" s="38"/>
      <c r="AFL2400" s="38"/>
      <c r="AFM2400" s="38"/>
      <c r="AFN2400" s="38"/>
      <c r="AFO2400" s="38"/>
      <c r="AFP2400" s="38"/>
      <c r="AFQ2400" s="38"/>
      <c r="AFR2400" s="38"/>
      <c r="AFS2400" s="38"/>
      <c r="AFT2400" s="38"/>
      <c r="AFU2400" s="38"/>
      <c r="AFV2400" s="38"/>
      <c r="AFW2400" s="38"/>
      <c r="AFX2400" s="38"/>
      <c r="AFY2400" s="38"/>
      <c r="AFZ2400" s="38"/>
      <c r="AGA2400" s="38"/>
      <c r="AGB2400" s="38"/>
      <c r="AGC2400" s="38"/>
      <c r="AGD2400" s="38"/>
      <c r="AGE2400" s="38"/>
      <c r="AGF2400" s="38"/>
      <c r="AGG2400" s="38"/>
      <c r="AGH2400" s="38"/>
      <c r="AGI2400" s="38"/>
      <c r="AGJ2400" s="38"/>
      <c r="AGK2400" s="38"/>
      <c r="AGL2400" s="38"/>
      <c r="AGM2400" s="38"/>
      <c r="AGN2400" s="38"/>
      <c r="AGO2400" s="38"/>
      <c r="AGP2400" s="38"/>
      <c r="AGQ2400" s="38"/>
      <c r="AGR2400" s="38"/>
      <c r="AGS2400" s="38"/>
      <c r="AGT2400" s="38"/>
      <c r="AGU2400" s="38"/>
      <c r="AGV2400" s="38"/>
      <c r="AGW2400" s="38"/>
      <c r="AGX2400" s="38"/>
      <c r="AGY2400" s="38"/>
      <c r="AGZ2400" s="38"/>
      <c r="AHA2400" s="38"/>
      <c r="AHB2400" s="38"/>
      <c r="AHC2400" s="38"/>
      <c r="AHD2400" s="38"/>
      <c r="AHE2400" s="38"/>
      <c r="AHF2400" s="38"/>
      <c r="AHG2400" s="38"/>
      <c r="AHH2400" s="38"/>
      <c r="AHI2400" s="38"/>
      <c r="AHJ2400" s="38"/>
      <c r="AHK2400" s="38"/>
      <c r="AHL2400" s="38"/>
      <c r="AHM2400" s="38"/>
      <c r="AHN2400" s="38"/>
      <c r="AHO2400" s="38"/>
      <c r="AHP2400" s="38"/>
      <c r="AHQ2400" s="38"/>
      <c r="AHR2400" s="38"/>
      <c r="AHS2400" s="38"/>
      <c r="AHT2400" s="38"/>
      <c r="AHU2400" s="38"/>
      <c r="AHV2400" s="38"/>
      <c r="AHW2400" s="38"/>
      <c r="AHX2400" s="38"/>
      <c r="AHY2400" s="38"/>
      <c r="AHZ2400" s="38"/>
      <c r="AIA2400" s="38"/>
      <c r="AIB2400" s="38"/>
      <c r="AIC2400" s="38"/>
      <c r="AID2400" s="38"/>
      <c r="AIE2400" s="38"/>
      <c r="AIF2400" s="38"/>
      <c r="AIG2400" s="38"/>
      <c r="AIH2400" s="38"/>
      <c r="AII2400" s="38"/>
      <c r="AIJ2400" s="38"/>
      <c r="AIK2400" s="38"/>
      <c r="AIL2400" s="38"/>
      <c r="AIM2400" s="38"/>
      <c r="AIN2400" s="38"/>
      <c r="AIO2400" s="38"/>
      <c r="AIP2400" s="38"/>
      <c r="AIQ2400" s="38"/>
      <c r="AIR2400" s="38"/>
      <c r="AIS2400" s="38"/>
      <c r="AIT2400" s="38"/>
      <c r="AIU2400" s="38"/>
      <c r="AIV2400" s="38"/>
      <c r="AIW2400" s="38"/>
      <c r="AIX2400" s="38"/>
      <c r="AIY2400" s="38"/>
      <c r="AIZ2400" s="38"/>
      <c r="AJA2400" s="38"/>
      <c r="AJB2400" s="38"/>
      <c r="AJC2400" s="38"/>
      <c r="AJD2400" s="38"/>
      <c r="AJE2400" s="38"/>
      <c r="AJF2400" s="38"/>
      <c r="AJG2400" s="38"/>
      <c r="AJH2400" s="38"/>
      <c r="AJI2400" s="38"/>
      <c r="AJJ2400" s="38"/>
      <c r="AJK2400" s="38"/>
      <c r="AJL2400" s="38"/>
      <c r="AJM2400" s="38"/>
      <c r="AJN2400" s="38"/>
      <c r="AJO2400" s="38"/>
      <c r="AJP2400" s="38"/>
      <c r="AJQ2400" s="38"/>
      <c r="AJR2400" s="38"/>
      <c r="AJS2400" s="38"/>
      <c r="AJT2400" s="38"/>
      <c r="AJU2400" s="38"/>
      <c r="AJV2400" s="38"/>
      <c r="AJW2400" s="38"/>
      <c r="AJX2400" s="38"/>
      <c r="AJY2400" s="38"/>
      <c r="AJZ2400" s="38"/>
      <c r="AKA2400" s="38"/>
      <c r="AKB2400" s="38"/>
      <c r="AKC2400" s="38"/>
      <c r="AKD2400" s="38"/>
      <c r="AKE2400" s="38"/>
      <c r="AKF2400" s="38"/>
      <c r="AKG2400" s="38"/>
      <c r="AKH2400" s="38"/>
      <c r="AKI2400" s="38"/>
      <c r="AKJ2400" s="38"/>
      <c r="AKK2400" s="38"/>
      <c r="AKL2400" s="38"/>
      <c r="AKM2400" s="38"/>
      <c r="AKN2400" s="38"/>
      <c r="AKO2400" s="38"/>
      <c r="AKP2400" s="38"/>
      <c r="AKQ2400" s="38"/>
      <c r="AKR2400" s="38"/>
      <c r="AKS2400" s="38"/>
      <c r="AKT2400" s="38"/>
      <c r="AKU2400" s="38"/>
      <c r="AKV2400" s="38"/>
      <c r="AKW2400" s="38"/>
      <c r="AKX2400" s="38"/>
      <c r="AKY2400" s="38"/>
      <c r="AKZ2400" s="38"/>
      <c r="ALA2400" s="38"/>
      <c r="ALB2400" s="38"/>
      <c r="ALC2400" s="38"/>
      <c r="ALD2400" s="38"/>
      <c r="ALE2400" s="38"/>
      <c r="ALF2400" s="38"/>
      <c r="ALG2400" s="38"/>
      <c r="ALH2400" s="38"/>
      <c r="ALI2400" s="38"/>
      <c r="ALJ2400" s="38"/>
      <c r="ALK2400" s="38"/>
      <c r="ALL2400" s="38"/>
      <c r="ALM2400" s="38"/>
      <c r="ALN2400" s="38"/>
      <c r="ALO2400" s="38"/>
      <c r="ALP2400" s="38"/>
      <c r="ALQ2400" s="38"/>
      <c r="ALR2400" s="38"/>
      <c r="ALS2400" s="38"/>
      <c r="ALT2400" s="38"/>
      <c r="ALU2400" s="38"/>
      <c r="ALV2400" s="38"/>
      <c r="ALW2400" s="38"/>
      <c r="ALX2400" s="38"/>
      <c r="ALY2400" s="38"/>
      <c r="ALZ2400" s="38"/>
      <c r="AMA2400" s="38"/>
      <c r="AMB2400" s="38"/>
      <c r="AMC2400" s="38"/>
      <c r="AMD2400" s="38"/>
      <c r="AME2400" s="38"/>
      <c r="AMF2400" s="38"/>
      <c r="AMG2400" s="38"/>
      <c r="AMH2400" s="38"/>
      <c r="AMI2400" s="38"/>
      <c r="AMJ2400" s="38"/>
      <c r="AMK2400" s="38"/>
      <c r="AML2400" s="38"/>
      <c r="AMM2400" s="38"/>
      <c r="AMN2400" s="38"/>
      <c r="AMO2400" s="38"/>
      <c r="AMP2400" s="38"/>
      <c r="AMQ2400" s="38"/>
      <c r="AMR2400" s="38"/>
      <c r="AMS2400" s="38"/>
      <c r="AMT2400" s="38"/>
      <c r="AMU2400" s="38"/>
      <c r="AMV2400" s="38"/>
      <c r="AMW2400" s="38"/>
      <c r="AMX2400" s="38"/>
      <c r="AMY2400" s="38"/>
      <c r="AMZ2400" s="38"/>
      <c r="ANA2400" s="38"/>
      <c r="ANB2400" s="38"/>
      <c r="ANC2400" s="38"/>
      <c r="AND2400" s="38"/>
      <c r="ANE2400" s="38"/>
      <c r="ANF2400" s="38"/>
      <c r="ANG2400" s="38"/>
      <c r="ANH2400" s="38"/>
      <c r="ANI2400" s="38"/>
      <c r="ANJ2400" s="38"/>
      <c r="ANK2400" s="38"/>
      <c r="ANL2400" s="38"/>
      <c r="ANM2400" s="38"/>
      <c r="ANN2400" s="38"/>
      <c r="ANO2400" s="38"/>
      <c r="ANP2400" s="38"/>
      <c r="ANQ2400" s="38"/>
      <c r="ANR2400" s="38"/>
      <c r="ANS2400" s="38"/>
      <c r="ANT2400" s="38"/>
      <c r="ANU2400" s="38"/>
      <c r="ANV2400" s="38"/>
      <c r="ANW2400" s="38"/>
      <c r="ANX2400" s="38"/>
      <c r="ANY2400" s="38"/>
      <c r="ANZ2400" s="38"/>
      <c r="AOA2400" s="38"/>
      <c r="AOB2400" s="38"/>
      <c r="AOC2400" s="38"/>
      <c r="AOD2400" s="38"/>
      <c r="AOE2400" s="38"/>
      <c r="AOF2400" s="38"/>
      <c r="AOG2400" s="38"/>
      <c r="AOH2400" s="38"/>
      <c r="AOI2400" s="38"/>
      <c r="AOJ2400" s="38"/>
      <c r="AOK2400" s="38"/>
      <c r="AOL2400" s="38"/>
      <c r="AOM2400" s="38"/>
      <c r="AON2400" s="38"/>
      <c r="AOO2400" s="38"/>
      <c r="AOP2400" s="38"/>
      <c r="AOQ2400" s="38"/>
      <c r="AOR2400" s="38"/>
      <c r="AOS2400" s="38"/>
      <c r="AOT2400" s="38"/>
      <c r="AOU2400" s="38"/>
      <c r="AOV2400" s="38"/>
      <c r="AOW2400" s="38"/>
      <c r="AOX2400" s="38"/>
      <c r="AOY2400" s="38"/>
      <c r="AOZ2400" s="38"/>
      <c r="APA2400" s="38"/>
      <c r="APB2400" s="38"/>
      <c r="APC2400" s="38"/>
    </row>
    <row r="2401" spans="1:1095" s="36" customFormat="1" ht="14.25" customHeight="1">
      <c r="A2401" s="3" t="s">
        <v>1722</v>
      </c>
      <c r="B2401" s="36" t="s">
        <v>2992</v>
      </c>
      <c r="C2401" s="10">
        <v>4099854057113</v>
      </c>
      <c r="D2401" s="224">
        <v>4058075593374</v>
      </c>
      <c r="E2401" s="245" t="s">
        <v>1700</v>
      </c>
      <c r="F2401" s="246"/>
      <c r="G2401" s="66" t="str">
        <f>HYPERLINK("https://ledvance.com/pt/product-datasheet/251756/236522","Ficha de Produto")</f>
        <v>Ficha de Produto</v>
      </c>
      <c r="H2401" s="217">
        <v>10</v>
      </c>
      <c r="I2401" s="34" t="s">
        <v>6349</v>
      </c>
      <c r="J2401" s="34" t="s">
        <v>6399</v>
      </c>
      <c r="K2401" s="34" t="s">
        <v>788</v>
      </c>
      <c r="L2401" s="34" t="s">
        <v>6506</v>
      </c>
      <c r="M2401" s="247">
        <v>6.6000000000000005</v>
      </c>
      <c r="N2401" s="288" t="s">
        <v>722</v>
      </c>
    </row>
    <row r="2402" spans="1:1095" s="36" customFormat="1" ht="14.25" customHeight="1">
      <c r="A2402" s="3" t="s">
        <v>1722</v>
      </c>
      <c r="B2402" s="36" t="s">
        <v>2993</v>
      </c>
      <c r="C2402" s="10">
        <v>4099854057151</v>
      </c>
      <c r="D2402" s="224">
        <v>4058075593312</v>
      </c>
      <c r="E2402" s="245" t="s">
        <v>1701</v>
      </c>
      <c r="F2402" s="246"/>
      <c r="G2402" s="66" t="str">
        <f>HYPERLINK("https://ledvance.com/pt/product-datasheet/251756/236525","Ficha de Produto")</f>
        <v>Ficha de Produto</v>
      </c>
      <c r="H2402" s="217">
        <v>10</v>
      </c>
      <c r="I2402" s="34" t="s">
        <v>6349</v>
      </c>
      <c r="J2402" s="34" t="s">
        <v>807</v>
      </c>
      <c r="K2402" s="34" t="s">
        <v>788</v>
      </c>
      <c r="L2402" s="34" t="s">
        <v>6506</v>
      </c>
      <c r="M2402" s="247">
        <v>6.6000000000000005</v>
      </c>
      <c r="N2402" s="288" t="s">
        <v>722</v>
      </c>
    </row>
    <row r="2403" spans="1:1095" s="36" customFormat="1" ht="14.25" customHeight="1">
      <c r="A2403" s="3" t="s">
        <v>1722</v>
      </c>
      <c r="B2403" s="36" t="s">
        <v>2994</v>
      </c>
      <c r="C2403" s="10">
        <v>4099854057175</v>
      </c>
      <c r="D2403" s="224">
        <v>4058075593350</v>
      </c>
      <c r="E2403" s="245" t="s">
        <v>1702</v>
      </c>
      <c r="F2403" s="246"/>
      <c r="G2403" s="66" t="str">
        <f>HYPERLINK("https://ledvance.com/pt/product-datasheet/251756/236528","Ficha de Produto")</f>
        <v>Ficha de Produto</v>
      </c>
      <c r="H2403" s="217">
        <v>10</v>
      </c>
      <c r="I2403" s="34" t="s">
        <v>1054</v>
      </c>
      <c r="J2403" s="34" t="s">
        <v>886</v>
      </c>
      <c r="K2403" s="34" t="s">
        <v>788</v>
      </c>
      <c r="L2403" s="34" t="s">
        <v>6506</v>
      </c>
      <c r="M2403" s="247">
        <v>9.3000000000000007</v>
      </c>
      <c r="N2403" s="288" t="s">
        <v>722</v>
      </c>
    </row>
    <row r="2404" spans="1:1095" s="36" customFormat="1" ht="14.25" customHeight="1">
      <c r="A2404" s="3" t="s">
        <v>1722</v>
      </c>
      <c r="B2404" s="36" t="s">
        <v>2995</v>
      </c>
      <c r="C2404" s="10">
        <v>4099854057250</v>
      </c>
      <c r="D2404" s="224">
        <v>4058075593336</v>
      </c>
      <c r="E2404" s="245" t="s">
        <v>1703</v>
      </c>
      <c r="F2404" s="246"/>
      <c r="G2404" s="66" t="str">
        <f>HYPERLINK("https://ledvance.com/pt/product-datasheet/251756/236531","Ficha de Produto")</f>
        <v>Ficha de Produto</v>
      </c>
      <c r="H2404" s="217">
        <v>10</v>
      </c>
      <c r="I2404" s="34" t="s">
        <v>1054</v>
      </c>
      <c r="J2404" s="34" t="s">
        <v>886</v>
      </c>
      <c r="K2404" s="34" t="s">
        <v>788</v>
      </c>
      <c r="L2404" s="34" t="s">
        <v>6506</v>
      </c>
      <c r="M2404" s="247">
        <v>9.3000000000000007</v>
      </c>
      <c r="N2404" s="288" t="s">
        <v>722</v>
      </c>
    </row>
    <row r="2405" spans="1:1095" s="39" customFormat="1" ht="14.25" customHeight="1">
      <c r="A2405" s="8" t="s">
        <v>1722</v>
      </c>
      <c r="B2405" s="244" t="s">
        <v>1176</v>
      </c>
      <c r="C2405" s="8"/>
      <c r="D2405" s="7"/>
      <c r="E2405" s="230"/>
      <c r="F2405" s="7"/>
      <c r="G2405" s="68" t="s">
        <v>6505</v>
      </c>
      <c r="H2405" s="230"/>
      <c r="I2405" s="230"/>
      <c r="J2405" s="230"/>
      <c r="K2405" s="230"/>
      <c r="L2405" s="230"/>
      <c r="M2405" s="248"/>
      <c r="N2405" s="284"/>
      <c r="O2405" s="38"/>
      <c r="P2405" s="38"/>
      <c r="Q2405" s="38"/>
      <c r="R2405" s="38"/>
      <c r="S2405" s="38"/>
      <c r="T2405" s="38"/>
      <c r="U2405" s="38"/>
      <c r="V2405" s="38"/>
      <c r="W2405" s="38"/>
      <c r="X2405" s="38"/>
      <c r="Y2405" s="38"/>
      <c r="Z2405" s="38"/>
      <c r="AA2405" s="38"/>
      <c r="AB2405" s="38"/>
      <c r="AC2405" s="38"/>
      <c r="AD2405" s="38"/>
      <c r="AE2405" s="38"/>
      <c r="AF2405" s="38"/>
      <c r="AG2405" s="38"/>
      <c r="AH2405" s="38"/>
      <c r="AI2405" s="38"/>
      <c r="AJ2405" s="38"/>
      <c r="AK2405" s="38"/>
      <c r="AL2405" s="38"/>
      <c r="AM2405" s="38"/>
      <c r="AN2405" s="38"/>
      <c r="AO2405" s="38"/>
      <c r="AP2405" s="38"/>
      <c r="AQ2405" s="38"/>
      <c r="AR2405" s="38"/>
      <c r="AS2405" s="38"/>
      <c r="AT2405" s="38"/>
      <c r="AU2405" s="38"/>
      <c r="AV2405" s="38"/>
      <c r="AW2405" s="38"/>
      <c r="AX2405" s="38"/>
      <c r="AY2405" s="38"/>
      <c r="AZ2405" s="38"/>
      <c r="BA2405" s="38"/>
      <c r="BB2405" s="38"/>
      <c r="BC2405" s="38"/>
      <c r="BD2405" s="38"/>
      <c r="BE2405" s="38"/>
      <c r="BF2405" s="38"/>
      <c r="BG2405" s="38"/>
      <c r="BH2405" s="38"/>
      <c r="BI2405" s="38"/>
      <c r="BJ2405" s="38"/>
      <c r="BK2405" s="38"/>
      <c r="BL2405" s="38"/>
      <c r="BM2405" s="38"/>
      <c r="BN2405" s="38"/>
      <c r="BO2405" s="38"/>
      <c r="BP2405" s="38"/>
      <c r="BQ2405" s="38"/>
      <c r="BR2405" s="38"/>
      <c r="BS2405" s="38"/>
      <c r="BT2405" s="38"/>
      <c r="BU2405" s="38"/>
      <c r="BV2405" s="38"/>
      <c r="BW2405" s="38"/>
      <c r="BX2405" s="38"/>
      <c r="BY2405" s="38"/>
      <c r="BZ2405" s="38"/>
      <c r="CA2405" s="38"/>
      <c r="CB2405" s="38"/>
      <c r="CC2405" s="38"/>
      <c r="CD2405" s="38"/>
      <c r="CE2405" s="38"/>
      <c r="CF2405" s="38"/>
      <c r="CG2405" s="38"/>
      <c r="CH2405" s="38"/>
      <c r="CI2405" s="38"/>
      <c r="CJ2405" s="38"/>
      <c r="CK2405" s="38"/>
      <c r="CL2405" s="38"/>
      <c r="CM2405" s="38"/>
      <c r="CN2405" s="38"/>
      <c r="CO2405" s="38"/>
      <c r="CP2405" s="38"/>
      <c r="CQ2405" s="38"/>
      <c r="CR2405" s="38"/>
      <c r="CS2405" s="38"/>
      <c r="CT2405" s="38"/>
      <c r="CU2405" s="38"/>
      <c r="CV2405" s="38"/>
      <c r="CW2405" s="38"/>
      <c r="CX2405" s="38"/>
      <c r="CY2405" s="38"/>
      <c r="CZ2405" s="38"/>
      <c r="DA2405" s="38"/>
      <c r="DB2405" s="38"/>
      <c r="DC2405" s="38"/>
      <c r="DD2405" s="38"/>
      <c r="DE2405" s="38"/>
      <c r="DF2405" s="38"/>
      <c r="DG2405" s="38"/>
      <c r="DH2405" s="38"/>
      <c r="DI2405" s="38"/>
      <c r="DJ2405" s="38"/>
      <c r="DK2405" s="38"/>
      <c r="DL2405" s="38"/>
      <c r="DM2405" s="38"/>
      <c r="DN2405" s="38"/>
      <c r="DO2405" s="38"/>
      <c r="DP2405" s="38"/>
      <c r="DQ2405" s="38"/>
      <c r="DR2405" s="38"/>
      <c r="DS2405" s="38"/>
      <c r="DT2405" s="38"/>
      <c r="DU2405" s="38"/>
      <c r="DV2405" s="38"/>
      <c r="DW2405" s="38"/>
      <c r="DX2405" s="38"/>
      <c r="DY2405" s="38"/>
      <c r="DZ2405" s="38"/>
      <c r="EA2405" s="38"/>
      <c r="EB2405" s="38"/>
      <c r="EC2405" s="38"/>
      <c r="ED2405" s="38"/>
      <c r="EE2405" s="38"/>
      <c r="EF2405" s="38"/>
      <c r="EG2405" s="38"/>
      <c r="EH2405" s="38"/>
      <c r="EI2405" s="38"/>
      <c r="EJ2405" s="38"/>
      <c r="EK2405" s="38"/>
      <c r="EL2405" s="38"/>
      <c r="EM2405" s="38"/>
      <c r="EN2405" s="38"/>
      <c r="EO2405" s="38"/>
      <c r="EP2405" s="38"/>
      <c r="EQ2405" s="38"/>
      <c r="ER2405" s="38"/>
      <c r="ES2405" s="38"/>
      <c r="ET2405" s="38"/>
      <c r="EU2405" s="38"/>
      <c r="EV2405" s="38"/>
      <c r="EW2405" s="38"/>
      <c r="EX2405" s="38"/>
      <c r="EY2405" s="38"/>
      <c r="EZ2405" s="38"/>
      <c r="FA2405" s="38"/>
      <c r="FB2405" s="38"/>
      <c r="FC2405" s="38"/>
      <c r="FD2405" s="38"/>
      <c r="FE2405" s="38"/>
      <c r="FF2405" s="38"/>
      <c r="FG2405" s="38"/>
      <c r="FH2405" s="38"/>
      <c r="FI2405" s="38"/>
      <c r="FJ2405" s="38"/>
      <c r="FK2405" s="38"/>
      <c r="FL2405" s="38"/>
      <c r="FM2405" s="38"/>
      <c r="FN2405" s="38"/>
      <c r="FO2405" s="38"/>
      <c r="FP2405" s="38"/>
      <c r="FQ2405" s="38"/>
      <c r="FR2405" s="38"/>
      <c r="FS2405" s="38"/>
      <c r="FT2405" s="38"/>
      <c r="FU2405" s="38"/>
      <c r="FV2405" s="38"/>
      <c r="FW2405" s="38"/>
      <c r="FX2405" s="38"/>
      <c r="FY2405" s="38"/>
      <c r="FZ2405" s="38"/>
      <c r="GA2405" s="38"/>
      <c r="GB2405" s="38"/>
      <c r="GC2405" s="38"/>
      <c r="GD2405" s="38"/>
      <c r="GE2405" s="38"/>
      <c r="GF2405" s="38"/>
      <c r="GG2405" s="38"/>
      <c r="GH2405" s="38"/>
      <c r="GI2405" s="38"/>
      <c r="GJ2405" s="38"/>
      <c r="GK2405" s="38"/>
      <c r="GL2405" s="38"/>
      <c r="GM2405" s="38"/>
      <c r="GN2405" s="38"/>
      <c r="GO2405" s="38"/>
      <c r="GP2405" s="38"/>
      <c r="GQ2405" s="38"/>
      <c r="GR2405" s="38"/>
      <c r="GS2405" s="38"/>
      <c r="GT2405" s="38"/>
      <c r="GU2405" s="38"/>
      <c r="GV2405" s="38"/>
      <c r="GW2405" s="38"/>
      <c r="GX2405" s="38"/>
      <c r="GY2405" s="38"/>
      <c r="GZ2405" s="38"/>
      <c r="HA2405" s="38"/>
      <c r="HB2405" s="38"/>
      <c r="HC2405" s="38"/>
      <c r="HD2405" s="38"/>
      <c r="HE2405" s="38"/>
      <c r="HF2405" s="38"/>
      <c r="HG2405" s="38"/>
      <c r="HH2405" s="38"/>
      <c r="HI2405" s="38"/>
      <c r="HJ2405" s="38"/>
      <c r="HK2405" s="38"/>
      <c r="HL2405" s="38"/>
      <c r="HM2405" s="38"/>
      <c r="HN2405" s="38"/>
      <c r="HO2405" s="38"/>
      <c r="HP2405" s="38"/>
      <c r="HQ2405" s="38"/>
      <c r="HR2405" s="38"/>
      <c r="HS2405" s="38"/>
      <c r="HT2405" s="38"/>
      <c r="HU2405" s="38"/>
      <c r="HV2405" s="38"/>
      <c r="HW2405" s="38"/>
      <c r="HX2405" s="38"/>
      <c r="HY2405" s="38"/>
      <c r="HZ2405" s="38"/>
      <c r="IA2405" s="38"/>
      <c r="IB2405" s="38"/>
      <c r="IC2405" s="38"/>
      <c r="ID2405" s="38"/>
      <c r="IE2405" s="38"/>
      <c r="IF2405" s="38"/>
      <c r="IG2405" s="38"/>
      <c r="IH2405" s="38"/>
      <c r="II2405" s="38"/>
      <c r="IJ2405" s="38"/>
      <c r="IK2405" s="38"/>
      <c r="IL2405" s="38"/>
      <c r="IM2405" s="38"/>
      <c r="IN2405" s="38"/>
      <c r="IO2405" s="38"/>
      <c r="IP2405" s="38"/>
      <c r="IQ2405" s="38"/>
      <c r="IR2405" s="38"/>
      <c r="IS2405" s="38"/>
      <c r="IT2405" s="38"/>
      <c r="IU2405" s="38"/>
      <c r="IV2405" s="38"/>
      <c r="IW2405" s="38"/>
      <c r="IX2405" s="38"/>
      <c r="IY2405" s="38"/>
      <c r="IZ2405" s="38"/>
      <c r="JA2405" s="38"/>
      <c r="JB2405" s="38"/>
      <c r="JC2405" s="38"/>
      <c r="JD2405" s="38"/>
      <c r="JE2405" s="38"/>
      <c r="JF2405" s="38"/>
      <c r="JG2405" s="38"/>
      <c r="JH2405" s="38"/>
      <c r="JI2405" s="38"/>
      <c r="JJ2405" s="38"/>
      <c r="JK2405" s="38"/>
      <c r="JL2405" s="38"/>
      <c r="JM2405" s="38"/>
      <c r="JN2405" s="38"/>
      <c r="JO2405" s="38"/>
      <c r="JP2405" s="38"/>
      <c r="JQ2405" s="38"/>
      <c r="JR2405" s="38"/>
      <c r="JS2405" s="38"/>
      <c r="JT2405" s="38"/>
      <c r="JU2405" s="38"/>
      <c r="JV2405" s="38"/>
      <c r="JW2405" s="38"/>
      <c r="JX2405" s="38"/>
      <c r="JY2405" s="38"/>
      <c r="JZ2405" s="38"/>
      <c r="KA2405" s="38"/>
      <c r="KB2405" s="38"/>
      <c r="KC2405" s="38"/>
      <c r="KD2405" s="38"/>
      <c r="KE2405" s="38"/>
      <c r="KF2405" s="38"/>
      <c r="KG2405" s="38"/>
      <c r="KH2405" s="38"/>
      <c r="KI2405" s="38"/>
      <c r="KJ2405" s="38"/>
      <c r="KK2405" s="38"/>
      <c r="KL2405" s="38"/>
      <c r="KM2405" s="38"/>
      <c r="KN2405" s="38"/>
      <c r="KO2405" s="38"/>
      <c r="KP2405" s="38"/>
      <c r="KQ2405" s="38"/>
      <c r="KR2405" s="38"/>
      <c r="KS2405" s="38"/>
      <c r="KT2405" s="38"/>
      <c r="KU2405" s="38"/>
      <c r="KV2405" s="38"/>
      <c r="KW2405" s="38"/>
      <c r="KX2405" s="38"/>
      <c r="KY2405" s="38"/>
      <c r="KZ2405" s="38"/>
      <c r="LA2405" s="38"/>
      <c r="LB2405" s="38"/>
      <c r="LC2405" s="38"/>
      <c r="LD2405" s="38"/>
      <c r="LE2405" s="38"/>
      <c r="LF2405" s="38"/>
      <c r="LG2405" s="38"/>
      <c r="LH2405" s="38"/>
      <c r="LI2405" s="38"/>
      <c r="LJ2405" s="38"/>
      <c r="LK2405" s="38"/>
      <c r="LL2405" s="38"/>
      <c r="LM2405" s="38"/>
      <c r="LN2405" s="38"/>
      <c r="LO2405" s="38"/>
      <c r="LP2405" s="38"/>
      <c r="LQ2405" s="38"/>
      <c r="LR2405" s="38"/>
      <c r="LS2405" s="38"/>
      <c r="LT2405" s="38"/>
      <c r="LU2405" s="38"/>
      <c r="LV2405" s="38"/>
      <c r="LW2405" s="38"/>
      <c r="LX2405" s="38"/>
      <c r="LY2405" s="38"/>
      <c r="LZ2405" s="38"/>
      <c r="MA2405" s="38"/>
      <c r="MB2405" s="38"/>
      <c r="MC2405" s="38"/>
      <c r="MD2405" s="38"/>
      <c r="ME2405" s="38"/>
      <c r="MF2405" s="38"/>
      <c r="MG2405" s="38"/>
      <c r="MH2405" s="38"/>
      <c r="MI2405" s="38"/>
      <c r="MJ2405" s="38"/>
      <c r="MK2405" s="38"/>
      <c r="ML2405" s="38"/>
      <c r="MM2405" s="38"/>
      <c r="MN2405" s="38"/>
      <c r="MO2405" s="38"/>
      <c r="MP2405" s="38"/>
      <c r="MQ2405" s="38"/>
      <c r="MR2405" s="38"/>
      <c r="MS2405" s="38"/>
      <c r="MT2405" s="38"/>
      <c r="MU2405" s="38"/>
      <c r="MV2405" s="38"/>
      <c r="MW2405" s="38"/>
      <c r="MX2405" s="38"/>
      <c r="MY2405" s="38"/>
      <c r="MZ2405" s="38"/>
      <c r="NA2405" s="38"/>
      <c r="NB2405" s="38"/>
      <c r="NC2405" s="38"/>
      <c r="ND2405" s="38"/>
      <c r="NE2405" s="38"/>
      <c r="NF2405" s="38"/>
      <c r="NG2405" s="38"/>
      <c r="NH2405" s="38"/>
      <c r="NI2405" s="38"/>
      <c r="NJ2405" s="38"/>
      <c r="NK2405" s="38"/>
      <c r="NL2405" s="38"/>
      <c r="NM2405" s="38"/>
      <c r="NN2405" s="38"/>
      <c r="NO2405" s="38"/>
      <c r="NP2405" s="38"/>
      <c r="NQ2405" s="38"/>
      <c r="NR2405" s="38"/>
      <c r="NS2405" s="38"/>
      <c r="NT2405" s="38"/>
      <c r="NU2405" s="38"/>
      <c r="NV2405" s="38"/>
      <c r="NW2405" s="38"/>
      <c r="NX2405" s="38"/>
      <c r="NY2405" s="38"/>
      <c r="NZ2405" s="38"/>
      <c r="OA2405" s="38"/>
      <c r="OB2405" s="38"/>
      <c r="OC2405" s="38"/>
      <c r="OD2405" s="38"/>
      <c r="OE2405" s="38"/>
      <c r="OF2405" s="38"/>
      <c r="OG2405" s="38"/>
      <c r="OH2405" s="38"/>
      <c r="OI2405" s="38"/>
      <c r="OJ2405" s="38"/>
      <c r="OK2405" s="38"/>
      <c r="OL2405" s="38"/>
      <c r="OM2405" s="38"/>
      <c r="ON2405" s="38"/>
      <c r="OO2405" s="38"/>
      <c r="OP2405" s="38"/>
      <c r="OQ2405" s="38"/>
      <c r="OR2405" s="38"/>
      <c r="OS2405" s="38"/>
      <c r="OT2405" s="38"/>
      <c r="OU2405" s="38"/>
      <c r="OV2405" s="38"/>
      <c r="OW2405" s="38"/>
      <c r="OX2405" s="38"/>
      <c r="OY2405" s="38"/>
      <c r="OZ2405" s="38"/>
      <c r="PA2405" s="38"/>
      <c r="PB2405" s="38"/>
      <c r="PC2405" s="38"/>
      <c r="PD2405" s="38"/>
      <c r="PE2405" s="38"/>
      <c r="PF2405" s="38"/>
      <c r="PG2405" s="38"/>
      <c r="PH2405" s="38"/>
      <c r="PI2405" s="38"/>
      <c r="PJ2405" s="38"/>
      <c r="PK2405" s="38"/>
      <c r="PL2405" s="38"/>
      <c r="PM2405" s="38"/>
      <c r="PN2405" s="38"/>
      <c r="PO2405" s="38"/>
      <c r="PP2405" s="38"/>
      <c r="PQ2405" s="38"/>
      <c r="PR2405" s="38"/>
      <c r="PS2405" s="38"/>
      <c r="PT2405" s="38"/>
      <c r="PU2405" s="38"/>
      <c r="PV2405" s="38"/>
      <c r="PW2405" s="38"/>
      <c r="PX2405" s="38"/>
      <c r="PY2405" s="38"/>
      <c r="PZ2405" s="38"/>
      <c r="QA2405" s="38"/>
      <c r="QB2405" s="38"/>
      <c r="QC2405" s="38"/>
      <c r="QD2405" s="38"/>
      <c r="QE2405" s="38"/>
      <c r="QF2405" s="38"/>
      <c r="QG2405" s="38"/>
      <c r="QH2405" s="38"/>
      <c r="QI2405" s="38"/>
      <c r="QJ2405" s="38"/>
      <c r="QK2405" s="38"/>
      <c r="QL2405" s="38"/>
      <c r="QM2405" s="38"/>
      <c r="QN2405" s="38"/>
      <c r="QO2405" s="38"/>
      <c r="QP2405" s="38"/>
      <c r="QQ2405" s="38"/>
      <c r="QR2405" s="38"/>
      <c r="QS2405" s="38"/>
      <c r="QT2405" s="38"/>
      <c r="QU2405" s="38"/>
      <c r="QV2405" s="38"/>
      <c r="QW2405" s="38"/>
      <c r="QX2405" s="38"/>
      <c r="QY2405" s="38"/>
      <c r="QZ2405" s="38"/>
      <c r="RA2405" s="38"/>
      <c r="RB2405" s="38"/>
      <c r="RC2405" s="38"/>
      <c r="RD2405" s="38"/>
      <c r="RE2405" s="38"/>
      <c r="RF2405" s="38"/>
      <c r="RG2405" s="38"/>
      <c r="RH2405" s="38"/>
      <c r="RI2405" s="38"/>
      <c r="RJ2405" s="38"/>
      <c r="RK2405" s="38"/>
      <c r="RL2405" s="38"/>
      <c r="RM2405" s="38"/>
      <c r="RN2405" s="38"/>
      <c r="RO2405" s="38"/>
      <c r="RP2405" s="38"/>
      <c r="RQ2405" s="38"/>
      <c r="RR2405" s="38"/>
      <c r="RS2405" s="38"/>
      <c r="RT2405" s="38"/>
      <c r="RU2405" s="38"/>
      <c r="RV2405" s="38"/>
      <c r="RW2405" s="38"/>
      <c r="RX2405" s="38"/>
      <c r="RY2405" s="38"/>
      <c r="RZ2405" s="38"/>
      <c r="SA2405" s="38"/>
      <c r="SB2405" s="38"/>
      <c r="SC2405" s="38"/>
      <c r="SD2405" s="38"/>
      <c r="SE2405" s="38"/>
      <c r="SF2405" s="38"/>
      <c r="SG2405" s="38"/>
      <c r="SH2405" s="38"/>
      <c r="SI2405" s="38"/>
      <c r="SJ2405" s="38"/>
      <c r="SK2405" s="38"/>
      <c r="SL2405" s="38"/>
      <c r="SM2405" s="38"/>
      <c r="SN2405" s="38"/>
      <c r="SO2405" s="38"/>
      <c r="SP2405" s="38"/>
      <c r="SQ2405" s="38"/>
      <c r="SR2405" s="38"/>
      <c r="SS2405" s="38"/>
      <c r="ST2405" s="38"/>
      <c r="SU2405" s="38"/>
      <c r="SV2405" s="38"/>
      <c r="SW2405" s="38"/>
      <c r="SX2405" s="38"/>
      <c r="SY2405" s="38"/>
      <c r="SZ2405" s="38"/>
      <c r="TA2405" s="38"/>
      <c r="TB2405" s="38"/>
      <c r="TC2405" s="38"/>
      <c r="TD2405" s="38"/>
      <c r="TE2405" s="38"/>
      <c r="TF2405" s="38"/>
      <c r="TG2405" s="38"/>
      <c r="TH2405" s="38"/>
      <c r="TI2405" s="38"/>
      <c r="TJ2405" s="38"/>
      <c r="TK2405" s="38"/>
      <c r="TL2405" s="38"/>
      <c r="TM2405" s="38"/>
      <c r="TN2405" s="38"/>
      <c r="TO2405" s="38"/>
      <c r="TP2405" s="38"/>
      <c r="TQ2405" s="38"/>
      <c r="TR2405" s="38"/>
      <c r="TS2405" s="38"/>
      <c r="TT2405" s="38"/>
      <c r="TU2405" s="38"/>
      <c r="TV2405" s="38"/>
      <c r="TW2405" s="38"/>
      <c r="TX2405" s="38"/>
      <c r="TY2405" s="38"/>
      <c r="TZ2405" s="38"/>
      <c r="UA2405" s="38"/>
      <c r="UB2405" s="38"/>
      <c r="UC2405" s="38"/>
      <c r="UD2405" s="38"/>
      <c r="UE2405" s="38"/>
      <c r="UF2405" s="38"/>
      <c r="UG2405" s="38"/>
      <c r="UH2405" s="38"/>
      <c r="UI2405" s="38"/>
      <c r="UJ2405" s="38"/>
      <c r="UK2405" s="38"/>
      <c r="UL2405" s="38"/>
      <c r="UM2405" s="38"/>
      <c r="UN2405" s="38"/>
      <c r="UO2405" s="38"/>
      <c r="UP2405" s="38"/>
      <c r="UQ2405" s="38"/>
      <c r="UR2405" s="38"/>
      <c r="US2405" s="38"/>
      <c r="UT2405" s="38"/>
      <c r="UU2405" s="38"/>
      <c r="UV2405" s="38"/>
      <c r="UW2405" s="38"/>
      <c r="UX2405" s="38"/>
      <c r="UY2405" s="38"/>
      <c r="UZ2405" s="38"/>
      <c r="VA2405" s="38"/>
      <c r="VB2405" s="38"/>
      <c r="VC2405" s="38"/>
      <c r="VD2405" s="38"/>
      <c r="VE2405" s="38"/>
      <c r="VF2405" s="38"/>
      <c r="VG2405" s="38"/>
      <c r="VH2405" s="38"/>
      <c r="VI2405" s="38"/>
      <c r="VJ2405" s="38"/>
      <c r="VK2405" s="38"/>
      <c r="VL2405" s="38"/>
      <c r="VM2405" s="38"/>
      <c r="VN2405" s="38"/>
      <c r="VO2405" s="38"/>
      <c r="VP2405" s="38"/>
      <c r="VQ2405" s="38"/>
      <c r="VR2405" s="38"/>
      <c r="VS2405" s="38"/>
      <c r="VT2405" s="38"/>
      <c r="VU2405" s="38"/>
      <c r="VV2405" s="38"/>
      <c r="VW2405" s="38"/>
      <c r="VX2405" s="38"/>
      <c r="VY2405" s="38"/>
      <c r="VZ2405" s="38"/>
      <c r="WA2405" s="38"/>
      <c r="WB2405" s="38"/>
      <c r="WC2405" s="38"/>
      <c r="WD2405" s="38"/>
      <c r="WE2405" s="38"/>
      <c r="WF2405" s="38"/>
      <c r="WG2405" s="38"/>
      <c r="WH2405" s="38"/>
      <c r="WI2405" s="38"/>
      <c r="WJ2405" s="38"/>
      <c r="WK2405" s="38"/>
      <c r="WL2405" s="38"/>
      <c r="WM2405" s="38"/>
      <c r="WN2405" s="38"/>
      <c r="WO2405" s="38"/>
      <c r="WP2405" s="38"/>
      <c r="WQ2405" s="38"/>
      <c r="WR2405" s="38"/>
      <c r="WS2405" s="38"/>
      <c r="WT2405" s="38"/>
      <c r="WU2405" s="38"/>
      <c r="WV2405" s="38"/>
      <c r="WW2405" s="38"/>
      <c r="WX2405" s="38"/>
      <c r="WY2405" s="38"/>
      <c r="WZ2405" s="38"/>
      <c r="XA2405" s="38"/>
      <c r="XB2405" s="38"/>
      <c r="XC2405" s="38"/>
      <c r="XD2405" s="38"/>
      <c r="XE2405" s="38"/>
      <c r="XF2405" s="38"/>
      <c r="XG2405" s="38"/>
      <c r="XH2405" s="38"/>
      <c r="XI2405" s="38"/>
      <c r="XJ2405" s="38"/>
      <c r="XK2405" s="38"/>
      <c r="XL2405" s="38"/>
      <c r="XM2405" s="38"/>
      <c r="XN2405" s="38"/>
      <c r="XO2405" s="38"/>
      <c r="XP2405" s="38"/>
      <c r="XQ2405" s="38"/>
      <c r="XR2405" s="38"/>
      <c r="XS2405" s="38"/>
      <c r="XT2405" s="38"/>
      <c r="XU2405" s="38"/>
      <c r="XV2405" s="38"/>
      <c r="XW2405" s="38"/>
      <c r="XX2405" s="38"/>
      <c r="XY2405" s="38"/>
      <c r="XZ2405" s="38"/>
      <c r="YA2405" s="38"/>
      <c r="YB2405" s="38"/>
      <c r="YC2405" s="38"/>
      <c r="YD2405" s="38"/>
      <c r="YE2405" s="38"/>
      <c r="YF2405" s="38"/>
      <c r="YG2405" s="38"/>
      <c r="YH2405" s="38"/>
      <c r="YI2405" s="38"/>
      <c r="YJ2405" s="38"/>
      <c r="YK2405" s="38"/>
      <c r="YL2405" s="38"/>
      <c r="YM2405" s="38"/>
      <c r="YN2405" s="38"/>
      <c r="YO2405" s="38"/>
      <c r="YP2405" s="38"/>
      <c r="YQ2405" s="38"/>
      <c r="YR2405" s="38"/>
      <c r="YS2405" s="38"/>
      <c r="YT2405" s="38"/>
      <c r="YU2405" s="38"/>
      <c r="YV2405" s="38"/>
      <c r="YW2405" s="38"/>
      <c r="YX2405" s="38"/>
      <c r="YY2405" s="38"/>
      <c r="YZ2405" s="38"/>
      <c r="ZA2405" s="38"/>
      <c r="ZB2405" s="38"/>
      <c r="ZC2405" s="38"/>
      <c r="ZD2405" s="38"/>
      <c r="ZE2405" s="38"/>
      <c r="ZF2405" s="38"/>
      <c r="ZG2405" s="38"/>
      <c r="ZH2405" s="38"/>
      <c r="ZI2405" s="38"/>
      <c r="ZJ2405" s="38"/>
      <c r="ZK2405" s="38"/>
      <c r="ZL2405" s="38"/>
      <c r="ZM2405" s="38"/>
      <c r="ZN2405" s="38"/>
      <c r="ZO2405" s="38"/>
      <c r="ZP2405" s="38"/>
      <c r="ZQ2405" s="38"/>
      <c r="ZR2405" s="38"/>
      <c r="ZS2405" s="38"/>
      <c r="ZT2405" s="38"/>
      <c r="ZU2405" s="38"/>
      <c r="ZV2405" s="38"/>
      <c r="ZW2405" s="38"/>
      <c r="ZX2405" s="38"/>
      <c r="ZY2405" s="38"/>
      <c r="ZZ2405" s="38"/>
      <c r="AAA2405" s="38"/>
      <c r="AAB2405" s="38"/>
      <c r="AAC2405" s="38"/>
      <c r="AAD2405" s="38"/>
      <c r="AAE2405" s="38"/>
      <c r="AAF2405" s="38"/>
      <c r="AAG2405" s="38"/>
      <c r="AAH2405" s="38"/>
      <c r="AAI2405" s="38"/>
      <c r="AAJ2405" s="38"/>
      <c r="AAK2405" s="38"/>
      <c r="AAL2405" s="38"/>
      <c r="AAM2405" s="38"/>
      <c r="AAN2405" s="38"/>
      <c r="AAO2405" s="38"/>
      <c r="AAP2405" s="38"/>
      <c r="AAQ2405" s="38"/>
      <c r="AAR2405" s="38"/>
      <c r="AAS2405" s="38"/>
      <c r="AAT2405" s="38"/>
      <c r="AAU2405" s="38"/>
      <c r="AAV2405" s="38"/>
      <c r="AAW2405" s="38"/>
      <c r="AAX2405" s="38"/>
      <c r="AAY2405" s="38"/>
      <c r="AAZ2405" s="38"/>
      <c r="ABA2405" s="38"/>
      <c r="ABB2405" s="38"/>
      <c r="ABC2405" s="38"/>
      <c r="ABD2405" s="38"/>
      <c r="ABE2405" s="38"/>
      <c r="ABF2405" s="38"/>
      <c r="ABG2405" s="38"/>
      <c r="ABH2405" s="38"/>
      <c r="ABI2405" s="38"/>
      <c r="ABJ2405" s="38"/>
      <c r="ABK2405" s="38"/>
      <c r="ABL2405" s="38"/>
      <c r="ABM2405" s="38"/>
      <c r="ABN2405" s="38"/>
      <c r="ABO2405" s="38"/>
      <c r="ABP2405" s="38"/>
      <c r="ABQ2405" s="38"/>
      <c r="ABR2405" s="38"/>
      <c r="ABS2405" s="38"/>
      <c r="ABT2405" s="38"/>
      <c r="ABU2405" s="38"/>
      <c r="ABV2405" s="38"/>
      <c r="ABW2405" s="38"/>
      <c r="ABX2405" s="38"/>
      <c r="ABY2405" s="38"/>
      <c r="ABZ2405" s="38"/>
      <c r="ACA2405" s="38"/>
      <c r="ACB2405" s="38"/>
      <c r="ACC2405" s="38"/>
      <c r="ACD2405" s="38"/>
      <c r="ACE2405" s="38"/>
      <c r="ACF2405" s="38"/>
      <c r="ACG2405" s="38"/>
      <c r="ACH2405" s="38"/>
      <c r="ACI2405" s="38"/>
      <c r="ACJ2405" s="38"/>
      <c r="ACK2405" s="38"/>
      <c r="ACL2405" s="38"/>
      <c r="ACM2405" s="38"/>
      <c r="ACN2405" s="38"/>
      <c r="ACO2405" s="38"/>
      <c r="ACP2405" s="38"/>
      <c r="ACQ2405" s="38"/>
      <c r="ACR2405" s="38"/>
      <c r="ACS2405" s="38"/>
      <c r="ACT2405" s="38"/>
      <c r="ACU2405" s="38"/>
      <c r="ACV2405" s="38"/>
      <c r="ACW2405" s="38"/>
      <c r="ACX2405" s="38"/>
      <c r="ACY2405" s="38"/>
      <c r="ACZ2405" s="38"/>
      <c r="ADA2405" s="38"/>
      <c r="ADB2405" s="38"/>
      <c r="ADC2405" s="38"/>
      <c r="ADD2405" s="38"/>
      <c r="ADE2405" s="38"/>
      <c r="ADF2405" s="38"/>
      <c r="ADG2405" s="38"/>
      <c r="ADH2405" s="38"/>
      <c r="ADI2405" s="38"/>
      <c r="ADJ2405" s="38"/>
      <c r="ADK2405" s="38"/>
      <c r="ADL2405" s="38"/>
      <c r="ADM2405" s="38"/>
      <c r="ADN2405" s="38"/>
      <c r="ADO2405" s="38"/>
      <c r="ADP2405" s="38"/>
      <c r="ADQ2405" s="38"/>
      <c r="ADR2405" s="38"/>
      <c r="ADS2405" s="38"/>
      <c r="ADT2405" s="38"/>
      <c r="ADU2405" s="38"/>
      <c r="ADV2405" s="38"/>
      <c r="ADW2405" s="38"/>
      <c r="ADX2405" s="38"/>
      <c r="ADY2405" s="38"/>
      <c r="ADZ2405" s="38"/>
      <c r="AEA2405" s="38"/>
      <c r="AEB2405" s="38"/>
      <c r="AEC2405" s="38"/>
      <c r="AED2405" s="38"/>
      <c r="AEE2405" s="38"/>
      <c r="AEF2405" s="38"/>
      <c r="AEG2405" s="38"/>
      <c r="AEH2405" s="38"/>
      <c r="AEI2405" s="38"/>
      <c r="AEJ2405" s="38"/>
      <c r="AEK2405" s="38"/>
      <c r="AEL2405" s="38"/>
      <c r="AEM2405" s="38"/>
      <c r="AEN2405" s="38"/>
      <c r="AEO2405" s="38"/>
      <c r="AEP2405" s="38"/>
      <c r="AEQ2405" s="38"/>
      <c r="AER2405" s="38"/>
      <c r="AES2405" s="38"/>
      <c r="AET2405" s="38"/>
      <c r="AEU2405" s="38"/>
      <c r="AEV2405" s="38"/>
      <c r="AEW2405" s="38"/>
      <c r="AEX2405" s="38"/>
      <c r="AEY2405" s="38"/>
      <c r="AEZ2405" s="38"/>
      <c r="AFA2405" s="38"/>
      <c r="AFB2405" s="38"/>
      <c r="AFC2405" s="38"/>
      <c r="AFD2405" s="38"/>
      <c r="AFE2405" s="38"/>
      <c r="AFF2405" s="38"/>
      <c r="AFG2405" s="38"/>
      <c r="AFH2405" s="38"/>
      <c r="AFI2405" s="38"/>
      <c r="AFJ2405" s="38"/>
      <c r="AFK2405" s="38"/>
      <c r="AFL2405" s="38"/>
      <c r="AFM2405" s="38"/>
      <c r="AFN2405" s="38"/>
      <c r="AFO2405" s="38"/>
      <c r="AFP2405" s="38"/>
      <c r="AFQ2405" s="38"/>
      <c r="AFR2405" s="38"/>
      <c r="AFS2405" s="38"/>
      <c r="AFT2405" s="38"/>
      <c r="AFU2405" s="38"/>
      <c r="AFV2405" s="38"/>
      <c r="AFW2405" s="38"/>
      <c r="AFX2405" s="38"/>
      <c r="AFY2405" s="38"/>
      <c r="AFZ2405" s="38"/>
      <c r="AGA2405" s="38"/>
      <c r="AGB2405" s="38"/>
      <c r="AGC2405" s="38"/>
      <c r="AGD2405" s="38"/>
      <c r="AGE2405" s="38"/>
      <c r="AGF2405" s="38"/>
      <c r="AGG2405" s="38"/>
      <c r="AGH2405" s="38"/>
      <c r="AGI2405" s="38"/>
      <c r="AGJ2405" s="38"/>
      <c r="AGK2405" s="38"/>
      <c r="AGL2405" s="38"/>
      <c r="AGM2405" s="38"/>
      <c r="AGN2405" s="38"/>
      <c r="AGO2405" s="38"/>
      <c r="AGP2405" s="38"/>
      <c r="AGQ2405" s="38"/>
      <c r="AGR2405" s="38"/>
      <c r="AGS2405" s="38"/>
      <c r="AGT2405" s="38"/>
      <c r="AGU2405" s="38"/>
      <c r="AGV2405" s="38"/>
      <c r="AGW2405" s="38"/>
      <c r="AGX2405" s="38"/>
      <c r="AGY2405" s="38"/>
      <c r="AGZ2405" s="38"/>
      <c r="AHA2405" s="38"/>
      <c r="AHB2405" s="38"/>
      <c r="AHC2405" s="38"/>
      <c r="AHD2405" s="38"/>
      <c r="AHE2405" s="38"/>
      <c r="AHF2405" s="38"/>
      <c r="AHG2405" s="38"/>
      <c r="AHH2405" s="38"/>
      <c r="AHI2405" s="38"/>
      <c r="AHJ2405" s="38"/>
      <c r="AHK2405" s="38"/>
      <c r="AHL2405" s="38"/>
      <c r="AHM2405" s="38"/>
      <c r="AHN2405" s="38"/>
      <c r="AHO2405" s="38"/>
      <c r="AHP2405" s="38"/>
      <c r="AHQ2405" s="38"/>
      <c r="AHR2405" s="38"/>
      <c r="AHS2405" s="38"/>
      <c r="AHT2405" s="38"/>
      <c r="AHU2405" s="38"/>
      <c r="AHV2405" s="38"/>
      <c r="AHW2405" s="38"/>
      <c r="AHX2405" s="38"/>
      <c r="AHY2405" s="38"/>
      <c r="AHZ2405" s="38"/>
      <c r="AIA2405" s="38"/>
      <c r="AIB2405" s="38"/>
      <c r="AIC2405" s="38"/>
      <c r="AID2405" s="38"/>
      <c r="AIE2405" s="38"/>
      <c r="AIF2405" s="38"/>
      <c r="AIG2405" s="38"/>
      <c r="AIH2405" s="38"/>
      <c r="AII2405" s="38"/>
      <c r="AIJ2405" s="38"/>
      <c r="AIK2405" s="38"/>
      <c r="AIL2405" s="38"/>
      <c r="AIM2405" s="38"/>
      <c r="AIN2405" s="38"/>
      <c r="AIO2405" s="38"/>
      <c r="AIP2405" s="38"/>
      <c r="AIQ2405" s="38"/>
      <c r="AIR2405" s="38"/>
      <c r="AIS2405" s="38"/>
      <c r="AIT2405" s="38"/>
      <c r="AIU2405" s="38"/>
      <c r="AIV2405" s="38"/>
      <c r="AIW2405" s="38"/>
      <c r="AIX2405" s="38"/>
      <c r="AIY2405" s="38"/>
      <c r="AIZ2405" s="38"/>
      <c r="AJA2405" s="38"/>
      <c r="AJB2405" s="38"/>
      <c r="AJC2405" s="38"/>
      <c r="AJD2405" s="38"/>
      <c r="AJE2405" s="38"/>
      <c r="AJF2405" s="38"/>
      <c r="AJG2405" s="38"/>
      <c r="AJH2405" s="38"/>
      <c r="AJI2405" s="38"/>
      <c r="AJJ2405" s="38"/>
      <c r="AJK2405" s="38"/>
      <c r="AJL2405" s="38"/>
      <c r="AJM2405" s="38"/>
      <c r="AJN2405" s="38"/>
      <c r="AJO2405" s="38"/>
      <c r="AJP2405" s="38"/>
      <c r="AJQ2405" s="38"/>
      <c r="AJR2405" s="38"/>
      <c r="AJS2405" s="38"/>
      <c r="AJT2405" s="38"/>
      <c r="AJU2405" s="38"/>
      <c r="AJV2405" s="38"/>
      <c r="AJW2405" s="38"/>
      <c r="AJX2405" s="38"/>
      <c r="AJY2405" s="38"/>
      <c r="AJZ2405" s="38"/>
      <c r="AKA2405" s="38"/>
      <c r="AKB2405" s="38"/>
      <c r="AKC2405" s="38"/>
      <c r="AKD2405" s="38"/>
      <c r="AKE2405" s="38"/>
      <c r="AKF2405" s="38"/>
      <c r="AKG2405" s="38"/>
      <c r="AKH2405" s="38"/>
      <c r="AKI2405" s="38"/>
      <c r="AKJ2405" s="38"/>
      <c r="AKK2405" s="38"/>
      <c r="AKL2405" s="38"/>
      <c r="AKM2405" s="38"/>
      <c r="AKN2405" s="38"/>
      <c r="AKO2405" s="38"/>
      <c r="AKP2405" s="38"/>
      <c r="AKQ2405" s="38"/>
      <c r="AKR2405" s="38"/>
      <c r="AKS2405" s="38"/>
      <c r="AKT2405" s="38"/>
      <c r="AKU2405" s="38"/>
      <c r="AKV2405" s="38"/>
      <c r="AKW2405" s="38"/>
      <c r="AKX2405" s="38"/>
      <c r="AKY2405" s="38"/>
      <c r="AKZ2405" s="38"/>
      <c r="ALA2405" s="38"/>
      <c r="ALB2405" s="38"/>
      <c r="ALC2405" s="38"/>
      <c r="ALD2405" s="38"/>
      <c r="ALE2405" s="38"/>
      <c r="ALF2405" s="38"/>
      <c r="ALG2405" s="38"/>
      <c r="ALH2405" s="38"/>
      <c r="ALI2405" s="38"/>
      <c r="ALJ2405" s="38"/>
      <c r="ALK2405" s="38"/>
      <c r="ALL2405" s="38"/>
      <c r="ALM2405" s="38"/>
      <c r="ALN2405" s="38"/>
      <c r="ALO2405" s="38"/>
      <c r="ALP2405" s="38"/>
      <c r="ALQ2405" s="38"/>
      <c r="ALR2405" s="38"/>
      <c r="ALS2405" s="38"/>
      <c r="ALT2405" s="38"/>
      <c r="ALU2405" s="38"/>
      <c r="ALV2405" s="38"/>
      <c r="ALW2405" s="38"/>
      <c r="ALX2405" s="38"/>
      <c r="ALY2405" s="38"/>
      <c r="ALZ2405" s="38"/>
      <c r="AMA2405" s="38"/>
      <c r="AMB2405" s="38"/>
      <c r="AMC2405" s="38"/>
      <c r="AMD2405" s="38"/>
      <c r="AME2405" s="38"/>
      <c r="AMF2405" s="38"/>
      <c r="AMG2405" s="38"/>
      <c r="AMH2405" s="38"/>
      <c r="AMI2405" s="38"/>
      <c r="AMJ2405" s="38"/>
      <c r="AMK2405" s="38"/>
      <c r="AML2405" s="38"/>
      <c r="AMM2405" s="38"/>
      <c r="AMN2405" s="38"/>
      <c r="AMO2405" s="38"/>
      <c r="AMP2405" s="38"/>
      <c r="AMQ2405" s="38"/>
      <c r="AMR2405" s="38"/>
      <c r="AMS2405" s="38"/>
      <c r="AMT2405" s="38"/>
      <c r="AMU2405" s="38"/>
      <c r="AMV2405" s="38"/>
      <c r="AMW2405" s="38"/>
      <c r="AMX2405" s="38"/>
      <c r="AMY2405" s="38"/>
      <c r="AMZ2405" s="38"/>
      <c r="ANA2405" s="38"/>
      <c r="ANB2405" s="38"/>
      <c r="ANC2405" s="38"/>
      <c r="AND2405" s="38"/>
      <c r="ANE2405" s="38"/>
      <c r="ANF2405" s="38"/>
      <c r="ANG2405" s="38"/>
      <c r="ANH2405" s="38"/>
      <c r="ANI2405" s="38"/>
      <c r="ANJ2405" s="38"/>
      <c r="ANK2405" s="38"/>
      <c r="ANL2405" s="38"/>
      <c r="ANM2405" s="38"/>
      <c r="ANN2405" s="38"/>
      <c r="ANO2405" s="38"/>
      <c r="ANP2405" s="38"/>
      <c r="ANQ2405" s="38"/>
      <c r="ANR2405" s="38"/>
      <c r="ANS2405" s="38"/>
      <c r="ANT2405" s="38"/>
      <c r="ANU2405" s="38"/>
      <c r="ANV2405" s="38"/>
      <c r="ANW2405" s="38"/>
      <c r="ANX2405" s="38"/>
      <c r="ANY2405" s="38"/>
      <c r="ANZ2405" s="38"/>
      <c r="AOA2405" s="38"/>
      <c r="AOB2405" s="38"/>
      <c r="AOC2405" s="38"/>
      <c r="AOD2405" s="38"/>
      <c r="AOE2405" s="38"/>
      <c r="AOF2405" s="38"/>
      <c r="AOG2405" s="38"/>
      <c r="AOH2405" s="38"/>
      <c r="AOI2405" s="38"/>
      <c r="AOJ2405" s="38"/>
      <c r="AOK2405" s="38"/>
      <c r="AOL2405" s="38"/>
      <c r="AOM2405" s="38"/>
      <c r="AON2405" s="38"/>
      <c r="AOO2405" s="38"/>
      <c r="AOP2405" s="38"/>
      <c r="AOQ2405" s="38"/>
      <c r="AOR2405" s="38"/>
      <c r="AOS2405" s="38"/>
      <c r="AOT2405" s="38"/>
      <c r="AOU2405" s="38"/>
      <c r="AOV2405" s="38"/>
      <c r="AOW2405" s="38"/>
      <c r="AOX2405" s="38"/>
      <c r="AOY2405" s="38"/>
      <c r="AOZ2405" s="38"/>
      <c r="APA2405" s="38"/>
      <c r="APB2405" s="38"/>
      <c r="APC2405" s="38"/>
    </row>
    <row r="2406" spans="1:1095" s="36" customFormat="1" ht="14.25" customHeight="1">
      <c r="A2406" s="3" t="s">
        <v>1722</v>
      </c>
      <c r="B2406" s="36" t="s">
        <v>2996</v>
      </c>
      <c r="C2406" s="10">
        <v>4099854066993</v>
      </c>
      <c r="D2406" s="224">
        <v>4058075620254</v>
      </c>
      <c r="E2406" s="245" t="s">
        <v>2997</v>
      </c>
      <c r="F2406" s="246"/>
      <c r="G2406" s="66" t="str">
        <f>HYPERLINK("https://ledvance.com/pt/product-datasheet/251364/238725","Ficha de Produto")</f>
        <v>Ficha de Produto</v>
      </c>
      <c r="H2406" s="217">
        <v>20</v>
      </c>
      <c r="I2406" s="34" t="s">
        <v>6388</v>
      </c>
      <c r="J2406" s="34" t="s">
        <v>6421</v>
      </c>
      <c r="K2406" s="34" t="s">
        <v>788</v>
      </c>
      <c r="L2406" s="34" t="s">
        <v>6506</v>
      </c>
      <c r="M2406" s="247">
        <v>5.8000000000000007</v>
      </c>
      <c r="N2406" s="288" t="s">
        <v>722</v>
      </c>
    </row>
    <row r="2407" spans="1:1095" s="36" customFormat="1" ht="14.25" customHeight="1">
      <c r="A2407" s="3" t="s">
        <v>1722</v>
      </c>
      <c r="B2407" s="36" t="s">
        <v>2998</v>
      </c>
      <c r="C2407" s="10">
        <v>4099854067020</v>
      </c>
      <c r="D2407" s="224">
        <v>4058075620155</v>
      </c>
      <c r="E2407" s="245" t="s">
        <v>2999</v>
      </c>
      <c r="F2407" s="246"/>
      <c r="G2407" s="66" t="str">
        <f>HYPERLINK("https://ledvance.com/pt/product-datasheet/251364/238729","Ficha de Produto")</f>
        <v>Ficha de Produto</v>
      </c>
      <c r="H2407" s="217">
        <v>20</v>
      </c>
      <c r="I2407" s="34" t="s">
        <v>6388</v>
      </c>
      <c r="J2407" s="34" t="s">
        <v>6421</v>
      </c>
      <c r="K2407" s="34" t="s">
        <v>788</v>
      </c>
      <c r="L2407" s="34" t="s">
        <v>6506</v>
      </c>
      <c r="M2407" s="247">
        <v>5.8000000000000007</v>
      </c>
      <c r="N2407" s="288" t="s">
        <v>722</v>
      </c>
    </row>
    <row r="2408" spans="1:1095" s="36" customFormat="1" ht="14.25" customHeight="1">
      <c r="A2408" s="3" t="s">
        <v>1722</v>
      </c>
      <c r="B2408" s="36" t="s">
        <v>4095</v>
      </c>
      <c r="C2408" s="10">
        <v>4058075432819</v>
      </c>
      <c r="D2408" s="224">
        <v>4058075432819</v>
      </c>
      <c r="E2408" s="245" t="s">
        <v>3000</v>
      </c>
      <c r="F2408" s="246"/>
      <c r="G2408" s="66" t="str">
        <f>HYPERLINK("https://ledvance.com/pt/product-datasheet/6984/114930","Ficha de Produto")</f>
        <v>Ficha de Produto</v>
      </c>
      <c r="H2408" s="217">
        <v>6</v>
      </c>
      <c r="I2408" s="34" t="s">
        <v>6422</v>
      </c>
      <c r="J2408" s="34" t="s">
        <v>952</v>
      </c>
      <c r="K2408" s="34" t="s">
        <v>788</v>
      </c>
      <c r="L2408" s="34" t="s">
        <v>793</v>
      </c>
      <c r="M2408" s="247">
        <v>6.7</v>
      </c>
      <c r="N2408" s="288" t="s">
        <v>722</v>
      </c>
    </row>
    <row r="2409" spans="1:1095" s="36" customFormat="1" ht="14.25" customHeight="1">
      <c r="A2409" s="3" t="s">
        <v>1722</v>
      </c>
      <c r="B2409" s="36" t="s">
        <v>3001</v>
      </c>
      <c r="C2409" s="10">
        <v>4099854066108</v>
      </c>
      <c r="D2409" s="224">
        <v>4058075616912</v>
      </c>
      <c r="E2409" s="245" t="s">
        <v>3002</v>
      </c>
      <c r="F2409" s="246"/>
      <c r="G2409" s="66" t="str">
        <f>HYPERLINK("https://ledvance.com/pt/product-datasheet/251364/238677","Ficha de Produto")</f>
        <v>Ficha de Produto</v>
      </c>
      <c r="H2409" s="217">
        <v>20</v>
      </c>
      <c r="I2409" s="34" t="s">
        <v>6415</v>
      </c>
      <c r="J2409" s="34" t="s">
        <v>6423</v>
      </c>
      <c r="K2409" s="34" t="s">
        <v>788</v>
      </c>
      <c r="L2409" s="34" t="s">
        <v>6506</v>
      </c>
      <c r="M2409" s="247">
        <v>6.4</v>
      </c>
      <c r="N2409" s="288" t="s">
        <v>722</v>
      </c>
    </row>
    <row r="2410" spans="1:1095" s="36" customFormat="1" ht="14.25" customHeight="1">
      <c r="A2410" s="3" t="s">
        <v>1722</v>
      </c>
      <c r="B2410" s="36" t="s">
        <v>3003</v>
      </c>
      <c r="C2410" s="10">
        <v>4099854066320</v>
      </c>
      <c r="D2410" s="224">
        <v>4058075616875</v>
      </c>
      <c r="E2410" s="245" t="s">
        <v>3004</v>
      </c>
      <c r="F2410" s="246"/>
      <c r="G2410" s="66" t="str">
        <f>HYPERLINK("https://ledvance.com/pt/product-datasheet/251364/238689","Ficha de Produto")</f>
        <v>Ficha de Produto</v>
      </c>
      <c r="H2410" s="217">
        <v>20</v>
      </c>
      <c r="I2410" s="34" t="s">
        <v>6369</v>
      </c>
      <c r="J2410" s="34" t="s">
        <v>6370</v>
      </c>
      <c r="K2410" s="34" t="s">
        <v>788</v>
      </c>
      <c r="L2410" s="34" t="s">
        <v>6506</v>
      </c>
      <c r="M2410" s="247">
        <v>7.5</v>
      </c>
      <c r="N2410" s="288" t="s">
        <v>722</v>
      </c>
    </row>
    <row r="2411" spans="1:1095" s="36" customFormat="1" ht="14.25" customHeight="1">
      <c r="A2411" s="3" t="s">
        <v>1722</v>
      </c>
      <c r="B2411" s="36" t="s">
        <v>3005</v>
      </c>
      <c r="C2411" s="10">
        <v>4099854066498</v>
      </c>
      <c r="D2411" s="224">
        <v>4058075616837</v>
      </c>
      <c r="E2411" s="245" t="s">
        <v>3006</v>
      </c>
      <c r="F2411" s="246"/>
      <c r="G2411" s="66" t="str">
        <f>HYPERLINK("https://ledvance.com/pt/product-datasheet/251364/238701","Ficha de Produto")</f>
        <v>Ficha de Produto</v>
      </c>
      <c r="H2411" s="217">
        <v>20</v>
      </c>
      <c r="I2411" s="34" t="s">
        <v>6369</v>
      </c>
      <c r="J2411" s="34" t="s">
        <v>6370</v>
      </c>
      <c r="K2411" s="34" t="s">
        <v>788</v>
      </c>
      <c r="L2411" s="34" t="s">
        <v>6506</v>
      </c>
      <c r="M2411" s="247">
        <v>7.5</v>
      </c>
      <c r="N2411" s="288" t="s">
        <v>722</v>
      </c>
    </row>
    <row r="2412" spans="1:1095" s="36" customFormat="1" ht="14.25" customHeight="1">
      <c r="A2412" s="3" t="s">
        <v>1722</v>
      </c>
      <c r="B2412" s="36" t="s">
        <v>3007</v>
      </c>
      <c r="C2412" s="10">
        <v>4099854066665</v>
      </c>
      <c r="D2412" s="224">
        <v>4058075616790</v>
      </c>
      <c r="E2412" s="245" t="s">
        <v>3008</v>
      </c>
      <c r="F2412" s="246"/>
      <c r="G2412" s="66" t="str">
        <f>HYPERLINK("https://ledvance.com/pt/product-datasheet/251364/238713","Ficha de Produto")</f>
        <v>Ficha de Produto</v>
      </c>
      <c r="H2412" s="217">
        <v>20</v>
      </c>
      <c r="I2412" s="34" t="s">
        <v>6354</v>
      </c>
      <c r="J2412" s="34" t="s">
        <v>6355</v>
      </c>
      <c r="K2412" s="34" t="s">
        <v>788</v>
      </c>
      <c r="L2412" s="34" t="s">
        <v>6506</v>
      </c>
      <c r="M2412" s="247">
        <v>9.7000000000000011</v>
      </c>
      <c r="N2412" s="288" t="s">
        <v>722</v>
      </c>
    </row>
    <row r="2413" spans="1:1095" s="36" customFormat="1" ht="14.25" customHeight="1">
      <c r="A2413" s="3" t="s">
        <v>1722</v>
      </c>
      <c r="B2413" s="36" t="s">
        <v>3169</v>
      </c>
      <c r="C2413" s="10">
        <v>4058075432963</v>
      </c>
      <c r="D2413" s="224">
        <v>4058075432963</v>
      </c>
      <c r="E2413" s="245" t="s">
        <v>3009</v>
      </c>
      <c r="F2413" s="246"/>
      <c r="G2413" s="66" t="str">
        <f>HYPERLINK("https://ledvance.com/pt/product-datasheet/6984/114973","Ficha de Produto")</f>
        <v>Ficha de Produto</v>
      </c>
      <c r="H2413" s="217">
        <v>6</v>
      </c>
      <c r="I2413" s="34" t="s">
        <v>6373</v>
      </c>
      <c r="J2413" s="34" t="s">
        <v>6398</v>
      </c>
      <c r="K2413" s="34" t="s">
        <v>788</v>
      </c>
      <c r="L2413" s="34" t="s">
        <v>793</v>
      </c>
      <c r="M2413" s="247">
        <v>11.200000000000001</v>
      </c>
      <c r="N2413" s="288" t="s">
        <v>722</v>
      </c>
    </row>
    <row r="2414" spans="1:1095" s="39" customFormat="1" ht="14.25" customHeight="1">
      <c r="A2414" s="8" t="s">
        <v>1722</v>
      </c>
      <c r="B2414" s="244" t="s">
        <v>3010</v>
      </c>
      <c r="C2414" s="8"/>
      <c r="D2414" s="8"/>
      <c r="E2414" s="230"/>
      <c r="F2414" s="7"/>
      <c r="G2414" s="68"/>
      <c r="H2414" s="230"/>
      <c r="I2414" s="230"/>
      <c r="J2414" s="230"/>
      <c r="K2414" s="230"/>
      <c r="L2414" s="230"/>
      <c r="M2414" s="248"/>
      <c r="N2414" s="284"/>
      <c r="O2414" s="38"/>
      <c r="P2414" s="38"/>
      <c r="Q2414" s="38"/>
      <c r="R2414" s="38"/>
      <c r="S2414" s="38"/>
      <c r="T2414" s="38"/>
      <c r="U2414" s="38"/>
      <c r="V2414" s="38"/>
      <c r="W2414" s="38"/>
      <c r="X2414" s="38"/>
      <c r="Y2414" s="38"/>
      <c r="Z2414" s="38"/>
      <c r="AA2414" s="38"/>
      <c r="AB2414" s="38"/>
      <c r="AC2414" s="38"/>
      <c r="AD2414" s="38"/>
      <c r="AE2414" s="38"/>
      <c r="AF2414" s="38"/>
      <c r="AG2414" s="38"/>
      <c r="AH2414" s="38"/>
      <c r="AI2414" s="38"/>
      <c r="AJ2414" s="38"/>
      <c r="AK2414" s="38"/>
      <c r="AL2414" s="38"/>
      <c r="AM2414" s="38"/>
      <c r="AN2414" s="38"/>
      <c r="AO2414" s="38"/>
      <c r="AP2414" s="38"/>
      <c r="AQ2414" s="38"/>
      <c r="AR2414" s="38"/>
      <c r="AS2414" s="38"/>
      <c r="AT2414" s="38"/>
      <c r="AU2414" s="38"/>
      <c r="AV2414" s="38"/>
      <c r="AW2414" s="38"/>
      <c r="AX2414" s="38"/>
      <c r="AY2414" s="38"/>
      <c r="AZ2414" s="38"/>
      <c r="BA2414" s="38"/>
      <c r="BB2414" s="38"/>
      <c r="BC2414" s="38"/>
      <c r="BD2414" s="38"/>
      <c r="BE2414" s="38"/>
      <c r="BF2414" s="38"/>
      <c r="BG2414" s="38"/>
      <c r="BH2414" s="38"/>
      <c r="BI2414" s="38"/>
      <c r="BJ2414" s="38"/>
      <c r="BK2414" s="38"/>
      <c r="BL2414" s="38"/>
      <c r="BM2414" s="38"/>
      <c r="BN2414" s="38"/>
      <c r="BO2414" s="38"/>
      <c r="BP2414" s="38"/>
      <c r="BQ2414" s="38"/>
      <c r="BR2414" s="38"/>
      <c r="BS2414" s="38"/>
      <c r="BT2414" s="38"/>
      <c r="BU2414" s="38"/>
      <c r="BV2414" s="38"/>
      <c r="BW2414" s="38"/>
      <c r="BX2414" s="38"/>
      <c r="BY2414" s="38"/>
      <c r="BZ2414" s="38"/>
      <c r="CA2414" s="38"/>
      <c r="CB2414" s="38"/>
      <c r="CC2414" s="38"/>
      <c r="CD2414" s="38"/>
      <c r="CE2414" s="38"/>
      <c r="CF2414" s="38"/>
      <c r="CG2414" s="38"/>
      <c r="CH2414" s="38"/>
      <c r="CI2414" s="38"/>
      <c r="CJ2414" s="38"/>
      <c r="CK2414" s="38"/>
      <c r="CL2414" s="38"/>
      <c r="CM2414" s="38"/>
      <c r="CN2414" s="38"/>
      <c r="CO2414" s="38"/>
      <c r="CP2414" s="38"/>
      <c r="CQ2414" s="38"/>
      <c r="CR2414" s="38"/>
      <c r="CS2414" s="38"/>
      <c r="CT2414" s="38"/>
      <c r="CU2414" s="38"/>
      <c r="CV2414" s="38"/>
      <c r="CW2414" s="38"/>
      <c r="CX2414" s="38"/>
      <c r="CY2414" s="38"/>
      <c r="CZ2414" s="38"/>
      <c r="DA2414" s="38"/>
      <c r="DB2414" s="38"/>
      <c r="DC2414" s="38"/>
      <c r="DD2414" s="38"/>
      <c r="DE2414" s="38"/>
      <c r="DF2414" s="38"/>
      <c r="DG2414" s="38"/>
      <c r="DH2414" s="38"/>
      <c r="DI2414" s="38"/>
      <c r="DJ2414" s="38"/>
      <c r="DK2414" s="38"/>
      <c r="DL2414" s="38"/>
      <c r="DM2414" s="38"/>
      <c r="DN2414" s="38"/>
      <c r="DO2414" s="38"/>
      <c r="DP2414" s="38"/>
      <c r="DQ2414" s="38"/>
      <c r="DR2414" s="38"/>
      <c r="DS2414" s="38"/>
      <c r="DT2414" s="38"/>
      <c r="DU2414" s="38"/>
      <c r="DV2414" s="38"/>
      <c r="DW2414" s="38"/>
      <c r="DX2414" s="38"/>
      <c r="DY2414" s="38"/>
      <c r="DZ2414" s="38"/>
      <c r="EA2414" s="38"/>
      <c r="EB2414" s="38"/>
      <c r="EC2414" s="38"/>
      <c r="ED2414" s="38"/>
      <c r="EE2414" s="38"/>
      <c r="EF2414" s="38"/>
      <c r="EG2414" s="38"/>
      <c r="EH2414" s="38"/>
      <c r="EI2414" s="38"/>
      <c r="EJ2414" s="38"/>
      <c r="EK2414" s="38"/>
      <c r="EL2414" s="38"/>
      <c r="EM2414" s="38"/>
      <c r="EN2414" s="38"/>
      <c r="EO2414" s="38"/>
      <c r="EP2414" s="38"/>
      <c r="EQ2414" s="38"/>
      <c r="ER2414" s="38"/>
      <c r="ES2414" s="38"/>
      <c r="ET2414" s="38"/>
      <c r="EU2414" s="38"/>
      <c r="EV2414" s="38"/>
      <c r="EW2414" s="38"/>
      <c r="EX2414" s="38"/>
      <c r="EY2414" s="38"/>
      <c r="EZ2414" s="38"/>
      <c r="FA2414" s="38"/>
      <c r="FB2414" s="38"/>
      <c r="FC2414" s="38"/>
      <c r="FD2414" s="38"/>
      <c r="FE2414" s="38"/>
      <c r="FF2414" s="38"/>
      <c r="FG2414" s="38"/>
      <c r="FH2414" s="38"/>
      <c r="FI2414" s="38"/>
      <c r="FJ2414" s="38"/>
      <c r="FK2414" s="38"/>
      <c r="FL2414" s="38"/>
      <c r="FM2414" s="38"/>
      <c r="FN2414" s="38"/>
      <c r="FO2414" s="38"/>
      <c r="FP2414" s="38"/>
      <c r="FQ2414" s="38"/>
      <c r="FR2414" s="38"/>
      <c r="FS2414" s="38"/>
      <c r="FT2414" s="38"/>
      <c r="FU2414" s="38"/>
      <c r="FV2414" s="38"/>
      <c r="FW2414" s="38"/>
      <c r="FX2414" s="38"/>
      <c r="FY2414" s="38"/>
      <c r="FZ2414" s="38"/>
      <c r="GA2414" s="38"/>
      <c r="GB2414" s="38"/>
      <c r="GC2414" s="38"/>
      <c r="GD2414" s="38"/>
      <c r="GE2414" s="38"/>
      <c r="GF2414" s="38"/>
      <c r="GG2414" s="38"/>
      <c r="GH2414" s="38"/>
      <c r="GI2414" s="38"/>
      <c r="GJ2414" s="38"/>
      <c r="GK2414" s="38"/>
      <c r="GL2414" s="38"/>
      <c r="GM2414" s="38"/>
      <c r="GN2414" s="38"/>
      <c r="GO2414" s="38"/>
      <c r="GP2414" s="38"/>
      <c r="GQ2414" s="38"/>
      <c r="GR2414" s="38"/>
      <c r="GS2414" s="38"/>
      <c r="GT2414" s="38"/>
      <c r="GU2414" s="38"/>
      <c r="GV2414" s="38"/>
      <c r="GW2414" s="38"/>
      <c r="GX2414" s="38"/>
      <c r="GY2414" s="38"/>
      <c r="GZ2414" s="38"/>
      <c r="HA2414" s="38"/>
      <c r="HB2414" s="38"/>
      <c r="HC2414" s="38"/>
      <c r="HD2414" s="38"/>
      <c r="HE2414" s="38"/>
      <c r="HF2414" s="38"/>
      <c r="HG2414" s="38"/>
      <c r="HH2414" s="38"/>
      <c r="HI2414" s="38"/>
      <c r="HJ2414" s="38"/>
      <c r="HK2414" s="38"/>
      <c r="HL2414" s="38"/>
      <c r="HM2414" s="38"/>
      <c r="HN2414" s="38"/>
      <c r="HO2414" s="38"/>
      <c r="HP2414" s="38"/>
      <c r="HQ2414" s="38"/>
      <c r="HR2414" s="38"/>
      <c r="HS2414" s="38"/>
      <c r="HT2414" s="38"/>
      <c r="HU2414" s="38"/>
      <c r="HV2414" s="38"/>
      <c r="HW2414" s="38"/>
      <c r="HX2414" s="38"/>
      <c r="HY2414" s="38"/>
      <c r="HZ2414" s="38"/>
      <c r="IA2414" s="38"/>
      <c r="IB2414" s="38"/>
      <c r="IC2414" s="38"/>
      <c r="ID2414" s="38"/>
      <c r="IE2414" s="38"/>
      <c r="IF2414" s="38"/>
      <c r="IG2414" s="38"/>
      <c r="IH2414" s="38"/>
      <c r="II2414" s="38"/>
      <c r="IJ2414" s="38"/>
      <c r="IK2414" s="38"/>
      <c r="IL2414" s="38"/>
      <c r="IM2414" s="38"/>
      <c r="IN2414" s="38"/>
      <c r="IO2414" s="38"/>
      <c r="IP2414" s="38"/>
      <c r="IQ2414" s="38"/>
      <c r="IR2414" s="38"/>
      <c r="IS2414" s="38"/>
      <c r="IT2414" s="38"/>
      <c r="IU2414" s="38"/>
      <c r="IV2414" s="38"/>
      <c r="IW2414" s="38"/>
      <c r="IX2414" s="38"/>
      <c r="IY2414" s="38"/>
      <c r="IZ2414" s="38"/>
      <c r="JA2414" s="38"/>
      <c r="JB2414" s="38"/>
      <c r="JC2414" s="38"/>
      <c r="JD2414" s="38"/>
      <c r="JE2414" s="38"/>
      <c r="JF2414" s="38"/>
      <c r="JG2414" s="38"/>
      <c r="JH2414" s="38"/>
      <c r="JI2414" s="38"/>
      <c r="JJ2414" s="38"/>
      <c r="JK2414" s="38"/>
      <c r="JL2414" s="38"/>
      <c r="JM2414" s="38"/>
      <c r="JN2414" s="38"/>
      <c r="JO2414" s="38"/>
      <c r="JP2414" s="38"/>
      <c r="JQ2414" s="38"/>
      <c r="JR2414" s="38"/>
      <c r="JS2414" s="38"/>
      <c r="JT2414" s="38"/>
      <c r="JU2414" s="38"/>
      <c r="JV2414" s="38"/>
      <c r="JW2414" s="38"/>
      <c r="JX2414" s="38"/>
      <c r="JY2414" s="38"/>
      <c r="JZ2414" s="38"/>
      <c r="KA2414" s="38"/>
      <c r="KB2414" s="38"/>
      <c r="KC2414" s="38"/>
      <c r="KD2414" s="38"/>
      <c r="KE2414" s="38"/>
      <c r="KF2414" s="38"/>
      <c r="KG2414" s="38"/>
      <c r="KH2414" s="38"/>
      <c r="KI2414" s="38"/>
      <c r="KJ2414" s="38"/>
      <c r="KK2414" s="38"/>
      <c r="KL2414" s="38"/>
      <c r="KM2414" s="38"/>
      <c r="KN2414" s="38"/>
      <c r="KO2414" s="38"/>
      <c r="KP2414" s="38"/>
      <c r="KQ2414" s="38"/>
      <c r="KR2414" s="38"/>
      <c r="KS2414" s="38"/>
      <c r="KT2414" s="38"/>
      <c r="KU2414" s="38"/>
      <c r="KV2414" s="38"/>
      <c r="KW2414" s="38"/>
      <c r="KX2414" s="38"/>
      <c r="KY2414" s="38"/>
      <c r="KZ2414" s="38"/>
      <c r="LA2414" s="38"/>
      <c r="LB2414" s="38"/>
      <c r="LC2414" s="38"/>
      <c r="LD2414" s="38"/>
      <c r="LE2414" s="38"/>
      <c r="LF2414" s="38"/>
      <c r="LG2414" s="38"/>
      <c r="LH2414" s="38"/>
      <c r="LI2414" s="38"/>
      <c r="LJ2414" s="38"/>
      <c r="LK2414" s="38"/>
      <c r="LL2414" s="38"/>
      <c r="LM2414" s="38"/>
      <c r="LN2414" s="38"/>
      <c r="LO2414" s="38"/>
      <c r="LP2414" s="38"/>
      <c r="LQ2414" s="38"/>
      <c r="LR2414" s="38"/>
      <c r="LS2414" s="38"/>
      <c r="LT2414" s="38"/>
      <c r="LU2414" s="38"/>
      <c r="LV2414" s="38"/>
      <c r="LW2414" s="38"/>
      <c r="LX2414" s="38"/>
      <c r="LY2414" s="38"/>
      <c r="LZ2414" s="38"/>
      <c r="MA2414" s="38"/>
      <c r="MB2414" s="38"/>
      <c r="MC2414" s="38"/>
      <c r="MD2414" s="38"/>
      <c r="ME2414" s="38"/>
      <c r="MF2414" s="38"/>
      <c r="MG2414" s="38"/>
      <c r="MH2414" s="38"/>
      <c r="MI2414" s="38"/>
      <c r="MJ2414" s="38"/>
      <c r="MK2414" s="38"/>
      <c r="ML2414" s="38"/>
      <c r="MM2414" s="38"/>
      <c r="MN2414" s="38"/>
      <c r="MO2414" s="38"/>
      <c r="MP2414" s="38"/>
      <c r="MQ2414" s="38"/>
      <c r="MR2414" s="38"/>
      <c r="MS2414" s="38"/>
      <c r="MT2414" s="38"/>
      <c r="MU2414" s="38"/>
      <c r="MV2414" s="38"/>
      <c r="MW2414" s="38"/>
      <c r="MX2414" s="38"/>
      <c r="MY2414" s="38"/>
      <c r="MZ2414" s="38"/>
      <c r="NA2414" s="38"/>
      <c r="NB2414" s="38"/>
      <c r="NC2414" s="38"/>
      <c r="ND2414" s="38"/>
      <c r="NE2414" s="38"/>
      <c r="NF2414" s="38"/>
      <c r="NG2414" s="38"/>
      <c r="NH2414" s="38"/>
      <c r="NI2414" s="38"/>
      <c r="NJ2414" s="38"/>
      <c r="NK2414" s="38"/>
      <c r="NL2414" s="38"/>
      <c r="NM2414" s="38"/>
      <c r="NN2414" s="38"/>
      <c r="NO2414" s="38"/>
      <c r="NP2414" s="38"/>
      <c r="NQ2414" s="38"/>
      <c r="NR2414" s="38"/>
      <c r="NS2414" s="38"/>
      <c r="NT2414" s="38"/>
      <c r="NU2414" s="38"/>
      <c r="NV2414" s="38"/>
      <c r="NW2414" s="38"/>
      <c r="NX2414" s="38"/>
      <c r="NY2414" s="38"/>
      <c r="NZ2414" s="38"/>
      <c r="OA2414" s="38"/>
      <c r="OB2414" s="38"/>
      <c r="OC2414" s="38"/>
      <c r="OD2414" s="38"/>
      <c r="OE2414" s="38"/>
      <c r="OF2414" s="38"/>
      <c r="OG2414" s="38"/>
      <c r="OH2414" s="38"/>
      <c r="OI2414" s="38"/>
      <c r="OJ2414" s="38"/>
      <c r="OK2414" s="38"/>
      <c r="OL2414" s="38"/>
      <c r="OM2414" s="38"/>
      <c r="ON2414" s="38"/>
      <c r="OO2414" s="38"/>
      <c r="OP2414" s="38"/>
      <c r="OQ2414" s="38"/>
      <c r="OR2414" s="38"/>
      <c r="OS2414" s="38"/>
      <c r="OT2414" s="38"/>
      <c r="OU2414" s="38"/>
      <c r="OV2414" s="38"/>
      <c r="OW2414" s="38"/>
      <c r="OX2414" s="38"/>
      <c r="OY2414" s="38"/>
      <c r="OZ2414" s="38"/>
      <c r="PA2414" s="38"/>
      <c r="PB2414" s="38"/>
      <c r="PC2414" s="38"/>
      <c r="PD2414" s="38"/>
      <c r="PE2414" s="38"/>
      <c r="PF2414" s="38"/>
      <c r="PG2414" s="38"/>
      <c r="PH2414" s="38"/>
      <c r="PI2414" s="38"/>
      <c r="PJ2414" s="38"/>
      <c r="PK2414" s="38"/>
      <c r="PL2414" s="38"/>
      <c r="PM2414" s="38"/>
      <c r="PN2414" s="38"/>
      <c r="PO2414" s="38"/>
      <c r="PP2414" s="38"/>
      <c r="PQ2414" s="38"/>
      <c r="PR2414" s="38"/>
      <c r="PS2414" s="38"/>
      <c r="PT2414" s="38"/>
      <c r="PU2414" s="38"/>
      <c r="PV2414" s="38"/>
      <c r="PW2414" s="38"/>
      <c r="PX2414" s="38"/>
      <c r="PY2414" s="38"/>
      <c r="PZ2414" s="38"/>
      <c r="QA2414" s="38"/>
      <c r="QB2414" s="38"/>
      <c r="QC2414" s="38"/>
      <c r="QD2414" s="38"/>
      <c r="QE2414" s="38"/>
      <c r="QF2414" s="38"/>
      <c r="QG2414" s="38"/>
      <c r="QH2414" s="38"/>
      <c r="QI2414" s="38"/>
      <c r="QJ2414" s="38"/>
      <c r="QK2414" s="38"/>
      <c r="QL2414" s="38"/>
      <c r="QM2414" s="38"/>
      <c r="QN2414" s="38"/>
      <c r="QO2414" s="38"/>
      <c r="QP2414" s="38"/>
      <c r="QQ2414" s="38"/>
      <c r="QR2414" s="38"/>
      <c r="QS2414" s="38"/>
      <c r="QT2414" s="38"/>
      <c r="QU2414" s="38"/>
      <c r="QV2414" s="38"/>
      <c r="QW2414" s="38"/>
      <c r="QX2414" s="38"/>
      <c r="QY2414" s="38"/>
      <c r="QZ2414" s="38"/>
      <c r="RA2414" s="38"/>
      <c r="RB2414" s="38"/>
      <c r="RC2414" s="38"/>
      <c r="RD2414" s="38"/>
      <c r="RE2414" s="38"/>
      <c r="RF2414" s="38"/>
      <c r="RG2414" s="38"/>
      <c r="RH2414" s="38"/>
      <c r="RI2414" s="38"/>
      <c r="RJ2414" s="38"/>
      <c r="RK2414" s="38"/>
      <c r="RL2414" s="38"/>
      <c r="RM2414" s="38"/>
      <c r="RN2414" s="38"/>
      <c r="RO2414" s="38"/>
      <c r="RP2414" s="38"/>
      <c r="RQ2414" s="38"/>
      <c r="RR2414" s="38"/>
      <c r="RS2414" s="38"/>
      <c r="RT2414" s="38"/>
      <c r="RU2414" s="38"/>
      <c r="RV2414" s="38"/>
      <c r="RW2414" s="38"/>
      <c r="RX2414" s="38"/>
      <c r="RY2414" s="38"/>
      <c r="RZ2414" s="38"/>
      <c r="SA2414" s="38"/>
      <c r="SB2414" s="38"/>
      <c r="SC2414" s="38"/>
      <c r="SD2414" s="38"/>
      <c r="SE2414" s="38"/>
      <c r="SF2414" s="38"/>
      <c r="SG2414" s="38"/>
      <c r="SH2414" s="38"/>
      <c r="SI2414" s="38"/>
      <c r="SJ2414" s="38"/>
      <c r="SK2414" s="38"/>
      <c r="SL2414" s="38"/>
      <c r="SM2414" s="38"/>
      <c r="SN2414" s="38"/>
      <c r="SO2414" s="38"/>
      <c r="SP2414" s="38"/>
      <c r="SQ2414" s="38"/>
      <c r="SR2414" s="38"/>
      <c r="SS2414" s="38"/>
      <c r="ST2414" s="38"/>
      <c r="SU2414" s="38"/>
      <c r="SV2414" s="38"/>
      <c r="SW2414" s="38"/>
      <c r="SX2414" s="38"/>
      <c r="SY2414" s="38"/>
      <c r="SZ2414" s="38"/>
      <c r="TA2414" s="38"/>
      <c r="TB2414" s="38"/>
      <c r="TC2414" s="38"/>
      <c r="TD2414" s="38"/>
      <c r="TE2414" s="38"/>
      <c r="TF2414" s="38"/>
      <c r="TG2414" s="38"/>
      <c r="TH2414" s="38"/>
      <c r="TI2414" s="38"/>
      <c r="TJ2414" s="38"/>
      <c r="TK2414" s="38"/>
      <c r="TL2414" s="38"/>
      <c r="TM2414" s="38"/>
      <c r="TN2414" s="38"/>
      <c r="TO2414" s="38"/>
      <c r="TP2414" s="38"/>
      <c r="TQ2414" s="38"/>
      <c r="TR2414" s="38"/>
      <c r="TS2414" s="38"/>
      <c r="TT2414" s="38"/>
      <c r="TU2414" s="38"/>
      <c r="TV2414" s="38"/>
      <c r="TW2414" s="38"/>
      <c r="TX2414" s="38"/>
      <c r="TY2414" s="38"/>
      <c r="TZ2414" s="38"/>
      <c r="UA2414" s="38"/>
      <c r="UB2414" s="38"/>
      <c r="UC2414" s="38"/>
      <c r="UD2414" s="38"/>
      <c r="UE2414" s="38"/>
      <c r="UF2414" s="38"/>
      <c r="UG2414" s="38"/>
      <c r="UH2414" s="38"/>
      <c r="UI2414" s="38"/>
      <c r="UJ2414" s="38"/>
      <c r="UK2414" s="38"/>
      <c r="UL2414" s="38"/>
      <c r="UM2414" s="38"/>
      <c r="UN2414" s="38"/>
      <c r="UO2414" s="38"/>
      <c r="UP2414" s="38"/>
      <c r="UQ2414" s="38"/>
      <c r="UR2414" s="38"/>
      <c r="US2414" s="38"/>
      <c r="UT2414" s="38"/>
      <c r="UU2414" s="38"/>
      <c r="UV2414" s="38"/>
      <c r="UW2414" s="38"/>
      <c r="UX2414" s="38"/>
      <c r="UY2414" s="38"/>
      <c r="UZ2414" s="38"/>
      <c r="VA2414" s="38"/>
      <c r="VB2414" s="38"/>
      <c r="VC2414" s="38"/>
      <c r="VD2414" s="38"/>
      <c r="VE2414" s="38"/>
      <c r="VF2414" s="38"/>
      <c r="VG2414" s="38"/>
      <c r="VH2414" s="38"/>
      <c r="VI2414" s="38"/>
      <c r="VJ2414" s="38"/>
      <c r="VK2414" s="38"/>
      <c r="VL2414" s="38"/>
      <c r="VM2414" s="38"/>
      <c r="VN2414" s="38"/>
      <c r="VO2414" s="38"/>
      <c r="VP2414" s="38"/>
      <c r="VQ2414" s="38"/>
      <c r="VR2414" s="38"/>
      <c r="VS2414" s="38"/>
      <c r="VT2414" s="38"/>
      <c r="VU2414" s="38"/>
      <c r="VV2414" s="38"/>
      <c r="VW2414" s="38"/>
      <c r="VX2414" s="38"/>
      <c r="VY2414" s="38"/>
      <c r="VZ2414" s="38"/>
      <c r="WA2414" s="38"/>
      <c r="WB2414" s="38"/>
      <c r="WC2414" s="38"/>
      <c r="WD2414" s="38"/>
      <c r="WE2414" s="38"/>
      <c r="WF2414" s="38"/>
      <c r="WG2414" s="38"/>
      <c r="WH2414" s="38"/>
      <c r="WI2414" s="38"/>
      <c r="WJ2414" s="38"/>
      <c r="WK2414" s="38"/>
      <c r="WL2414" s="38"/>
      <c r="WM2414" s="38"/>
      <c r="WN2414" s="38"/>
      <c r="WO2414" s="38"/>
      <c r="WP2414" s="38"/>
      <c r="WQ2414" s="38"/>
      <c r="WR2414" s="38"/>
      <c r="WS2414" s="38"/>
      <c r="WT2414" s="38"/>
      <c r="WU2414" s="38"/>
      <c r="WV2414" s="38"/>
      <c r="WW2414" s="38"/>
      <c r="WX2414" s="38"/>
      <c r="WY2414" s="38"/>
      <c r="WZ2414" s="38"/>
      <c r="XA2414" s="38"/>
      <c r="XB2414" s="38"/>
      <c r="XC2414" s="38"/>
      <c r="XD2414" s="38"/>
      <c r="XE2414" s="38"/>
      <c r="XF2414" s="38"/>
      <c r="XG2414" s="38"/>
      <c r="XH2414" s="38"/>
      <c r="XI2414" s="38"/>
      <c r="XJ2414" s="38"/>
      <c r="XK2414" s="38"/>
      <c r="XL2414" s="38"/>
      <c r="XM2414" s="38"/>
      <c r="XN2414" s="38"/>
      <c r="XO2414" s="38"/>
      <c r="XP2414" s="38"/>
      <c r="XQ2414" s="38"/>
      <c r="XR2414" s="38"/>
      <c r="XS2414" s="38"/>
      <c r="XT2414" s="38"/>
      <c r="XU2414" s="38"/>
      <c r="XV2414" s="38"/>
      <c r="XW2414" s="38"/>
      <c r="XX2414" s="38"/>
      <c r="XY2414" s="38"/>
      <c r="XZ2414" s="38"/>
      <c r="YA2414" s="38"/>
      <c r="YB2414" s="38"/>
      <c r="YC2414" s="38"/>
      <c r="YD2414" s="38"/>
      <c r="YE2414" s="38"/>
      <c r="YF2414" s="38"/>
      <c r="YG2414" s="38"/>
      <c r="YH2414" s="38"/>
      <c r="YI2414" s="38"/>
      <c r="YJ2414" s="38"/>
      <c r="YK2414" s="38"/>
      <c r="YL2414" s="38"/>
      <c r="YM2414" s="38"/>
      <c r="YN2414" s="38"/>
      <c r="YO2414" s="38"/>
      <c r="YP2414" s="38"/>
      <c r="YQ2414" s="38"/>
      <c r="YR2414" s="38"/>
      <c r="YS2414" s="38"/>
      <c r="YT2414" s="38"/>
      <c r="YU2414" s="38"/>
      <c r="YV2414" s="38"/>
      <c r="YW2414" s="38"/>
      <c r="YX2414" s="38"/>
      <c r="YY2414" s="38"/>
      <c r="YZ2414" s="38"/>
      <c r="ZA2414" s="38"/>
      <c r="ZB2414" s="38"/>
      <c r="ZC2414" s="38"/>
      <c r="ZD2414" s="38"/>
      <c r="ZE2414" s="38"/>
      <c r="ZF2414" s="38"/>
      <c r="ZG2414" s="38"/>
      <c r="ZH2414" s="38"/>
      <c r="ZI2414" s="38"/>
      <c r="ZJ2414" s="38"/>
      <c r="ZK2414" s="38"/>
      <c r="ZL2414" s="38"/>
      <c r="ZM2414" s="38"/>
      <c r="ZN2414" s="38"/>
      <c r="ZO2414" s="38"/>
      <c r="ZP2414" s="38"/>
      <c r="ZQ2414" s="38"/>
      <c r="ZR2414" s="38"/>
      <c r="ZS2414" s="38"/>
      <c r="ZT2414" s="38"/>
      <c r="ZU2414" s="38"/>
      <c r="ZV2414" s="38"/>
      <c r="ZW2414" s="38"/>
      <c r="ZX2414" s="38"/>
      <c r="ZY2414" s="38"/>
      <c r="ZZ2414" s="38"/>
      <c r="AAA2414" s="38"/>
      <c r="AAB2414" s="38"/>
      <c r="AAC2414" s="38"/>
      <c r="AAD2414" s="38"/>
      <c r="AAE2414" s="38"/>
      <c r="AAF2414" s="38"/>
      <c r="AAG2414" s="38"/>
      <c r="AAH2414" s="38"/>
      <c r="AAI2414" s="38"/>
      <c r="AAJ2414" s="38"/>
      <c r="AAK2414" s="38"/>
      <c r="AAL2414" s="38"/>
      <c r="AAM2414" s="38"/>
      <c r="AAN2414" s="38"/>
      <c r="AAO2414" s="38"/>
      <c r="AAP2414" s="38"/>
      <c r="AAQ2414" s="38"/>
      <c r="AAR2414" s="38"/>
      <c r="AAS2414" s="38"/>
      <c r="AAT2414" s="38"/>
      <c r="AAU2414" s="38"/>
      <c r="AAV2414" s="38"/>
      <c r="AAW2414" s="38"/>
      <c r="AAX2414" s="38"/>
      <c r="AAY2414" s="38"/>
      <c r="AAZ2414" s="38"/>
      <c r="ABA2414" s="38"/>
      <c r="ABB2414" s="38"/>
      <c r="ABC2414" s="38"/>
      <c r="ABD2414" s="38"/>
      <c r="ABE2414" s="38"/>
      <c r="ABF2414" s="38"/>
      <c r="ABG2414" s="38"/>
      <c r="ABH2414" s="38"/>
      <c r="ABI2414" s="38"/>
      <c r="ABJ2414" s="38"/>
      <c r="ABK2414" s="38"/>
      <c r="ABL2414" s="38"/>
      <c r="ABM2414" s="38"/>
      <c r="ABN2414" s="38"/>
      <c r="ABO2414" s="38"/>
      <c r="ABP2414" s="38"/>
      <c r="ABQ2414" s="38"/>
      <c r="ABR2414" s="38"/>
      <c r="ABS2414" s="38"/>
      <c r="ABT2414" s="38"/>
      <c r="ABU2414" s="38"/>
      <c r="ABV2414" s="38"/>
      <c r="ABW2414" s="38"/>
      <c r="ABX2414" s="38"/>
      <c r="ABY2414" s="38"/>
      <c r="ABZ2414" s="38"/>
      <c r="ACA2414" s="38"/>
      <c r="ACB2414" s="38"/>
      <c r="ACC2414" s="38"/>
      <c r="ACD2414" s="38"/>
      <c r="ACE2414" s="38"/>
      <c r="ACF2414" s="38"/>
      <c r="ACG2414" s="38"/>
      <c r="ACH2414" s="38"/>
      <c r="ACI2414" s="38"/>
      <c r="ACJ2414" s="38"/>
      <c r="ACK2414" s="38"/>
      <c r="ACL2414" s="38"/>
      <c r="ACM2414" s="38"/>
      <c r="ACN2414" s="38"/>
      <c r="ACO2414" s="38"/>
      <c r="ACP2414" s="38"/>
      <c r="ACQ2414" s="38"/>
      <c r="ACR2414" s="38"/>
      <c r="ACS2414" s="38"/>
      <c r="ACT2414" s="38"/>
      <c r="ACU2414" s="38"/>
      <c r="ACV2414" s="38"/>
      <c r="ACW2414" s="38"/>
      <c r="ACX2414" s="38"/>
      <c r="ACY2414" s="38"/>
      <c r="ACZ2414" s="38"/>
      <c r="ADA2414" s="38"/>
      <c r="ADB2414" s="38"/>
      <c r="ADC2414" s="38"/>
      <c r="ADD2414" s="38"/>
      <c r="ADE2414" s="38"/>
      <c r="ADF2414" s="38"/>
      <c r="ADG2414" s="38"/>
      <c r="ADH2414" s="38"/>
      <c r="ADI2414" s="38"/>
      <c r="ADJ2414" s="38"/>
      <c r="ADK2414" s="38"/>
      <c r="ADL2414" s="38"/>
      <c r="ADM2414" s="38"/>
      <c r="ADN2414" s="38"/>
      <c r="ADO2414" s="38"/>
      <c r="ADP2414" s="38"/>
      <c r="ADQ2414" s="38"/>
      <c r="ADR2414" s="38"/>
      <c r="ADS2414" s="38"/>
      <c r="ADT2414" s="38"/>
      <c r="ADU2414" s="38"/>
      <c r="ADV2414" s="38"/>
      <c r="ADW2414" s="38"/>
      <c r="ADX2414" s="38"/>
      <c r="ADY2414" s="38"/>
      <c r="ADZ2414" s="38"/>
      <c r="AEA2414" s="38"/>
      <c r="AEB2414" s="38"/>
      <c r="AEC2414" s="38"/>
      <c r="AED2414" s="38"/>
      <c r="AEE2414" s="38"/>
      <c r="AEF2414" s="38"/>
      <c r="AEG2414" s="38"/>
      <c r="AEH2414" s="38"/>
      <c r="AEI2414" s="38"/>
      <c r="AEJ2414" s="38"/>
      <c r="AEK2414" s="38"/>
      <c r="AEL2414" s="38"/>
      <c r="AEM2414" s="38"/>
      <c r="AEN2414" s="38"/>
      <c r="AEO2414" s="38"/>
      <c r="AEP2414" s="38"/>
      <c r="AEQ2414" s="38"/>
      <c r="AER2414" s="38"/>
      <c r="AES2414" s="38"/>
      <c r="AET2414" s="38"/>
      <c r="AEU2414" s="38"/>
      <c r="AEV2414" s="38"/>
      <c r="AEW2414" s="38"/>
      <c r="AEX2414" s="38"/>
      <c r="AEY2414" s="38"/>
      <c r="AEZ2414" s="38"/>
      <c r="AFA2414" s="38"/>
      <c r="AFB2414" s="38"/>
      <c r="AFC2414" s="38"/>
      <c r="AFD2414" s="38"/>
      <c r="AFE2414" s="38"/>
      <c r="AFF2414" s="38"/>
      <c r="AFG2414" s="38"/>
      <c r="AFH2414" s="38"/>
      <c r="AFI2414" s="38"/>
      <c r="AFJ2414" s="38"/>
      <c r="AFK2414" s="38"/>
      <c r="AFL2414" s="38"/>
      <c r="AFM2414" s="38"/>
      <c r="AFN2414" s="38"/>
      <c r="AFO2414" s="38"/>
      <c r="AFP2414" s="38"/>
      <c r="AFQ2414" s="38"/>
      <c r="AFR2414" s="38"/>
      <c r="AFS2414" s="38"/>
      <c r="AFT2414" s="38"/>
      <c r="AFU2414" s="38"/>
      <c r="AFV2414" s="38"/>
      <c r="AFW2414" s="38"/>
      <c r="AFX2414" s="38"/>
      <c r="AFY2414" s="38"/>
      <c r="AFZ2414" s="38"/>
      <c r="AGA2414" s="38"/>
      <c r="AGB2414" s="38"/>
      <c r="AGC2414" s="38"/>
      <c r="AGD2414" s="38"/>
      <c r="AGE2414" s="38"/>
      <c r="AGF2414" s="38"/>
      <c r="AGG2414" s="38"/>
      <c r="AGH2414" s="38"/>
      <c r="AGI2414" s="38"/>
      <c r="AGJ2414" s="38"/>
      <c r="AGK2414" s="38"/>
      <c r="AGL2414" s="38"/>
      <c r="AGM2414" s="38"/>
      <c r="AGN2414" s="38"/>
      <c r="AGO2414" s="38"/>
      <c r="AGP2414" s="38"/>
      <c r="AGQ2414" s="38"/>
      <c r="AGR2414" s="38"/>
      <c r="AGS2414" s="38"/>
      <c r="AGT2414" s="38"/>
      <c r="AGU2414" s="38"/>
      <c r="AGV2414" s="38"/>
      <c r="AGW2414" s="38"/>
      <c r="AGX2414" s="38"/>
      <c r="AGY2414" s="38"/>
      <c r="AGZ2414" s="38"/>
      <c r="AHA2414" s="38"/>
      <c r="AHB2414" s="38"/>
      <c r="AHC2414" s="38"/>
      <c r="AHD2414" s="38"/>
      <c r="AHE2414" s="38"/>
      <c r="AHF2414" s="38"/>
      <c r="AHG2414" s="38"/>
      <c r="AHH2414" s="38"/>
      <c r="AHI2414" s="38"/>
      <c r="AHJ2414" s="38"/>
      <c r="AHK2414" s="38"/>
      <c r="AHL2414" s="38"/>
      <c r="AHM2414" s="38"/>
      <c r="AHN2414" s="38"/>
      <c r="AHO2414" s="38"/>
      <c r="AHP2414" s="38"/>
      <c r="AHQ2414" s="38"/>
      <c r="AHR2414" s="38"/>
      <c r="AHS2414" s="38"/>
      <c r="AHT2414" s="38"/>
      <c r="AHU2414" s="38"/>
      <c r="AHV2414" s="38"/>
      <c r="AHW2414" s="38"/>
      <c r="AHX2414" s="38"/>
      <c r="AHY2414" s="38"/>
      <c r="AHZ2414" s="38"/>
      <c r="AIA2414" s="38"/>
      <c r="AIB2414" s="38"/>
      <c r="AIC2414" s="38"/>
      <c r="AID2414" s="38"/>
      <c r="AIE2414" s="38"/>
      <c r="AIF2414" s="38"/>
      <c r="AIG2414" s="38"/>
      <c r="AIH2414" s="38"/>
      <c r="AII2414" s="38"/>
      <c r="AIJ2414" s="38"/>
      <c r="AIK2414" s="38"/>
      <c r="AIL2414" s="38"/>
      <c r="AIM2414" s="38"/>
      <c r="AIN2414" s="38"/>
      <c r="AIO2414" s="38"/>
      <c r="AIP2414" s="38"/>
      <c r="AIQ2414" s="38"/>
      <c r="AIR2414" s="38"/>
      <c r="AIS2414" s="38"/>
      <c r="AIT2414" s="38"/>
      <c r="AIU2414" s="38"/>
      <c r="AIV2414" s="38"/>
      <c r="AIW2414" s="38"/>
      <c r="AIX2414" s="38"/>
      <c r="AIY2414" s="38"/>
      <c r="AIZ2414" s="38"/>
      <c r="AJA2414" s="38"/>
      <c r="AJB2414" s="38"/>
      <c r="AJC2414" s="38"/>
      <c r="AJD2414" s="38"/>
      <c r="AJE2414" s="38"/>
      <c r="AJF2414" s="38"/>
      <c r="AJG2414" s="38"/>
      <c r="AJH2414" s="38"/>
      <c r="AJI2414" s="38"/>
      <c r="AJJ2414" s="38"/>
      <c r="AJK2414" s="38"/>
      <c r="AJL2414" s="38"/>
      <c r="AJM2414" s="38"/>
      <c r="AJN2414" s="38"/>
      <c r="AJO2414" s="38"/>
      <c r="AJP2414" s="38"/>
      <c r="AJQ2414" s="38"/>
      <c r="AJR2414" s="38"/>
      <c r="AJS2414" s="38"/>
      <c r="AJT2414" s="38"/>
      <c r="AJU2414" s="38"/>
      <c r="AJV2414" s="38"/>
      <c r="AJW2414" s="38"/>
      <c r="AJX2414" s="38"/>
      <c r="AJY2414" s="38"/>
      <c r="AJZ2414" s="38"/>
      <c r="AKA2414" s="38"/>
      <c r="AKB2414" s="38"/>
      <c r="AKC2414" s="38"/>
      <c r="AKD2414" s="38"/>
      <c r="AKE2414" s="38"/>
      <c r="AKF2414" s="38"/>
      <c r="AKG2414" s="38"/>
      <c r="AKH2414" s="38"/>
      <c r="AKI2414" s="38"/>
      <c r="AKJ2414" s="38"/>
      <c r="AKK2414" s="38"/>
      <c r="AKL2414" s="38"/>
      <c r="AKM2414" s="38"/>
      <c r="AKN2414" s="38"/>
      <c r="AKO2414" s="38"/>
      <c r="AKP2414" s="38"/>
      <c r="AKQ2414" s="38"/>
      <c r="AKR2414" s="38"/>
      <c r="AKS2414" s="38"/>
      <c r="AKT2414" s="38"/>
      <c r="AKU2414" s="38"/>
      <c r="AKV2414" s="38"/>
      <c r="AKW2414" s="38"/>
      <c r="AKX2414" s="38"/>
      <c r="AKY2414" s="38"/>
      <c r="AKZ2414" s="38"/>
      <c r="ALA2414" s="38"/>
      <c r="ALB2414" s="38"/>
      <c r="ALC2414" s="38"/>
      <c r="ALD2414" s="38"/>
      <c r="ALE2414" s="38"/>
      <c r="ALF2414" s="38"/>
      <c r="ALG2414" s="38"/>
      <c r="ALH2414" s="38"/>
      <c r="ALI2414" s="38"/>
      <c r="ALJ2414" s="38"/>
      <c r="ALK2414" s="38"/>
      <c r="ALL2414" s="38"/>
      <c r="ALM2414" s="38"/>
      <c r="ALN2414" s="38"/>
      <c r="ALO2414" s="38"/>
      <c r="ALP2414" s="38"/>
      <c r="ALQ2414" s="38"/>
      <c r="ALR2414" s="38"/>
      <c r="ALS2414" s="38"/>
      <c r="ALT2414" s="38"/>
      <c r="ALU2414" s="38"/>
      <c r="ALV2414" s="38"/>
      <c r="ALW2414" s="38"/>
      <c r="ALX2414" s="38"/>
      <c r="ALY2414" s="38"/>
      <c r="ALZ2414" s="38"/>
      <c r="AMA2414" s="38"/>
      <c r="AMB2414" s="38"/>
      <c r="AMC2414" s="38"/>
      <c r="AMD2414" s="38"/>
      <c r="AME2414" s="38"/>
      <c r="AMF2414" s="38"/>
      <c r="AMG2414" s="38"/>
      <c r="AMH2414" s="38"/>
      <c r="AMI2414" s="38"/>
      <c r="AMJ2414" s="38"/>
      <c r="AMK2414" s="38"/>
      <c r="AML2414" s="38"/>
      <c r="AMM2414" s="38"/>
      <c r="AMN2414" s="38"/>
      <c r="AMO2414" s="38"/>
      <c r="AMP2414" s="38"/>
      <c r="AMQ2414" s="38"/>
      <c r="AMR2414" s="38"/>
      <c r="AMS2414" s="38"/>
      <c r="AMT2414" s="38"/>
      <c r="AMU2414" s="38"/>
      <c r="AMV2414" s="38"/>
      <c r="AMW2414" s="38"/>
      <c r="AMX2414" s="38"/>
      <c r="AMY2414" s="38"/>
      <c r="AMZ2414" s="38"/>
      <c r="ANA2414" s="38"/>
      <c r="ANB2414" s="38"/>
      <c r="ANC2414" s="38"/>
      <c r="AND2414" s="38"/>
      <c r="ANE2414" s="38"/>
      <c r="ANF2414" s="38"/>
      <c r="ANG2414" s="38"/>
      <c r="ANH2414" s="38"/>
      <c r="ANI2414" s="38"/>
      <c r="ANJ2414" s="38"/>
      <c r="ANK2414" s="38"/>
      <c r="ANL2414" s="38"/>
      <c r="ANM2414" s="38"/>
      <c r="ANN2414" s="38"/>
      <c r="ANO2414" s="38"/>
      <c r="ANP2414" s="38"/>
      <c r="ANQ2414" s="38"/>
      <c r="ANR2414" s="38"/>
      <c r="ANS2414" s="38"/>
      <c r="ANT2414" s="38"/>
      <c r="ANU2414" s="38"/>
      <c r="ANV2414" s="38"/>
      <c r="ANW2414" s="38"/>
      <c r="ANX2414" s="38"/>
      <c r="ANY2414" s="38"/>
      <c r="ANZ2414" s="38"/>
      <c r="AOA2414" s="38"/>
      <c r="AOB2414" s="38"/>
      <c r="AOC2414" s="38"/>
      <c r="AOD2414" s="38"/>
      <c r="AOE2414" s="38"/>
      <c r="AOF2414" s="38"/>
      <c r="AOG2414" s="38"/>
      <c r="AOH2414" s="38"/>
      <c r="AOI2414" s="38"/>
      <c r="AOJ2414" s="38"/>
      <c r="AOK2414" s="38"/>
      <c r="AOL2414" s="38"/>
      <c r="AOM2414" s="38"/>
      <c r="AON2414" s="38"/>
      <c r="AOO2414" s="38"/>
      <c r="AOP2414" s="38"/>
      <c r="AOQ2414" s="38"/>
      <c r="AOR2414" s="38"/>
      <c r="AOS2414" s="38"/>
      <c r="AOT2414" s="38"/>
      <c r="AOU2414" s="38"/>
      <c r="AOV2414" s="38"/>
      <c r="AOW2414" s="38"/>
      <c r="AOX2414" s="38"/>
      <c r="AOY2414" s="38"/>
      <c r="AOZ2414" s="38"/>
      <c r="APA2414" s="38"/>
      <c r="APB2414" s="38"/>
      <c r="APC2414" s="38"/>
    </row>
    <row r="2415" spans="1:1095" s="36" customFormat="1" ht="14.25" customHeight="1">
      <c r="A2415" s="3" t="s">
        <v>1722</v>
      </c>
      <c r="B2415" s="36" t="s">
        <v>3011</v>
      </c>
      <c r="C2415" s="10">
        <v>4058075607194</v>
      </c>
      <c r="D2415" s="224">
        <v>4058075607194</v>
      </c>
      <c r="E2415" s="245" t="s">
        <v>3011</v>
      </c>
      <c r="F2415" s="246"/>
      <c r="G2415" s="66" t="str">
        <f>HYPERLINK("https://ledvance.com/pt/product-datasheet/6991/157646","Ficha de Produto")</f>
        <v>Ficha de Produto</v>
      </c>
      <c r="H2415" s="217">
        <v>4</v>
      </c>
      <c r="I2415" s="34" t="s">
        <v>6351</v>
      </c>
      <c r="J2415" s="34" t="s">
        <v>886</v>
      </c>
      <c r="K2415" s="34" t="s">
        <v>788</v>
      </c>
      <c r="L2415" s="34" t="s">
        <v>6506</v>
      </c>
      <c r="M2415" s="247">
        <v>49.1</v>
      </c>
      <c r="N2415" s="288" t="s">
        <v>722</v>
      </c>
    </row>
    <row r="2416" spans="1:1095" s="36" customFormat="1" ht="14.25" customHeight="1">
      <c r="A2416" s="3" t="s">
        <v>1722</v>
      </c>
      <c r="B2416" s="36" t="s">
        <v>3012</v>
      </c>
      <c r="C2416" s="10">
        <v>4058075607316</v>
      </c>
      <c r="D2416" s="224">
        <v>4058075607316</v>
      </c>
      <c r="E2416" s="245" t="s">
        <v>3012</v>
      </c>
      <c r="F2416" s="246"/>
      <c r="G2416" s="66" t="str">
        <f>HYPERLINK("https://ledvance.com/pt/product-datasheet/6991/157658","Ficha de Produto")</f>
        <v>Ficha de Produto</v>
      </c>
      <c r="H2416" s="217">
        <v>6</v>
      </c>
      <c r="I2416" s="34" t="s">
        <v>6349</v>
      </c>
      <c r="J2416" s="34" t="s">
        <v>809</v>
      </c>
      <c r="K2416" s="34" t="s">
        <v>788</v>
      </c>
      <c r="L2416" s="34" t="s">
        <v>6506</v>
      </c>
      <c r="M2416" s="247">
        <v>27.400000000000002</v>
      </c>
      <c r="N2416" s="288" t="s">
        <v>722</v>
      </c>
    </row>
    <row r="2417" spans="1:1095" s="36" customFormat="1" ht="14.25" customHeight="1">
      <c r="A2417" s="3" t="s">
        <v>1722</v>
      </c>
      <c r="B2417" s="36" t="s">
        <v>3013</v>
      </c>
      <c r="C2417" s="10">
        <v>4058075607347</v>
      </c>
      <c r="D2417" s="224">
        <v>4058075607347</v>
      </c>
      <c r="E2417" s="245" t="s">
        <v>3014</v>
      </c>
      <c r="F2417" s="246"/>
      <c r="G2417" s="66" t="str">
        <f>HYPERLINK("https://ledvance.com/pt/product-datasheet/6991/157654","Ficha de Produto")</f>
        <v>Ficha de Produto</v>
      </c>
      <c r="H2417" s="217">
        <v>6</v>
      </c>
      <c r="I2417" s="34" t="s">
        <v>6349</v>
      </c>
      <c r="J2417" s="34" t="s">
        <v>6418</v>
      </c>
      <c r="K2417" s="34" t="s">
        <v>788</v>
      </c>
      <c r="L2417" s="34" t="s">
        <v>6506</v>
      </c>
      <c r="M2417" s="247">
        <v>27.400000000000002</v>
      </c>
      <c r="N2417" s="288" t="s">
        <v>722</v>
      </c>
    </row>
    <row r="2418" spans="1:1095" s="36" customFormat="1" ht="14.25" customHeight="1">
      <c r="A2418" s="3" t="s">
        <v>1722</v>
      </c>
      <c r="B2418" s="36" t="s">
        <v>3015</v>
      </c>
      <c r="C2418" s="10">
        <v>4058075607378</v>
      </c>
      <c r="D2418" s="224">
        <v>4058075607378</v>
      </c>
      <c r="E2418" s="245" t="s">
        <v>3015</v>
      </c>
      <c r="F2418" s="246"/>
      <c r="G2418" s="66" t="str">
        <f>HYPERLINK("https://ledvance.com/pt/product-datasheet/6991/157650","Ficha de Produto")</f>
        <v>Ficha de Produto</v>
      </c>
      <c r="H2418" s="217">
        <v>6</v>
      </c>
      <c r="I2418" s="34" t="s">
        <v>6349</v>
      </c>
      <c r="J2418" s="34" t="s">
        <v>809</v>
      </c>
      <c r="K2418" s="34" t="s">
        <v>788</v>
      </c>
      <c r="L2418" s="34" t="s">
        <v>6506</v>
      </c>
      <c r="M2418" s="247">
        <v>27.400000000000002</v>
      </c>
      <c r="N2418" s="288" t="s">
        <v>722</v>
      </c>
    </row>
    <row r="2419" spans="1:1095" s="39" customFormat="1" ht="14.25" customHeight="1">
      <c r="A2419" s="8" t="s">
        <v>1722</v>
      </c>
      <c r="B2419" s="244" t="s">
        <v>1704</v>
      </c>
      <c r="C2419" s="8"/>
      <c r="D2419" s="8"/>
      <c r="E2419" s="230"/>
      <c r="F2419" s="7"/>
      <c r="G2419" s="68"/>
      <c r="H2419" s="230"/>
      <c r="I2419" s="230"/>
      <c r="J2419" s="230"/>
      <c r="K2419" s="230"/>
      <c r="L2419" s="230"/>
      <c r="M2419" s="248"/>
      <c r="N2419" s="284"/>
      <c r="O2419" s="38"/>
      <c r="P2419" s="38"/>
      <c r="Q2419" s="38"/>
      <c r="R2419" s="38"/>
      <c r="S2419" s="38"/>
      <c r="T2419" s="38"/>
      <c r="U2419" s="38"/>
      <c r="V2419" s="38"/>
      <c r="W2419" s="38"/>
      <c r="X2419" s="38"/>
      <c r="Y2419" s="38"/>
      <c r="Z2419" s="38"/>
      <c r="AA2419" s="38"/>
      <c r="AB2419" s="38"/>
      <c r="AC2419" s="38"/>
      <c r="AD2419" s="38"/>
      <c r="AE2419" s="38"/>
      <c r="AF2419" s="38"/>
      <c r="AG2419" s="38"/>
      <c r="AH2419" s="38"/>
      <c r="AI2419" s="38"/>
      <c r="AJ2419" s="38"/>
      <c r="AK2419" s="38"/>
      <c r="AL2419" s="38"/>
      <c r="AM2419" s="38"/>
      <c r="AN2419" s="38"/>
      <c r="AO2419" s="38"/>
      <c r="AP2419" s="38"/>
      <c r="AQ2419" s="38"/>
      <c r="AR2419" s="38"/>
      <c r="AS2419" s="38"/>
      <c r="AT2419" s="38"/>
      <c r="AU2419" s="38"/>
      <c r="AV2419" s="38"/>
      <c r="AW2419" s="38"/>
      <c r="AX2419" s="38"/>
      <c r="AY2419" s="38"/>
      <c r="AZ2419" s="38"/>
      <c r="BA2419" s="38"/>
      <c r="BB2419" s="38"/>
      <c r="BC2419" s="38"/>
      <c r="BD2419" s="38"/>
      <c r="BE2419" s="38"/>
      <c r="BF2419" s="38"/>
      <c r="BG2419" s="38"/>
      <c r="BH2419" s="38"/>
      <c r="BI2419" s="38"/>
      <c r="BJ2419" s="38"/>
      <c r="BK2419" s="38"/>
      <c r="BL2419" s="38"/>
      <c r="BM2419" s="38"/>
      <c r="BN2419" s="38"/>
      <c r="BO2419" s="38"/>
      <c r="BP2419" s="38"/>
      <c r="BQ2419" s="38"/>
      <c r="BR2419" s="38"/>
      <c r="BS2419" s="38"/>
      <c r="BT2419" s="38"/>
      <c r="BU2419" s="38"/>
      <c r="BV2419" s="38"/>
      <c r="BW2419" s="38"/>
      <c r="BX2419" s="38"/>
      <c r="BY2419" s="38"/>
      <c r="BZ2419" s="38"/>
      <c r="CA2419" s="38"/>
      <c r="CB2419" s="38"/>
      <c r="CC2419" s="38"/>
      <c r="CD2419" s="38"/>
      <c r="CE2419" s="38"/>
      <c r="CF2419" s="38"/>
      <c r="CG2419" s="38"/>
      <c r="CH2419" s="38"/>
      <c r="CI2419" s="38"/>
      <c r="CJ2419" s="38"/>
      <c r="CK2419" s="38"/>
      <c r="CL2419" s="38"/>
      <c r="CM2419" s="38"/>
      <c r="CN2419" s="38"/>
      <c r="CO2419" s="38"/>
      <c r="CP2419" s="38"/>
      <c r="CQ2419" s="38"/>
      <c r="CR2419" s="38"/>
      <c r="CS2419" s="38"/>
      <c r="CT2419" s="38"/>
      <c r="CU2419" s="38"/>
      <c r="CV2419" s="38"/>
      <c r="CW2419" s="38"/>
      <c r="CX2419" s="38"/>
      <c r="CY2419" s="38"/>
      <c r="CZ2419" s="38"/>
      <c r="DA2419" s="38"/>
      <c r="DB2419" s="38"/>
      <c r="DC2419" s="38"/>
      <c r="DD2419" s="38"/>
      <c r="DE2419" s="38"/>
      <c r="DF2419" s="38"/>
      <c r="DG2419" s="38"/>
      <c r="DH2419" s="38"/>
      <c r="DI2419" s="38"/>
      <c r="DJ2419" s="38"/>
      <c r="DK2419" s="38"/>
      <c r="DL2419" s="38"/>
      <c r="DM2419" s="38"/>
      <c r="DN2419" s="38"/>
      <c r="DO2419" s="38"/>
      <c r="DP2419" s="38"/>
      <c r="DQ2419" s="38"/>
      <c r="DR2419" s="38"/>
      <c r="DS2419" s="38"/>
      <c r="DT2419" s="38"/>
      <c r="DU2419" s="38"/>
      <c r="DV2419" s="38"/>
      <c r="DW2419" s="38"/>
      <c r="DX2419" s="38"/>
      <c r="DY2419" s="38"/>
      <c r="DZ2419" s="38"/>
      <c r="EA2419" s="38"/>
      <c r="EB2419" s="38"/>
      <c r="EC2419" s="38"/>
      <c r="ED2419" s="38"/>
      <c r="EE2419" s="38"/>
      <c r="EF2419" s="38"/>
      <c r="EG2419" s="38"/>
      <c r="EH2419" s="38"/>
      <c r="EI2419" s="38"/>
      <c r="EJ2419" s="38"/>
      <c r="EK2419" s="38"/>
      <c r="EL2419" s="38"/>
      <c r="EM2419" s="38"/>
      <c r="EN2419" s="38"/>
      <c r="EO2419" s="38"/>
      <c r="EP2419" s="38"/>
      <c r="EQ2419" s="38"/>
      <c r="ER2419" s="38"/>
      <c r="ES2419" s="38"/>
      <c r="ET2419" s="38"/>
      <c r="EU2419" s="38"/>
      <c r="EV2419" s="38"/>
      <c r="EW2419" s="38"/>
      <c r="EX2419" s="38"/>
      <c r="EY2419" s="38"/>
      <c r="EZ2419" s="38"/>
      <c r="FA2419" s="38"/>
      <c r="FB2419" s="38"/>
      <c r="FC2419" s="38"/>
      <c r="FD2419" s="38"/>
      <c r="FE2419" s="38"/>
      <c r="FF2419" s="38"/>
      <c r="FG2419" s="38"/>
      <c r="FH2419" s="38"/>
      <c r="FI2419" s="38"/>
      <c r="FJ2419" s="38"/>
      <c r="FK2419" s="38"/>
      <c r="FL2419" s="38"/>
      <c r="FM2419" s="38"/>
      <c r="FN2419" s="38"/>
      <c r="FO2419" s="38"/>
      <c r="FP2419" s="38"/>
      <c r="FQ2419" s="38"/>
      <c r="FR2419" s="38"/>
      <c r="FS2419" s="38"/>
      <c r="FT2419" s="38"/>
      <c r="FU2419" s="38"/>
      <c r="FV2419" s="38"/>
      <c r="FW2419" s="38"/>
      <c r="FX2419" s="38"/>
      <c r="FY2419" s="38"/>
      <c r="FZ2419" s="38"/>
      <c r="GA2419" s="38"/>
      <c r="GB2419" s="38"/>
      <c r="GC2419" s="38"/>
      <c r="GD2419" s="38"/>
      <c r="GE2419" s="38"/>
      <c r="GF2419" s="38"/>
      <c r="GG2419" s="38"/>
      <c r="GH2419" s="38"/>
      <c r="GI2419" s="38"/>
      <c r="GJ2419" s="38"/>
      <c r="GK2419" s="38"/>
      <c r="GL2419" s="38"/>
      <c r="GM2419" s="38"/>
      <c r="GN2419" s="38"/>
      <c r="GO2419" s="38"/>
      <c r="GP2419" s="38"/>
      <c r="GQ2419" s="38"/>
      <c r="GR2419" s="38"/>
      <c r="GS2419" s="38"/>
      <c r="GT2419" s="38"/>
      <c r="GU2419" s="38"/>
      <c r="GV2419" s="38"/>
      <c r="GW2419" s="38"/>
      <c r="GX2419" s="38"/>
      <c r="GY2419" s="38"/>
      <c r="GZ2419" s="38"/>
      <c r="HA2419" s="38"/>
      <c r="HB2419" s="38"/>
      <c r="HC2419" s="38"/>
      <c r="HD2419" s="38"/>
      <c r="HE2419" s="38"/>
      <c r="HF2419" s="38"/>
      <c r="HG2419" s="38"/>
      <c r="HH2419" s="38"/>
      <c r="HI2419" s="38"/>
      <c r="HJ2419" s="38"/>
      <c r="HK2419" s="38"/>
      <c r="HL2419" s="38"/>
      <c r="HM2419" s="38"/>
      <c r="HN2419" s="38"/>
      <c r="HO2419" s="38"/>
      <c r="HP2419" s="38"/>
      <c r="HQ2419" s="38"/>
      <c r="HR2419" s="38"/>
      <c r="HS2419" s="38"/>
      <c r="HT2419" s="38"/>
      <c r="HU2419" s="38"/>
      <c r="HV2419" s="38"/>
      <c r="HW2419" s="38"/>
      <c r="HX2419" s="38"/>
      <c r="HY2419" s="38"/>
      <c r="HZ2419" s="38"/>
      <c r="IA2419" s="38"/>
      <c r="IB2419" s="38"/>
      <c r="IC2419" s="38"/>
      <c r="ID2419" s="38"/>
      <c r="IE2419" s="38"/>
      <c r="IF2419" s="38"/>
      <c r="IG2419" s="38"/>
      <c r="IH2419" s="38"/>
      <c r="II2419" s="38"/>
      <c r="IJ2419" s="38"/>
      <c r="IK2419" s="38"/>
      <c r="IL2419" s="38"/>
      <c r="IM2419" s="38"/>
      <c r="IN2419" s="38"/>
      <c r="IO2419" s="38"/>
      <c r="IP2419" s="38"/>
      <c r="IQ2419" s="38"/>
      <c r="IR2419" s="38"/>
      <c r="IS2419" s="38"/>
      <c r="IT2419" s="38"/>
      <c r="IU2419" s="38"/>
      <c r="IV2419" s="38"/>
      <c r="IW2419" s="38"/>
      <c r="IX2419" s="38"/>
      <c r="IY2419" s="38"/>
      <c r="IZ2419" s="38"/>
      <c r="JA2419" s="38"/>
      <c r="JB2419" s="38"/>
      <c r="JC2419" s="38"/>
      <c r="JD2419" s="38"/>
      <c r="JE2419" s="38"/>
      <c r="JF2419" s="38"/>
      <c r="JG2419" s="38"/>
      <c r="JH2419" s="38"/>
      <c r="JI2419" s="38"/>
      <c r="JJ2419" s="38"/>
      <c r="JK2419" s="38"/>
      <c r="JL2419" s="38"/>
      <c r="JM2419" s="38"/>
      <c r="JN2419" s="38"/>
      <c r="JO2419" s="38"/>
      <c r="JP2419" s="38"/>
      <c r="JQ2419" s="38"/>
      <c r="JR2419" s="38"/>
      <c r="JS2419" s="38"/>
      <c r="JT2419" s="38"/>
      <c r="JU2419" s="38"/>
      <c r="JV2419" s="38"/>
      <c r="JW2419" s="38"/>
      <c r="JX2419" s="38"/>
      <c r="JY2419" s="38"/>
      <c r="JZ2419" s="38"/>
      <c r="KA2419" s="38"/>
      <c r="KB2419" s="38"/>
      <c r="KC2419" s="38"/>
      <c r="KD2419" s="38"/>
      <c r="KE2419" s="38"/>
      <c r="KF2419" s="38"/>
      <c r="KG2419" s="38"/>
      <c r="KH2419" s="38"/>
      <c r="KI2419" s="38"/>
      <c r="KJ2419" s="38"/>
      <c r="KK2419" s="38"/>
      <c r="KL2419" s="38"/>
      <c r="KM2419" s="38"/>
      <c r="KN2419" s="38"/>
      <c r="KO2419" s="38"/>
      <c r="KP2419" s="38"/>
      <c r="KQ2419" s="38"/>
      <c r="KR2419" s="38"/>
      <c r="KS2419" s="38"/>
      <c r="KT2419" s="38"/>
      <c r="KU2419" s="38"/>
      <c r="KV2419" s="38"/>
      <c r="KW2419" s="38"/>
      <c r="KX2419" s="38"/>
      <c r="KY2419" s="38"/>
      <c r="KZ2419" s="38"/>
      <c r="LA2419" s="38"/>
      <c r="LB2419" s="38"/>
      <c r="LC2419" s="38"/>
      <c r="LD2419" s="38"/>
      <c r="LE2419" s="38"/>
      <c r="LF2419" s="38"/>
      <c r="LG2419" s="38"/>
      <c r="LH2419" s="38"/>
      <c r="LI2419" s="38"/>
      <c r="LJ2419" s="38"/>
      <c r="LK2419" s="38"/>
      <c r="LL2419" s="38"/>
      <c r="LM2419" s="38"/>
      <c r="LN2419" s="38"/>
      <c r="LO2419" s="38"/>
      <c r="LP2419" s="38"/>
      <c r="LQ2419" s="38"/>
      <c r="LR2419" s="38"/>
      <c r="LS2419" s="38"/>
      <c r="LT2419" s="38"/>
      <c r="LU2419" s="38"/>
      <c r="LV2419" s="38"/>
      <c r="LW2419" s="38"/>
      <c r="LX2419" s="38"/>
      <c r="LY2419" s="38"/>
      <c r="LZ2419" s="38"/>
      <c r="MA2419" s="38"/>
      <c r="MB2419" s="38"/>
      <c r="MC2419" s="38"/>
      <c r="MD2419" s="38"/>
      <c r="ME2419" s="38"/>
      <c r="MF2419" s="38"/>
      <c r="MG2419" s="38"/>
      <c r="MH2419" s="38"/>
      <c r="MI2419" s="38"/>
      <c r="MJ2419" s="38"/>
      <c r="MK2419" s="38"/>
      <c r="ML2419" s="38"/>
      <c r="MM2419" s="38"/>
      <c r="MN2419" s="38"/>
      <c r="MO2419" s="38"/>
      <c r="MP2419" s="38"/>
      <c r="MQ2419" s="38"/>
      <c r="MR2419" s="38"/>
      <c r="MS2419" s="38"/>
      <c r="MT2419" s="38"/>
      <c r="MU2419" s="38"/>
      <c r="MV2419" s="38"/>
      <c r="MW2419" s="38"/>
      <c r="MX2419" s="38"/>
      <c r="MY2419" s="38"/>
      <c r="MZ2419" s="38"/>
      <c r="NA2419" s="38"/>
      <c r="NB2419" s="38"/>
      <c r="NC2419" s="38"/>
      <c r="ND2419" s="38"/>
      <c r="NE2419" s="38"/>
      <c r="NF2419" s="38"/>
      <c r="NG2419" s="38"/>
      <c r="NH2419" s="38"/>
      <c r="NI2419" s="38"/>
      <c r="NJ2419" s="38"/>
      <c r="NK2419" s="38"/>
      <c r="NL2419" s="38"/>
      <c r="NM2419" s="38"/>
      <c r="NN2419" s="38"/>
      <c r="NO2419" s="38"/>
      <c r="NP2419" s="38"/>
      <c r="NQ2419" s="38"/>
      <c r="NR2419" s="38"/>
      <c r="NS2419" s="38"/>
      <c r="NT2419" s="38"/>
      <c r="NU2419" s="38"/>
      <c r="NV2419" s="38"/>
      <c r="NW2419" s="38"/>
      <c r="NX2419" s="38"/>
      <c r="NY2419" s="38"/>
      <c r="NZ2419" s="38"/>
      <c r="OA2419" s="38"/>
      <c r="OB2419" s="38"/>
      <c r="OC2419" s="38"/>
      <c r="OD2419" s="38"/>
      <c r="OE2419" s="38"/>
      <c r="OF2419" s="38"/>
      <c r="OG2419" s="38"/>
      <c r="OH2419" s="38"/>
      <c r="OI2419" s="38"/>
      <c r="OJ2419" s="38"/>
      <c r="OK2419" s="38"/>
      <c r="OL2419" s="38"/>
      <c r="OM2419" s="38"/>
      <c r="ON2419" s="38"/>
      <c r="OO2419" s="38"/>
      <c r="OP2419" s="38"/>
      <c r="OQ2419" s="38"/>
      <c r="OR2419" s="38"/>
      <c r="OS2419" s="38"/>
      <c r="OT2419" s="38"/>
      <c r="OU2419" s="38"/>
      <c r="OV2419" s="38"/>
      <c r="OW2419" s="38"/>
      <c r="OX2419" s="38"/>
      <c r="OY2419" s="38"/>
      <c r="OZ2419" s="38"/>
      <c r="PA2419" s="38"/>
      <c r="PB2419" s="38"/>
      <c r="PC2419" s="38"/>
      <c r="PD2419" s="38"/>
      <c r="PE2419" s="38"/>
      <c r="PF2419" s="38"/>
      <c r="PG2419" s="38"/>
      <c r="PH2419" s="38"/>
      <c r="PI2419" s="38"/>
      <c r="PJ2419" s="38"/>
      <c r="PK2419" s="38"/>
      <c r="PL2419" s="38"/>
      <c r="PM2419" s="38"/>
      <c r="PN2419" s="38"/>
      <c r="PO2419" s="38"/>
      <c r="PP2419" s="38"/>
      <c r="PQ2419" s="38"/>
      <c r="PR2419" s="38"/>
      <c r="PS2419" s="38"/>
      <c r="PT2419" s="38"/>
      <c r="PU2419" s="38"/>
      <c r="PV2419" s="38"/>
      <c r="PW2419" s="38"/>
      <c r="PX2419" s="38"/>
      <c r="PY2419" s="38"/>
      <c r="PZ2419" s="38"/>
      <c r="QA2419" s="38"/>
      <c r="QB2419" s="38"/>
      <c r="QC2419" s="38"/>
      <c r="QD2419" s="38"/>
      <c r="QE2419" s="38"/>
      <c r="QF2419" s="38"/>
      <c r="QG2419" s="38"/>
      <c r="QH2419" s="38"/>
      <c r="QI2419" s="38"/>
      <c r="QJ2419" s="38"/>
      <c r="QK2419" s="38"/>
      <c r="QL2419" s="38"/>
      <c r="QM2419" s="38"/>
      <c r="QN2419" s="38"/>
      <c r="QO2419" s="38"/>
      <c r="QP2419" s="38"/>
      <c r="QQ2419" s="38"/>
      <c r="QR2419" s="38"/>
      <c r="QS2419" s="38"/>
      <c r="QT2419" s="38"/>
      <c r="QU2419" s="38"/>
      <c r="QV2419" s="38"/>
      <c r="QW2419" s="38"/>
      <c r="QX2419" s="38"/>
      <c r="QY2419" s="38"/>
      <c r="QZ2419" s="38"/>
      <c r="RA2419" s="38"/>
      <c r="RB2419" s="38"/>
      <c r="RC2419" s="38"/>
      <c r="RD2419" s="38"/>
      <c r="RE2419" s="38"/>
      <c r="RF2419" s="38"/>
      <c r="RG2419" s="38"/>
      <c r="RH2419" s="38"/>
      <c r="RI2419" s="38"/>
      <c r="RJ2419" s="38"/>
      <c r="RK2419" s="38"/>
      <c r="RL2419" s="38"/>
      <c r="RM2419" s="38"/>
      <c r="RN2419" s="38"/>
      <c r="RO2419" s="38"/>
      <c r="RP2419" s="38"/>
      <c r="RQ2419" s="38"/>
      <c r="RR2419" s="38"/>
      <c r="RS2419" s="38"/>
      <c r="RT2419" s="38"/>
      <c r="RU2419" s="38"/>
      <c r="RV2419" s="38"/>
      <c r="RW2419" s="38"/>
      <c r="RX2419" s="38"/>
      <c r="RY2419" s="38"/>
      <c r="RZ2419" s="38"/>
      <c r="SA2419" s="38"/>
      <c r="SB2419" s="38"/>
      <c r="SC2419" s="38"/>
      <c r="SD2419" s="38"/>
      <c r="SE2419" s="38"/>
      <c r="SF2419" s="38"/>
      <c r="SG2419" s="38"/>
      <c r="SH2419" s="38"/>
      <c r="SI2419" s="38"/>
      <c r="SJ2419" s="38"/>
      <c r="SK2419" s="38"/>
      <c r="SL2419" s="38"/>
      <c r="SM2419" s="38"/>
      <c r="SN2419" s="38"/>
      <c r="SO2419" s="38"/>
      <c r="SP2419" s="38"/>
      <c r="SQ2419" s="38"/>
      <c r="SR2419" s="38"/>
      <c r="SS2419" s="38"/>
      <c r="ST2419" s="38"/>
      <c r="SU2419" s="38"/>
      <c r="SV2419" s="38"/>
      <c r="SW2419" s="38"/>
      <c r="SX2419" s="38"/>
      <c r="SY2419" s="38"/>
      <c r="SZ2419" s="38"/>
      <c r="TA2419" s="38"/>
      <c r="TB2419" s="38"/>
      <c r="TC2419" s="38"/>
      <c r="TD2419" s="38"/>
      <c r="TE2419" s="38"/>
      <c r="TF2419" s="38"/>
      <c r="TG2419" s="38"/>
      <c r="TH2419" s="38"/>
      <c r="TI2419" s="38"/>
      <c r="TJ2419" s="38"/>
      <c r="TK2419" s="38"/>
      <c r="TL2419" s="38"/>
      <c r="TM2419" s="38"/>
      <c r="TN2419" s="38"/>
      <c r="TO2419" s="38"/>
      <c r="TP2419" s="38"/>
      <c r="TQ2419" s="38"/>
      <c r="TR2419" s="38"/>
      <c r="TS2419" s="38"/>
      <c r="TT2419" s="38"/>
      <c r="TU2419" s="38"/>
      <c r="TV2419" s="38"/>
      <c r="TW2419" s="38"/>
      <c r="TX2419" s="38"/>
      <c r="TY2419" s="38"/>
      <c r="TZ2419" s="38"/>
      <c r="UA2419" s="38"/>
      <c r="UB2419" s="38"/>
      <c r="UC2419" s="38"/>
      <c r="UD2419" s="38"/>
      <c r="UE2419" s="38"/>
      <c r="UF2419" s="38"/>
      <c r="UG2419" s="38"/>
      <c r="UH2419" s="38"/>
      <c r="UI2419" s="38"/>
      <c r="UJ2419" s="38"/>
      <c r="UK2419" s="38"/>
      <c r="UL2419" s="38"/>
      <c r="UM2419" s="38"/>
      <c r="UN2419" s="38"/>
      <c r="UO2419" s="38"/>
      <c r="UP2419" s="38"/>
      <c r="UQ2419" s="38"/>
      <c r="UR2419" s="38"/>
      <c r="US2419" s="38"/>
      <c r="UT2419" s="38"/>
      <c r="UU2419" s="38"/>
      <c r="UV2419" s="38"/>
      <c r="UW2419" s="38"/>
      <c r="UX2419" s="38"/>
      <c r="UY2419" s="38"/>
      <c r="UZ2419" s="38"/>
      <c r="VA2419" s="38"/>
      <c r="VB2419" s="38"/>
      <c r="VC2419" s="38"/>
      <c r="VD2419" s="38"/>
      <c r="VE2419" s="38"/>
      <c r="VF2419" s="38"/>
      <c r="VG2419" s="38"/>
      <c r="VH2419" s="38"/>
      <c r="VI2419" s="38"/>
      <c r="VJ2419" s="38"/>
      <c r="VK2419" s="38"/>
      <c r="VL2419" s="38"/>
      <c r="VM2419" s="38"/>
      <c r="VN2419" s="38"/>
      <c r="VO2419" s="38"/>
      <c r="VP2419" s="38"/>
      <c r="VQ2419" s="38"/>
      <c r="VR2419" s="38"/>
      <c r="VS2419" s="38"/>
      <c r="VT2419" s="38"/>
      <c r="VU2419" s="38"/>
      <c r="VV2419" s="38"/>
      <c r="VW2419" s="38"/>
      <c r="VX2419" s="38"/>
      <c r="VY2419" s="38"/>
      <c r="VZ2419" s="38"/>
      <c r="WA2419" s="38"/>
      <c r="WB2419" s="38"/>
      <c r="WC2419" s="38"/>
      <c r="WD2419" s="38"/>
      <c r="WE2419" s="38"/>
      <c r="WF2419" s="38"/>
      <c r="WG2419" s="38"/>
      <c r="WH2419" s="38"/>
      <c r="WI2419" s="38"/>
      <c r="WJ2419" s="38"/>
      <c r="WK2419" s="38"/>
      <c r="WL2419" s="38"/>
      <c r="WM2419" s="38"/>
      <c r="WN2419" s="38"/>
      <c r="WO2419" s="38"/>
      <c r="WP2419" s="38"/>
      <c r="WQ2419" s="38"/>
      <c r="WR2419" s="38"/>
      <c r="WS2419" s="38"/>
      <c r="WT2419" s="38"/>
      <c r="WU2419" s="38"/>
      <c r="WV2419" s="38"/>
      <c r="WW2419" s="38"/>
      <c r="WX2419" s="38"/>
      <c r="WY2419" s="38"/>
      <c r="WZ2419" s="38"/>
      <c r="XA2419" s="38"/>
      <c r="XB2419" s="38"/>
      <c r="XC2419" s="38"/>
      <c r="XD2419" s="38"/>
      <c r="XE2419" s="38"/>
      <c r="XF2419" s="38"/>
      <c r="XG2419" s="38"/>
      <c r="XH2419" s="38"/>
      <c r="XI2419" s="38"/>
      <c r="XJ2419" s="38"/>
      <c r="XK2419" s="38"/>
      <c r="XL2419" s="38"/>
      <c r="XM2419" s="38"/>
      <c r="XN2419" s="38"/>
      <c r="XO2419" s="38"/>
      <c r="XP2419" s="38"/>
      <c r="XQ2419" s="38"/>
      <c r="XR2419" s="38"/>
      <c r="XS2419" s="38"/>
      <c r="XT2419" s="38"/>
      <c r="XU2419" s="38"/>
      <c r="XV2419" s="38"/>
      <c r="XW2419" s="38"/>
      <c r="XX2419" s="38"/>
      <c r="XY2419" s="38"/>
      <c r="XZ2419" s="38"/>
      <c r="YA2419" s="38"/>
      <c r="YB2419" s="38"/>
      <c r="YC2419" s="38"/>
      <c r="YD2419" s="38"/>
      <c r="YE2419" s="38"/>
      <c r="YF2419" s="38"/>
      <c r="YG2419" s="38"/>
      <c r="YH2419" s="38"/>
      <c r="YI2419" s="38"/>
      <c r="YJ2419" s="38"/>
      <c r="YK2419" s="38"/>
      <c r="YL2419" s="38"/>
      <c r="YM2419" s="38"/>
      <c r="YN2419" s="38"/>
      <c r="YO2419" s="38"/>
      <c r="YP2419" s="38"/>
      <c r="YQ2419" s="38"/>
      <c r="YR2419" s="38"/>
      <c r="YS2419" s="38"/>
      <c r="YT2419" s="38"/>
      <c r="YU2419" s="38"/>
      <c r="YV2419" s="38"/>
      <c r="YW2419" s="38"/>
      <c r="YX2419" s="38"/>
      <c r="YY2419" s="38"/>
      <c r="YZ2419" s="38"/>
      <c r="ZA2419" s="38"/>
      <c r="ZB2419" s="38"/>
      <c r="ZC2419" s="38"/>
      <c r="ZD2419" s="38"/>
      <c r="ZE2419" s="38"/>
      <c r="ZF2419" s="38"/>
      <c r="ZG2419" s="38"/>
      <c r="ZH2419" s="38"/>
      <c r="ZI2419" s="38"/>
      <c r="ZJ2419" s="38"/>
      <c r="ZK2419" s="38"/>
      <c r="ZL2419" s="38"/>
      <c r="ZM2419" s="38"/>
      <c r="ZN2419" s="38"/>
      <c r="ZO2419" s="38"/>
      <c r="ZP2419" s="38"/>
      <c r="ZQ2419" s="38"/>
      <c r="ZR2419" s="38"/>
      <c r="ZS2419" s="38"/>
      <c r="ZT2419" s="38"/>
      <c r="ZU2419" s="38"/>
      <c r="ZV2419" s="38"/>
      <c r="ZW2419" s="38"/>
      <c r="ZX2419" s="38"/>
      <c r="ZY2419" s="38"/>
      <c r="ZZ2419" s="38"/>
      <c r="AAA2419" s="38"/>
      <c r="AAB2419" s="38"/>
      <c r="AAC2419" s="38"/>
      <c r="AAD2419" s="38"/>
      <c r="AAE2419" s="38"/>
      <c r="AAF2419" s="38"/>
      <c r="AAG2419" s="38"/>
      <c r="AAH2419" s="38"/>
      <c r="AAI2419" s="38"/>
      <c r="AAJ2419" s="38"/>
      <c r="AAK2419" s="38"/>
      <c r="AAL2419" s="38"/>
      <c r="AAM2419" s="38"/>
      <c r="AAN2419" s="38"/>
      <c r="AAO2419" s="38"/>
      <c r="AAP2419" s="38"/>
      <c r="AAQ2419" s="38"/>
      <c r="AAR2419" s="38"/>
      <c r="AAS2419" s="38"/>
      <c r="AAT2419" s="38"/>
      <c r="AAU2419" s="38"/>
      <c r="AAV2419" s="38"/>
      <c r="AAW2419" s="38"/>
      <c r="AAX2419" s="38"/>
      <c r="AAY2419" s="38"/>
      <c r="AAZ2419" s="38"/>
      <c r="ABA2419" s="38"/>
      <c r="ABB2419" s="38"/>
      <c r="ABC2419" s="38"/>
      <c r="ABD2419" s="38"/>
      <c r="ABE2419" s="38"/>
      <c r="ABF2419" s="38"/>
      <c r="ABG2419" s="38"/>
      <c r="ABH2419" s="38"/>
      <c r="ABI2419" s="38"/>
      <c r="ABJ2419" s="38"/>
      <c r="ABK2419" s="38"/>
      <c r="ABL2419" s="38"/>
      <c r="ABM2419" s="38"/>
      <c r="ABN2419" s="38"/>
      <c r="ABO2419" s="38"/>
      <c r="ABP2419" s="38"/>
      <c r="ABQ2419" s="38"/>
      <c r="ABR2419" s="38"/>
      <c r="ABS2419" s="38"/>
      <c r="ABT2419" s="38"/>
      <c r="ABU2419" s="38"/>
      <c r="ABV2419" s="38"/>
      <c r="ABW2419" s="38"/>
      <c r="ABX2419" s="38"/>
      <c r="ABY2419" s="38"/>
      <c r="ABZ2419" s="38"/>
      <c r="ACA2419" s="38"/>
      <c r="ACB2419" s="38"/>
      <c r="ACC2419" s="38"/>
      <c r="ACD2419" s="38"/>
      <c r="ACE2419" s="38"/>
      <c r="ACF2419" s="38"/>
      <c r="ACG2419" s="38"/>
      <c r="ACH2419" s="38"/>
      <c r="ACI2419" s="38"/>
      <c r="ACJ2419" s="38"/>
      <c r="ACK2419" s="38"/>
      <c r="ACL2419" s="38"/>
      <c r="ACM2419" s="38"/>
      <c r="ACN2419" s="38"/>
      <c r="ACO2419" s="38"/>
      <c r="ACP2419" s="38"/>
      <c r="ACQ2419" s="38"/>
      <c r="ACR2419" s="38"/>
      <c r="ACS2419" s="38"/>
      <c r="ACT2419" s="38"/>
      <c r="ACU2419" s="38"/>
      <c r="ACV2419" s="38"/>
      <c r="ACW2419" s="38"/>
      <c r="ACX2419" s="38"/>
      <c r="ACY2419" s="38"/>
      <c r="ACZ2419" s="38"/>
      <c r="ADA2419" s="38"/>
      <c r="ADB2419" s="38"/>
      <c r="ADC2419" s="38"/>
      <c r="ADD2419" s="38"/>
      <c r="ADE2419" s="38"/>
      <c r="ADF2419" s="38"/>
      <c r="ADG2419" s="38"/>
      <c r="ADH2419" s="38"/>
      <c r="ADI2419" s="38"/>
      <c r="ADJ2419" s="38"/>
      <c r="ADK2419" s="38"/>
      <c r="ADL2419" s="38"/>
      <c r="ADM2419" s="38"/>
      <c r="ADN2419" s="38"/>
      <c r="ADO2419" s="38"/>
      <c r="ADP2419" s="38"/>
      <c r="ADQ2419" s="38"/>
      <c r="ADR2419" s="38"/>
      <c r="ADS2419" s="38"/>
      <c r="ADT2419" s="38"/>
      <c r="ADU2419" s="38"/>
      <c r="ADV2419" s="38"/>
      <c r="ADW2419" s="38"/>
      <c r="ADX2419" s="38"/>
      <c r="ADY2419" s="38"/>
      <c r="ADZ2419" s="38"/>
      <c r="AEA2419" s="38"/>
      <c r="AEB2419" s="38"/>
      <c r="AEC2419" s="38"/>
      <c r="AED2419" s="38"/>
      <c r="AEE2419" s="38"/>
      <c r="AEF2419" s="38"/>
      <c r="AEG2419" s="38"/>
      <c r="AEH2419" s="38"/>
      <c r="AEI2419" s="38"/>
      <c r="AEJ2419" s="38"/>
      <c r="AEK2419" s="38"/>
      <c r="AEL2419" s="38"/>
      <c r="AEM2419" s="38"/>
      <c r="AEN2419" s="38"/>
      <c r="AEO2419" s="38"/>
      <c r="AEP2419" s="38"/>
      <c r="AEQ2419" s="38"/>
      <c r="AER2419" s="38"/>
      <c r="AES2419" s="38"/>
      <c r="AET2419" s="38"/>
      <c r="AEU2419" s="38"/>
      <c r="AEV2419" s="38"/>
      <c r="AEW2419" s="38"/>
      <c r="AEX2419" s="38"/>
      <c r="AEY2419" s="38"/>
      <c r="AEZ2419" s="38"/>
      <c r="AFA2419" s="38"/>
      <c r="AFB2419" s="38"/>
      <c r="AFC2419" s="38"/>
      <c r="AFD2419" s="38"/>
      <c r="AFE2419" s="38"/>
      <c r="AFF2419" s="38"/>
      <c r="AFG2419" s="38"/>
      <c r="AFH2419" s="38"/>
      <c r="AFI2419" s="38"/>
      <c r="AFJ2419" s="38"/>
      <c r="AFK2419" s="38"/>
      <c r="AFL2419" s="38"/>
      <c r="AFM2419" s="38"/>
      <c r="AFN2419" s="38"/>
      <c r="AFO2419" s="38"/>
      <c r="AFP2419" s="38"/>
      <c r="AFQ2419" s="38"/>
      <c r="AFR2419" s="38"/>
      <c r="AFS2419" s="38"/>
      <c r="AFT2419" s="38"/>
      <c r="AFU2419" s="38"/>
      <c r="AFV2419" s="38"/>
      <c r="AFW2419" s="38"/>
      <c r="AFX2419" s="38"/>
      <c r="AFY2419" s="38"/>
      <c r="AFZ2419" s="38"/>
      <c r="AGA2419" s="38"/>
      <c r="AGB2419" s="38"/>
      <c r="AGC2419" s="38"/>
      <c r="AGD2419" s="38"/>
      <c r="AGE2419" s="38"/>
      <c r="AGF2419" s="38"/>
      <c r="AGG2419" s="38"/>
      <c r="AGH2419" s="38"/>
      <c r="AGI2419" s="38"/>
      <c r="AGJ2419" s="38"/>
      <c r="AGK2419" s="38"/>
      <c r="AGL2419" s="38"/>
      <c r="AGM2419" s="38"/>
      <c r="AGN2419" s="38"/>
      <c r="AGO2419" s="38"/>
      <c r="AGP2419" s="38"/>
      <c r="AGQ2419" s="38"/>
      <c r="AGR2419" s="38"/>
      <c r="AGS2419" s="38"/>
      <c r="AGT2419" s="38"/>
      <c r="AGU2419" s="38"/>
      <c r="AGV2419" s="38"/>
      <c r="AGW2419" s="38"/>
      <c r="AGX2419" s="38"/>
      <c r="AGY2419" s="38"/>
      <c r="AGZ2419" s="38"/>
      <c r="AHA2419" s="38"/>
      <c r="AHB2419" s="38"/>
      <c r="AHC2419" s="38"/>
      <c r="AHD2419" s="38"/>
      <c r="AHE2419" s="38"/>
      <c r="AHF2419" s="38"/>
      <c r="AHG2419" s="38"/>
      <c r="AHH2419" s="38"/>
      <c r="AHI2419" s="38"/>
      <c r="AHJ2419" s="38"/>
      <c r="AHK2419" s="38"/>
      <c r="AHL2419" s="38"/>
      <c r="AHM2419" s="38"/>
      <c r="AHN2419" s="38"/>
      <c r="AHO2419" s="38"/>
      <c r="AHP2419" s="38"/>
      <c r="AHQ2419" s="38"/>
      <c r="AHR2419" s="38"/>
      <c r="AHS2419" s="38"/>
      <c r="AHT2419" s="38"/>
      <c r="AHU2419" s="38"/>
      <c r="AHV2419" s="38"/>
      <c r="AHW2419" s="38"/>
      <c r="AHX2419" s="38"/>
      <c r="AHY2419" s="38"/>
      <c r="AHZ2419" s="38"/>
      <c r="AIA2419" s="38"/>
      <c r="AIB2419" s="38"/>
      <c r="AIC2419" s="38"/>
      <c r="AID2419" s="38"/>
      <c r="AIE2419" s="38"/>
      <c r="AIF2419" s="38"/>
      <c r="AIG2419" s="38"/>
      <c r="AIH2419" s="38"/>
      <c r="AII2419" s="38"/>
      <c r="AIJ2419" s="38"/>
      <c r="AIK2419" s="38"/>
      <c r="AIL2419" s="38"/>
      <c r="AIM2419" s="38"/>
      <c r="AIN2419" s="38"/>
      <c r="AIO2419" s="38"/>
      <c r="AIP2419" s="38"/>
      <c r="AIQ2419" s="38"/>
      <c r="AIR2419" s="38"/>
      <c r="AIS2419" s="38"/>
      <c r="AIT2419" s="38"/>
      <c r="AIU2419" s="38"/>
      <c r="AIV2419" s="38"/>
      <c r="AIW2419" s="38"/>
      <c r="AIX2419" s="38"/>
      <c r="AIY2419" s="38"/>
      <c r="AIZ2419" s="38"/>
      <c r="AJA2419" s="38"/>
      <c r="AJB2419" s="38"/>
      <c r="AJC2419" s="38"/>
      <c r="AJD2419" s="38"/>
      <c r="AJE2419" s="38"/>
      <c r="AJF2419" s="38"/>
      <c r="AJG2419" s="38"/>
      <c r="AJH2419" s="38"/>
      <c r="AJI2419" s="38"/>
      <c r="AJJ2419" s="38"/>
      <c r="AJK2419" s="38"/>
      <c r="AJL2419" s="38"/>
      <c r="AJM2419" s="38"/>
      <c r="AJN2419" s="38"/>
      <c r="AJO2419" s="38"/>
      <c r="AJP2419" s="38"/>
      <c r="AJQ2419" s="38"/>
      <c r="AJR2419" s="38"/>
      <c r="AJS2419" s="38"/>
      <c r="AJT2419" s="38"/>
      <c r="AJU2419" s="38"/>
      <c r="AJV2419" s="38"/>
      <c r="AJW2419" s="38"/>
      <c r="AJX2419" s="38"/>
      <c r="AJY2419" s="38"/>
      <c r="AJZ2419" s="38"/>
      <c r="AKA2419" s="38"/>
      <c r="AKB2419" s="38"/>
      <c r="AKC2419" s="38"/>
      <c r="AKD2419" s="38"/>
      <c r="AKE2419" s="38"/>
      <c r="AKF2419" s="38"/>
      <c r="AKG2419" s="38"/>
      <c r="AKH2419" s="38"/>
      <c r="AKI2419" s="38"/>
      <c r="AKJ2419" s="38"/>
      <c r="AKK2419" s="38"/>
      <c r="AKL2419" s="38"/>
      <c r="AKM2419" s="38"/>
      <c r="AKN2419" s="38"/>
      <c r="AKO2419" s="38"/>
      <c r="AKP2419" s="38"/>
      <c r="AKQ2419" s="38"/>
      <c r="AKR2419" s="38"/>
      <c r="AKS2419" s="38"/>
      <c r="AKT2419" s="38"/>
      <c r="AKU2419" s="38"/>
      <c r="AKV2419" s="38"/>
      <c r="AKW2419" s="38"/>
      <c r="AKX2419" s="38"/>
      <c r="AKY2419" s="38"/>
      <c r="AKZ2419" s="38"/>
      <c r="ALA2419" s="38"/>
      <c r="ALB2419" s="38"/>
      <c r="ALC2419" s="38"/>
      <c r="ALD2419" s="38"/>
      <c r="ALE2419" s="38"/>
      <c r="ALF2419" s="38"/>
      <c r="ALG2419" s="38"/>
      <c r="ALH2419" s="38"/>
      <c r="ALI2419" s="38"/>
      <c r="ALJ2419" s="38"/>
      <c r="ALK2419" s="38"/>
      <c r="ALL2419" s="38"/>
      <c r="ALM2419" s="38"/>
      <c r="ALN2419" s="38"/>
      <c r="ALO2419" s="38"/>
      <c r="ALP2419" s="38"/>
      <c r="ALQ2419" s="38"/>
      <c r="ALR2419" s="38"/>
      <c r="ALS2419" s="38"/>
      <c r="ALT2419" s="38"/>
      <c r="ALU2419" s="38"/>
      <c r="ALV2419" s="38"/>
      <c r="ALW2419" s="38"/>
      <c r="ALX2419" s="38"/>
      <c r="ALY2419" s="38"/>
      <c r="ALZ2419" s="38"/>
      <c r="AMA2419" s="38"/>
      <c r="AMB2419" s="38"/>
      <c r="AMC2419" s="38"/>
      <c r="AMD2419" s="38"/>
      <c r="AME2419" s="38"/>
      <c r="AMF2419" s="38"/>
      <c r="AMG2419" s="38"/>
      <c r="AMH2419" s="38"/>
      <c r="AMI2419" s="38"/>
      <c r="AMJ2419" s="38"/>
      <c r="AMK2419" s="38"/>
      <c r="AML2419" s="38"/>
      <c r="AMM2419" s="38"/>
      <c r="AMN2419" s="38"/>
      <c r="AMO2419" s="38"/>
      <c r="AMP2419" s="38"/>
      <c r="AMQ2419" s="38"/>
      <c r="AMR2419" s="38"/>
      <c r="AMS2419" s="38"/>
      <c r="AMT2419" s="38"/>
      <c r="AMU2419" s="38"/>
      <c r="AMV2419" s="38"/>
      <c r="AMW2419" s="38"/>
      <c r="AMX2419" s="38"/>
      <c r="AMY2419" s="38"/>
      <c r="AMZ2419" s="38"/>
      <c r="ANA2419" s="38"/>
      <c r="ANB2419" s="38"/>
      <c r="ANC2419" s="38"/>
      <c r="AND2419" s="38"/>
      <c r="ANE2419" s="38"/>
      <c r="ANF2419" s="38"/>
      <c r="ANG2419" s="38"/>
      <c r="ANH2419" s="38"/>
      <c r="ANI2419" s="38"/>
      <c r="ANJ2419" s="38"/>
      <c r="ANK2419" s="38"/>
      <c r="ANL2419" s="38"/>
      <c r="ANM2419" s="38"/>
      <c r="ANN2419" s="38"/>
      <c r="ANO2419" s="38"/>
      <c r="ANP2419" s="38"/>
      <c r="ANQ2419" s="38"/>
      <c r="ANR2419" s="38"/>
      <c r="ANS2419" s="38"/>
      <c r="ANT2419" s="38"/>
      <c r="ANU2419" s="38"/>
      <c r="ANV2419" s="38"/>
      <c r="ANW2419" s="38"/>
      <c r="ANX2419" s="38"/>
      <c r="ANY2419" s="38"/>
      <c r="ANZ2419" s="38"/>
      <c r="AOA2419" s="38"/>
      <c r="AOB2419" s="38"/>
      <c r="AOC2419" s="38"/>
      <c r="AOD2419" s="38"/>
      <c r="AOE2419" s="38"/>
      <c r="AOF2419" s="38"/>
      <c r="AOG2419" s="38"/>
      <c r="AOH2419" s="38"/>
      <c r="AOI2419" s="38"/>
      <c r="AOJ2419" s="38"/>
      <c r="AOK2419" s="38"/>
      <c r="AOL2419" s="38"/>
      <c r="AOM2419" s="38"/>
      <c r="AON2419" s="38"/>
      <c r="AOO2419" s="38"/>
      <c r="AOP2419" s="38"/>
      <c r="AOQ2419" s="38"/>
      <c r="AOR2419" s="38"/>
      <c r="AOS2419" s="38"/>
      <c r="AOT2419" s="38"/>
      <c r="AOU2419" s="38"/>
      <c r="AOV2419" s="38"/>
      <c r="AOW2419" s="38"/>
      <c r="AOX2419" s="38"/>
      <c r="AOY2419" s="38"/>
      <c r="AOZ2419" s="38"/>
      <c r="APA2419" s="38"/>
      <c r="APB2419" s="38"/>
      <c r="APC2419" s="38"/>
    </row>
    <row r="2420" spans="1:1095" s="36" customFormat="1" ht="14.25" customHeight="1">
      <c r="A2420" s="3" t="s">
        <v>1722</v>
      </c>
      <c r="B2420" s="36" t="s">
        <v>3170</v>
      </c>
      <c r="C2420" s="10">
        <v>4058075606968</v>
      </c>
      <c r="D2420" s="224">
        <v>4058075606968</v>
      </c>
      <c r="E2420" s="245" t="s">
        <v>3016</v>
      </c>
      <c r="F2420" s="246"/>
      <c r="G2420" s="66" t="str">
        <f>HYPERLINK("https://ledvance.com/pt/product-datasheet/6982/157642","Ficha de Produto")</f>
        <v>Ficha de Produto</v>
      </c>
      <c r="H2420" s="217">
        <v>4</v>
      </c>
      <c r="I2420" s="34" t="s">
        <v>6349</v>
      </c>
      <c r="J2420" s="34" t="s">
        <v>809</v>
      </c>
      <c r="K2420" s="34" t="s">
        <v>788</v>
      </c>
      <c r="L2420" s="34" t="s">
        <v>793</v>
      </c>
      <c r="M2420" s="247">
        <v>37.300000000000004</v>
      </c>
      <c r="N2420" s="288" t="s">
        <v>722</v>
      </c>
    </row>
    <row r="2421" spans="1:1095" s="39" customFormat="1" ht="14.25" customHeight="1">
      <c r="A2421" s="8" t="s">
        <v>1722</v>
      </c>
      <c r="B2421" s="244" t="s">
        <v>3017</v>
      </c>
      <c r="C2421" s="8"/>
      <c r="D2421" s="8"/>
      <c r="E2421" s="230"/>
      <c r="F2421" s="7"/>
      <c r="G2421" s="68"/>
      <c r="H2421" s="230"/>
      <c r="I2421" s="230"/>
      <c r="J2421" s="230"/>
      <c r="K2421" s="230"/>
      <c r="L2421" s="230"/>
      <c r="M2421" s="248"/>
      <c r="N2421" s="284"/>
      <c r="O2421" s="38"/>
      <c r="P2421" s="38"/>
      <c r="Q2421" s="38"/>
      <c r="R2421" s="38"/>
      <c r="S2421" s="38"/>
      <c r="T2421" s="38"/>
      <c r="U2421" s="38"/>
      <c r="V2421" s="38"/>
      <c r="W2421" s="38"/>
      <c r="X2421" s="38"/>
      <c r="Y2421" s="38"/>
      <c r="Z2421" s="38"/>
      <c r="AA2421" s="38"/>
      <c r="AB2421" s="38"/>
      <c r="AC2421" s="38"/>
      <c r="AD2421" s="38"/>
      <c r="AE2421" s="38"/>
      <c r="AF2421" s="38"/>
      <c r="AG2421" s="38"/>
      <c r="AH2421" s="38"/>
      <c r="AI2421" s="38"/>
      <c r="AJ2421" s="38"/>
      <c r="AK2421" s="38"/>
      <c r="AL2421" s="38"/>
      <c r="AM2421" s="38"/>
      <c r="AN2421" s="38"/>
      <c r="AO2421" s="38"/>
      <c r="AP2421" s="38"/>
      <c r="AQ2421" s="38"/>
      <c r="AR2421" s="38"/>
      <c r="AS2421" s="38"/>
      <c r="AT2421" s="38"/>
      <c r="AU2421" s="38"/>
      <c r="AV2421" s="38"/>
      <c r="AW2421" s="38"/>
      <c r="AX2421" s="38"/>
      <c r="AY2421" s="38"/>
      <c r="AZ2421" s="38"/>
      <c r="BA2421" s="38"/>
      <c r="BB2421" s="38"/>
      <c r="BC2421" s="38"/>
      <c r="BD2421" s="38"/>
      <c r="BE2421" s="38"/>
      <c r="BF2421" s="38"/>
      <c r="BG2421" s="38"/>
      <c r="BH2421" s="38"/>
      <c r="BI2421" s="38"/>
      <c r="BJ2421" s="38"/>
      <c r="BK2421" s="38"/>
      <c r="BL2421" s="38"/>
      <c r="BM2421" s="38"/>
      <c r="BN2421" s="38"/>
      <c r="BO2421" s="38"/>
      <c r="BP2421" s="38"/>
      <c r="BQ2421" s="38"/>
      <c r="BR2421" s="38"/>
      <c r="BS2421" s="38"/>
      <c r="BT2421" s="38"/>
      <c r="BU2421" s="38"/>
      <c r="BV2421" s="38"/>
      <c r="BW2421" s="38"/>
      <c r="BX2421" s="38"/>
      <c r="BY2421" s="38"/>
      <c r="BZ2421" s="38"/>
      <c r="CA2421" s="38"/>
      <c r="CB2421" s="38"/>
      <c r="CC2421" s="38"/>
      <c r="CD2421" s="38"/>
      <c r="CE2421" s="38"/>
      <c r="CF2421" s="38"/>
      <c r="CG2421" s="38"/>
      <c r="CH2421" s="38"/>
      <c r="CI2421" s="38"/>
      <c r="CJ2421" s="38"/>
      <c r="CK2421" s="38"/>
      <c r="CL2421" s="38"/>
      <c r="CM2421" s="38"/>
      <c r="CN2421" s="38"/>
      <c r="CO2421" s="38"/>
      <c r="CP2421" s="38"/>
      <c r="CQ2421" s="38"/>
      <c r="CR2421" s="38"/>
      <c r="CS2421" s="38"/>
      <c r="CT2421" s="38"/>
      <c r="CU2421" s="38"/>
      <c r="CV2421" s="38"/>
      <c r="CW2421" s="38"/>
      <c r="CX2421" s="38"/>
      <c r="CY2421" s="38"/>
      <c r="CZ2421" s="38"/>
      <c r="DA2421" s="38"/>
      <c r="DB2421" s="38"/>
      <c r="DC2421" s="38"/>
      <c r="DD2421" s="38"/>
      <c r="DE2421" s="38"/>
      <c r="DF2421" s="38"/>
      <c r="DG2421" s="38"/>
      <c r="DH2421" s="38"/>
      <c r="DI2421" s="38"/>
      <c r="DJ2421" s="38"/>
      <c r="DK2421" s="38"/>
      <c r="DL2421" s="38"/>
      <c r="DM2421" s="38"/>
      <c r="DN2421" s="38"/>
      <c r="DO2421" s="38"/>
      <c r="DP2421" s="38"/>
      <c r="DQ2421" s="38"/>
      <c r="DR2421" s="38"/>
      <c r="DS2421" s="38"/>
      <c r="DT2421" s="38"/>
      <c r="DU2421" s="38"/>
      <c r="DV2421" s="38"/>
      <c r="DW2421" s="38"/>
      <c r="DX2421" s="38"/>
      <c r="DY2421" s="38"/>
      <c r="DZ2421" s="38"/>
      <c r="EA2421" s="38"/>
      <c r="EB2421" s="38"/>
      <c r="EC2421" s="38"/>
      <c r="ED2421" s="38"/>
      <c r="EE2421" s="38"/>
      <c r="EF2421" s="38"/>
      <c r="EG2421" s="38"/>
      <c r="EH2421" s="38"/>
      <c r="EI2421" s="38"/>
      <c r="EJ2421" s="38"/>
      <c r="EK2421" s="38"/>
      <c r="EL2421" s="38"/>
      <c r="EM2421" s="38"/>
      <c r="EN2421" s="38"/>
      <c r="EO2421" s="38"/>
      <c r="EP2421" s="38"/>
      <c r="EQ2421" s="38"/>
      <c r="ER2421" s="38"/>
      <c r="ES2421" s="38"/>
      <c r="ET2421" s="38"/>
      <c r="EU2421" s="38"/>
      <c r="EV2421" s="38"/>
      <c r="EW2421" s="38"/>
      <c r="EX2421" s="38"/>
      <c r="EY2421" s="38"/>
      <c r="EZ2421" s="38"/>
      <c r="FA2421" s="38"/>
      <c r="FB2421" s="38"/>
      <c r="FC2421" s="38"/>
      <c r="FD2421" s="38"/>
      <c r="FE2421" s="38"/>
      <c r="FF2421" s="38"/>
      <c r="FG2421" s="38"/>
      <c r="FH2421" s="38"/>
      <c r="FI2421" s="38"/>
      <c r="FJ2421" s="38"/>
      <c r="FK2421" s="38"/>
      <c r="FL2421" s="38"/>
      <c r="FM2421" s="38"/>
      <c r="FN2421" s="38"/>
      <c r="FO2421" s="38"/>
      <c r="FP2421" s="38"/>
      <c r="FQ2421" s="38"/>
      <c r="FR2421" s="38"/>
      <c r="FS2421" s="38"/>
      <c r="FT2421" s="38"/>
      <c r="FU2421" s="38"/>
      <c r="FV2421" s="38"/>
      <c r="FW2421" s="38"/>
      <c r="FX2421" s="38"/>
      <c r="FY2421" s="38"/>
      <c r="FZ2421" s="38"/>
      <c r="GA2421" s="38"/>
      <c r="GB2421" s="38"/>
      <c r="GC2421" s="38"/>
      <c r="GD2421" s="38"/>
      <c r="GE2421" s="38"/>
      <c r="GF2421" s="38"/>
      <c r="GG2421" s="38"/>
      <c r="GH2421" s="38"/>
      <c r="GI2421" s="38"/>
      <c r="GJ2421" s="38"/>
      <c r="GK2421" s="38"/>
      <c r="GL2421" s="38"/>
      <c r="GM2421" s="38"/>
      <c r="GN2421" s="38"/>
      <c r="GO2421" s="38"/>
      <c r="GP2421" s="38"/>
      <c r="GQ2421" s="38"/>
      <c r="GR2421" s="38"/>
      <c r="GS2421" s="38"/>
      <c r="GT2421" s="38"/>
      <c r="GU2421" s="38"/>
      <c r="GV2421" s="38"/>
      <c r="GW2421" s="38"/>
      <c r="GX2421" s="38"/>
      <c r="GY2421" s="38"/>
      <c r="GZ2421" s="38"/>
      <c r="HA2421" s="38"/>
      <c r="HB2421" s="38"/>
      <c r="HC2421" s="38"/>
      <c r="HD2421" s="38"/>
      <c r="HE2421" s="38"/>
      <c r="HF2421" s="38"/>
      <c r="HG2421" s="38"/>
      <c r="HH2421" s="38"/>
      <c r="HI2421" s="38"/>
      <c r="HJ2421" s="38"/>
      <c r="HK2421" s="38"/>
      <c r="HL2421" s="38"/>
      <c r="HM2421" s="38"/>
      <c r="HN2421" s="38"/>
      <c r="HO2421" s="38"/>
      <c r="HP2421" s="38"/>
      <c r="HQ2421" s="38"/>
      <c r="HR2421" s="38"/>
      <c r="HS2421" s="38"/>
      <c r="HT2421" s="38"/>
      <c r="HU2421" s="38"/>
      <c r="HV2421" s="38"/>
      <c r="HW2421" s="38"/>
      <c r="HX2421" s="38"/>
      <c r="HY2421" s="38"/>
      <c r="HZ2421" s="38"/>
      <c r="IA2421" s="38"/>
      <c r="IB2421" s="38"/>
      <c r="IC2421" s="38"/>
      <c r="ID2421" s="38"/>
      <c r="IE2421" s="38"/>
      <c r="IF2421" s="38"/>
      <c r="IG2421" s="38"/>
      <c r="IH2421" s="38"/>
      <c r="II2421" s="38"/>
      <c r="IJ2421" s="38"/>
      <c r="IK2421" s="38"/>
      <c r="IL2421" s="38"/>
      <c r="IM2421" s="38"/>
      <c r="IN2421" s="38"/>
      <c r="IO2421" s="38"/>
      <c r="IP2421" s="38"/>
      <c r="IQ2421" s="38"/>
      <c r="IR2421" s="38"/>
      <c r="IS2421" s="38"/>
      <c r="IT2421" s="38"/>
      <c r="IU2421" s="38"/>
      <c r="IV2421" s="38"/>
      <c r="IW2421" s="38"/>
      <c r="IX2421" s="38"/>
      <c r="IY2421" s="38"/>
      <c r="IZ2421" s="38"/>
      <c r="JA2421" s="38"/>
      <c r="JB2421" s="38"/>
      <c r="JC2421" s="38"/>
      <c r="JD2421" s="38"/>
      <c r="JE2421" s="38"/>
      <c r="JF2421" s="38"/>
      <c r="JG2421" s="38"/>
      <c r="JH2421" s="38"/>
      <c r="JI2421" s="38"/>
      <c r="JJ2421" s="38"/>
      <c r="JK2421" s="38"/>
      <c r="JL2421" s="38"/>
      <c r="JM2421" s="38"/>
      <c r="JN2421" s="38"/>
      <c r="JO2421" s="38"/>
      <c r="JP2421" s="38"/>
      <c r="JQ2421" s="38"/>
      <c r="JR2421" s="38"/>
      <c r="JS2421" s="38"/>
      <c r="JT2421" s="38"/>
      <c r="JU2421" s="38"/>
      <c r="JV2421" s="38"/>
      <c r="JW2421" s="38"/>
      <c r="JX2421" s="38"/>
      <c r="JY2421" s="38"/>
      <c r="JZ2421" s="38"/>
      <c r="KA2421" s="38"/>
      <c r="KB2421" s="38"/>
      <c r="KC2421" s="38"/>
      <c r="KD2421" s="38"/>
      <c r="KE2421" s="38"/>
      <c r="KF2421" s="38"/>
      <c r="KG2421" s="38"/>
      <c r="KH2421" s="38"/>
      <c r="KI2421" s="38"/>
      <c r="KJ2421" s="38"/>
      <c r="KK2421" s="38"/>
      <c r="KL2421" s="38"/>
      <c r="KM2421" s="38"/>
      <c r="KN2421" s="38"/>
      <c r="KO2421" s="38"/>
      <c r="KP2421" s="38"/>
      <c r="KQ2421" s="38"/>
      <c r="KR2421" s="38"/>
      <c r="KS2421" s="38"/>
      <c r="KT2421" s="38"/>
      <c r="KU2421" s="38"/>
      <c r="KV2421" s="38"/>
      <c r="KW2421" s="38"/>
      <c r="KX2421" s="38"/>
      <c r="KY2421" s="38"/>
      <c r="KZ2421" s="38"/>
      <c r="LA2421" s="38"/>
      <c r="LB2421" s="38"/>
      <c r="LC2421" s="38"/>
      <c r="LD2421" s="38"/>
      <c r="LE2421" s="38"/>
      <c r="LF2421" s="38"/>
      <c r="LG2421" s="38"/>
      <c r="LH2421" s="38"/>
      <c r="LI2421" s="38"/>
      <c r="LJ2421" s="38"/>
      <c r="LK2421" s="38"/>
      <c r="LL2421" s="38"/>
      <c r="LM2421" s="38"/>
      <c r="LN2421" s="38"/>
      <c r="LO2421" s="38"/>
      <c r="LP2421" s="38"/>
      <c r="LQ2421" s="38"/>
      <c r="LR2421" s="38"/>
      <c r="LS2421" s="38"/>
      <c r="LT2421" s="38"/>
      <c r="LU2421" s="38"/>
      <c r="LV2421" s="38"/>
      <c r="LW2421" s="38"/>
      <c r="LX2421" s="38"/>
      <c r="LY2421" s="38"/>
      <c r="LZ2421" s="38"/>
      <c r="MA2421" s="38"/>
      <c r="MB2421" s="38"/>
      <c r="MC2421" s="38"/>
      <c r="MD2421" s="38"/>
      <c r="ME2421" s="38"/>
      <c r="MF2421" s="38"/>
      <c r="MG2421" s="38"/>
      <c r="MH2421" s="38"/>
      <c r="MI2421" s="38"/>
      <c r="MJ2421" s="38"/>
      <c r="MK2421" s="38"/>
      <c r="ML2421" s="38"/>
      <c r="MM2421" s="38"/>
      <c r="MN2421" s="38"/>
      <c r="MO2421" s="38"/>
      <c r="MP2421" s="38"/>
      <c r="MQ2421" s="38"/>
      <c r="MR2421" s="38"/>
      <c r="MS2421" s="38"/>
      <c r="MT2421" s="38"/>
      <c r="MU2421" s="38"/>
      <c r="MV2421" s="38"/>
      <c r="MW2421" s="38"/>
      <c r="MX2421" s="38"/>
      <c r="MY2421" s="38"/>
      <c r="MZ2421" s="38"/>
      <c r="NA2421" s="38"/>
      <c r="NB2421" s="38"/>
      <c r="NC2421" s="38"/>
      <c r="ND2421" s="38"/>
      <c r="NE2421" s="38"/>
      <c r="NF2421" s="38"/>
      <c r="NG2421" s="38"/>
      <c r="NH2421" s="38"/>
      <c r="NI2421" s="38"/>
      <c r="NJ2421" s="38"/>
      <c r="NK2421" s="38"/>
      <c r="NL2421" s="38"/>
      <c r="NM2421" s="38"/>
      <c r="NN2421" s="38"/>
      <c r="NO2421" s="38"/>
      <c r="NP2421" s="38"/>
      <c r="NQ2421" s="38"/>
      <c r="NR2421" s="38"/>
      <c r="NS2421" s="38"/>
      <c r="NT2421" s="38"/>
      <c r="NU2421" s="38"/>
      <c r="NV2421" s="38"/>
      <c r="NW2421" s="38"/>
      <c r="NX2421" s="38"/>
      <c r="NY2421" s="38"/>
      <c r="NZ2421" s="38"/>
      <c r="OA2421" s="38"/>
      <c r="OB2421" s="38"/>
      <c r="OC2421" s="38"/>
      <c r="OD2421" s="38"/>
      <c r="OE2421" s="38"/>
      <c r="OF2421" s="38"/>
      <c r="OG2421" s="38"/>
      <c r="OH2421" s="38"/>
      <c r="OI2421" s="38"/>
      <c r="OJ2421" s="38"/>
      <c r="OK2421" s="38"/>
      <c r="OL2421" s="38"/>
      <c r="OM2421" s="38"/>
      <c r="ON2421" s="38"/>
      <c r="OO2421" s="38"/>
      <c r="OP2421" s="38"/>
      <c r="OQ2421" s="38"/>
      <c r="OR2421" s="38"/>
      <c r="OS2421" s="38"/>
      <c r="OT2421" s="38"/>
      <c r="OU2421" s="38"/>
      <c r="OV2421" s="38"/>
      <c r="OW2421" s="38"/>
      <c r="OX2421" s="38"/>
      <c r="OY2421" s="38"/>
      <c r="OZ2421" s="38"/>
      <c r="PA2421" s="38"/>
      <c r="PB2421" s="38"/>
      <c r="PC2421" s="38"/>
      <c r="PD2421" s="38"/>
      <c r="PE2421" s="38"/>
      <c r="PF2421" s="38"/>
      <c r="PG2421" s="38"/>
      <c r="PH2421" s="38"/>
      <c r="PI2421" s="38"/>
      <c r="PJ2421" s="38"/>
      <c r="PK2421" s="38"/>
      <c r="PL2421" s="38"/>
      <c r="PM2421" s="38"/>
      <c r="PN2421" s="38"/>
      <c r="PO2421" s="38"/>
      <c r="PP2421" s="38"/>
      <c r="PQ2421" s="38"/>
      <c r="PR2421" s="38"/>
      <c r="PS2421" s="38"/>
      <c r="PT2421" s="38"/>
      <c r="PU2421" s="38"/>
      <c r="PV2421" s="38"/>
      <c r="PW2421" s="38"/>
      <c r="PX2421" s="38"/>
      <c r="PY2421" s="38"/>
      <c r="PZ2421" s="38"/>
      <c r="QA2421" s="38"/>
      <c r="QB2421" s="38"/>
      <c r="QC2421" s="38"/>
      <c r="QD2421" s="38"/>
      <c r="QE2421" s="38"/>
      <c r="QF2421" s="38"/>
      <c r="QG2421" s="38"/>
      <c r="QH2421" s="38"/>
      <c r="QI2421" s="38"/>
      <c r="QJ2421" s="38"/>
      <c r="QK2421" s="38"/>
      <c r="QL2421" s="38"/>
      <c r="QM2421" s="38"/>
      <c r="QN2421" s="38"/>
      <c r="QO2421" s="38"/>
      <c r="QP2421" s="38"/>
      <c r="QQ2421" s="38"/>
      <c r="QR2421" s="38"/>
      <c r="QS2421" s="38"/>
      <c r="QT2421" s="38"/>
      <c r="QU2421" s="38"/>
      <c r="QV2421" s="38"/>
      <c r="QW2421" s="38"/>
      <c r="QX2421" s="38"/>
      <c r="QY2421" s="38"/>
      <c r="QZ2421" s="38"/>
      <c r="RA2421" s="38"/>
      <c r="RB2421" s="38"/>
      <c r="RC2421" s="38"/>
      <c r="RD2421" s="38"/>
      <c r="RE2421" s="38"/>
      <c r="RF2421" s="38"/>
      <c r="RG2421" s="38"/>
      <c r="RH2421" s="38"/>
      <c r="RI2421" s="38"/>
      <c r="RJ2421" s="38"/>
      <c r="RK2421" s="38"/>
      <c r="RL2421" s="38"/>
      <c r="RM2421" s="38"/>
      <c r="RN2421" s="38"/>
      <c r="RO2421" s="38"/>
      <c r="RP2421" s="38"/>
      <c r="RQ2421" s="38"/>
      <c r="RR2421" s="38"/>
      <c r="RS2421" s="38"/>
      <c r="RT2421" s="38"/>
      <c r="RU2421" s="38"/>
      <c r="RV2421" s="38"/>
      <c r="RW2421" s="38"/>
      <c r="RX2421" s="38"/>
      <c r="RY2421" s="38"/>
      <c r="RZ2421" s="38"/>
      <c r="SA2421" s="38"/>
      <c r="SB2421" s="38"/>
      <c r="SC2421" s="38"/>
      <c r="SD2421" s="38"/>
      <c r="SE2421" s="38"/>
      <c r="SF2421" s="38"/>
      <c r="SG2421" s="38"/>
      <c r="SH2421" s="38"/>
      <c r="SI2421" s="38"/>
      <c r="SJ2421" s="38"/>
      <c r="SK2421" s="38"/>
      <c r="SL2421" s="38"/>
      <c r="SM2421" s="38"/>
      <c r="SN2421" s="38"/>
      <c r="SO2421" s="38"/>
      <c r="SP2421" s="38"/>
      <c r="SQ2421" s="38"/>
      <c r="SR2421" s="38"/>
      <c r="SS2421" s="38"/>
      <c r="ST2421" s="38"/>
      <c r="SU2421" s="38"/>
      <c r="SV2421" s="38"/>
      <c r="SW2421" s="38"/>
      <c r="SX2421" s="38"/>
      <c r="SY2421" s="38"/>
      <c r="SZ2421" s="38"/>
      <c r="TA2421" s="38"/>
      <c r="TB2421" s="38"/>
      <c r="TC2421" s="38"/>
      <c r="TD2421" s="38"/>
      <c r="TE2421" s="38"/>
      <c r="TF2421" s="38"/>
      <c r="TG2421" s="38"/>
      <c r="TH2421" s="38"/>
      <c r="TI2421" s="38"/>
      <c r="TJ2421" s="38"/>
      <c r="TK2421" s="38"/>
      <c r="TL2421" s="38"/>
      <c r="TM2421" s="38"/>
      <c r="TN2421" s="38"/>
      <c r="TO2421" s="38"/>
      <c r="TP2421" s="38"/>
      <c r="TQ2421" s="38"/>
      <c r="TR2421" s="38"/>
      <c r="TS2421" s="38"/>
      <c r="TT2421" s="38"/>
      <c r="TU2421" s="38"/>
      <c r="TV2421" s="38"/>
      <c r="TW2421" s="38"/>
      <c r="TX2421" s="38"/>
      <c r="TY2421" s="38"/>
      <c r="TZ2421" s="38"/>
      <c r="UA2421" s="38"/>
      <c r="UB2421" s="38"/>
      <c r="UC2421" s="38"/>
      <c r="UD2421" s="38"/>
      <c r="UE2421" s="38"/>
      <c r="UF2421" s="38"/>
      <c r="UG2421" s="38"/>
      <c r="UH2421" s="38"/>
      <c r="UI2421" s="38"/>
      <c r="UJ2421" s="38"/>
      <c r="UK2421" s="38"/>
      <c r="UL2421" s="38"/>
      <c r="UM2421" s="38"/>
      <c r="UN2421" s="38"/>
      <c r="UO2421" s="38"/>
      <c r="UP2421" s="38"/>
      <c r="UQ2421" s="38"/>
      <c r="UR2421" s="38"/>
      <c r="US2421" s="38"/>
      <c r="UT2421" s="38"/>
      <c r="UU2421" s="38"/>
      <c r="UV2421" s="38"/>
      <c r="UW2421" s="38"/>
      <c r="UX2421" s="38"/>
      <c r="UY2421" s="38"/>
      <c r="UZ2421" s="38"/>
      <c r="VA2421" s="38"/>
      <c r="VB2421" s="38"/>
      <c r="VC2421" s="38"/>
      <c r="VD2421" s="38"/>
      <c r="VE2421" s="38"/>
      <c r="VF2421" s="38"/>
      <c r="VG2421" s="38"/>
      <c r="VH2421" s="38"/>
      <c r="VI2421" s="38"/>
      <c r="VJ2421" s="38"/>
      <c r="VK2421" s="38"/>
      <c r="VL2421" s="38"/>
      <c r="VM2421" s="38"/>
      <c r="VN2421" s="38"/>
      <c r="VO2421" s="38"/>
      <c r="VP2421" s="38"/>
      <c r="VQ2421" s="38"/>
      <c r="VR2421" s="38"/>
      <c r="VS2421" s="38"/>
      <c r="VT2421" s="38"/>
      <c r="VU2421" s="38"/>
      <c r="VV2421" s="38"/>
      <c r="VW2421" s="38"/>
      <c r="VX2421" s="38"/>
      <c r="VY2421" s="38"/>
      <c r="VZ2421" s="38"/>
      <c r="WA2421" s="38"/>
      <c r="WB2421" s="38"/>
      <c r="WC2421" s="38"/>
      <c r="WD2421" s="38"/>
      <c r="WE2421" s="38"/>
      <c r="WF2421" s="38"/>
      <c r="WG2421" s="38"/>
      <c r="WH2421" s="38"/>
      <c r="WI2421" s="38"/>
      <c r="WJ2421" s="38"/>
      <c r="WK2421" s="38"/>
      <c r="WL2421" s="38"/>
      <c r="WM2421" s="38"/>
      <c r="WN2421" s="38"/>
      <c r="WO2421" s="38"/>
      <c r="WP2421" s="38"/>
      <c r="WQ2421" s="38"/>
      <c r="WR2421" s="38"/>
      <c r="WS2421" s="38"/>
      <c r="WT2421" s="38"/>
      <c r="WU2421" s="38"/>
      <c r="WV2421" s="38"/>
      <c r="WW2421" s="38"/>
      <c r="WX2421" s="38"/>
      <c r="WY2421" s="38"/>
      <c r="WZ2421" s="38"/>
      <c r="XA2421" s="38"/>
      <c r="XB2421" s="38"/>
      <c r="XC2421" s="38"/>
      <c r="XD2421" s="38"/>
      <c r="XE2421" s="38"/>
      <c r="XF2421" s="38"/>
      <c r="XG2421" s="38"/>
      <c r="XH2421" s="38"/>
      <c r="XI2421" s="38"/>
      <c r="XJ2421" s="38"/>
      <c r="XK2421" s="38"/>
      <c r="XL2421" s="38"/>
      <c r="XM2421" s="38"/>
      <c r="XN2421" s="38"/>
      <c r="XO2421" s="38"/>
      <c r="XP2421" s="38"/>
      <c r="XQ2421" s="38"/>
      <c r="XR2421" s="38"/>
      <c r="XS2421" s="38"/>
      <c r="XT2421" s="38"/>
      <c r="XU2421" s="38"/>
      <c r="XV2421" s="38"/>
      <c r="XW2421" s="38"/>
      <c r="XX2421" s="38"/>
      <c r="XY2421" s="38"/>
      <c r="XZ2421" s="38"/>
      <c r="YA2421" s="38"/>
      <c r="YB2421" s="38"/>
      <c r="YC2421" s="38"/>
      <c r="YD2421" s="38"/>
      <c r="YE2421" s="38"/>
      <c r="YF2421" s="38"/>
      <c r="YG2421" s="38"/>
      <c r="YH2421" s="38"/>
      <c r="YI2421" s="38"/>
      <c r="YJ2421" s="38"/>
      <c r="YK2421" s="38"/>
      <c r="YL2421" s="38"/>
      <c r="YM2421" s="38"/>
      <c r="YN2421" s="38"/>
      <c r="YO2421" s="38"/>
      <c r="YP2421" s="38"/>
      <c r="YQ2421" s="38"/>
      <c r="YR2421" s="38"/>
      <c r="YS2421" s="38"/>
      <c r="YT2421" s="38"/>
      <c r="YU2421" s="38"/>
      <c r="YV2421" s="38"/>
      <c r="YW2421" s="38"/>
      <c r="YX2421" s="38"/>
      <c r="YY2421" s="38"/>
      <c r="YZ2421" s="38"/>
      <c r="ZA2421" s="38"/>
      <c r="ZB2421" s="38"/>
      <c r="ZC2421" s="38"/>
      <c r="ZD2421" s="38"/>
      <c r="ZE2421" s="38"/>
      <c r="ZF2421" s="38"/>
      <c r="ZG2421" s="38"/>
      <c r="ZH2421" s="38"/>
      <c r="ZI2421" s="38"/>
      <c r="ZJ2421" s="38"/>
      <c r="ZK2421" s="38"/>
      <c r="ZL2421" s="38"/>
      <c r="ZM2421" s="38"/>
      <c r="ZN2421" s="38"/>
      <c r="ZO2421" s="38"/>
      <c r="ZP2421" s="38"/>
      <c r="ZQ2421" s="38"/>
      <c r="ZR2421" s="38"/>
      <c r="ZS2421" s="38"/>
      <c r="ZT2421" s="38"/>
      <c r="ZU2421" s="38"/>
      <c r="ZV2421" s="38"/>
      <c r="ZW2421" s="38"/>
      <c r="ZX2421" s="38"/>
      <c r="ZY2421" s="38"/>
      <c r="ZZ2421" s="38"/>
      <c r="AAA2421" s="38"/>
      <c r="AAB2421" s="38"/>
      <c r="AAC2421" s="38"/>
      <c r="AAD2421" s="38"/>
      <c r="AAE2421" s="38"/>
      <c r="AAF2421" s="38"/>
      <c r="AAG2421" s="38"/>
      <c r="AAH2421" s="38"/>
      <c r="AAI2421" s="38"/>
      <c r="AAJ2421" s="38"/>
      <c r="AAK2421" s="38"/>
      <c r="AAL2421" s="38"/>
      <c r="AAM2421" s="38"/>
      <c r="AAN2421" s="38"/>
      <c r="AAO2421" s="38"/>
      <c r="AAP2421" s="38"/>
      <c r="AAQ2421" s="38"/>
      <c r="AAR2421" s="38"/>
      <c r="AAS2421" s="38"/>
      <c r="AAT2421" s="38"/>
      <c r="AAU2421" s="38"/>
      <c r="AAV2421" s="38"/>
      <c r="AAW2421" s="38"/>
      <c r="AAX2421" s="38"/>
      <c r="AAY2421" s="38"/>
      <c r="AAZ2421" s="38"/>
      <c r="ABA2421" s="38"/>
      <c r="ABB2421" s="38"/>
      <c r="ABC2421" s="38"/>
      <c r="ABD2421" s="38"/>
      <c r="ABE2421" s="38"/>
      <c r="ABF2421" s="38"/>
      <c r="ABG2421" s="38"/>
      <c r="ABH2421" s="38"/>
      <c r="ABI2421" s="38"/>
      <c r="ABJ2421" s="38"/>
      <c r="ABK2421" s="38"/>
      <c r="ABL2421" s="38"/>
      <c r="ABM2421" s="38"/>
      <c r="ABN2421" s="38"/>
      <c r="ABO2421" s="38"/>
      <c r="ABP2421" s="38"/>
      <c r="ABQ2421" s="38"/>
      <c r="ABR2421" s="38"/>
      <c r="ABS2421" s="38"/>
      <c r="ABT2421" s="38"/>
      <c r="ABU2421" s="38"/>
      <c r="ABV2421" s="38"/>
      <c r="ABW2421" s="38"/>
      <c r="ABX2421" s="38"/>
      <c r="ABY2421" s="38"/>
      <c r="ABZ2421" s="38"/>
      <c r="ACA2421" s="38"/>
      <c r="ACB2421" s="38"/>
      <c r="ACC2421" s="38"/>
      <c r="ACD2421" s="38"/>
      <c r="ACE2421" s="38"/>
      <c r="ACF2421" s="38"/>
      <c r="ACG2421" s="38"/>
      <c r="ACH2421" s="38"/>
      <c r="ACI2421" s="38"/>
      <c r="ACJ2421" s="38"/>
      <c r="ACK2421" s="38"/>
      <c r="ACL2421" s="38"/>
      <c r="ACM2421" s="38"/>
      <c r="ACN2421" s="38"/>
      <c r="ACO2421" s="38"/>
      <c r="ACP2421" s="38"/>
      <c r="ACQ2421" s="38"/>
      <c r="ACR2421" s="38"/>
      <c r="ACS2421" s="38"/>
      <c r="ACT2421" s="38"/>
      <c r="ACU2421" s="38"/>
      <c r="ACV2421" s="38"/>
      <c r="ACW2421" s="38"/>
      <c r="ACX2421" s="38"/>
      <c r="ACY2421" s="38"/>
      <c r="ACZ2421" s="38"/>
      <c r="ADA2421" s="38"/>
      <c r="ADB2421" s="38"/>
      <c r="ADC2421" s="38"/>
      <c r="ADD2421" s="38"/>
      <c r="ADE2421" s="38"/>
      <c r="ADF2421" s="38"/>
      <c r="ADG2421" s="38"/>
      <c r="ADH2421" s="38"/>
      <c r="ADI2421" s="38"/>
      <c r="ADJ2421" s="38"/>
      <c r="ADK2421" s="38"/>
      <c r="ADL2421" s="38"/>
      <c r="ADM2421" s="38"/>
      <c r="ADN2421" s="38"/>
      <c r="ADO2421" s="38"/>
      <c r="ADP2421" s="38"/>
      <c r="ADQ2421" s="38"/>
      <c r="ADR2421" s="38"/>
      <c r="ADS2421" s="38"/>
      <c r="ADT2421" s="38"/>
      <c r="ADU2421" s="38"/>
      <c r="ADV2421" s="38"/>
      <c r="ADW2421" s="38"/>
      <c r="ADX2421" s="38"/>
      <c r="ADY2421" s="38"/>
      <c r="ADZ2421" s="38"/>
      <c r="AEA2421" s="38"/>
      <c r="AEB2421" s="38"/>
      <c r="AEC2421" s="38"/>
      <c r="AED2421" s="38"/>
      <c r="AEE2421" s="38"/>
      <c r="AEF2421" s="38"/>
      <c r="AEG2421" s="38"/>
      <c r="AEH2421" s="38"/>
      <c r="AEI2421" s="38"/>
      <c r="AEJ2421" s="38"/>
      <c r="AEK2421" s="38"/>
      <c r="AEL2421" s="38"/>
      <c r="AEM2421" s="38"/>
      <c r="AEN2421" s="38"/>
      <c r="AEO2421" s="38"/>
      <c r="AEP2421" s="38"/>
      <c r="AEQ2421" s="38"/>
      <c r="AER2421" s="38"/>
      <c r="AES2421" s="38"/>
      <c r="AET2421" s="38"/>
      <c r="AEU2421" s="38"/>
      <c r="AEV2421" s="38"/>
      <c r="AEW2421" s="38"/>
      <c r="AEX2421" s="38"/>
      <c r="AEY2421" s="38"/>
      <c r="AEZ2421" s="38"/>
      <c r="AFA2421" s="38"/>
      <c r="AFB2421" s="38"/>
      <c r="AFC2421" s="38"/>
      <c r="AFD2421" s="38"/>
      <c r="AFE2421" s="38"/>
      <c r="AFF2421" s="38"/>
      <c r="AFG2421" s="38"/>
      <c r="AFH2421" s="38"/>
      <c r="AFI2421" s="38"/>
      <c r="AFJ2421" s="38"/>
      <c r="AFK2421" s="38"/>
      <c r="AFL2421" s="38"/>
      <c r="AFM2421" s="38"/>
      <c r="AFN2421" s="38"/>
      <c r="AFO2421" s="38"/>
      <c r="AFP2421" s="38"/>
      <c r="AFQ2421" s="38"/>
      <c r="AFR2421" s="38"/>
      <c r="AFS2421" s="38"/>
      <c r="AFT2421" s="38"/>
      <c r="AFU2421" s="38"/>
      <c r="AFV2421" s="38"/>
      <c r="AFW2421" s="38"/>
      <c r="AFX2421" s="38"/>
      <c r="AFY2421" s="38"/>
      <c r="AFZ2421" s="38"/>
      <c r="AGA2421" s="38"/>
      <c r="AGB2421" s="38"/>
      <c r="AGC2421" s="38"/>
      <c r="AGD2421" s="38"/>
      <c r="AGE2421" s="38"/>
      <c r="AGF2421" s="38"/>
      <c r="AGG2421" s="38"/>
      <c r="AGH2421" s="38"/>
      <c r="AGI2421" s="38"/>
      <c r="AGJ2421" s="38"/>
      <c r="AGK2421" s="38"/>
      <c r="AGL2421" s="38"/>
      <c r="AGM2421" s="38"/>
      <c r="AGN2421" s="38"/>
      <c r="AGO2421" s="38"/>
      <c r="AGP2421" s="38"/>
      <c r="AGQ2421" s="38"/>
      <c r="AGR2421" s="38"/>
      <c r="AGS2421" s="38"/>
      <c r="AGT2421" s="38"/>
      <c r="AGU2421" s="38"/>
      <c r="AGV2421" s="38"/>
      <c r="AGW2421" s="38"/>
      <c r="AGX2421" s="38"/>
      <c r="AGY2421" s="38"/>
      <c r="AGZ2421" s="38"/>
      <c r="AHA2421" s="38"/>
      <c r="AHB2421" s="38"/>
      <c r="AHC2421" s="38"/>
      <c r="AHD2421" s="38"/>
      <c r="AHE2421" s="38"/>
      <c r="AHF2421" s="38"/>
      <c r="AHG2421" s="38"/>
      <c r="AHH2421" s="38"/>
      <c r="AHI2421" s="38"/>
      <c r="AHJ2421" s="38"/>
      <c r="AHK2421" s="38"/>
      <c r="AHL2421" s="38"/>
      <c r="AHM2421" s="38"/>
      <c r="AHN2421" s="38"/>
      <c r="AHO2421" s="38"/>
      <c r="AHP2421" s="38"/>
      <c r="AHQ2421" s="38"/>
      <c r="AHR2421" s="38"/>
      <c r="AHS2421" s="38"/>
      <c r="AHT2421" s="38"/>
      <c r="AHU2421" s="38"/>
      <c r="AHV2421" s="38"/>
      <c r="AHW2421" s="38"/>
      <c r="AHX2421" s="38"/>
      <c r="AHY2421" s="38"/>
      <c r="AHZ2421" s="38"/>
      <c r="AIA2421" s="38"/>
      <c r="AIB2421" s="38"/>
      <c r="AIC2421" s="38"/>
      <c r="AID2421" s="38"/>
      <c r="AIE2421" s="38"/>
      <c r="AIF2421" s="38"/>
      <c r="AIG2421" s="38"/>
      <c r="AIH2421" s="38"/>
      <c r="AII2421" s="38"/>
      <c r="AIJ2421" s="38"/>
      <c r="AIK2421" s="38"/>
      <c r="AIL2421" s="38"/>
      <c r="AIM2421" s="38"/>
      <c r="AIN2421" s="38"/>
      <c r="AIO2421" s="38"/>
      <c r="AIP2421" s="38"/>
      <c r="AIQ2421" s="38"/>
      <c r="AIR2421" s="38"/>
      <c r="AIS2421" s="38"/>
      <c r="AIT2421" s="38"/>
      <c r="AIU2421" s="38"/>
      <c r="AIV2421" s="38"/>
      <c r="AIW2421" s="38"/>
      <c r="AIX2421" s="38"/>
      <c r="AIY2421" s="38"/>
      <c r="AIZ2421" s="38"/>
      <c r="AJA2421" s="38"/>
      <c r="AJB2421" s="38"/>
      <c r="AJC2421" s="38"/>
      <c r="AJD2421" s="38"/>
      <c r="AJE2421" s="38"/>
      <c r="AJF2421" s="38"/>
      <c r="AJG2421" s="38"/>
      <c r="AJH2421" s="38"/>
      <c r="AJI2421" s="38"/>
      <c r="AJJ2421" s="38"/>
      <c r="AJK2421" s="38"/>
      <c r="AJL2421" s="38"/>
      <c r="AJM2421" s="38"/>
      <c r="AJN2421" s="38"/>
      <c r="AJO2421" s="38"/>
      <c r="AJP2421" s="38"/>
      <c r="AJQ2421" s="38"/>
      <c r="AJR2421" s="38"/>
      <c r="AJS2421" s="38"/>
      <c r="AJT2421" s="38"/>
      <c r="AJU2421" s="38"/>
      <c r="AJV2421" s="38"/>
      <c r="AJW2421" s="38"/>
      <c r="AJX2421" s="38"/>
      <c r="AJY2421" s="38"/>
      <c r="AJZ2421" s="38"/>
      <c r="AKA2421" s="38"/>
      <c r="AKB2421" s="38"/>
      <c r="AKC2421" s="38"/>
      <c r="AKD2421" s="38"/>
      <c r="AKE2421" s="38"/>
      <c r="AKF2421" s="38"/>
      <c r="AKG2421" s="38"/>
      <c r="AKH2421" s="38"/>
      <c r="AKI2421" s="38"/>
      <c r="AKJ2421" s="38"/>
      <c r="AKK2421" s="38"/>
      <c r="AKL2421" s="38"/>
      <c r="AKM2421" s="38"/>
      <c r="AKN2421" s="38"/>
      <c r="AKO2421" s="38"/>
      <c r="AKP2421" s="38"/>
      <c r="AKQ2421" s="38"/>
      <c r="AKR2421" s="38"/>
      <c r="AKS2421" s="38"/>
      <c r="AKT2421" s="38"/>
      <c r="AKU2421" s="38"/>
      <c r="AKV2421" s="38"/>
      <c r="AKW2421" s="38"/>
      <c r="AKX2421" s="38"/>
      <c r="AKY2421" s="38"/>
      <c r="AKZ2421" s="38"/>
      <c r="ALA2421" s="38"/>
      <c r="ALB2421" s="38"/>
      <c r="ALC2421" s="38"/>
      <c r="ALD2421" s="38"/>
      <c r="ALE2421" s="38"/>
      <c r="ALF2421" s="38"/>
      <c r="ALG2421" s="38"/>
      <c r="ALH2421" s="38"/>
      <c r="ALI2421" s="38"/>
      <c r="ALJ2421" s="38"/>
      <c r="ALK2421" s="38"/>
      <c r="ALL2421" s="38"/>
      <c r="ALM2421" s="38"/>
      <c r="ALN2421" s="38"/>
      <c r="ALO2421" s="38"/>
      <c r="ALP2421" s="38"/>
      <c r="ALQ2421" s="38"/>
      <c r="ALR2421" s="38"/>
      <c r="ALS2421" s="38"/>
      <c r="ALT2421" s="38"/>
      <c r="ALU2421" s="38"/>
      <c r="ALV2421" s="38"/>
      <c r="ALW2421" s="38"/>
      <c r="ALX2421" s="38"/>
      <c r="ALY2421" s="38"/>
      <c r="ALZ2421" s="38"/>
      <c r="AMA2421" s="38"/>
      <c r="AMB2421" s="38"/>
      <c r="AMC2421" s="38"/>
      <c r="AMD2421" s="38"/>
      <c r="AME2421" s="38"/>
      <c r="AMF2421" s="38"/>
      <c r="AMG2421" s="38"/>
      <c r="AMH2421" s="38"/>
      <c r="AMI2421" s="38"/>
      <c r="AMJ2421" s="38"/>
      <c r="AMK2421" s="38"/>
      <c r="AML2421" s="38"/>
      <c r="AMM2421" s="38"/>
      <c r="AMN2421" s="38"/>
      <c r="AMO2421" s="38"/>
      <c r="AMP2421" s="38"/>
      <c r="AMQ2421" s="38"/>
      <c r="AMR2421" s="38"/>
      <c r="AMS2421" s="38"/>
      <c r="AMT2421" s="38"/>
      <c r="AMU2421" s="38"/>
      <c r="AMV2421" s="38"/>
      <c r="AMW2421" s="38"/>
      <c r="AMX2421" s="38"/>
      <c r="AMY2421" s="38"/>
      <c r="AMZ2421" s="38"/>
      <c r="ANA2421" s="38"/>
      <c r="ANB2421" s="38"/>
      <c r="ANC2421" s="38"/>
      <c r="AND2421" s="38"/>
      <c r="ANE2421" s="38"/>
      <c r="ANF2421" s="38"/>
      <c r="ANG2421" s="38"/>
      <c r="ANH2421" s="38"/>
      <c r="ANI2421" s="38"/>
      <c r="ANJ2421" s="38"/>
      <c r="ANK2421" s="38"/>
      <c r="ANL2421" s="38"/>
      <c r="ANM2421" s="38"/>
      <c r="ANN2421" s="38"/>
      <c r="ANO2421" s="38"/>
      <c r="ANP2421" s="38"/>
      <c r="ANQ2421" s="38"/>
      <c r="ANR2421" s="38"/>
      <c r="ANS2421" s="38"/>
      <c r="ANT2421" s="38"/>
      <c r="ANU2421" s="38"/>
      <c r="ANV2421" s="38"/>
      <c r="ANW2421" s="38"/>
      <c r="ANX2421" s="38"/>
      <c r="ANY2421" s="38"/>
      <c r="ANZ2421" s="38"/>
      <c r="AOA2421" s="38"/>
      <c r="AOB2421" s="38"/>
      <c r="AOC2421" s="38"/>
      <c r="AOD2421" s="38"/>
      <c r="AOE2421" s="38"/>
      <c r="AOF2421" s="38"/>
      <c r="AOG2421" s="38"/>
      <c r="AOH2421" s="38"/>
      <c r="AOI2421" s="38"/>
      <c r="AOJ2421" s="38"/>
      <c r="AOK2421" s="38"/>
      <c r="AOL2421" s="38"/>
      <c r="AOM2421" s="38"/>
      <c r="AON2421" s="38"/>
      <c r="AOO2421" s="38"/>
      <c r="AOP2421" s="38"/>
      <c r="AOQ2421" s="38"/>
      <c r="AOR2421" s="38"/>
      <c r="AOS2421" s="38"/>
      <c r="AOT2421" s="38"/>
      <c r="AOU2421" s="38"/>
      <c r="AOV2421" s="38"/>
      <c r="AOW2421" s="38"/>
      <c r="AOX2421" s="38"/>
      <c r="AOY2421" s="38"/>
      <c r="AOZ2421" s="38"/>
      <c r="APA2421" s="38"/>
      <c r="APB2421" s="38"/>
      <c r="APC2421" s="38"/>
    </row>
    <row r="2422" spans="1:1095" s="36" customFormat="1" ht="14.25" customHeight="1">
      <c r="A2422" s="3" t="s">
        <v>1722</v>
      </c>
      <c r="B2422" s="36" t="s">
        <v>3018</v>
      </c>
      <c r="C2422" s="10">
        <v>4099854064661</v>
      </c>
      <c r="D2422" s="224">
        <v>4058075622388</v>
      </c>
      <c r="E2422" s="245" t="s">
        <v>3019</v>
      </c>
      <c r="F2422" s="246"/>
      <c r="G2422" s="66" t="str">
        <f>HYPERLINK("https://ledvance.com/pt/product-datasheet/251362/237806","Ficha de Produto")</f>
        <v>Ficha de Produto</v>
      </c>
      <c r="H2422" s="217">
        <v>20</v>
      </c>
      <c r="I2422" s="34" t="s">
        <v>6388</v>
      </c>
      <c r="J2422" s="34" t="s">
        <v>1104</v>
      </c>
      <c r="K2422" s="34" t="s">
        <v>788</v>
      </c>
      <c r="L2422" s="34" t="s">
        <v>765</v>
      </c>
      <c r="M2422" s="247">
        <v>15.3</v>
      </c>
      <c r="N2422" s="288" t="s">
        <v>722</v>
      </c>
    </row>
    <row r="2423" spans="1:1095" s="36" customFormat="1" ht="14.25" customHeight="1">
      <c r="A2423" s="3" t="s">
        <v>1722</v>
      </c>
      <c r="B2423" s="36" t="s">
        <v>3020</v>
      </c>
      <c r="C2423" s="10">
        <v>4058075607255</v>
      </c>
      <c r="D2423" s="224">
        <v>4058075607255</v>
      </c>
      <c r="E2423" s="245" t="s">
        <v>3021</v>
      </c>
      <c r="F2423" s="246"/>
      <c r="G2423" s="66" t="str">
        <f>HYPERLINK("https://ledvance.com/pt/product-datasheet/6987/155161","Ficha de Produto")</f>
        <v>Ficha de Produto</v>
      </c>
      <c r="H2423" s="217">
        <v>6</v>
      </c>
      <c r="I2423" s="34" t="s">
        <v>6354</v>
      </c>
      <c r="J2423" s="34" t="s">
        <v>6383</v>
      </c>
      <c r="K2423" s="34" t="s">
        <v>788</v>
      </c>
      <c r="L2423" s="34" t="s">
        <v>6506</v>
      </c>
      <c r="M2423" s="247">
        <v>18.3</v>
      </c>
      <c r="N2423" s="288" t="s">
        <v>722</v>
      </c>
    </row>
    <row r="2424" spans="1:1095" s="39" customFormat="1" ht="14.25" customHeight="1">
      <c r="A2424" s="8" t="s">
        <v>1722</v>
      </c>
      <c r="B2424" s="244" t="s">
        <v>1177</v>
      </c>
      <c r="C2424" s="8"/>
      <c r="D2424" s="7"/>
      <c r="E2424" s="230"/>
      <c r="F2424" s="7"/>
      <c r="G2424" s="68"/>
      <c r="H2424" s="230"/>
      <c r="I2424" s="230"/>
      <c r="J2424" s="230"/>
      <c r="K2424" s="230"/>
      <c r="L2424" s="230"/>
      <c r="M2424" s="248"/>
      <c r="N2424" s="284"/>
      <c r="O2424" s="38"/>
      <c r="P2424" s="38"/>
      <c r="Q2424" s="38"/>
      <c r="R2424" s="38"/>
      <c r="S2424" s="38"/>
      <c r="T2424" s="38"/>
      <c r="U2424" s="38"/>
      <c r="V2424" s="38"/>
      <c r="W2424" s="38"/>
      <c r="X2424" s="38"/>
      <c r="Y2424" s="38"/>
      <c r="Z2424" s="38"/>
      <c r="AA2424" s="38"/>
      <c r="AB2424" s="38"/>
      <c r="AC2424" s="38"/>
      <c r="AD2424" s="38"/>
      <c r="AE2424" s="38"/>
      <c r="AF2424" s="38"/>
      <c r="AG2424" s="38"/>
      <c r="AH2424" s="38"/>
      <c r="AI2424" s="38"/>
      <c r="AJ2424" s="38"/>
      <c r="AK2424" s="38"/>
      <c r="AL2424" s="38"/>
      <c r="AM2424" s="38"/>
      <c r="AN2424" s="38"/>
      <c r="AO2424" s="38"/>
      <c r="AP2424" s="38"/>
      <c r="AQ2424" s="38"/>
      <c r="AR2424" s="38"/>
      <c r="AS2424" s="38"/>
      <c r="AT2424" s="38"/>
      <c r="AU2424" s="38"/>
      <c r="AV2424" s="38"/>
      <c r="AW2424" s="38"/>
      <c r="AX2424" s="38"/>
      <c r="AY2424" s="38"/>
      <c r="AZ2424" s="38"/>
      <c r="BA2424" s="38"/>
      <c r="BB2424" s="38"/>
      <c r="BC2424" s="38"/>
      <c r="BD2424" s="38"/>
      <c r="BE2424" s="38"/>
      <c r="BF2424" s="38"/>
      <c r="BG2424" s="38"/>
      <c r="BH2424" s="38"/>
      <c r="BI2424" s="38"/>
      <c r="BJ2424" s="38"/>
      <c r="BK2424" s="38"/>
      <c r="BL2424" s="38"/>
      <c r="BM2424" s="38"/>
      <c r="BN2424" s="38"/>
      <c r="BO2424" s="38"/>
      <c r="BP2424" s="38"/>
      <c r="BQ2424" s="38"/>
      <c r="BR2424" s="38"/>
      <c r="BS2424" s="38"/>
      <c r="BT2424" s="38"/>
      <c r="BU2424" s="38"/>
      <c r="BV2424" s="38"/>
      <c r="BW2424" s="38"/>
      <c r="BX2424" s="38"/>
      <c r="BY2424" s="38"/>
      <c r="BZ2424" s="38"/>
      <c r="CA2424" s="38"/>
      <c r="CB2424" s="38"/>
      <c r="CC2424" s="38"/>
      <c r="CD2424" s="38"/>
      <c r="CE2424" s="38"/>
      <c r="CF2424" s="38"/>
      <c r="CG2424" s="38"/>
      <c r="CH2424" s="38"/>
      <c r="CI2424" s="38"/>
      <c r="CJ2424" s="38"/>
      <c r="CK2424" s="38"/>
      <c r="CL2424" s="38"/>
      <c r="CM2424" s="38"/>
      <c r="CN2424" s="38"/>
      <c r="CO2424" s="38"/>
      <c r="CP2424" s="38"/>
      <c r="CQ2424" s="38"/>
      <c r="CR2424" s="38"/>
      <c r="CS2424" s="38"/>
      <c r="CT2424" s="38"/>
      <c r="CU2424" s="38"/>
      <c r="CV2424" s="38"/>
      <c r="CW2424" s="38"/>
      <c r="CX2424" s="38"/>
      <c r="CY2424" s="38"/>
      <c r="CZ2424" s="38"/>
      <c r="DA2424" s="38"/>
      <c r="DB2424" s="38"/>
      <c r="DC2424" s="38"/>
      <c r="DD2424" s="38"/>
      <c r="DE2424" s="38"/>
      <c r="DF2424" s="38"/>
      <c r="DG2424" s="38"/>
      <c r="DH2424" s="38"/>
      <c r="DI2424" s="38"/>
      <c r="DJ2424" s="38"/>
      <c r="DK2424" s="38"/>
      <c r="DL2424" s="38"/>
      <c r="DM2424" s="38"/>
      <c r="DN2424" s="38"/>
      <c r="DO2424" s="38"/>
      <c r="DP2424" s="38"/>
      <c r="DQ2424" s="38"/>
      <c r="DR2424" s="38"/>
      <c r="DS2424" s="38"/>
      <c r="DT2424" s="38"/>
      <c r="DU2424" s="38"/>
      <c r="DV2424" s="38"/>
      <c r="DW2424" s="38"/>
      <c r="DX2424" s="38"/>
      <c r="DY2424" s="38"/>
      <c r="DZ2424" s="38"/>
      <c r="EA2424" s="38"/>
      <c r="EB2424" s="38"/>
      <c r="EC2424" s="38"/>
      <c r="ED2424" s="38"/>
      <c r="EE2424" s="38"/>
      <c r="EF2424" s="38"/>
      <c r="EG2424" s="38"/>
      <c r="EH2424" s="38"/>
      <c r="EI2424" s="38"/>
      <c r="EJ2424" s="38"/>
      <c r="EK2424" s="38"/>
      <c r="EL2424" s="38"/>
      <c r="EM2424" s="38"/>
      <c r="EN2424" s="38"/>
      <c r="EO2424" s="38"/>
      <c r="EP2424" s="38"/>
      <c r="EQ2424" s="38"/>
      <c r="ER2424" s="38"/>
      <c r="ES2424" s="38"/>
      <c r="ET2424" s="38"/>
      <c r="EU2424" s="38"/>
      <c r="EV2424" s="38"/>
      <c r="EW2424" s="38"/>
      <c r="EX2424" s="38"/>
      <c r="EY2424" s="38"/>
      <c r="EZ2424" s="38"/>
      <c r="FA2424" s="38"/>
      <c r="FB2424" s="38"/>
      <c r="FC2424" s="38"/>
      <c r="FD2424" s="38"/>
      <c r="FE2424" s="38"/>
      <c r="FF2424" s="38"/>
      <c r="FG2424" s="38"/>
      <c r="FH2424" s="38"/>
      <c r="FI2424" s="38"/>
      <c r="FJ2424" s="38"/>
      <c r="FK2424" s="38"/>
      <c r="FL2424" s="38"/>
      <c r="FM2424" s="38"/>
      <c r="FN2424" s="38"/>
      <c r="FO2424" s="38"/>
      <c r="FP2424" s="38"/>
      <c r="FQ2424" s="38"/>
      <c r="FR2424" s="38"/>
      <c r="FS2424" s="38"/>
      <c r="FT2424" s="38"/>
      <c r="FU2424" s="38"/>
      <c r="FV2424" s="38"/>
      <c r="FW2424" s="38"/>
      <c r="FX2424" s="38"/>
      <c r="FY2424" s="38"/>
      <c r="FZ2424" s="38"/>
      <c r="GA2424" s="38"/>
      <c r="GB2424" s="38"/>
      <c r="GC2424" s="38"/>
      <c r="GD2424" s="38"/>
      <c r="GE2424" s="38"/>
      <c r="GF2424" s="38"/>
      <c r="GG2424" s="38"/>
      <c r="GH2424" s="38"/>
      <c r="GI2424" s="38"/>
      <c r="GJ2424" s="38"/>
      <c r="GK2424" s="38"/>
      <c r="GL2424" s="38"/>
      <c r="GM2424" s="38"/>
      <c r="GN2424" s="38"/>
      <c r="GO2424" s="38"/>
      <c r="GP2424" s="38"/>
      <c r="GQ2424" s="38"/>
      <c r="GR2424" s="38"/>
      <c r="GS2424" s="38"/>
      <c r="GT2424" s="38"/>
      <c r="GU2424" s="38"/>
      <c r="GV2424" s="38"/>
      <c r="GW2424" s="38"/>
      <c r="GX2424" s="38"/>
      <c r="GY2424" s="38"/>
      <c r="GZ2424" s="38"/>
      <c r="HA2424" s="38"/>
      <c r="HB2424" s="38"/>
      <c r="HC2424" s="38"/>
      <c r="HD2424" s="38"/>
      <c r="HE2424" s="38"/>
      <c r="HF2424" s="38"/>
      <c r="HG2424" s="38"/>
      <c r="HH2424" s="38"/>
      <c r="HI2424" s="38"/>
      <c r="HJ2424" s="38"/>
      <c r="HK2424" s="38"/>
      <c r="HL2424" s="38"/>
      <c r="HM2424" s="38"/>
      <c r="HN2424" s="38"/>
      <c r="HO2424" s="38"/>
      <c r="HP2424" s="38"/>
      <c r="HQ2424" s="38"/>
      <c r="HR2424" s="38"/>
      <c r="HS2424" s="38"/>
      <c r="HT2424" s="38"/>
      <c r="HU2424" s="38"/>
      <c r="HV2424" s="38"/>
      <c r="HW2424" s="38"/>
      <c r="HX2424" s="38"/>
      <c r="HY2424" s="38"/>
      <c r="HZ2424" s="38"/>
      <c r="IA2424" s="38"/>
      <c r="IB2424" s="38"/>
      <c r="IC2424" s="38"/>
      <c r="ID2424" s="38"/>
      <c r="IE2424" s="38"/>
      <c r="IF2424" s="38"/>
      <c r="IG2424" s="38"/>
      <c r="IH2424" s="38"/>
      <c r="II2424" s="38"/>
      <c r="IJ2424" s="38"/>
      <c r="IK2424" s="38"/>
      <c r="IL2424" s="38"/>
      <c r="IM2424" s="38"/>
      <c r="IN2424" s="38"/>
      <c r="IO2424" s="38"/>
      <c r="IP2424" s="38"/>
      <c r="IQ2424" s="38"/>
      <c r="IR2424" s="38"/>
      <c r="IS2424" s="38"/>
      <c r="IT2424" s="38"/>
      <c r="IU2424" s="38"/>
      <c r="IV2424" s="38"/>
      <c r="IW2424" s="38"/>
      <c r="IX2424" s="38"/>
      <c r="IY2424" s="38"/>
      <c r="IZ2424" s="38"/>
      <c r="JA2424" s="38"/>
      <c r="JB2424" s="38"/>
      <c r="JC2424" s="38"/>
      <c r="JD2424" s="38"/>
      <c r="JE2424" s="38"/>
      <c r="JF2424" s="38"/>
      <c r="JG2424" s="38"/>
      <c r="JH2424" s="38"/>
      <c r="JI2424" s="38"/>
      <c r="JJ2424" s="38"/>
      <c r="JK2424" s="38"/>
      <c r="JL2424" s="38"/>
      <c r="JM2424" s="38"/>
      <c r="JN2424" s="38"/>
      <c r="JO2424" s="38"/>
      <c r="JP2424" s="38"/>
      <c r="JQ2424" s="38"/>
      <c r="JR2424" s="38"/>
      <c r="JS2424" s="38"/>
      <c r="JT2424" s="38"/>
      <c r="JU2424" s="38"/>
      <c r="JV2424" s="38"/>
      <c r="JW2424" s="38"/>
      <c r="JX2424" s="38"/>
      <c r="JY2424" s="38"/>
      <c r="JZ2424" s="38"/>
      <c r="KA2424" s="38"/>
      <c r="KB2424" s="38"/>
      <c r="KC2424" s="38"/>
      <c r="KD2424" s="38"/>
      <c r="KE2424" s="38"/>
      <c r="KF2424" s="38"/>
      <c r="KG2424" s="38"/>
      <c r="KH2424" s="38"/>
      <c r="KI2424" s="38"/>
      <c r="KJ2424" s="38"/>
      <c r="KK2424" s="38"/>
      <c r="KL2424" s="38"/>
      <c r="KM2424" s="38"/>
      <c r="KN2424" s="38"/>
      <c r="KO2424" s="38"/>
      <c r="KP2424" s="38"/>
      <c r="KQ2424" s="38"/>
      <c r="KR2424" s="38"/>
      <c r="KS2424" s="38"/>
      <c r="KT2424" s="38"/>
      <c r="KU2424" s="38"/>
      <c r="KV2424" s="38"/>
      <c r="KW2424" s="38"/>
      <c r="KX2424" s="38"/>
      <c r="KY2424" s="38"/>
      <c r="KZ2424" s="38"/>
      <c r="LA2424" s="38"/>
      <c r="LB2424" s="38"/>
      <c r="LC2424" s="38"/>
      <c r="LD2424" s="38"/>
      <c r="LE2424" s="38"/>
      <c r="LF2424" s="38"/>
      <c r="LG2424" s="38"/>
      <c r="LH2424" s="38"/>
      <c r="LI2424" s="38"/>
      <c r="LJ2424" s="38"/>
      <c r="LK2424" s="38"/>
      <c r="LL2424" s="38"/>
      <c r="LM2424" s="38"/>
      <c r="LN2424" s="38"/>
      <c r="LO2424" s="38"/>
      <c r="LP2424" s="38"/>
      <c r="LQ2424" s="38"/>
      <c r="LR2424" s="38"/>
      <c r="LS2424" s="38"/>
      <c r="LT2424" s="38"/>
      <c r="LU2424" s="38"/>
      <c r="LV2424" s="38"/>
      <c r="LW2424" s="38"/>
      <c r="LX2424" s="38"/>
      <c r="LY2424" s="38"/>
      <c r="LZ2424" s="38"/>
      <c r="MA2424" s="38"/>
      <c r="MB2424" s="38"/>
      <c r="MC2424" s="38"/>
      <c r="MD2424" s="38"/>
      <c r="ME2424" s="38"/>
      <c r="MF2424" s="38"/>
      <c r="MG2424" s="38"/>
      <c r="MH2424" s="38"/>
      <c r="MI2424" s="38"/>
      <c r="MJ2424" s="38"/>
      <c r="MK2424" s="38"/>
      <c r="ML2424" s="38"/>
      <c r="MM2424" s="38"/>
      <c r="MN2424" s="38"/>
      <c r="MO2424" s="38"/>
      <c r="MP2424" s="38"/>
      <c r="MQ2424" s="38"/>
      <c r="MR2424" s="38"/>
      <c r="MS2424" s="38"/>
      <c r="MT2424" s="38"/>
      <c r="MU2424" s="38"/>
      <c r="MV2424" s="38"/>
      <c r="MW2424" s="38"/>
      <c r="MX2424" s="38"/>
      <c r="MY2424" s="38"/>
      <c r="MZ2424" s="38"/>
      <c r="NA2424" s="38"/>
      <c r="NB2424" s="38"/>
      <c r="NC2424" s="38"/>
      <c r="ND2424" s="38"/>
      <c r="NE2424" s="38"/>
      <c r="NF2424" s="38"/>
      <c r="NG2424" s="38"/>
      <c r="NH2424" s="38"/>
      <c r="NI2424" s="38"/>
      <c r="NJ2424" s="38"/>
      <c r="NK2424" s="38"/>
      <c r="NL2424" s="38"/>
      <c r="NM2424" s="38"/>
      <c r="NN2424" s="38"/>
      <c r="NO2424" s="38"/>
      <c r="NP2424" s="38"/>
      <c r="NQ2424" s="38"/>
      <c r="NR2424" s="38"/>
      <c r="NS2424" s="38"/>
      <c r="NT2424" s="38"/>
      <c r="NU2424" s="38"/>
      <c r="NV2424" s="38"/>
      <c r="NW2424" s="38"/>
      <c r="NX2424" s="38"/>
      <c r="NY2424" s="38"/>
      <c r="NZ2424" s="38"/>
      <c r="OA2424" s="38"/>
      <c r="OB2424" s="38"/>
      <c r="OC2424" s="38"/>
      <c r="OD2424" s="38"/>
      <c r="OE2424" s="38"/>
      <c r="OF2424" s="38"/>
      <c r="OG2424" s="38"/>
      <c r="OH2424" s="38"/>
      <c r="OI2424" s="38"/>
      <c r="OJ2424" s="38"/>
      <c r="OK2424" s="38"/>
      <c r="OL2424" s="38"/>
      <c r="OM2424" s="38"/>
      <c r="ON2424" s="38"/>
      <c r="OO2424" s="38"/>
      <c r="OP2424" s="38"/>
      <c r="OQ2424" s="38"/>
      <c r="OR2424" s="38"/>
      <c r="OS2424" s="38"/>
      <c r="OT2424" s="38"/>
      <c r="OU2424" s="38"/>
      <c r="OV2424" s="38"/>
      <c r="OW2424" s="38"/>
      <c r="OX2424" s="38"/>
      <c r="OY2424" s="38"/>
      <c r="OZ2424" s="38"/>
      <c r="PA2424" s="38"/>
      <c r="PB2424" s="38"/>
      <c r="PC2424" s="38"/>
      <c r="PD2424" s="38"/>
      <c r="PE2424" s="38"/>
      <c r="PF2424" s="38"/>
      <c r="PG2424" s="38"/>
      <c r="PH2424" s="38"/>
      <c r="PI2424" s="38"/>
      <c r="PJ2424" s="38"/>
      <c r="PK2424" s="38"/>
      <c r="PL2424" s="38"/>
      <c r="PM2424" s="38"/>
      <c r="PN2424" s="38"/>
      <c r="PO2424" s="38"/>
      <c r="PP2424" s="38"/>
      <c r="PQ2424" s="38"/>
      <c r="PR2424" s="38"/>
      <c r="PS2424" s="38"/>
      <c r="PT2424" s="38"/>
      <c r="PU2424" s="38"/>
      <c r="PV2424" s="38"/>
      <c r="PW2424" s="38"/>
      <c r="PX2424" s="38"/>
      <c r="PY2424" s="38"/>
      <c r="PZ2424" s="38"/>
      <c r="QA2424" s="38"/>
      <c r="QB2424" s="38"/>
      <c r="QC2424" s="38"/>
      <c r="QD2424" s="38"/>
      <c r="QE2424" s="38"/>
      <c r="QF2424" s="38"/>
      <c r="QG2424" s="38"/>
      <c r="QH2424" s="38"/>
      <c r="QI2424" s="38"/>
      <c r="QJ2424" s="38"/>
      <c r="QK2424" s="38"/>
      <c r="QL2424" s="38"/>
      <c r="QM2424" s="38"/>
      <c r="QN2424" s="38"/>
      <c r="QO2424" s="38"/>
      <c r="QP2424" s="38"/>
      <c r="QQ2424" s="38"/>
      <c r="QR2424" s="38"/>
      <c r="QS2424" s="38"/>
      <c r="QT2424" s="38"/>
      <c r="QU2424" s="38"/>
      <c r="QV2424" s="38"/>
      <c r="QW2424" s="38"/>
      <c r="QX2424" s="38"/>
      <c r="QY2424" s="38"/>
      <c r="QZ2424" s="38"/>
      <c r="RA2424" s="38"/>
      <c r="RB2424" s="38"/>
      <c r="RC2424" s="38"/>
      <c r="RD2424" s="38"/>
      <c r="RE2424" s="38"/>
      <c r="RF2424" s="38"/>
      <c r="RG2424" s="38"/>
      <c r="RH2424" s="38"/>
      <c r="RI2424" s="38"/>
      <c r="RJ2424" s="38"/>
      <c r="RK2424" s="38"/>
      <c r="RL2424" s="38"/>
      <c r="RM2424" s="38"/>
      <c r="RN2424" s="38"/>
      <c r="RO2424" s="38"/>
      <c r="RP2424" s="38"/>
      <c r="RQ2424" s="38"/>
      <c r="RR2424" s="38"/>
      <c r="RS2424" s="38"/>
      <c r="RT2424" s="38"/>
      <c r="RU2424" s="38"/>
      <c r="RV2424" s="38"/>
      <c r="RW2424" s="38"/>
      <c r="RX2424" s="38"/>
      <c r="RY2424" s="38"/>
      <c r="RZ2424" s="38"/>
      <c r="SA2424" s="38"/>
      <c r="SB2424" s="38"/>
      <c r="SC2424" s="38"/>
      <c r="SD2424" s="38"/>
      <c r="SE2424" s="38"/>
      <c r="SF2424" s="38"/>
      <c r="SG2424" s="38"/>
      <c r="SH2424" s="38"/>
      <c r="SI2424" s="38"/>
      <c r="SJ2424" s="38"/>
      <c r="SK2424" s="38"/>
      <c r="SL2424" s="38"/>
      <c r="SM2424" s="38"/>
      <c r="SN2424" s="38"/>
      <c r="SO2424" s="38"/>
      <c r="SP2424" s="38"/>
      <c r="SQ2424" s="38"/>
      <c r="SR2424" s="38"/>
      <c r="SS2424" s="38"/>
      <c r="ST2424" s="38"/>
      <c r="SU2424" s="38"/>
      <c r="SV2424" s="38"/>
      <c r="SW2424" s="38"/>
      <c r="SX2424" s="38"/>
      <c r="SY2424" s="38"/>
      <c r="SZ2424" s="38"/>
      <c r="TA2424" s="38"/>
      <c r="TB2424" s="38"/>
      <c r="TC2424" s="38"/>
      <c r="TD2424" s="38"/>
      <c r="TE2424" s="38"/>
      <c r="TF2424" s="38"/>
      <c r="TG2424" s="38"/>
      <c r="TH2424" s="38"/>
      <c r="TI2424" s="38"/>
      <c r="TJ2424" s="38"/>
      <c r="TK2424" s="38"/>
      <c r="TL2424" s="38"/>
      <c r="TM2424" s="38"/>
      <c r="TN2424" s="38"/>
      <c r="TO2424" s="38"/>
      <c r="TP2424" s="38"/>
      <c r="TQ2424" s="38"/>
      <c r="TR2424" s="38"/>
      <c r="TS2424" s="38"/>
      <c r="TT2424" s="38"/>
      <c r="TU2424" s="38"/>
      <c r="TV2424" s="38"/>
      <c r="TW2424" s="38"/>
      <c r="TX2424" s="38"/>
      <c r="TY2424" s="38"/>
      <c r="TZ2424" s="38"/>
      <c r="UA2424" s="38"/>
      <c r="UB2424" s="38"/>
      <c r="UC2424" s="38"/>
      <c r="UD2424" s="38"/>
      <c r="UE2424" s="38"/>
      <c r="UF2424" s="38"/>
      <c r="UG2424" s="38"/>
      <c r="UH2424" s="38"/>
      <c r="UI2424" s="38"/>
      <c r="UJ2424" s="38"/>
      <c r="UK2424" s="38"/>
      <c r="UL2424" s="38"/>
      <c r="UM2424" s="38"/>
      <c r="UN2424" s="38"/>
      <c r="UO2424" s="38"/>
      <c r="UP2424" s="38"/>
      <c r="UQ2424" s="38"/>
      <c r="UR2424" s="38"/>
      <c r="US2424" s="38"/>
      <c r="UT2424" s="38"/>
      <c r="UU2424" s="38"/>
      <c r="UV2424" s="38"/>
      <c r="UW2424" s="38"/>
      <c r="UX2424" s="38"/>
      <c r="UY2424" s="38"/>
      <c r="UZ2424" s="38"/>
      <c r="VA2424" s="38"/>
      <c r="VB2424" s="38"/>
      <c r="VC2424" s="38"/>
      <c r="VD2424" s="38"/>
      <c r="VE2424" s="38"/>
      <c r="VF2424" s="38"/>
      <c r="VG2424" s="38"/>
      <c r="VH2424" s="38"/>
      <c r="VI2424" s="38"/>
      <c r="VJ2424" s="38"/>
      <c r="VK2424" s="38"/>
      <c r="VL2424" s="38"/>
      <c r="VM2424" s="38"/>
      <c r="VN2424" s="38"/>
      <c r="VO2424" s="38"/>
      <c r="VP2424" s="38"/>
      <c r="VQ2424" s="38"/>
      <c r="VR2424" s="38"/>
      <c r="VS2424" s="38"/>
      <c r="VT2424" s="38"/>
      <c r="VU2424" s="38"/>
      <c r="VV2424" s="38"/>
      <c r="VW2424" s="38"/>
      <c r="VX2424" s="38"/>
      <c r="VY2424" s="38"/>
      <c r="VZ2424" s="38"/>
      <c r="WA2424" s="38"/>
      <c r="WB2424" s="38"/>
      <c r="WC2424" s="38"/>
      <c r="WD2424" s="38"/>
      <c r="WE2424" s="38"/>
      <c r="WF2424" s="38"/>
      <c r="WG2424" s="38"/>
      <c r="WH2424" s="38"/>
      <c r="WI2424" s="38"/>
      <c r="WJ2424" s="38"/>
      <c r="WK2424" s="38"/>
      <c r="WL2424" s="38"/>
      <c r="WM2424" s="38"/>
      <c r="WN2424" s="38"/>
      <c r="WO2424" s="38"/>
      <c r="WP2424" s="38"/>
      <c r="WQ2424" s="38"/>
      <c r="WR2424" s="38"/>
      <c r="WS2424" s="38"/>
      <c r="WT2424" s="38"/>
      <c r="WU2424" s="38"/>
      <c r="WV2424" s="38"/>
      <c r="WW2424" s="38"/>
      <c r="WX2424" s="38"/>
      <c r="WY2424" s="38"/>
      <c r="WZ2424" s="38"/>
      <c r="XA2424" s="38"/>
      <c r="XB2424" s="38"/>
      <c r="XC2424" s="38"/>
      <c r="XD2424" s="38"/>
      <c r="XE2424" s="38"/>
      <c r="XF2424" s="38"/>
      <c r="XG2424" s="38"/>
      <c r="XH2424" s="38"/>
      <c r="XI2424" s="38"/>
      <c r="XJ2424" s="38"/>
      <c r="XK2424" s="38"/>
      <c r="XL2424" s="38"/>
      <c r="XM2424" s="38"/>
      <c r="XN2424" s="38"/>
      <c r="XO2424" s="38"/>
      <c r="XP2424" s="38"/>
      <c r="XQ2424" s="38"/>
      <c r="XR2424" s="38"/>
      <c r="XS2424" s="38"/>
      <c r="XT2424" s="38"/>
      <c r="XU2424" s="38"/>
      <c r="XV2424" s="38"/>
      <c r="XW2424" s="38"/>
      <c r="XX2424" s="38"/>
      <c r="XY2424" s="38"/>
      <c r="XZ2424" s="38"/>
      <c r="YA2424" s="38"/>
      <c r="YB2424" s="38"/>
      <c r="YC2424" s="38"/>
      <c r="YD2424" s="38"/>
      <c r="YE2424" s="38"/>
      <c r="YF2424" s="38"/>
      <c r="YG2424" s="38"/>
      <c r="YH2424" s="38"/>
      <c r="YI2424" s="38"/>
      <c r="YJ2424" s="38"/>
      <c r="YK2424" s="38"/>
      <c r="YL2424" s="38"/>
      <c r="YM2424" s="38"/>
      <c r="YN2424" s="38"/>
      <c r="YO2424" s="38"/>
      <c r="YP2424" s="38"/>
      <c r="YQ2424" s="38"/>
      <c r="YR2424" s="38"/>
      <c r="YS2424" s="38"/>
      <c r="YT2424" s="38"/>
      <c r="YU2424" s="38"/>
      <c r="YV2424" s="38"/>
      <c r="YW2424" s="38"/>
      <c r="YX2424" s="38"/>
      <c r="YY2424" s="38"/>
      <c r="YZ2424" s="38"/>
      <c r="ZA2424" s="38"/>
      <c r="ZB2424" s="38"/>
      <c r="ZC2424" s="38"/>
      <c r="ZD2424" s="38"/>
      <c r="ZE2424" s="38"/>
      <c r="ZF2424" s="38"/>
      <c r="ZG2424" s="38"/>
      <c r="ZH2424" s="38"/>
      <c r="ZI2424" s="38"/>
      <c r="ZJ2424" s="38"/>
      <c r="ZK2424" s="38"/>
      <c r="ZL2424" s="38"/>
      <c r="ZM2424" s="38"/>
      <c r="ZN2424" s="38"/>
      <c r="ZO2424" s="38"/>
      <c r="ZP2424" s="38"/>
      <c r="ZQ2424" s="38"/>
      <c r="ZR2424" s="38"/>
      <c r="ZS2424" s="38"/>
      <c r="ZT2424" s="38"/>
      <c r="ZU2424" s="38"/>
      <c r="ZV2424" s="38"/>
      <c r="ZW2424" s="38"/>
      <c r="ZX2424" s="38"/>
      <c r="ZY2424" s="38"/>
      <c r="ZZ2424" s="38"/>
      <c r="AAA2424" s="38"/>
      <c r="AAB2424" s="38"/>
      <c r="AAC2424" s="38"/>
      <c r="AAD2424" s="38"/>
      <c r="AAE2424" s="38"/>
      <c r="AAF2424" s="38"/>
      <c r="AAG2424" s="38"/>
      <c r="AAH2424" s="38"/>
      <c r="AAI2424" s="38"/>
      <c r="AAJ2424" s="38"/>
      <c r="AAK2424" s="38"/>
      <c r="AAL2424" s="38"/>
      <c r="AAM2424" s="38"/>
      <c r="AAN2424" s="38"/>
      <c r="AAO2424" s="38"/>
      <c r="AAP2424" s="38"/>
      <c r="AAQ2424" s="38"/>
      <c r="AAR2424" s="38"/>
      <c r="AAS2424" s="38"/>
      <c r="AAT2424" s="38"/>
      <c r="AAU2424" s="38"/>
      <c r="AAV2424" s="38"/>
      <c r="AAW2424" s="38"/>
      <c r="AAX2424" s="38"/>
      <c r="AAY2424" s="38"/>
      <c r="AAZ2424" s="38"/>
      <c r="ABA2424" s="38"/>
      <c r="ABB2424" s="38"/>
      <c r="ABC2424" s="38"/>
      <c r="ABD2424" s="38"/>
      <c r="ABE2424" s="38"/>
      <c r="ABF2424" s="38"/>
      <c r="ABG2424" s="38"/>
      <c r="ABH2424" s="38"/>
      <c r="ABI2424" s="38"/>
      <c r="ABJ2424" s="38"/>
      <c r="ABK2424" s="38"/>
      <c r="ABL2424" s="38"/>
      <c r="ABM2424" s="38"/>
      <c r="ABN2424" s="38"/>
      <c r="ABO2424" s="38"/>
      <c r="ABP2424" s="38"/>
      <c r="ABQ2424" s="38"/>
      <c r="ABR2424" s="38"/>
      <c r="ABS2424" s="38"/>
      <c r="ABT2424" s="38"/>
      <c r="ABU2424" s="38"/>
      <c r="ABV2424" s="38"/>
      <c r="ABW2424" s="38"/>
      <c r="ABX2424" s="38"/>
      <c r="ABY2424" s="38"/>
      <c r="ABZ2424" s="38"/>
      <c r="ACA2424" s="38"/>
      <c r="ACB2424" s="38"/>
      <c r="ACC2424" s="38"/>
      <c r="ACD2424" s="38"/>
      <c r="ACE2424" s="38"/>
      <c r="ACF2424" s="38"/>
      <c r="ACG2424" s="38"/>
      <c r="ACH2424" s="38"/>
      <c r="ACI2424" s="38"/>
      <c r="ACJ2424" s="38"/>
      <c r="ACK2424" s="38"/>
      <c r="ACL2424" s="38"/>
      <c r="ACM2424" s="38"/>
      <c r="ACN2424" s="38"/>
      <c r="ACO2424" s="38"/>
      <c r="ACP2424" s="38"/>
      <c r="ACQ2424" s="38"/>
      <c r="ACR2424" s="38"/>
      <c r="ACS2424" s="38"/>
      <c r="ACT2424" s="38"/>
      <c r="ACU2424" s="38"/>
      <c r="ACV2424" s="38"/>
      <c r="ACW2424" s="38"/>
      <c r="ACX2424" s="38"/>
      <c r="ACY2424" s="38"/>
      <c r="ACZ2424" s="38"/>
      <c r="ADA2424" s="38"/>
      <c r="ADB2424" s="38"/>
      <c r="ADC2424" s="38"/>
      <c r="ADD2424" s="38"/>
      <c r="ADE2424" s="38"/>
      <c r="ADF2424" s="38"/>
      <c r="ADG2424" s="38"/>
      <c r="ADH2424" s="38"/>
      <c r="ADI2424" s="38"/>
      <c r="ADJ2424" s="38"/>
      <c r="ADK2424" s="38"/>
      <c r="ADL2424" s="38"/>
      <c r="ADM2424" s="38"/>
      <c r="ADN2424" s="38"/>
      <c r="ADO2424" s="38"/>
      <c r="ADP2424" s="38"/>
      <c r="ADQ2424" s="38"/>
      <c r="ADR2424" s="38"/>
      <c r="ADS2424" s="38"/>
      <c r="ADT2424" s="38"/>
      <c r="ADU2424" s="38"/>
      <c r="ADV2424" s="38"/>
      <c r="ADW2424" s="38"/>
      <c r="ADX2424" s="38"/>
      <c r="ADY2424" s="38"/>
      <c r="ADZ2424" s="38"/>
      <c r="AEA2424" s="38"/>
      <c r="AEB2424" s="38"/>
      <c r="AEC2424" s="38"/>
      <c r="AED2424" s="38"/>
      <c r="AEE2424" s="38"/>
      <c r="AEF2424" s="38"/>
      <c r="AEG2424" s="38"/>
      <c r="AEH2424" s="38"/>
      <c r="AEI2424" s="38"/>
      <c r="AEJ2424" s="38"/>
      <c r="AEK2424" s="38"/>
      <c r="AEL2424" s="38"/>
      <c r="AEM2424" s="38"/>
      <c r="AEN2424" s="38"/>
      <c r="AEO2424" s="38"/>
      <c r="AEP2424" s="38"/>
      <c r="AEQ2424" s="38"/>
      <c r="AER2424" s="38"/>
      <c r="AES2424" s="38"/>
      <c r="AET2424" s="38"/>
      <c r="AEU2424" s="38"/>
      <c r="AEV2424" s="38"/>
      <c r="AEW2424" s="38"/>
      <c r="AEX2424" s="38"/>
      <c r="AEY2424" s="38"/>
      <c r="AEZ2424" s="38"/>
      <c r="AFA2424" s="38"/>
      <c r="AFB2424" s="38"/>
      <c r="AFC2424" s="38"/>
      <c r="AFD2424" s="38"/>
      <c r="AFE2424" s="38"/>
      <c r="AFF2424" s="38"/>
      <c r="AFG2424" s="38"/>
      <c r="AFH2424" s="38"/>
      <c r="AFI2424" s="38"/>
      <c r="AFJ2424" s="38"/>
      <c r="AFK2424" s="38"/>
      <c r="AFL2424" s="38"/>
      <c r="AFM2424" s="38"/>
      <c r="AFN2424" s="38"/>
      <c r="AFO2424" s="38"/>
      <c r="AFP2424" s="38"/>
      <c r="AFQ2424" s="38"/>
      <c r="AFR2424" s="38"/>
      <c r="AFS2424" s="38"/>
      <c r="AFT2424" s="38"/>
      <c r="AFU2424" s="38"/>
      <c r="AFV2424" s="38"/>
      <c r="AFW2424" s="38"/>
      <c r="AFX2424" s="38"/>
      <c r="AFY2424" s="38"/>
      <c r="AFZ2424" s="38"/>
      <c r="AGA2424" s="38"/>
      <c r="AGB2424" s="38"/>
      <c r="AGC2424" s="38"/>
      <c r="AGD2424" s="38"/>
      <c r="AGE2424" s="38"/>
      <c r="AGF2424" s="38"/>
      <c r="AGG2424" s="38"/>
      <c r="AGH2424" s="38"/>
      <c r="AGI2424" s="38"/>
      <c r="AGJ2424" s="38"/>
      <c r="AGK2424" s="38"/>
      <c r="AGL2424" s="38"/>
      <c r="AGM2424" s="38"/>
      <c r="AGN2424" s="38"/>
      <c r="AGO2424" s="38"/>
      <c r="AGP2424" s="38"/>
      <c r="AGQ2424" s="38"/>
      <c r="AGR2424" s="38"/>
      <c r="AGS2424" s="38"/>
      <c r="AGT2424" s="38"/>
      <c r="AGU2424" s="38"/>
      <c r="AGV2424" s="38"/>
      <c r="AGW2424" s="38"/>
      <c r="AGX2424" s="38"/>
      <c r="AGY2424" s="38"/>
      <c r="AGZ2424" s="38"/>
      <c r="AHA2424" s="38"/>
      <c r="AHB2424" s="38"/>
      <c r="AHC2424" s="38"/>
      <c r="AHD2424" s="38"/>
      <c r="AHE2424" s="38"/>
      <c r="AHF2424" s="38"/>
      <c r="AHG2424" s="38"/>
      <c r="AHH2424" s="38"/>
      <c r="AHI2424" s="38"/>
      <c r="AHJ2424" s="38"/>
      <c r="AHK2424" s="38"/>
      <c r="AHL2424" s="38"/>
      <c r="AHM2424" s="38"/>
      <c r="AHN2424" s="38"/>
      <c r="AHO2424" s="38"/>
      <c r="AHP2424" s="38"/>
      <c r="AHQ2424" s="38"/>
      <c r="AHR2424" s="38"/>
      <c r="AHS2424" s="38"/>
      <c r="AHT2424" s="38"/>
      <c r="AHU2424" s="38"/>
      <c r="AHV2424" s="38"/>
      <c r="AHW2424" s="38"/>
      <c r="AHX2424" s="38"/>
      <c r="AHY2424" s="38"/>
      <c r="AHZ2424" s="38"/>
      <c r="AIA2424" s="38"/>
      <c r="AIB2424" s="38"/>
      <c r="AIC2424" s="38"/>
      <c r="AID2424" s="38"/>
      <c r="AIE2424" s="38"/>
      <c r="AIF2424" s="38"/>
      <c r="AIG2424" s="38"/>
      <c r="AIH2424" s="38"/>
      <c r="AII2424" s="38"/>
      <c r="AIJ2424" s="38"/>
      <c r="AIK2424" s="38"/>
      <c r="AIL2424" s="38"/>
      <c r="AIM2424" s="38"/>
      <c r="AIN2424" s="38"/>
      <c r="AIO2424" s="38"/>
      <c r="AIP2424" s="38"/>
      <c r="AIQ2424" s="38"/>
      <c r="AIR2424" s="38"/>
      <c r="AIS2424" s="38"/>
      <c r="AIT2424" s="38"/>
      <c r="AIU2424" s="38"/>
      <c r="AIV2424" s="38"/>
      <c r="AIW2424" s="38"/>
      <c r="AIX2424" s="38"/>
      <c r="AIY2424" s="38"/>
      <c r="AIZ2424" s="38"/>
      <c r="AJA2424" s="38"/>
      <c r="AJB2424" s="38"/>
      <c r="AJC2424" s="38"/>
      <c r="AJD2424" s="38"/>
      <c r="AJE2424" s="38"/>
      <c r="AJF2424" s="38"/>
      <c r="AJG2424" s="38"/>
      <c r="AJH2424" s="38"/>
      <c r="AJI2424" s="38"/>
      <c r="AJJ2424" s="38"/>
      <c r="AJK2424" s="38"/>
      <c r="AJL2424" s="38"/>
      <c r="AJM2424" s="38"/>
      <c r="AJN2424" s="38"/>
      <c r="AJO2424" s="38"/>
      <c r="AJP2424" s="38"/>
      <c r="AJQ2424" s="38"/>
      <c r="AJR2424" s="38"/>
      <c r="AJS2424" s="38"/>
      <c r="AJT2424" s="38"/>
      <c r="AJU2424" s="38"/>
      <c r="AJV2424" s="38"/>
      <c r="AJW2424" s="38"/>
      <c r="AJX2424" s="38"/>
      <c r="AJY2424" s="38"/>
      <c r="AJZ2424" s="38"/>
      <c r="AKA2424" s="38"/>
      <c r="AKB2424" s="38"/>
      <c r="AKC2424" s="38"/>
      <c r="AKD2424" s="38"/>
      <c r="AKE2424" s="38"/>
      <c r="AKF2424" s="38"/>
      <c r="AKG2424" s="38"/>
      <c r="AKH2424" s="38"/>
      <c r="AKI2424" s="38"/>
      <c r="AKJ2424" s="38"/>
      <c r="AKK2424" s="38"/>
      <c r="AKL2424" s="38"/>
      <c r="AKM2424" s="38"/>
      <c r="AKN2424" s="38"/>
      <c r="AKO2424" s="38"/>
      <c r="AKP2424" s="38"/>
      <c r="AKQ2424" s="38"/>
      <c r="AKR2424" s="38"/>
      <c r="AKS2424" s="38"/>
      <c r="AKT2424" s="38"/>
      <c r="AKU2424" s="38"/>
      <c r="AKV2424" s="38"/>
      <c r="AKW2424" s="38"/>
      <c r="AKX2424" s="38"/>
      <c r="AKY2424" s="38"/>
      <c r="AKZ2424" s="38"/>
      <c r="ALA2424" s="38"/>
      <c r="ALB2424" s="38"/>
      <c r="ALC2424" s="38"/>
      <c r="ALD2424" s="38"/>
      <c r="ALE2424" s="38"/>
      <c r="ALF2424" s="38"/>
      <c r="ALG2424" s="38"/>
      <c r="ALH2424" s="38"/>
      <c r="ALI2424" s="38"/>
      <c r="ALJ2424" s="38"/>
      <c r="ALK2424" s="38"/>
      <c r="ALL2424" s="38"/>
      <c r="ALM2424" s="38"/>
      <c r="ALN2424" s="38"/>
      <c r="ALO2424" s="38"/>
      <c r="ALP2424" s="38"/>
      <c r="ALQ2424" s="38"/>
      <c r="ALR2424" s="38"/>
      <c r="ALS2424" s="38"/>
      <c r="ALT2424" s="38"/>
      <c r="ALU2424" s="38"/>
      <c r="ALV2424" s="38"/>
      <c r="ALW2424" s="38"/>
      <c r="ALX2424" s="38"/>
      <c r="ALY2424" s="38"/>
      <c r="ALZ2424" s="38"/>
      <c r="AMA2424" s="38"/>
      <c r="AMB2424" s="38"/>
      <c r="AMC2424" s="38"/>
      <c r="AMD2424" s="38"/>
      <c r="AME2424" s="38"/>
      <c r="AMF2424" s="38"/>
      <c r="AMG2424" s="38"/>
      <c r="AMH2424" s="38"/>
      <c r="AMI2424" s="38"/>
      <c r="AMJ2424" s="38"/>
      <c r="AMK2424" s="38"/>
      <c r="AML2424" s="38"/>
      <c r="AMM2424" s="38"/>
      <c r="AMN2424" s="38"/>
      <c r="AMO2424" s="38"/>
      <c r="AMP2424" s="38"/>
      <c r="AMQ2424" s="38"/>
      <c r="AMR2424" s="38"/>
      <c r="AMS2424" s="38"/>
      <c r="AMT2424" s="38"/>
      <c r="AMU2424" s="38"/>
      <c r="AMV2424" s="38"/>
      <c r="AMW2424" s="38"/>
      <c r="AMX2424" s="38"/>
      <c r="AMY2424" s="38"/>
      <c r="AMZ2424" s="38"/>
      <c r="ANA2424" s="38"/>
      <c r="ANB2424" s="38"/>
      <c r="ANC2424" s="38"/>
      <c r="AND2424" s="38"/>
      <c r="ANE2424" s="38"/>
      <c r="ANF2424" s="38"/>
      <c r="ANG2424" s="38"/>
      <c r="ANH2424" s="38"/>
      <c r="ANI2424" s="38"/>
      <c r="ANJ2424" s="38"/>
      <c r="ANK2424" s="38"/>
      <c r="ANL2424" s="38"/>
      <c r="ANM2424" s="38"/>
      <c r="ANN2424" s="38"/>
      <c r="ANO2424" s="38"/>
      <c r="ANP2424" s="38"/>
      <c r="ANQ2424" s="38"/>
      <c r="ANR2424" s="38"/>
      <c r="ANS2424" s="38"/>
      <c r="ANT2424" s="38"/>
      <c r="ANU2424" s="38"/>
      <c r="ANV2424" s="38"/>
      <c r="ANW2424" s="38"/>
      <c r="ANX2424" s="38"/>
      <c r="ANY2424" s="38"/>
      <c r="ANZ2424" s="38"/>
      <c r="AOA2424" s="38"/>
      <c r="AOB2424" s="38"/>
      <c r="AOC2424" s="38"/>
      <c r="AOD2424" s="38"/>
      <c r="AOE2424" s="38"/>
      <c r="AOF2424" s="38"/>
      <c r="AOG2424" s="38"/>
      <c r="AOH2424" s="38"/>
      <c r="AOI2424" s="38"/>
      <c r="AOJ2424" s="38"/>
      <c r="AOK2424" s="38"/>
      <c r="AOL2424" s="38"/>
      <c r="AOM2424" s="38"/>
      <c r="AON2424" s="38"/>
      <c r="AOO2424" s="38"/>
      <c r="AOP2424" s="38"/>
      <c r="AOQ2424" s="38"/>
      <c r="AOR2424" s="38"/>
      <c r="AOS2424" s="38"/>
      <c r="AOT2424" s="38"/>
      <c r="AOU2424" s="38"/>
      <c r="AOV2424" s="38"/>
      <c r="AOW2424" s="38"/>
      <c r="AOX2424" s="38"/>
      <c r="AOY2424" s="38"/>
      <c r="AOZ2424" s="38"/>
      <c r="APA2424" s="38"/>
      <c r="APB2424" s="38"/>
      <c r="APC2424" s="38"/>
    </row>
    <row r="2425" spans="1:1095" s="36" customFormat="1" ht="14.25" customHeight="1">
      <c r="A2425" s="3" t="s">
        <v>1722</v>
      </c>
      <c r="B2425" s="36" t="s">
        <v>3171</v>
      </c>
      <c r="C2425" s="10">
        <v>4058075523098</v>
      </c>
      <c r="D2425" s="224">
        <v>4058075523098</v>
      </c>
      <c r="E2425" s="245" t="s">
        <v>3022</v>
      </c>
      <c r="F2425" s="246"/>
      <c r="G2425" s="66" t="str">
        <f>HYPERLINK("https://ledvance.com/pt/product-datasheet/6992/115000","Ficha de Produto")</f>
        <v>Ficha de Produto</v>
      </c>
      <c r="H2425" s="217">
        <v>6</v>
      </c>
      <c r="I2425" s="34" t="s">
        <v>6378</v>
      </c>
      <c r="J2425" s="34" t="s">
        <v>952</v>
      </c>
      <c r="K2425" s="34" t="s">
        <v>788</v>
      </c>
      <c r="L2425" s="34" t="s">
        <v>793</v>
      </c>
      <c r="M2425" s="247">
        <v>11.700000000000001</v>
      </c>
      <c r="N2425" s="288" t="s">
        <v>722</v>
      </c>
    </row>
    <row r="2426" spans="1:1095" s="36" customFormat="1" ht="14.25" customHeight="1">
      <c r="A2426" s="3" t="s">
        <v>1722</v>
      </c>
      <c r="B2426" s="36" t="s">
        <v>3023</v>
      </c>
      <c r="C2426" s="10">
        <v>4099854064722</v>
      </c>
      <c r="D2426" s="224">
        <v>4058075622722</v>
      </c>
      <c r="E2426" s="245" t="s">
        <v>3024</v>
      </c>
      <c r="F2426" s="246"/>
      <c r="G2426" s="66" t="str">
        <f>HYPERLINK("https://ledvance.com/pt/product-datasheet/251363/237830","Ficha de Produto")</f>
        <v>Ficha de Produto</v>
      </c>
      <c r="H2426" s="217">
        <v>20</v>
      </c>
      <c r="I2426" s="34" t="s">
        <v>6378</v>
      </c>
      <c r="J2426" s="34" t="s">
        <v>6424</v>
      </c>
      <c r="K2426" s="34" t="s">
        <v>788</v>
      </c>
      <c r="L2426" s="34" t="s">
        <v>6506</v>
      </c>
      <c r="M2426" s="247">
        <v>6.3000000000000007</v>
      </c>
      <c r="N2426" s="288" t="s">
        <v>722</v>
      </c>
    </row>
    <row r="2427" spans="1:1095" s="36" customFormat="1" ht="14.25" customHeight="1">
      <c r="A2427" s="3" t="s">
        <v>1722</v>
      </c>
      <c r="B2427" s="36" t="s">
        <v>3025</v>
      </c>
      <c r="C2427" s="10">
        <v>4099854064753</v>
      </c>
      <c r="D2427" s="224">
        <v>4058075622692</v>
      </c>
      <c r="E2427" s="245" t="s">
        <v>3026</v>
      </c>
      <c r="F2427" s="246"/>
      <c r="G2427" s="66" t="str">
        <f>HYPERLINK("https://ledvance.com/pt/product-datasheet/251363/237838","Ficha de Produto")</f>
        <v>Ficha de Produto</v>
      </c>
      <c r="H2427" s="217">
        <v>20</v>
      </c>
      <c r="I2427" s="34" t="s">
        <v>6388</v>
      </c>
      <c r="J2427" s="34" t="s">
        <v>6376</v>
      </c>
      <c r="K2427" s="34" t="s">
        <v>788</v>
      </c>
      <c r="L2427" s="34" t="s">
        <v>6506</v>
      </c>
      <c r="M2427" s="247">
        <v>7.5</v>
      </c>
      <c r="N2427" s="288" t="s">
        <v>722</v>
      </c>
    </row>
    <row r="2428" spans="1:1095" s="36" customFormat="1" ht="14.25" customHeight="1">
      <c r="A2428" s="3" t="s">
        <v>1722</v>
      </c>
      <c r="B2428" s="36" t="s">
        <v>3027</v>
      </c>
      <c r="C2428" s="10">
        <v>4099854048616</v>
      </c>
      <c r="D2428" s="224">
        <v>4058075622449</v>
      </c>
      <c r="E2428" s="245" t="s">
        <v>3028</v>
      </c>
      <c r="F2428" s="246"/>
      <c r="G2428" s="66" t="str">
        <f>HYPERLINK("https://ledvance.com/pt/product-datasheet/251363/236040","Ficha de Produto")</f>
        <v>Ficha de Produto</v>
      </c>
      <c r="H2428" s="217">
        <v>20</v>
      </c>
      <c r="I2428" s="34" t="s">
        <v>1033</v>
      </c>
      <c r="J2428" s="34" t="s">
        <v>6360</v>
      </c>
      <c r="K2428" s="34" t="s">
        <v>788</v>
      </c>
      <c r="L2428" s="34" t="s">
        <v>6506</v>
      </c>
      <c r="M2428" s="247">
        <v>9.2000000000000011</v>
      </c>
      <c r="N2428" s="288" t="s">
        <v>722</v>
      </c>
    </row>
    <row r="2429" spans="1:1095" s="36" customFormat="1" ht="14.25" customHeight="1">
      <c r="A2429" s="3" t="s">
        <v>1722</v>
      </c>
      <c r="B2429" s="36" t="s">
        <v>3029</v>
      </c>
      <c r="C2429" s="10">
        <v>4099854048470</v>
      </c>
      <c r="D2429" s="224">
        <v>4058075622418</v>
      </c>
      <c r="E2429" s="245" t="s">
        <v>3030</v>
      </c>
      <c r="F2429" s="246"/>
      <c r="G2429" s="66" t="str">
        <f>HYPERLINK("https://ledvance.com/pt/product-datasheet/251363/236015","Ficha de Produto")</f>
        <v>Ficha de Produto</v>
      </c>
      <c r="H2429" s="217">
        <v>20</v>
      </c>
      <c r="I2429" s="34" t="s">
        <v>1033</v>
      </c>
      <c r="J2429" s="34" t="s">
        <v>6360</v>
      </c>
      <c r="K2429" s="34" t="s">
        <v>788</v>
      </c>
      <c r="L2429" s="34" t="s">
        <v>6506</v>
      </c>
      <c r="M2429" s="247">
        <v>9</v>
      </c>
      <c r="N2429" s="288" t="s">
        <v>722</v>
      </c>
    </row>
    <row r="2430" spans="1:1095" s="36" customFormat="1" ht="14.25" customHeight="1">
      <c r="A2430" s="3" t="s">
        <v>1722</v>
      </c>
      <c r="B2430" s="36" t="s">
        <v>3031</v>
      </c>
      <c r="C2430" s="10">
        <v>4099854064692</v>
      </c>
      <c r="D2430" s="224">
        <v>4058075622357</v>
      </c>
      <c r="E2430" s="245" t="s">
        <v>3032</v>
      </c>
      <c r="F2430" s="246"/>
      <c r="G2430" s="66" t="str">
        <f>HYPERLINK("https://ledvance.com/pt/product-datasheet/251363/237822","Ficha de Produto")</f>
        <v>Ficha de Produto</v>
      </c>
      <c r="H2430" s="217">
        <v>20</v>
      </c>
      <c r="I2430" s="34" t="s">
        <v>6354</v>
      </c>
      <c r="J2430" s="34" t="s">
        <v>855</v>
      </c>
      <c r="K2430" s="34" t="s">
        <v>788</v>
      </c>
      <c r="L2430" s="34" t="s">
        <v>6506</v>
      </c>
      <c r="M2430" s="247">
        <v>10.8</v>
      </c>
      <c r="N2430" s="288" t="s">
        <v>722</v>
      </c>
    </row>
    <row r="2431" spans="1:1095" s="39" customFormat="1" ht="14.25" customHeight="1">
      <c r="A2431" s="8" t="s">
        <v>1722</v>
      </c>
      <c r="B2431" s="244" t="s">
        <v>3033</v>
      </c>
      <c r="C2431" s="8"/>
      <c r="D2431" s="7"/>
      <c r="E2431" s="230"/>
      <c r="F2431" s="7"/>
      <c r="G2431" s="68" t="s">
        <v>6505</v>
      </c>
      <c r="H2431" s="230"/>
      <c r="I2431" s="230"/>
      <c r="J2431" s="230"/>
      <c r="K2431" s="230"/>
      <c r="L2431" s="230"/>
      <c r="M2431" s="248"/>
      <c r="N2431" s="289"/>
      <c r="O2431" s="38"/>
      <c r="P2431" s="38"/>
      <c r="Q2431" s="38"/>
      <c r="R2431" s="38"/>
      <c r="S2431" s="38"/>
      <c r="T2431" s="38"/>
      <c r="U2431" s="38"/>
      <c r="V2431" s="38"/>
      <c r="W2431" s="38"/>
      <c r="X2431" s="38"/>
      <c r="Y2431" s="38"/>
      <c r="Z2431" s="38"/>
      <c r="AA2431" s="38"/>
      <c r="AB2431" s="38"/>
      <c r="AC2431" s="38"/>
      <c r="AD2431" s="38"/>
      <c r="AE2431" s="38"/>
      <c r="AF2431" s="38"/>
      <c r="AG2431" s="38"/>
      <c r="AH2431" s="38"/>
      <c r="AI2431" s="38"/>
      <c r="AJ2431" s="38"/>
      <c r="AK2431" s="38"/>
      <c r="AL2431" s="38"/>
      <c r="AM2431" s="38"/>
      <c r="AN2431" s="38"/>
      <c r="AO2431" s="38"/>
      <c r="AP2431" s="38"/>
      <c r="AQ2431" s="38"/>
      <c r="AR2431" s="38"/>
      <c r="AS2431" s="38"/>
      <c r="AT2431" s="38"/>
      <c r="AU2431" s="38"/>
      <c r="AV2431" s="38"/>
      <c r="AW2431" s="38"/>
      <c r="AX2431" s="38"/>
      <c r="AY2431" s="38"/>
      <c r="AZ2431" s="38"/>
      <c r="BA2431" s="38"/>
      <c r="BB2431" s="38"/>
      <c r="BC2431" s="38"/>
      <c r="BD2431" s="38"/>
      <c r="BE2431" s="38"/>
      <c r="BF2431" s="38"/>
      <c r="BG2431" s="38"/>
      <c r="BH2431" s="38"/>
      <c r="BI2431" s="38"/>
      <c r="BJ2431" s="38"/>
      <c r="BK2431" s="38"/>
      <c r="BL2431" s="38"/>
      <c r="BM2431" s="38"/>
      <c r="BN2431" s="38"/>
      <c r="BO2431" s="38"/>
      <c r="BP2431" s="38"/>
      <c r="BQ2431" s="38"/>
      <c r="BR2431" s="38"/>
      <c r="BS2431" s="38"/>
      <c r="BT2431" s="38"/>
      <c r="BU2431" s="38"/>
      <c r="BV2431" s="38"/>
      <c r="BW2431" s="38"/>
      <c r="BX2431" s="38"/>
      <c r="BY2431" s="38"/>
      <c r="BZ2431" s="38"/>
      <c r="CA2431" s="38"/>
      <c r="CB2431" s="38"/>
      <c r="CC2431" s="38"/>
      <c r="CD2431" s="38"/>
      <c r="CE2431" s="38"/>
      <c r="CF2431" s="38"/>
      <c r="CG2431" s="38"/>
      <c r="CH2431" s="38"/>
      <c r="CI2431" s="38"/>
      <c r="CJ2431" s="38"/>
      <c r="CK2431" s="38"/>
      <c r="CL2431" s="38"/>
      <c r="CM2431" s="38"/>
      <c r="CN2431" s="38"/>
      <c r="CO2431" s="38"/>
      <c r="CP2431" s="38"/>
      <c r="CQ2431" s="38"/>
      <c r="CR2431" s="38"/>
      <c r="CS2431" s="38"/>
      <c r="CT2431" s="38"/>
      <c r="CU2431" s="38"/>
      <c r="CV2431" s="38"/>
      <c r="CW2431" s="38"/>
      <c r="CX2431" s="38"/>
      <c r="CY2431" s="38"/>
      <c r="CZ2431" s="38"/>
      <c r="DA2431" s="38"/>
      <c r="DB2431" s="38"/>
      <c r="DC2431" s="38"/>
      <c r="DD2431" s="38"/>
      <c r="DE2431" s="38"/>
      <c r="DF2431" s="38"/>
      <c r="DG2431" s="38"/>
      <c r="DH2431" s="38"/>
      <c r="DI2431" s="38"/>
      <c r="DJ2431" s="38"/>
      <c r="DK2431" s="38"/>
      <c r="DL2431" s="38"/>
      <c r="DM2431" s="38"/>
      <c r="DN2431" s="38"/>
      <c r="DO2431" s="38"/>
      <c r="DP2431" s="38"/>
      <c r="DQ2431" s="38"/>
      <c r="DR2431" s="38"/>
      <c r="DS2431" s="38"/>
      <c r="DT2431" s="38"/>
      <c r="DU2431" s="38"/>
      <c r="DV2431" s="38"/>
      <c r="DW2431" s="38"/>
      <c r="DX2431" s="38"/>
      <c r="DY2431" s="38"/>
      <c r="DZ2431" s="38"/>
      <c r="EA2431" s="38"/>
      <c r="EB2431" s="38"/>
      <c r="EC2431" s="38"/>
      <c r="ED2431" s="38"/>
      <c r="EE2431" s="38"/>
      <c r="EF2431" s="38"/>
      <c r="EG2431" s="38"/>
      <c r="EH2431" s="38"/>
      <c r="EI2431" s="38"/>
      <c r="EJ2431" s="38"/>
      <c r="EK2431" s="38"/>
      <c r="EL2431" s="38"/>
      <c r="EM2431" s="38"/>
      <c r="EN2431" s="38"/>
      <c r="EO2431" s="38"/>
      <c r="EP2431" s="38"/>
      <c r="EQ2431" s="38"/>
      <c r="ER2431" s="38"/>
      <c r="ES2431" s="38"/>
      <c r="ET2431" s="38"/>
      <c r="EU2431" s="38"/>
      <c r="EV2431" s="38"/>
      <c r="EW2431" s="38"/>
      <c r="EX2431" s="38"/>
      <c r="EY2431" s="38"/>
      <c r="EZ2431" s="38"/>
      <c r="FA2431" s="38"/>
      <c r="FB2431" s="38"/>
      <c r="FC2431" s="38"/>
      <c r="FD2431" s="38"/>
      <c r="FE2431" s="38"/>
      <c r="FF2431" s="38"/>
      <c r="FG2431" s="38"/>
      <c r="FH2431" s="38"/>
      <c r="FI2431" s="38"/>
      <c r="FJ2431" s="38"/>
      <c r="FK2431" s="38"/>
      <c r="FL2431" s="38"/>
      <c r="FM2431" s="38"/>
      <c r="FN2431" s="38"/>
      <c r="FO2431" s="38"/>
      <c r="FP2431" s="38"/>
      <c r="FQ2431" s="38"/>
      <c r="FR2431" s="38"/>
      <c r="FS2431" s="38"/>
      <c r="FT2431" s="38"/>
      <c r="FU2431" s="38"/>
      <c r="FV2431" s="38"/>
      <c r="FW2431" s="38"/>
      <c r="FX2431" s="38"/>
      <c r="FY2431" s="38"/>
      <c r="FZ2431" s="38"/>
      <c r="GA2431" s="38"/>
      <c r="GB2431" s="38"/>
      <c r="GC2431" s="38"/>
      <c r="GD2431" s="38"/>
      <c r="GE2431" s="38"/>
      <c r="GF2431" s="38"/>
      <c r="GG2431" s="38"/>
      <c r="GH2431" s="38"/>
      <c r="GI2431" s="38"/>
      <c r="GJ2431" s="38"/>
      <c r="GK2431" s="38"/>
      <c r="GL2431" s="38"/>
      <c r="GM2431" s="38"/>
      <c r="GN2431" s="38"/>
      <c r="GO2431" s="38"/>
      <c r="GP2431" s="38"/>
      <c r="GQ2431" s="38"/>
      <c r="GR2431" s="38"/>
      <c r="GS2431" s="38"/>
      <c r="GT2431" s="38"/>
      <c r="GU2431" s="38"/>
      <c r="GV2431" s="38"/>
      <c r="GW2431" s="38"/>
      <c r="GX2431" s="38"/>
      <c r="GY2431" s="38"/>
      <c r="GZ2431" s="38"/>
      <c r="HA2431" s="38"/>
      <c r="HB2431" s="38"/>
      <c r="HC2431" s="38"/>
      <c r="HD2431" s="38"/>
      <c r="HE2431" s="38"/>
      <c r="HF2431" s="38"/>
      <c r="HG2431" s="38"/>
      <c r="HH2431" s="38"/>
      <c r="HI2431" s="38"/>
      <c r="HJ2431" s="38"/>
      <c r="HK2431" s="38"/>
      <c r="HL2431" s="38"/>
      <c r="HM2431" s="38"/>
      <c r="HN2431" s="38"/>
      <c r="HO2431" s="38"/>
      <c r="HP2431" s="38"/>
      <c r="HQ2431" s="38"/>
      <c r="HR2431" s="38"/>
      <c r="HS2431" s="38"/>
      <c r="HT2431" s="38"/>
      <c r="HU2431" s="38"/>
      <c r="HV2431" s="38"/>
      <c r="HW2431" s="38"/>
      <c r="HX2431" s="38"/>
      <c r="HY2431" s="38"/>
      <c r="HZ2431" s="38"/>
      <c r="IA2431" s="38"/>
      <c r="IB2431" s="38"/>
      <c r="IC2431" s="38"/>
      <c r="ID2431" s="38"/>
      <c r="IE2431" s="38"/>
      <c r="IF2431" s="38"/>
      <c r="IG2431" s="38"/>
      <c r="IH2431" s="38"/>
      <c r="II2431" s="38"/>
      <c r="IJ2431" s="38"/>
      <c r="IK2431" s="38"/>
      <c r="IL2431" s="38"/>
      <c r="IM2431" s="38"/>
      <c r="IN2431" s="38"/>
      <c r="IO2431" s="38"/>
      <c r="IP2431" s="38"/>
      <c r="IQ2431" s="38"/>
      <c r="IR2431" s="38"/>
      <c r="IS2431" s="38"/>
      <c r="IT2431" s="38"/>
      <c r="IU2431" s="38"/>
      <c r="IV2431" s="38"/>
      <c r="IW2431" s="38"/>
      <c r="IX2431" s="38"/>
      <c r="IY2431" s="38"/>
      <c r="IZ2431" s="38"/>
      <c r="JA2431" s="38"/>
      <c r="JB2431" s="38"/>
      <c r="JC2431" s="38"/>
      <c r="JD2431" s="38"/>
      <c r="JE2431" s="38"/>
      <c r="JF2431" s="38"/>
      <c r="JG2431" s="38"/>
      <c r="JH2431" s="38"/>
      <c r="JI2431" s="38"/>
      <c r="JJ2431" s="38"/>
      <c r="JK2431" s="38"/>
      <c r="JL2431" s="38"/>
      <c r="JM2431" s="38"/>
      <c r="JN2431" s="38"/>
      <c r="JO2431" s="38"/>
      <c r="JP2431" s="38"/>
      <c r="JQ2431" s="38"/>
      <c r="JR2431" s="38"/>
      <c r="JS2431" s="38"/>
      <c r="JT2431" s="38"/>
      <c r="JU2431" s="38"/>
      <c r="JV2431" s="38"/>
      <c r="JW2431" s="38"/>
      <c r="JX2431" s="38"/>
      <c r="JY2431" s="38"/>
      <c r="JZ2431" s="38"/>
      <c r="KA2431" s="38"/>
      <c r="KB2431" s="38"/>
      <c r="KC2431" s="38"/>
      <c r="KD2431" s="38"/>
      <c r="KE2431" s="38"/>
      <c r="KF2431" s="38"/>
      <c r="KG2431" s="38"/>
      <c r="KH2431" s="38"/>
      <c r="KI2431" s="38"/>
      <c r="KJ2431" s="38"/>
      <c r="KK2431" s="38"/>
      <c r="KL2431" s="38"/>
      <c r="KM2431" s="38"/>
      <c r="KN2431" s="38"/>
      <c r="KO2431" s="38"/>
      <c r="KP2431" s="38"/>
      <c r="KQ2431" s="38"/>
      <c r="KR2431" s="38"/>
      <c r="KS2431" s="38"/>
      <c r="KT2431" s="38"/>
      <c r="KU2431" s="38"/>
      <c r="KV2431" s="38"/>
      <c r="KW2431" s="38"/>
      <c r="KX2431" s="38"/>
      <c r="KY2431" s="38"/>
      <c r="KZ2431" s="38"/>
      <c r="LA2431" s="38"/>
      <c r="LB2431" s="38"/>
      <c r="LC2431" s="38"/>
      <c r="LD2431" s="38"/>
      <c r="LE2431" s="38"/>
      <c r="LF2431" s="38"/>
      <c r="LG2431" s="38"/>
      <c r="LH2431" s="38"/>
      <c r="LI2431" s="38"/>
      <c r="LJ2431" s="38"/>
      <c r="LK2431" s="38"/>
      <c r="LL2431" s="38"/>
      <c r="LM2431" s="38"/>
      <c r="LN2431" s="38"/>
      <c r="LO2431" s="38"/>
      <c r="LP2431" s="38"/>
      <c r="LQ2431" s="38"/>
      <c r="LR2431" s="38"/>
      <c r="LS2431" s="38"/>
      <c r="LT2431" s="38"/>
      <c r="LU2431" s="38"/>
      <c r="LV2431" s="38"/>
      <c r="LW2431" s="38"/>
      <c r="LX2431" s="38"/>
      <c r="LY2431" s="38"/>
      <c r="LZ2431" s="38"/>
      <c r="MA2431" s="38"/>
      <c r="MB2431" s="38"/>
      <c r="MC2431" s="38"/>
      <c r="MD2431" s="38"/>
      <c r="ME2431" s="38"/>
      <c r="MF2431" s="38"/>
      <c r="MG2431" s="38"/>
      <c r="MH2431" s="38"/>
      <c r="MI2431" s="38"/>
      <c r="MJ2431" s="38"/>
      <c r="MK2431" s="38"/>
      <c r="ML2431" s="38"/>
      <c r="MM2431" s="38"/>
      <c r="MN2431" s="38"/>
      <c r="MO2431" s="38"/>
      <c r="MP2431" s="38"/>
      <c r="MQ2431" s="38"/>
      <c r="MR2431" s="38"/>
      <c r="MS2431" s="38"/>
      <c r="MT2431" s="38"/>
      <c r="MU2431" s="38"/>
      <c r="MV2431" s="38"/>
      <c r="MW2431" s="38"/>
      <c r="MX2431" s="38"/>
      <c r="MY2431" s="38"/>
      <c r="MZ2431" s="38"/>
      <c r="NA2431" s="38"/>
      <c r="NB2431" s="38"/>
      <c r="NC2431" s="38"/>
      <c r="ND2431" s="38"/>
      <c r="NE2431" s="38"/>
      <c r="NF2431" s="38"/>
      <c r="NG2431" s="38"/>
      <c r="NH2431" s="38"/>
      <c r="NI2431" s="38"/>
      <c r="NJ2431" s="38"/>
      <c r="NK2431" s="38"/>
      <c r="NL2431" s="38"/>
      <c r="NM2431" s="38"/>
      <c r="NN2431" s="38"/>
      <c r="NO2431" s="38"/>
      <c r="NP2431" s="38"/>
      <c r="NQ2431" s="38"/>
      <c r="NR2431" s="38"/>
      <c r="NS2431" s="38"/>
      <c r="NT2431" s="38"/>
      <c r="NU2431" s="38"/>
      <c r="NV2431" s="38"/>
      <c r="NW2431" s="38"/>
      <c r="NX2431" s="38"/>
      <c r="NY2431" s="38"/>
      <c r="NZ2431" s="38"/>
      <c r="OA2431" s="38"/>
      <c r="OB2431" s="38"/>
      <c r="OC2431" s="38"/>
      <c r="OD2431" s="38"/>
      <c r="OE2431" s="38"/>
      <c r="OF2431" s="38"/>
      <c r="OG2431" s="38"/>
      <c r="OH2431" s="38"/>
      <c r="OI2431" s="38"/>
      <c r="OJ2431" s="38"/>
      <c r="OK2431" s="38"/>
      <c r="OL2431" s="38"/>
      <c r="OM2431" s="38"/>
      <c r="ON2431" s="38"/>
      <c r="OO2431" s="38"/>
      <c r="OP2431" s="38"/>
      <c r="OQ2431" s="38"/>
      <c r="OR2431" s="38"/>
      <c r="OS2431" s="38"/>
      <c r="OT2431" s="38"/>
      <c r="OU2431" s="38"/>
      <c r="OV2431" s="38"/>
      <c r="OW2431" s="38"/>
      <c r="OX2431" s="38"/>
      <c r="OY2431" s="38"/>
      <c r="OZ2431" s="38"/>
      <c r="PA2431" s="38"/>
      <c r="PB2431" s="38"/>
      <c r="PC2431" s="38"/>
      <c r="PD2431" s="38"/>
      <c r="PE2431" s="38"/>
      <c r="PF2431" s="38"/>
      <c r="PG2431" s="38"/>
      <c r="PH2431" s="38"/>
      <c r="PI2431" s="38"/>
      <c r="PJ2431" s="38"/>
      <c r="PK2431" s="38"/>
      <c r="PL2431" s="38"/>
      <c r="PM2431" s="38"/>
      <c r="PN2431" s="38"/>
      <c r="PO2431" s="38"/>
      <c r="PP2431" s="38"/>
      <c r="PQ2431" s="38"/>
      <c r="PR2431" s="38"/>
      <c r="PS2431" s="38"/>
      <c r="PT2431" s="38"/>
      <c r="PU2431" s="38"/>
      <c r="PV2431" s="38"/>
      <c r="PW2431" s="38"/>
      <c r="PX2431" s="38"/>
      <c r="PY2431" s="38"/>
      <c r="PZ2431" s="38"/>
      <c r="QA2431" s="38"/>
      <c r="QB2431" s="38"/>
      <c r="QC2431" s="38"/>
      <c r="QD2431" s="38"/>
      <c r="QE2431" s="38"/>
      <c r="QF2431" s="38"/>
      <c r="QG2431" s="38"/>
      <c r="QH2431" s="38"/>
      <c r="QI2431" s="38"/>
      <c r="QJ2431" s="38"/>
      <c r="QK2431" s="38"/>
      <c r="QL2431" s="38"/>
      <c r="QM2431" s="38"/>
      <c r="QN2431" s="38"/>
      <c r="QO2431" s="38"/>
      <c r="QP2431" s="38"/>
      <c r="QQ2431" s="38"/>
      <c r="QR2431" s="38"/>
      <c r="QS2431" s="38"/>
      <c r="QT2431" s="38"/>
      <c r="QU2431" s="38"/>
      <c r="QV2431" s="38"/>
      <c r="QW2431" s="38"/>
      <c r="QX2431" s="38"/>
      <c r="QY2431" s="38"/>
      <c r="QZ2431" s="38"/>
      <c r="RA2431" s="38"/>
      <c r="RB2431" s="38"/>
      <c r="RC2431" s="38"/>
      <c r="RD2431" s="38"/>
      <c r="RE2431" s="38"/>
      <c r="RF2431" s="38"/>
      <c r="RG2431" s="38"/>
      <c r="RH2431" s="38"/>
      <c r="RI2431" s="38"/>
      <c r="RJ2431" s="38"/>
      <c r="RK2431" s="38"/>
      <c r="RL2431" s="38"/>
      <c r="RM2431" s="38"/>
      <c r="RN2431" s="38"/>
      <c r="RO2431" s="38"/>
      <c r="RP2431" s="38"/>
      <c r="RQ2431" s="38"/>
      <c r="RR2431" s="38"/>
      <c r="RS2431" s="38"/>
      <c r="RT2431" s="38"/>
      <c r="RU2431" s="38"/>
      <c r="RV2431" s="38"/>
      <c r="RW2431" s="38"/>
      <c r="RX2431" s="38"/>
      <c r="RY2431" s="38"/>
      <c r="RZ2431" s="38"/>
      <c r="SA2431" s="38"/>
      <c r="SB2431" s="38"/>
      <c r="SC2431" s="38"/>
      <c r="SD2431" s="38"/>
      <c r="SE2431" s="38"/>
      <c r="SF2431" s="38"/>
      <c r="SG2431" s="38"/>
      <c r="SH2431" s="38"/>
      <c r="SI2431" s="38"/>
      <c r="SJ2431" s="38"/>
      <c r="SK2431" s="38"/>
      <c r="SL2431" s="38"/>
      <c r="SM2431" s="38"/>
      <c r="SN2431" s="38"/>
      <c r="SO2431" s="38"/>
      <c r="SP2431" s="38"/>
      <c r="SQ2431" s="38"/>
      <c r="SR2431" s="38"/>
      <c r="SS2431" s="38"/>
      <c r="ST2431" s="38"/>
      <c r="SU2431" s="38"/>
      <c r="SV2431" s="38"/>
      <c r="SW2431" s="38"/>
      <c r="SX2431" s="38"/>
      <c r="SY2431" s="38"/>
      <c r="SZ2431" s="38"/>
      <c r="TA2431" s="38"/>
      <c r="TB2431" s="38"/>
      <c r="TC2431" s="38"/>
      <c r="TD2431" s="38"/>
      <c r="TE2431" s="38"/>
      <c r="TF2431" s="38"/>
      <c r="TG2431" s="38"/>
      <c r="TH2431" s="38"/>
      <c r="TI2431" s="38"/>
      <c r="TJ2431" s="38"/>
      <c r="TK2431" s="38"/>
      <c r="TL2431" s="38"/>
      <c r="TM2431" s="38"/>
      <c r="TN2431" s="38"/>
      <c r="TO2431" s="38"/>
      <c r="TP2431" s="38"/>
      <c r="TQ2431" s="38"/>
      <c r="TR2431" s="38"/>
      <c r="TS2431" s="38"/>
      <c r="TT2431" s="38"/>
      <c r="TU2431" s="38"/>
      <c r="TV2431" s="38"/>
      <c r="TW2431" s="38"/>
      <c r="TX2431" s="38"/>
      <c r="TY2431" s="38"/>
      <c r="TZ2431" s="38"/>
      <c r="UA2431" s="38"/>
      <c r="UB2431" s="38"/>
      <c r="UC2431" s="38"/>
      <c r="UD2431" s="38"/>
      <c r="UE2431" s="38"/>
      <c r="UF2431" s="38"/>
      <c r="UG2431" s="38"/>
      <c r="UH2431" s="38"/>
      <c r="UI2431" s="38"/>
      <c r="UJ2431" s="38"/>
      <c r="UK2431" s="38"/>
      <c r="UL2431" s="38"/>
      <c r="UM2431" s="38"/>
      <c r="UN2431" s="38"/>
      <c r="UO2431" s="38"/>
      <c r="UP2431" s="38"/>
      <c r="UQ2431" s="38"/>
      <c r="UR2431" s="38"/>
      <c r="US2431" s="38"/>
      <c r="UT2431" s="38"/>
      <c r="UU2431" s="38"/>
      <c r="UV2431" s="38"/>
      <c r="UW2431" s="38"/>
      <c r="UX2431" s="38"/>
      <c r="UY2431" s="38"/>
      <c r="UZ2431" s="38"/>
      <c r="VA2431" s="38"/>
      <c r="VB2431" s="38"/>
      <c r="VC2431" s="38"/>
      <c r="VD2431" s="38"/>
      <c r="VE2431" s="38"/>
      <c r="VF2431" s="38"/>
      <c r="VG2431" s="38"/>
      <c r="VH2431" s="38"/>
      <c r="VI2431" s="38"/>
      <c r="VJ2431" s="38"/>
      <c r="VK2431" s="38"/>
      <c r="VL2431" s="38"/>
      <c r="VM2431" s="38"/>
      <c r="VN2431" s="38"/>
      <c r="VO2431" s="38"/>
      <c r="VP2431" s="38"/>
      <c r="VQ2431" s="38"/>
      <c r="VR2431" s="38"/>
      <c r="VS2431" s="38"/>
      <c r="VT2431" s="38"/>
      <c r="VU2431" s="38"/>
      <c r="VV2431" s="38"/>
      <c r="VW2431" s="38"/>
      <c r="VX2431" s="38"/>
      <c r="VY2431" s="38"/>
      <c r="VZ2431" s="38"/>
      <c r="WA2431" s="38"/>
      <c r="WB2431" s="38"/>
      <c r="WC2431" s="38"/>
      <c r="WD2431" s="38"/>
      <c r="WE2431" s="38"/>
      <c r="WF2431" s="38"/>
      <c r="WG2431" s="38"/>
      <c r="WH2431" s="38"/>
      <c r="WI2431" s="38"/>
      <c r="WJ2431" s="38"/>
      <c r="WK2431" s="38"/>
      <c r="WL2431" s="38"/>
      <c r="WM2431" s="38"/>
      <c r="WN2431" s="38"/>
      <c r="WO2431" s="38"/>
      <c r="WP2431" s="38"/>
      <c r="WQ2431" s="38"/>
      <c r="WR2431" s="38"/>
      <c r="WS2431" s="38"/>
      <c r="WT2431" s="38"/>
      <c r="WU2431" s="38"/>
      <c r="WV2431" s="38"/>
      <c r="WW2431" s="38"/>
      <c r="WX2431" s="38"/>
      <c r="WY2431" s="38"/>
      <c r="WZ2431" s="38"/>
      <c r="XA2431" s="38"/>
      <c r="XB2431" s="38"/>
      <c r="XC2431" s="38"/>
      <c r="XD2431" s="38"/>
      <c r="XE2431" s="38"/>
      <c r="XF2431" s="38"/>
      <c r="XG2431" s="38"/>
      <c r="XH2431" s="38"/>
      <c r="XI2431" s="38"/>
      <c r="XJ2431" s="38"/>
      <c r="XK2431" s="38"/>
      <c r="XL2431" s="38"/>
      <c r="XM2431" s="38"/>
      <c r="XN2431" s="38"/>
      <c r="XO2431" s="38"/>
      <c r="XP2431" s="38"/>
      <c r="XQ2431" s="38"/>
      <c r="XR2431" s="38"/>
      <c r="XS2431" s="38"/>
      <c r="XT2431" s="38"/>
      <c r="XU2431" s="38"/>
      <c r="XV2431" s="38"/>
      <c r="XW2431" s="38"/>
      <c r="XX2431" s="38"/>
      <c r="XY2431" s="38"/>
      <c r="XZ2431" s="38"/>
      <c r="YA2431" s="38"/>
      <c r="YB2431" s="38"/>
      <c r="YC2431" s="38"/>
      <c r="YD2431" s="38"/>
      <c r="YE2431" s="38"/>
      <c r="YF2431" s="38"/>
      <c r="YG2431" s="38"/>
      <c r="YH2431" s="38"/>
      <c r="YI2431" s="38"/>
      <c r="YJ2431" s="38"/>
      <c r="YK2431" s="38"/>
      <c r="YL2431" s="38"/>
      <c r="YM2431" s="38"/>
      <c r="YN2431" s="38"/>
      <c r="YO2431" s="38"/>
      <c r="YP2431" s="38"/>
      <c r="YQ2431" s="38"/>
      <c r="YR2431" s="38"/>
      <c r="YS2431" s="38"/>
      <c r="YT2431" s="38"/>
      <c r="YU2431" s="38"/>
      <c r="YV2431" s="38"/>
      <c r="YW2431" s="38"/>
      <c r="YX2431" s="38"/>
      <c r="YY2431" s="38"/>
      <c r="YZ2431" s="38"/>
      <c r="ZA2431" s="38"/>
      <c r="ZB2431" s="38"/>
      <c r="ZC2431" s="38"/>
      <c r="ZD2431" s="38"/>
      <c r="ZE2431" s="38"/>
      <c r="ZF2431" s="38"/>
      <c r="ZG2431" s="38"/>
      <c r="ZH2431" s="38"/>
      <c r="ZI2431" s="38"/>
      <c r="ZJ2431" s="38"/>
      <c r="ZK2431" s="38"/>
      <c r="ZL2431" s="38"/>
      <c r="ZM2431" s="38"/>
      <c r="ZN2431" s="38"/>
      <c r="ZO2431" s="38"/>
      <c r="ZP2431" s="38"/>
      <c r="ZQ2431" s="38"/>
      <c r="ZR2431" s="38"/>
      <c r="ZS2431" s="38"/>
      <c r="ZT2431" s="38"/>
      <c r="ZU2431" s="38"/>
      <c r="ZV2431" s="38"/>
      <c r="ZW2431" s="38"/>
      <c r="ZX2431" s="38"/>
      <c r="ZY2431" s="38"/>
      <c r="ZZ2431" s="38"/>
      <c r="AAA2431" s="38"/>
      <c r="AAB2431" s="38"/>
      <c r="AAC2431" s="38"/>
      <c r="AAD2431" s="38"/>
      <c r="AAE2431" s="38"/>
      <c r="AAF2431" s="38"/>
      <c r="AAG2431" s="38"/>
      <c r="AAH2431" s="38"/>
      <c r="AAI2431" s="38"/>
      <c r="AAJ2431" s="38"/>
      <c r="AAK2431" s="38"/>
      <c r="AAL2431" s="38"/>
      <c r="AAM2431" s="38"/>
      <c r="AAN2431" s="38"/>
      <c r="AAO2431" s="38"/>
      <c r="AAP2431" s="38"/>
      <c r="AAQ2431" s="38"/>
      <c r="AAR2431" s="38"/>
      <c r="AAS2431" s="38"/>
      <c r="AAT2431" s="38"/>
      <c r="AAU2431" s="38"/>
      <c r="AAV2431" s="38"/>
      <c r="AAW2431" s="38"/>
      <c r="AAX2431" s="38"/>
      <c r="AAY2431" s="38"/>
      <c r="AAZ2431" s="38"/>
      <c r="ABA2431" s="38"/>
      <c r="ABB2431" s="38"/>
      <c r="ABC2431" s="38"/>
      <c r="ABD2431" s="38"/>
      <c r="ABE2431" s="38"/>
      <c r="ABF2431" s="38"/>
      <c r="ABG2431" s="38"/>
      <c r="ABH2431" s="38"/>
      <c r="ABI2431" s="38"/>
      <c r="ABJ2431" s="38"/>
      <c r="ABK2431" s="38"/>
      <c r="ABL2431" s="38"/>
      <c r="ABM2431" s="38"/>
      <c r="ABN2431" s="38"/>
      <c r="ABO2431" s="38"/>
      <c r="ABP2431" s="38"/>
      <c r="ABQ2431" s="38"/>
      <c r="ABR2431" s="38"/>
      <c r="ABS2431" s="38"/>
      <c r="ABT2431" s="38"/>
      <c r="ABU2431" s="38"/>
      <c r="ABV2431" s="38"/>
      <c r="ABW2431" s="38"/>
      <c r="ABX2431" s="38"/>
      <c r="ABY2431" s="38"/>
      <c r="ABZ2431" s="38"/>
      <c r="ACA2431" s="38"/>
      <c r="ACB2431" s="38"/>
      <c r="ACC2431" s="38"/>
      <c r="ACD2431" s="38"/>
      <c r="ACE2431" s="38"/>
      <c r="ACF2431" s="38"/>
      <c r="ACG2431" s="38"/>
      <c r="ACH2431" s="38"/>
      <c r="ACI2431" s="38"/>
      <c r="ACJ2431" s="38"/>
      <c r="ACK2431" s="38"/>
      <c r="ACL2431" s="38"/>
      <c r="ACM2431" s="38"/>
      <c r="ACN2431" s="38"/>
      <c r="ACO2431" s="38"/>
      <c r="ACP2431" s="38"/>
      <c r="ACQ2431" s="38"/>
      <c r="ACR2431" s="38"/>
      <c r="ACS2431" s="38"/>
      <c r="ACT2431" s="38"/>
      <c r="ACU2431" s="38"/>
      <c r="ACV2431" s="38"/>
      <c r="ACW2431" s="38"/>
      <c r="ACX2431" s="38"/>
      <c r="ACY2431" s="38"/>
      <c r="ACZ2431" s="38"/>
      <c r="ADA2431" s="38"/>
      <c r="ADB2431" s="38"/>
      <c r="ADC2431" s="38"/>
      <c r="ADD2431" s="38"/>
      <c r="ADE2431" s="38"/>
      <c r="ADF2431" s="38"/>
      <c r="ADG2431" s="38"/>
      <c r="ADH2431" s="38"/>
      <c r="ADI2431" s="38"/>
      <c r="ADJ2431" s="38"/>
      <c r="ADK2431" s="38"/>
      <c r="ADL2431" s="38"/>
      <c r="ADM2431" s="38"/>
      <c r="ADN2431" s="38"/>
      <c r="ADO2431" s="38"/>
      <c r="ADP2431" s="38"/>
      <c r="ADQ2431" s="38"/>
      <c r="ADR2431" s="38"/>
      <c r="ADS2431" s="38"/>
      <c r="ADT2431" s="38"/>
      <c r="ADU2431" s="38"/>
      <c r="ADV2431" s="38"/>
      <c r="ADW2431" s="38"/>
      <c r="ADX2431" s="38"/>
      <c r="ADY2431" s="38"/>
      <c r="ADZ2431" s="38"/>
      <c r="AEA2431" s="38"/>
      <c r="AEB2431" s="38"/>
      <c r="AEC2431" s="38"/>
      <c r="AED2431" s="38"/>
      <c r="AEE2431" s="38"/>
      <c r="AEF2431" s="38"/>
      <c r="AEG2431" s="38"/>
      <c r="AEH2431" s="38"/>
      <c r="AEI2431" s="38"/>
      <c r="AEJ2431" s="38"/>
      <c r="AEK2431" s="38"/>
      <c r="AEL2431" s="38"/>
      <c r="AEM2431" s="38"/>
      <c r="AEN2431" s="38"/>
      <c r="AEO2431" s="38"/>
      <c r="AEP2431" s="38"/>
      <c r="AEQ2431" s="38"/>
      <c r="AER2431" s="38"/>
      <c r="AES2431" s="38"/>
      <c r="AET2431" s="38"/>
      <c r="AEU2431" s="38"/>
      <c r="AEV2431" s="38"/>
      <c r="AEW2431" s="38"/>
      <c r="AEX2431" s="38"/>
      <c r="AEY2431" s="38"/>
      <c r="AEZ2431" s="38"/>
      <c r="AFA2431" s="38"/>
      <c r="AFB2431" s="38"/>
      <c r="AFC2431" s="38"/>
      <c r="AFD2431" s="38"/>
      <c r="AFE2431" s="38"/>
      <c r="AFF2431" s="38"/>
      <c r="AFG2431" s="38"/>
      <c r="AFH2431" s="38"/>
      <c r="AFI2431" s="38"/>
      <c r="AFJ2431" s="38"/>
      <c r="AFK2431" s="38"/>
      <c r="AFL2431" s="38"/>
      <c r="AFM2431" s="38"/>
      <c r="AFN2431" s="38"/>
      <c r="AFO2431" s="38"/>
      <c r="AFP2431" s="38"/>
      <c r="AFQ2431" s="38"/>
      <c r="AFR2431" s="38"/>
      <c r="AFS2431" s="38"/>
      <c r="AFT2431" s="38"/>
      <c r="AFU2431" s="38"/>
      <c r="AFV2431" s="38"/>
      <c r="AFW2431" s="38"/>
      <c r="AFX2431" s="38"/>
      <c r="AFY2431" s="38"/>
      <c r="AFZ2431" s="38"/>
      <c r="AGA2431" s="38"/>
      <c r="AGB2431" s="38"/>
      <c r="AGC2431" s="38"/>
      <c r="AGD2431" s="38"/>
      <c r="AGE2431" s="38"/>
      <c r="AGF2431" s="38"/>
      <c r="AGG2431" s="38"/>
      <c r="AGH2431" s="38"/>
      <c r="AGI2431" s="38"/>
      <c r="AGJ2431" s="38"/>
      <c r="AGK2431" s="38"/>
      <c r="AGL2431" s="38"/>
      <c r="AGM2431" s="38"/>
      <c r="AGN2431" s="38"/>
      <c r="AGO2431" s="38"/>
      <c r="AGP2431" s="38"/>
      <c r="AGQ2431" s="38"/>
      <c r="AGR2431" s="38"/>
      <c r="AGS2431" s="38"/>
      <c r="AGT2431" s="38"/>
      <c r="AGU2431" s="38"/>
      <c r="AGV2431" s="38"/>
      <c r="AGW2431" s="38"/>
      <c r="AGX2431" s="38"/>
      <c r="AGY2431" s="38"/>
      <c r="AGZ2431" s="38"/>
      <c r="AHA2431" s="38"/>
      <c r="AHB2431" s="38"/>
      <c r="AHC2431" s="38"/>
      <c r="AHD2431" s="38"/>
      <c r="AHE2431" s="38"/>
      <c r="AHF2431" s="38"/>
      <c r="AHG2431" s="38"/>
      <c r="AHH2431" s="38"/>
      <c r="AHI2431" s="38"/>
      <c r="AHJ2431" s="38"/>
      <c r="AHK2431" s="38"/>
      <c r="AHL2431" s="38"/>
      <c r="AHM2431" s="38"/>
      <c r="AHN2431" s="38"/>
      <c r="AHO2431" s="38"/>
      <c r="AHP2431" s="38"/>
      <c r="AHQ2431" s="38"/>
      <c r="AHR2431" s="38"/>
      <c r="AHS2431" s="38"/>
      <c r="AHT2431" s="38"/>
      <c r="AHU2431" s="38"/>
      <c r="AHV2431" s="38"/>
      <c r="AHW2431" s="38"/>
      <c r="AHX2431" s="38"/>
      <c r="AHY2431" s="38"/>
      <c r="AHZ2431" s="38"/>
      <c r="AIA2431" s="38"/>
      <c r="AIB2431" s="38"/>
      <c r="AIC2431" s="38"/>
      <c r="AID2431" s="38"/>
      <c r="AIE2431" s="38"/>
      <c r="AIF2431" s="38"/>
      <c r="AIG2431" s="38"/>
      <c r="AIH2431" s="38"/>
      <c r="AII2431" s="38"/>
      <c r="AIJ2431" s="38"/>
      <c r="AIK2431" s="38"/>
      <c r="AIL2431" s="38"/>
      <c r="AIM2431" s="38"/>
      <c r="AIN2431" s="38"/>
      <c r="AIO2431" s="38"/>
      <c r="AIP2431" s="38"/>
      <c r="AIQ2431" s="38"/>
      <c r="AIR2431" s="38"/>
      <c r="AIS2431" s="38"/>
      <c r="AIT2431" s="38"/>
      <c r="AIU2431" s="38"/>
      <c r="AIV2431" s="38"/>
      <c r="AIW2431" s="38"/>
      <c r="AIX2431" s="38"/>
      <c r="AIY2431" s="38"/>
      <c r="AIZ2431" s="38"/>
      <c r="AJA2431" s="38"/>
      <c r="AJB2431" s="38"/>
      <c r="AJC2431" s="38"/>
      <c r="AJD2431" s="38"/>
      <c r="AJE2431" s="38"/>
      <c r="AJF2431" s="38"/>
      <c r="AJG2431" s="38"/>
      <c r="AJH2431" s="38"/>
      <c r="AJI2431" s="38"/>
      <c r="AJJ2431" s="38"/>
      <c r="AJK2431" s="38"/>
      <c r="AJL2431" s="38"/>
      <c r="AJM2431" s="38"/>
      <c r="AJN2431" s="38"/>
      <c r="AJO2431" s="38"/>
      <c r="AJP2431" s="38"/>
      <c r="AJQ2431" s="38"/>
      <c r="AJR2431" s="38"/>
      <c r="AJS2431" s="38"/>
      <c r="AJT2431" s="38"/>
      <c r="AJU2431" s="38"/>
      <c r="AJV2431" s="38"/>
      <c r="AJW2431" s="38"/>
      <c r="AJX2431" s="38"/>
      <c r="AJY2431" s="38"/>
      <c r="AJZ2431" s="38"/>
      <c r="AKA2431" s="38"/>
      <c r="AKB2431" s="38"/>
      <c r="AKC2431" s="38"/>
      <c r="AKD2431" s="38"/>
      <c r="AKE2431" s="38"/>
      <c r="AKF2431" s="38"/>
      <c r="AKG2431" s="38"/>
      <c r="AKH2431" s="38"/>
      <c r="AKI2431" s="38"/>
      <c r="AKJ2431" s="38"/>
      <c r="AKK2431" s="38"/>
      <c r="AKL2431" s="38"/>
      <c r="AKM2431" s="38"/>
      <c r="AKN2431" s="38"/>
      <c r="AKO2431" s="38"/>
      <c r="AKP2431" s="38"/>
      <c r="AKQ2431" s="38"/>
      <c r="AKR2431" s="38"/>
      <c r="AKS2431" s="38"/>
      <c r="AKT2431" s="38"/>
      <c r="AKU2431" s="38"/>
      <c r="AKV2431" s="38"/>
      <c r="AKW2431" s="38"/>
      <c r="AKX2431" s="38"/>
      <c r="AKY2431" s="38"/>
      <c r="AKZ2431" s="38"/>
      <c r="ALA2431" s="38"/>
      <c r="ALB2431" s="38"/>
      <c r="ALC2431" s="38"/>
      <c r="ALD2431" s="38"/>
      <c r="ALE2431" s="38"/>
      <c r="ALF2431" s="38"/>
      <c r="ALG2431" s="38"/>
      <c r="ALH2431" s="38"/>
      <c r="ALI2431" s="38"/>
      <c r="ALJ2431" s="38"/>
      <c r="ALK2431" s="38"/>
      <c r="ALL2431" s="38"/>
      <c r="ALM2431" s="38"/>
      <c r="ALN2431" s="38"/>
      <c r="ALO2431" s="38"/>
      <c r="ALP2431" s="38"/>
      <c r="ALQ2431" s="38"/>
      <c r="ALR2431" s="38"/>
      <c r="ALS2431" s="38"/>
      <c r="ALT2431" s="38"/>
      <c r="ALU2431" s="38"/>
      <c r="ALV2431" s="38"/>
      <c r="ALW2431" s="38"/>
      <c r="ALX2431" s="38"/>
      <c r="ALY2431" s="38"/>
      <c r="ALZ2431" s="38"/>
      <c r="AMA2431" s="38"/>
      <c r="AMB2431" s="38"/>
      <c r="AMC2431" s="38"/>
      <c r="AMD2431" s="38"/>
      <c r="AME2431" s="38"/>
      <c r="AMF2431" s="38"/>
      <c r="AMG2431" s="38"/>
      <c r="AMH2431" s="38"/>
      <c r="AMI2431" s="38"/>
      <c r="AMJ2431" s="38"/>
      <c r="AMK2431" s="38"/>
      <c r="AML2431" s="38"/>
      <c r="AMM2431" s="38"/>
      <c r="AMN2431" s="38"/>
      <c r="AMO2431" s="38"/>
      <c r="AMP2431" s="38"/>
      <c r="AMQ2431" s="38"/>
      <c r="AMR2431" s="38"/>
      <c r="AMS2431" s="38"/>
      <c r="AMT2431" s="38"/>
      <c r="AMU2431" s="38"/>
      <c r="AMV2431" s="38"/>
      <c r="AMW2431" s="38"/>
      <c r="AMX2431" s="38"/>
      <c r="AMY2431" s="38"/>
      <c r="AMZ2431" s="38"/>
      <c r="ANA2431" s="38"/>
      <c r="ANB2431" s="38"/>
      <c r="ANC2431" s="38"/>
      <c r="AND2431" s="38"/>
      <c r="ANE2431" s="38"/>
      <c r="ANF2431" s="38"/>
      <c r="ANG2431" s="38"/>
      <c r="ANH2431" s="38"/>
      <c r="ANI2431" s="38"/>
      <c r="ANJ2431" s="38"/>
      <c r="ANK2431" s="38"/>
      <c r="ANL2431" s="38"/>
      <c r="ANM2431" s="38"/>
      <c r="ANN2431" s="38"/>
      <c r="ANO2431" s="38"/>
      <c r="ANP2431" s="38"/>
      <c r="ANQ2431" s="38"/>
      <c r="ANR2431" s="38"/>
      <c r="ANS2431" s="38"/>
      <c r="ANT2431" s="38"/>
      <c r="ANU2431" s="38"/>
      <c r="ANV2431" s="38"/>
      <c r="ANW2431" s="38"/>
      <c r="ANX2431" s="38"/>
      <c r="ANY2431" s="38"/>
      <c r="ANZ2431" s="38"/>
      <c r="AOA2431" s="38"/>
      <c r="AOB2431" s="38"/>
      <c r="AOC2431" s="38"/>
      <c r="AOD2431" s="38"/>
      <c r="AOE2431" s="38"/>
      <c r="AOF2431" s="38"/>
      <c r="AOG2431" s="38"/>
      <c r="AOH2431" s="38"/>
      <c r="AOI2431" s="38"/>
      <c r="AOJ2431" s="38"/>
      <c r="AOK2431" s="38"/>
      <c r="AOL2431" s="38"/>
      <c r="AOM2431" s="38"/>
      <c r="AON2431" s="38"/>
      <c r="AOO2431" s="38"/>
      <c r="AOP2431" s="38"/>
      <c r="AOQ2431" s="38"/>
      <c r="AOR2431" s="38"/>
      <c r="AOS2431" s="38"/>
      <c r="AOT2431" s="38"/>
      <c r="AOU2431" s="38"/>
      <c r="AOV2431" s="38"/>
      <c r="AOW2431" s="38"/>
      <c r="AOX2431" s="38"/>
      <c r="AOY2431" s="38"/>
      <c r="AOZ2431" s="38"/>
      <c r="APA2431" s="38"/>
      <c r="APB2431" s="38"/>
      <c r="APC2431" s="38"/>
    </row>
    <row r="2432" spans="1:1095" s="36" customFormat="1" ht="14.25" customHeight="1">
      <c r="A2432" s="3" t="s">
        <v>1722</v>
      </c>
      <c r="B2432" s="36" t="s">
        <v>3034</v>
      </c>
      <c r="C2432" s="10">
        <v>4099854048586</v>
      </c>
      <c r="D2432" s="224">
        <v>4058075622890</v>
      </c>
      <c r="E2432" s="245" t="s">
        <v>3035</v>
      </c>
      <c r="F2432" s="246"/>
      <c r="G2432" s="66" t="str">
        <f>HYPERLINK("https://ledvance.com/pt/product-datasheet/251359/236067","Ficha de Produto")</f>
        <v>Ficha de Produto</v>
      </c>
      <c r="H2432" s="217">
        <v>20</v>
      </c>
      <c r="I2432" s="34" t="s">
        <v>1040</v>
      </c>
      <c r="J2432" s="34" t="s">
        <v>1105</v>
      </c>
      <c r="K2432" s="34" t="s">
        <v>788</v>
      </c>
      <c r="L2432" s="34" t="s">
        <v>765</v>
      </c>
      <c r="M2432" s="247">
        <v>20.6</v>
      </c>
      <c r="N2432" s="288" t="s">
        <v>722</v>
      </c>
    </row>
    <row r="2433" spans="1:1095" s="36" customFormat="1" ht="14.25" customHeight="1">
      <c r="A2433" s="3" t="s">
        <v>1722</v>
      </c>
      <c r="B2433" s="36" t="s">
        <v>3036</v>
      </c>
      <c r="C2433" s="10">
        <v>4099854064814</v>
      </c>
      <c r="D2433" s="224">
        <v>4058075622265</v>
      </c>
      <c r="E2433" s="245" t="s">
        <v>3037</v>
      </c>
      <c r="F2433" s="246"/>
      <c r="G2433" s="66" t="str">
        <f>HYPERLINK("https://ledvance.com/pt/product-datasheet/251359/237826","Ficha de Produto")</f>
        <v>Ficha de Produto</v>
      </c>
      <c r="H2433" s="217">
        <v>20</v>
      </c>
      <c r="I2433" s="34" t="s">
        <v>6354</v>
      </c>
      <c r="J2433" s="34" t="s">
        <v>855</v>
      </c>
      <c r="K2433" s="34" t="s">
        <v>788</v>
      </c>
      <c r="L2433" s="34" t="s">
        <v>765</v>
      </c>
      <c r="M2433" s="247">
        <v>23.1</v>
      </c>
      <c r="N2433" s="288" t="s">
        <v>722</v>
      </c>
    </row>
    <row r="2434" spans="1:1095" s="39" customFormat="1" ht="14.25" customHeight="1">
      <c r="A2434" s="8" t="s">
        <v>1722</v>
      </c>
      <c r="B2434" s="244" t="s">
        <v>3038</v>
      </c>
      <c r="C2434" s="8"/>
      <c r="D2434" s="8"/>
      <c r="E2434" s="230"/>
      <c r="F2434" s="7"/>
      <c r="G2434" s="68"/>
      <c r="H2434" s="230"/>
      <c r="I2434" s="230"/>
      <c r="J2434" s="230"/>
      <c r="K2434" s="230"/>
      <c r="L2434" s="230"/>
      <c r="M2434" s="248"/>
      <c r="N2434" s="289"/>
      <c r="O2434" s="38"/>
      <c r="P2434" s="38"/>
      <c r="Q2434" s="38"/>
      <c r="R2434" s="38"/>
      <c r="S2434" s="38"/>
      <c r="T2434" s="38"/>
      <c r="U2434" s="38"/>
      <c r="V2434" s="38"/>
      <c r="W2434" s="38"/>
      <c r="X2434" s="38"/>
      <c r="Y2434" s="38"/>
      <c r="Z2434" s="38"/>
      <c r="AA2434" s="38"/>
      <c r="AB2434" s="38"/>
      <c r="AC2434" s="38"/>
      <c r="AD2434" s="38"/>
      <c r="AE2434" s="38"/>
      <c r="AF2434" s="38"/>
      <c r="AG2434" s="38"/>
      <c r="AH2434" s="38"/>
      <c r="AI2434" s="38"/>
      <c r="AJ2434" s="38"/>
      <c r="AK2434" s="38"/>
      <c r="AL2434" s="38"/>
      <c r="AM2434" s="38"/>
      <c r="AN2434" s="38"/>
      <c r="AO2434" s="38"/>
      <c r="AP2434" s="38"/>
      <c r="AQ2434" s="38"/>
      <c r="AR2434" s="38"/>
      <c r="AS2434" s="38"/>
      <c r="AT2434" s="38"/>
      <c r="AU2434" s="38"/>
      <c r="AV2434" s="38"/>
      <c r="AW2434" s="38"/>
      <c r="AX2434" s="38"/>
      <c r="AY2434" s="38"/>
      <c r="AZ2434" s="38"/>
      <c r="BA2434" s="38"/>
      <c r="BB2434" s="38"/>
      <c r="BC2434" s="38"/>
      <c r="BD2434" s="38"/>
      <c r="BE2434" s="38"/>
      <c r="BF2434" s="38"/>
      <c r="BG2434" s="38"/>
      <c r="BH2434" s="38"/>
      <c r="BI2434" s="38"/>
      <c r="BJ2434" s="38"/>
      <c r="BK2434" s="38"/>
      <c r="BL2434" s="38"/>
      <c r="BM2434" s="38"/>
      <c r="BN2434" s="38"/>
      <c r="BO2434" s="38"/>
      <c r="BP2434" s="38"/>
      <c r="BQ2434" s="38"/>
      <c r="BR2434" s="38"/>
      <c r="BS2434" s="38"/>
      <c r="BT2434" s="38"/>
      <c r="BU2434" s="38"/>
      <c r="BV2434" s="38"/>
      <c r="BW2434" s="38"/>
      <c r="BX2434" s="38"/>
      <c r="BY2434" s="38"/>
      <c r="BZ2434" s="38"/>
      <c r="CA2434" s="38"/>
      <c r="CB2434" s="38"/>
      <c r="CC2434" s="38"/>
      <c r="CD2434" s="38"/>
      <c r="CE2434" s="38"/>
      <c r="CF2434" s="38"/>
      <c r="CG2434" s="38"/>
      <c r="CH2434" s="38"/>
      <c r="CI2434" s="38"/>
      <c r="CJ2434" s="38"/>
      <c r="CK2434" s="38"/>
      <c r="CL2434" s="38"/>
      <c r="CM2434" s="38"/>
      <c r="CN2434" s="38"/>
      <c r="CO2434" s="38"/>
      <c r="CP2434" s="38"/>
      <c r="CQ2434" s="38"/>
      <c r="CR2434" s="38"/>
      <c r="CS2434" s="38"/>
      <c r="CT2434" s="38"/>
      <c r="CU2434" s="38"/>
      <c r="CV2434" s="38"/>
      <c r="CW2434" s="38"/>
      <c r="CX2434" s="38"/>
      <c r="CY2434" s="38"/>
      <c r="CZ2434" s="38"/>
      <c r="DA2434" s="38"/>
      <c r="DB2434" s="38"/>
      <c r="DC2434" s="38"/>
      <c r="DD2434" s="38"/>
      <c r="DE2434" s="38"/>
      <c r="DF2434" s="38"/>
      <c r="DG2434" s="38"/>
      <c r="DH2434" s="38"/>
      <c r="DI2434" s="38"/>
      <c r="DJ2434" s="38"/>
      <c r="DK2434" s="38"/>
      <c r="DL2434" s="38"/>
      <c r="DM2434" s="38"/>
      <c r="DN2434" s="38"/>
      <c r="DO2434" s="38"/>
      <c r="DP2434" s="38"/>
      <c r="DQ2434" s="38"/>
      <c r="DR2434" s="38"/>
      <c r="DS2434" s="38"/>
      <c r="DT2434" s="38"/>
      <c r="DU2434" s="38"/>
      <c r="DV2434" s="38"/>
      <c r="DW2434" s="38"/>
      <c r="DX2434" s="38"/>
      <c r="DY2434" s="38"/>
      <c r="DZ2434" s="38"/>
      <c r="EA2434" s="38"/>
      <c r="EB2434" s="38"/>
      <c r="EC2434" s="38"/>
      <c r="ED2434" s="38"/>
      <c r="EE2434" s="38"/>
      <c r="EF2434" s="38"/>
      <c r="EG2434" s="38"/>
      <c r="EH2434" s="38"/>
      <c r="EI2434" s="38"/>
      <c r="EJ2434" s="38"/>
      <c r="EK2434" s="38"/>
      <c r="EL2434" s="38"/>
      <c r="EM2434" s="38"/>
      <c r="EN2434" s="38"/>
      <c r="EO2434" s="38"/>
      <c r="EP2434" s="38"/>
      <c r="EQ2434" s="38"/>
      <c r="ER2434" s="38"/>
      <c r="ES2434" s="38"/>
      <c r="ET2434" s="38"/>
      <c r="EU2434" s="38"/>
      <c r="EV2434" s="38"/>
      <c r="EW2434" s="38"/>
      <c r="EX2434" s="38"/>
      <c r="EY2434" s="38"/>
      <c r="EZ2434" s="38"/>
      <c r="FA2434" s="38"/>
      <c r="FB2434" s="38"/>
      <c r="FC2434" s="38"/>
      <c r="FD2434" s="38"/>
      <c r="FE2434" s="38"/>
      <c r="FF2434" s="38"/>
      <c r="FG2434" s="38"/>
      <c r="FH2434" s="38"/>
      <c r="FI2434" s="38"/>
      <c r="FJ2434" s="38"/>
      <c r="FK2434" s="38"/>
      <c r="FL2434" s="38"/>
      <c r="FM2434" s="38"/>
      <c r="FN2434" s="38"/>
      <c r="FO2434" s="38"/>
      <c r="FP2434" s="38"/>
      <c r="FQ2434" s="38"/>
      <c r="FR2434" s="38"/>
      <c r="FS2434" s="38"/>
      <c r="FT2434" s="38"/>
      <c r="FU2434" s="38"/>
      <c r="FV2434" s="38"/>
      <c r="FW2434" s="38"/>
      <c r="FX2434" s="38"/>
      <c r="FY2434" s="38"/>
      <c r="FZ2434" s="38"/>
      <c r="GA2434" s="38"/>
      <c r="GB2434" s="38"/>
      <c r="GC2434" s="38"/>
      <c r="GD2434" s="38"/>
      <c r="GE2434" s="38"/>
      <c r="GF2434" s="38"/>
      <c r="GG2434" s="38"/>
      <c r="GH2434" s="38"/>
      <c r="GI2434" s="38"/>
      <c r="GJ2434" s="38"/>
      <c r="GK2434" s="38"/>
      <c r="GL2434" s="38"/>
      <c r="GM2434" s="38"/>
      <c r="GN2434" s="38"/>
      <c r="GO2434" s="38"/>
      <c r="GP2434" s="38"/>
      <c r="GQ2434" s="38"/>
      <c r="GR2434" s="38"/>
      <c r="GS2434" s="38"/>
      <c r="GT2434" s="38"/>
      <c r="GU2434" s="38"/>
      <c r="GV2434" s="38"/>
      <c r="GW2434" s="38"/>
      <c r="GX2434" s="38"/>
      <c r="GY2434" s="38"/>
      <c r="GZ2434" s="38"/>
      <c r="HA2434" s="38"/>
      <c r="HB2434" s="38"/>
      <c r="HC2434" s="38"/>
      <c r="HD2434" s="38"/>
      <c r="HE2434" s="38"/>
      <c r="HF2434" s="38"/>
      <c r="HG2434" s="38"/>
      <c r="HH2434" s="38"/>
      <c r="HI2434" s="38"/>
      <c r="HJ2434" s="38"/>
      <c r="HK2434" s="38"/>
      <c r="HL2434" s="38"/>
      <c r="HM2434" s="38"/>
      <c r="HN2434" s="38"/>
      <c r="HO2434" s="38"/>
      <c r="HP2434" s="38"/>
      <c r="HQ2434" s="38"/>
      <c r="HR2434" s="38"/>
      <c r="HS2434" s="38"/>
      <c r="HT2434" s="38"/>
      <c r="HU2434" s="38"/>
      <c r="HV2434" s="38"/>
      <c r="HW2434" s="38"/>
      <c r="HX2434" s="38"/>
      <c r="HY2434" s="38"/>
      <c r="HZ2434" s="38"/>
      <c r="IA2434" s="38"/>
      <c r="IB2434" s="38"/>
      <c r="IC2434" s="38"/>
      <c r="ID2434" s="38"/>
      <c r="IE2434" s="38"/>
      <c r="IF2434" s="38"/>
      <c r="IG2434" s="38"/>
      <c r="IH2434" s="38"/>
      <c r="II2434" s="38"/>
      <c r="IJ2434" s="38"/>
      <c r="IK2434" s="38"/>
      <c r="IL2434" s="38"/>
      <c r="IM2434" s="38"/>
      <c r="IN2434" s="38"/>
      <c r="IO2434" s="38"/>
      <c r="IP2434" s="38"/>
      <c r="IQ2434" s="38"/>
      <c r="IR2434" s="38"/>
      <c r="IS2434" s="38"/>
      <c r="IT2434" s="38"/>
      <c r="IU2434" s="38"/>
      <c r="IV2434" s="38"/>
      <c r="IW2434" s="38"/>
      <c r="IX2434" s="38"/>
      <c r="IY2434" s="38"/>
      <c r="IZ2434" s="38"/>
      <c r="JA2434" s="38"/>
      <c r="JB2434" s="38"/>
      <c r="JC2434" s="38"/>
      <c r="JD2434" s="38"/>
      <c r="JE2434" s="38"/>
      <c r="JF2434" s="38"/>
      <c r="JG2434" s="38"/>
      <c r="JH2434" s="38"/>
      <c r="JI2434" s="38"/>
      <c r="JJ2434" s="38"/>
      <c r="JK2434" s="38"/>
      <c r="JL2434" s="38"/>
      <c r="JM2434" s="38"/>
      <c r="JN2434" s="38"/>
      <c r="JO2434" s="38"/>
      <c r="JP2434" s="38"/>
      <c r="JQ2434" s="38"/>
      <c r="JR2434" s="38"/>
      <c r="JS2434" s="38"/>
      <c r="JT2434" s="38"/>
      <c r="JU2434" s="38"/>
      <c r="JV2434" s="38"/>
      <c r="JW2434" s="38"/>
      <c r="JX2434" s="38"/>
      <c r="JY2434" s="38"/>
      <c r="JZ2434" s="38"/>
      <c r="KA2434" s="38"/>
      <c r="KB2434" s="38"/>
      <c r="KC2434" s="38"/>
      <c r="KD2434" s="38"/>
      <c r="KE2434" s="38"/>
      <c r="KF2434" s="38"/>
      <c r="KG2434" s="38"/>
      <c r="KH2434" s="38"/>
      <c r="KI2434" s="38"/>
      <c r="KJ2434" s="38"/>
      <c r="KK2434" s="38"/>
      <c r="KL2434" s="38"/>
      <c r="KM2434" s="38"/>
      <c r="KN2434" s="38"/>
      <c r="KO2434" s="38"/>
      <c r="KP2434" s="38"/>
      <c r="KQ2434" s="38"/>
      <c r="KR2434" s="38"/>
      <c r="KS2434" s="38"/>
      <c r="KT2434" s="38"/>
      <c r="KU2434" s="38"/>
      <c r="KV2434" s="38"/>
      <c r="KW2434" s="38"/>
      <c r="KX2434" s="38"/>
      <c r="KY2434" s="38"/>
      <c r="KZ2434" s="38"/>
      <c r="LA2434" s="38"/>
      <c r="LB2434" s="38"/>
      <c r="LC2434" s="38"/>
      <c r="LD2434" s="38"/>
      <c r="LE2434" s="38"/>
      <c r="LF2434" s="38"/>
      <c r="LG2434" s="38"/>
      <c r="LH2434" s="38"/>
      <c r="LI2434" s="38"/>
      <c r="LJ2434" s="38"/>
      <c r="LK2434" s="38"/>
      <c r="LL2434" s="38"/>
      <c r="LM2434" s="38"/>
      <c r="LN2434" s="38"/>
      <c r="LO2434" s="38"/>
      <c r="LP2434" s="38"/>
      <c r="LQ2434" s="38"/>
      <c r="LR2434" s="38"/>
      <c r="LS2434" s="38"/>
      <c r="LT2434" s="38"/>
      <c r="LU2434" s="38"/>
      <c r="LV2434" s="38"/>
      <c r="LW2434" s="38"/>
      <c r="LX2434" s="38"/>
      <c r="LY2434" s="38"/>
      <c r="LZ2434" s="38"/>
      <c r="MA2434" s="38"/>
      <c r="MB2434" s="38"/>
      <c r="MC2434" s="38"/>
      <c r="MD2434" s="38"/>
      <c r="ME2434" s="38"/>
      <c r="MF2434" s="38"/>
      <c r="MG2434" s="38"/>
      <c r="MH2434" s="38"/>
      <c r="MI2434" s="38"/>
      <c r="MJ2434" s="38"/>
      <c r="MK2434" s="38"/>
      <c r="ML2434" s="38"/>
      <c r="MM2434" s="38"/>
      <c r="MN2434" s="38"/>
      <c r="MO2434" s="38"/>
      <c r="MP2434" s="38"/>
      <c r="MQ2434" s="38"/>
      <c r="MR2434" s="38"/>
      <c r="MS2434" s="38"/>
      <c r="MT2434" s="38"/>
      <c r="MU2434" s="38"/>
      <c r="MV2434" s="38"/>
      <c r="MW2434" s="38"/>
      <c r="MX2434" s="38"/>
      <c r="MY2434" s="38"/>
      <c r="MZ2434" s="38"/>
      <c r="NA2434" s="38"/>
      <c r="NB2434" s="38"/>
      <c r="NC2434" s="38"/>
      <c r="ND2434" s="38"/>
      <c r="NE2434" s="38"/>
      <c r="NF2434" s="38"/>
      <c r="NG2434" s="38"/>
      <c r="NH2434" s="38"/>
      <c r="NI2434" s="38"/>
      <c r="NJ2434" s="38"/>
      <c r="NK2434" s="38"/>
      <c r="NL2434" s="38"/>
      <c r="NM2434" s="38"/>
      <c r="NN2434" s="38"/>
      <c r="NO2434" s="38"/>
      <c r="NP2434" s="38"/>
      <c r="NQ2434" s="38"/>
      <c r="NR2434" s="38"/>
      <c r="NS2434" s="38"/>
      <c r="NT2434" s="38"/>
      <c r="NU2434" s="38"/>
      <c r="NV2434" s="38"/>
      <c r="NW2434" s="38"/>
      <c r="NX2434" s="38"/>
      <c r="NY2434" s="38"/>
      <c r="NZ2434" s="38"/>
      <c r="OA2434" s="38"/>
      <c r="OB2434" s="38"/>
      <c r="OC2434" s="38"/>
      <c r="OD2434" s="38"/>
      <c r="OE2434" s="38"/>
      <c r="OF2434" s="38"/>
      <c r="OG2434" s="38"/>
      <c r="OH2434" s="38"/>
      <c r="OI2434" s="38"/>
      <c r="OJ2434" s="38"/>
      <c r="OK2434" s="38"/>
      <c r="OL2434" s="38"/>
      <c r="OM2434" s="38"/>
      <c r="ON2434" s="38"/>
      <c r="OO2434" s="38"/>
      <c r="OP2434" s="38"/>
      <c r="OQ2434" s="38"/>
      <c r="OR2434" s="38"/>
      <c r="OS2434" s="38"/>
      <c r="OT2434" s="38"/>
      <c r="OU2434" s="38"/>
      <c r="OV2434" s="38"/>
      <c r="OW2434" s="38"/>
      <c r="OX2434" s="38"/>
      <c r="OY2434" s="38"/>
      <c r="OZ2434" s="38"/>
      <c r="PA2434" s="38"/>
      <c r="PB2434" s="38"/>
      <c r="PC2434" s="38"/>
      <c r="PD2434" s="38"/>
      <c r="PE2434" s="38"/>
      <c r="PF2434" s="38"/>
      <c r="PG2434" s="38"/>
      <c r="PH2434" s="38"/>
      <c r="PI2434" s="38"/>
      <c r="PJ2434" s="38"/>
      <c r="PK2434" s="38"/>
      <c r="PL2434" s="38"/>
      <c r="PM2434" s="38"/>
      <c r="PN2434" s="38"/>
      <c r="PO2434" s="38"/>
      <c r="PP2434" s="38"/>
      <c r="PQ2434" s="38"/>
      <c r="PR2434" s="38"/>
      <c r="PS2434" s="38"/>
      <c r="PT2434" s="38"/>
      <c r="PU2434" s="38"/>
      <c r="PV2434" s="38"/>
      <c r="PW2434" s="38"/>
      <c r="PX2434" s="38"/>
      <c r="PY2434" s="38"/>
      <c r="PZ2434" s="38"/>
      <c r="QA2434" s="38"/>
      <c r="QB2434" s="38"/>
      <c r="QC2434" s="38"/>
      <c r="QD2434" s="38"/>
      <c r="QE2434" s="38"/>
      <c r="QF2434" s="38"/>
      <c r="QG2434" s="38"/>
      <c r="QH2434" s="38"/>
      <c r="QI2434" s="38"/>
      <c r="QJ2434" s="38"/>
      <c r="QK2434" s="38"/>
      <c r="QL2434" s="38"/>
      <c r="QM2434" s="38"/>
      <c r="QN2434" s="38"/>
      <c r="QO2434" s="38"/>
      <c r="QP2434" s="38"/>
      <c r="QQ2434" s="38"/>
      <c r="QR2434" s="38"/>
      <c r="QS2434" s="38"/>
      <c r="QT2434" s="38"/>
      <c r="QU2434" s="38"/>
      <c r="QV2434" s="38"/>
      <c r="QW2434" s="38"/>
      <c r="QX2434" s="38"/>
      <c r="QY2434" s="38"/>
      <c r="QZ2434" s="38"/>
      <c r="RA2434" s="38"/>
      <c r="RB2434" s="38"/>
      <c r="RC2434" s="38"/>
      <c r="RD2434" s="38"/>
      <c r="RE2434" s="38"/>
      <c r="RF2434" s="38"/>
      <c r="RG2434" s="38"/>
      <c r="RH2434" s="38"/>
      <c r="RI2434" s="38"/>
      <c r="RJ2434" s="38"/>
      <c r="RK2434" s="38"/>
      <c r="RL2434" s="38"/>
      <c r="RM2434" s="38"/>
      <c r="RN2434" s="38"/>
      <c r="RO2434" s="38"/>
      <c r="RP2434" s="38"/>
      <c r="RQ2434" s="38"/>
      <c r="RR2434" s="38"/>
      <c r="RS2434" s="38"/>
      <c r="RT2434" s="38"/>
      <c r="RU2434" s="38"/>
      <c r="RV2434" s="38"/>
      <c r="RW2434" s="38"/>
      <c r="RX2434" s="38"/>
      <c r="RY2434" s="38"/>
      <c r="RZ2434" s="38"/>
      <c r="SA2434" s="38"/>
      <c r="SB2434" s="38"/>
      <c r="SC2434" s="38"/>
      <c r="SD2434" s="38"/>
      <c r="SE2434" s="38"/>
      <c r="SF2434" s="38"/>
      <c r="SG2434" s="38"/>
      <c r="SH2434" s="38"/>
      <c r="SI2434" s="38"/>
      <c r="SJ2434" s="38"/>
      <c r="SK2434" s="38"/>
      <c r="SL2434" s="38"/>
      <c r="SM2434" s="38"/>
      <c r="SN2434" s="38"/>
      <c r="SO2434" s="38"/>
      <c r="SP2434" s="38"/>
      <c r="SQ2434" s="38"/>
      <c r="SR2434" s="38"/>
      <c r="SS2434" s="38"/>
      <c r="ST2434" s="38"/>
      <c r="SU2434" s="38"/>
      <c r="SV2434" s="38"/>
      <c r="SW2434" s="38"/>
      <c r="SX2434" s="38"/>
      <c r="SY2434" s="38"/>
      <c r="SZ2434" s="38"/>
      <c r="TA2434" s="38"/>
      <c r="TB2434" s="38"/>
      <c r="TC2434" s="38"/>
      <c r="TD2434" s="38"/>
      <c r="TE2434" s="38"/>
      <c r="TF2434" s="38"/>
      <c r="TG2434" s="38"/>
      <c r="TH2434" s="38"/>
      <c r="TI2434" s="38"/>
      <c r="TJ2434" s="38"/>
      <c r="TK2434" s="38"/>
      <c r="TL2434" s="38"/>
      <c r="TM2434" s="38"/>
      <c r="TN2434" s="38"/>
      <c r="TO2434" s="38"/>
      <c r="TP2434" s="38"/>
      <c r="TQ2434" s="38"/>
      <c r="TR2434" s="38"/>
      <c r="TS2434" s="38"/>
      <c r="TT2434" s="38"/>
      <c r="TU2434" s="38"/>
      <c r="TV2434" s="38"/>
      <c r="TW2434" s="38"/>
      <c r="TX2434" s="38"/>
      <c r="TY2434" s="38"/>
      <c r="TZ2434" s="38"/>
      <c r="UA2434" s="38"/>
      <c r="UB2434" s="38"/>
      <c r="UC2434" s="38"/>
      <c r="UD2434" s="38"/>
      <c r="UE2434" s="38"/>
      <c r="UF2434" s="38"/>
      <c r="UG2434" s="38"/>
      <c r="UH2434" s="38"/>
      <c r="UI2434" s="38"/>
      <c r="UJ2434" s="38"/>
      <c r="UK2434" s="38"/>
      <c r="UL2434" s="38"/>
      <c r="UM2434" s="38"/>
      <c r="UN2434" s="38"/>
      <c r="UO2434" s="38"/>
      <c r="UP2434" s="38"/>
      <c r="UQ2434" s="38"/>
      <c r="UR2434" s="38"/>
      <c r="US2434" s="38"/>
      <c r="UT2434" s="38"/>
      <c r="UU2434" s="38"/>
      <c r="UV2434" s="38"/>
      <c r="UW2434" s="38"/>
      <c r="UX2434" s="38"/>
      <c r="UY2434" s="38"/>
      <c r="UZ2434" s="38"/>
      <c r="VA2434" s="38"/>
      <c r="VB2434" s="38"/>
      <c r="VC2434" s="38"/>
      <c r="VD2434" s="38"/>
      <c r="VE2434" s="38"/>
      <c r="VF2434" s="38"/>
      <c r="VG2434" s="38"/>
      <c r="VH2434" s="38"/>
      <c r="VI2434" s="38"/>
      <c r="VJ2434" s="38"/>
      <c r="VK2434" s="38"/>
      <c r="VL2434" s="38"/>
      <c r="VM2434" s="38"/>
      <c r="VN2434" s="38"/>
      <c r="VO2434" s="38"/>
      <c r="VP2434" s="38"/>
      <c r="VQ2434" s="38"/>
      <c r="VR2434" s="38"/>
      <c r="VS2434" s="38"/>
      <c r="VT2434" s="38"/>
      <c r="VU2434" s="38"/>
      <c r="VV2434" s="38"/>
      <c r="VW2434" s="38"/>
      <c r="VX2434" s="38"/>
      <c r="VY2434" s="38"/>
      <c r="VZ2434" s="38"/>
      <c r="WA2434" s="38"/>
      <c r="WB2434" s="38"/>
      <c r="WC2434" s="38"/>
      <c r="WD2434" s="38"/>
      <c r="WE2434" s="38"/>
      <c r="WF2434" s="38"/>
      <c r="WG2434" s="38"/>
      <c r="WH2434" s="38"/>
      <c r="WI2434" s="38"/>
      <c r="WJ2434" s="38"/>
      <c r="WK2434" s="38"/>
      <c r="WL2434" s="38"/>
      <c r="WM2434" s="38"/>
      <c r="WN2434" s="38"/>
      <c r="WO2434" s="38"/>
      <c r="WP2434" s="38"/>
      <c r="WQ2434" s="38"/>
      <c r="WR2434" s="38"/>
      <c r="WS2434" s="38"/>
      <c r="WT2434" s="38"/>
      <c r="WU2434" s="38"/>
      <c r="WV2434" s="38"/>
      <c r="WW2434" s="38"/>
      <c r="WX2434" s="38"/>
      <c r="WY2434" s="38"/>
      <c r="WZ2434" s="38"/>
      <c r="XA2434" s="38"/>
      <c r="XB2434" s="38"/>
      <c r="XC2434" s="38"/>
      <c r="XD2434" s="38"/>
      <c r="XE2434" s="38"/>
      <c r="XF2434" s="38"/>
      <c r="XG2434" s="38"/>
      <c r="XH2434" s="38"/>
      <c r="XI2434" s="38"/>
      <c r="XJ2434" s="38"/>
      <c r="XK2434" s="38"/>
      <c r="XL2434" s="38"/>
      <c r="XM2434" s="38"/>
      <c r="XN2434" s="38"/>
      <c r="XO2434" s="38"/>
      <c r="XP2434" s="38"/>
      <c r="XQ2434" s="38"/>
      <c r="XR2434" s="38"/>
      <c r="XS2434" s="38"/>
      <c r="XT2434" s="38"/>
      <c r="XU2434" s="38"/>
      <c r="XV2434" s="38"/>
      <c r="XW2434" s="38"/>
      <c r="XX2434" s="38"/>
      <c r="XY2434" s="38"/>
      <c r="XZ2434" s="38"/>
      <c r="YA2434" s="38"/>
      <c r="YB2434" s="38"/>
      <c r="YC2434" s="38"/>
      <c r="YD2434" s="38"/>
      <c r="YE2434" s="38"/>
      <c r="YF2434" s="38"/>
      <c r="YG2434" s="38"/>
      <c r="YH2434" s="38"/>
      <c r="YI2434" s="38"/>
      <c r="YJ2434" s="38"/>
      <c r="YK2434" s="38"/>
      <c r="YL2434" s="38"/>
      <c r="YM2434" s="38"/>
      <c r="YN2434" s="38"/>
      <c r="YO2434" s="38"/>
      <c r="YP2434" s="38"/>
      <c r="YQ2434" s="38"/>
      <c r="YR2434" s="38"/>
      <c r="YS2434" s="38"/>
      <c r="YT2434" s="38"/>
      <c r="YU2434" s="38"/>
      <c r="YV2434" s="38"/>
      <c r="YW2434" s="38"/>
      <c r="YX2434" s="38"/>
      <c r="YY2434" s="38"/>
      <c r="YZ2434" s="38"/>
      <c r="ZA2434" s="38"/>
      <c r="ZB2434" s="38"/>
      <c r="ZC2434" s="38"/>
      <c r="ZD2434" s="38"/>
      <c r="ZE2434" s="38"/>
      <c r="ZF2434" s="38"/>
      <c r="ZG2434" s="38"/>
      <c r="ZH2434" s="38"/>
      <c r="ZI2434" s="38"/>
      <c r="ZJ2434" s="38"/>
      <c r="ZK2434" s="38"/>
      <c r="ZL2434" s="38"/>
      <c r="ZM2434" s="38"/>
      <c r="ZN2434" s="38"/>
      <c r="ZO2434" s="38"/>
      <c r="ZP2434" s="38"/>
      <c r="ZQ2434" s="38"/>
      <c r="ZR2434" s="38"/>
      <c r="ZS2434" s="38"/>
      <c r="ZT2434" s="38"/>
      <c r="ZU2434" s="38"/>
      <c r="ZV2434" s="38"/>
      <c r="ZW2434" s="38"/>
      <c r="ZX2434" s="38"/>
      <c r="ZY2434" s="38"/>
      <c r="ZZ2434" s="38"/>
      <c r="AAA2434" s="38"/>
      <c r="AAB2434" s="38"/>
      <c r="AAC2434" s="38"/>
      <c r="AAD2434" s="38"/>
      <c r="AAE2434" s="38"/>
      <c r="AAF2434" s="38"/>
      <c r="AAG2434" s="38"/>
      <c r="AAH2434" s="38"/>
      <c r="AAI2434" s="38"/>
      <c r="AAJ2434" s="38"/>
      <c r="AAK2434" s="38"/>
      <c r="AAL2434" s="38"/>
      <c r="AAM2434" s="38"/>
      <c r="AAN2434" s="38"/>
      <c r="AAO2434" s="38"/>
      <c r="AAP2434" s="38"/>
      <c r="AAQ2434" s="38"/>
      <c r="AAR2434" s="38"/>
      <c r="AAS2434" s="38"/>
      <c r="AAT2434" s="38"/>
      <c r="AAU2434" s="38"/>
      <c r="AAV2434" s="38"/>
      <c r="AAW2434" s="38"/>
      <c r="AAX2434" s="38"/>
      <c r="AAY2434" s="38"/>
      <c r="AAZ2434" s="38"/>
      <c r="ABA2434" s="38"/>
      <c r="ABB2434" s="38"/>
      <c r="ABC2434" s="38"/>
      <c r="ABD2434" s="38"/>
      <c r="ABE2434" s="38"/>
      <c r="ABF2434" s="38"/>
      <c r="ABG2434" s="38"/>
      <c r="ABH2434" s="38"/>
      <c r="ABI2434" s="38"/>
      <c r="ABJ2434" s="38"/>
      <c r="ABK2434" s="38"/>
      <c r="ABL2434" s="38"/>
      <c r="ABM2434" s="38"/>
      <c r="ABN2434" s="38"/>
      <c r="ABO2434" s="38"/>
      <c r="ABP2434" s="38"/>
      <c r="ABQ2434" s="38"/>
      <c r="ABR2434" s="38"/>
      <c r="ABS2434" s="38"/>
      <c r="ABT2434" s="38"/>
      <c r="ABU2434" s="38"/>
      <c r="ABV2434" s="38"/>
      <c r="ABW2434" s="38"/>
      <c r="ABX2434" s="38"/>
      <c r="ABY2434" s="38"/>
      <c r="ABZ2434" s="38"/>
      <c r="ACA2434" s="38"/>
      <c r="ACB2434" s="38"/>
      <c r="ACC2434" s="38"/>
      <c r="ACD2434" s="38"/>
      <c r="ACE2434" s="38"/>
      <c r="ACF2434" s="38"/>
      <c r="ACG2434" s="38"/>
      <c r="ACH2434" s="38"/>
      <c r="ACI2434" s="38"/>
      <c r="ACJ2434" s="38"/>
      <c r="ACK2434" s="38"/>
      <c r="ACL2434" s="38"/>
      <c r="ACM2434" s="38"/>
      <c r="ACN2434" s="38"/>
      <c r="ACO2434" s="38"/>
      <c r="ACP2434" s="38"/>
      <c r="ACQ2434" s="38"/>
      <c r="ACR2434" s="38"/>
      <c r="ACS2434" s="38"/>
      <c r="ACT2434" s="38"/>
      <c r="ACU2434" s="38"/>
      <c r="ACV2434" s="38"/>
      <c r="ACW2434" s="38"/>
      <c r="ACX2434" s="38"/>
      <c r="ACY2434" s="38"/>
      <c r="ACZ2434" s="38"/>
      <c r="ADA2434" s="38"/>
      <c r="ADB2434" s="38"/>
      <c r="ADC2434" s="38"/>
      <c r="ADD2434" s="38"/>
      <c r="ADE2434" s="38"/>
      <c r="ADF2434" s="38"/>
      <c r="ADG2434" s="38"/>
      <c r="ADH2434" s="38"/>
      <c r="ADI2434" s="38"/>
      <c r="ADJ2434" s="38"/>
      <c r="ADK2434" s="38"/>
      <c r="ADL2434" s="38"/>
      <c r="ADM2434" s="38"/>
      <c r="ADN2434" s="38"/>
      <c r="ADO2434" s="38"/>
      <c r="ADP2434" s="38"/>
      <c r="ADQ2434" s="38"/>
      <c r="ADR2434" s="38"/>
      <c r="ADS2434" s="38"/>
      <c r="ADT2434" s="38"/>
      <c r="ADU2434" s="38"/>
      <c r="ADV2434" s="38"/>
      <c r="ADW2434" s="38"/>
      <c r="ADX2434" s="38"/>
      <c r="ADY2434" s="38"/>
      <c r="ADZ2434" s="38"/>
      <c r="AEA2434" s="38"/>
      <c r="AEB2434" s="38"/>
      <c r="AEC2434" s="38"/>
      <c r="AED2434" s="38"/>
      <c r="AEE2434" s="38"/>
      <c r="AEF2434" s="38"/>
      <c r="AEG2434" s="38"/>
      <c r="AEH2434" s="38"/>
      <c r="AEI2434" s="38"/>
      <c r="AEJ2434" s="38"/>
      <c r="AEK2434" s="38"/>
      <c r="AEL2434" s="38"/>
      <c r="AEM2434" s="38"/>
      <c r="AEN2434" s="38"/>
      <c r="AEO2434" s="38"/>
      <c r="AEP2434" s="38"/>
      <c r="AEQ2434" s="38"/>
      <c r="AER2434" s="38"/>
      <c r="AES2434" s="38"/>
      <c r="AET2434" s="38"/>
      <c r="AEU2434" s="38"/>
      <c r="AEV2434" s="38"/>
      <c r="AEW2434" s="38"/>
      <c r="AEX2434" s="38"/>
      <c r="AEY2434" s="38"/>
      <c r="AEZ2434" s="38"/>
      <c r="AFA2434" s="38"/>
      <c r="AFB2434" s="38"/>
      <c r="AFC2434" s="38"/>
      <c r="AFD2434" s="38"/>
      <c r="AFE2434" s="38"/>
      <c r="AFF2434" s="38"/>
      <c r="AFG2434" s="38"/>
      <c r="AFH2434" s="38"/>
      <c r="AFI2434" s="38"/>
      <c r="AFJ2434" s="38"/>
      <c r="AFK2434" s="38"/>
      <c r="AFL2434" s="38"/>
      <c r="AFM2434" s="38"/>
      <c r="AFN2434" s="38"/>
      <c r="AFO2434" s="38"/>
      <c r="AFP2434" s="38"/>
      <c r="AFQ2434" s="38"/>
      <c r="AFR2434" s="38"/>
      <c r="AFS2434" s="38"/>
      <c r="AFT2434" s="38"/>
      <c r="AFU2434" s="38"/>
      <c r="AFV2434" s="38"/>
      <c r="AFW2434" s="38"/>
      <c r="AFX2434" s="38"/>
      <c r="AFY2434" s="38"/>
      <c r="AFZ2434" s="38"/>
      <c r="AGA2434" s="38"/>
      <c r="AGB2434" s="38"/>
      <c r="AGC2434" s="38"/>
      <c r="AGD2434" s="38"/>
      <c r="AGE2434" s="38"/>
      <c r="AGF2434" s="38"/>
      <c r="AGG2434" s="38"/>
      <c r="AGH2434" s="38"/>
      <c r="AGI2434" s="38"/>
      <c r="AGJ2434" s="38"/>
      <c r="AGK2434" s="38"/>
      <c r="AGL2434" s="38"/>
      <c r="AGM2434" s="38"/>
      <c r="AGN2434" s="38"/>
      <c r="AGO2434" s="38"/>
      <c r="AGP2434" s="38"/>
      <c r="AGQ2434" s="38"/>
      <c r="AGR2434" s="38"/>
      <c r="AGS2434" s="38"/>
      <c r="AGT2434" s="38"/>
      <c r="AGU2434" s="38"/>
      <c r="AGV2434" s="38"/>
      <c r="AGW2434" s="38"/>
      <c r="AGX2434" s="38"/>
      <c r="AGY2434" s="38"/>
      <c r="AGZ2434" s="38"/>
      <c r="AHA2434" s="38"/>
      <c r="AHB2434" s="38"/>
      <c r="AHC2434" s="38"/>
      <c r="AHD2434" s="38"/>
      <c r="AHE2434" s="38"/>
      <c r="AHF2434" s="38"/>
      <c r="AHG2434" s="38"/>
      <c r="AHH2434" s="38"/>
      <c r="AHI2434" s="38"/>
      <c r="AHJ2434" s="38"/>
      <c r="AHK2434" s="38"/>
      <c r="AHL2434" s="38"/>
      <c r="AHM2434" s="38"/>
      <c r="AHN2434" s="38"/>
      <c r="AHO2434" s="38"/>
      <c r="AHP2434" s="38"/>
      <c r="AHQ2434" s="38"/>
      <c r="AHR2434" s="38"/>
      <c r="AHS2434" s="38"/>
      <c r="AHT2434" s="38"/>
      <c r="AHU2434" s="38"/>
      <c r="AHV2434" s="38"/>
      <c r="AHW2434" s="38"/>
      <c r="AHX2434" s="38"/>
      <c r="AHY2434" s="38"/>
      <c r="AHZ2434" s="38"/>
      <c r="AIA2434" s="38"/>
      <c r="AIB2434" s="38"/>
      <c r="AIC2434" s="38"/>
      <c r="AID2434" s="38"/>
      <c r="AIE2434" s="38"/>
      <c r="AIF2434" s="38"/>
      <c r="AIG2434" s="38"/>
      <c r="AIH2434" s="38"/>
      <c r="AII2434" s="38"/>
      <c r="AIJ2434" s="38"/>
      <c r="AIK2434" s="38"/>
      <c r="AIL2434" s="38"/>
      <c r="AIM2434" s="38"/>
      <c r="AIN2434" s="38"/>
      <c r="AIO2434" s="38"/>
      <c r="AIP2434" s="38"/>
      <c r="AIQ2434" s="38"/>
      <c r="AIR2434" s="38"/>
      <c r="AIS2434" s="38"/>
      <c r="AIT2434" s="38"/>
      <c r="AIU2434" s="38"/>
      <c r="AIV2434" s="38"/>
      <c r="AIW2434" s="38"/>
      <c r="AIX2434" s="38"/>
      <c r="AIY2434" s="38"/>
      <c r="AIZ2434" s="38"/>
      <c r="AJA2434" s="38"/>
      <c r="AJB2434" s="38"/>
      <c r="AJC2434" s="38"/>
      <c r="AJD2434" s="38"/>
      <c r="AJE2434" s="38"/>
      <c r="AJF2434" s="38"/>
      <c r="AJG2434" s="38"/>
      <c r="AJH2434" s="38"/>
      <c r="AJI2434" s="38"/>
      <c r="AJJ2434" s="38"/>
      <c r="AJK2434" s="38"/>
      <c r="AJL2434" s="38"/>
      <c r="AJM2434" s="38"/>
      <c r="AJN2434" s="38"/>
      <c r="AJO2434" s="38"/>
      <c r="AJP2434" s="38"/>
      <c r="AJQ2434" s="38"/>
      <c r="AJR2434" s="38"/>
      <c r="AJS2434" s="38"/>
      <c r="AJT2434" s="38"/>
      <c r="AJU2434" s="38"/>
      <c r="AJV2434" s="38"/>
      <c r="AJW2434" s="38"/>
      <c r="AJX2434" s="38"/>
      <c r="AJY2434" s="38"/>
      <c r="AJZ2434" s="38"/>
      <c r="AKA2434" s="38"/>
      <c r="AKB2434" s="38"/>
      <c r="AKC2434" s="38"/>
      <c r="AKD2434" s="38"/>
      <c r="AKE2434" s="38"/>
      <c r="AKF2434" s="38"/>
      <c r="AKG2434" s="38"/>
      <c r="AKH2434" s="38"/>
      <c r="AKI2434" s="38"/>
      <c r="AKJ2434" s="38"/>
      <c r="AKK2434" s="38"/>
      <c r="AKL2434" s="38"/>
      <c r="AKM2434" s="38"/>
      <c r="AKN2434" s="38"/>
      <c r="AKO2434" s="38"/>
      <c r="AKP2434" s="38"/>
      <c r="AKQ2434" s="38"/>
      <c r="AKR2434" s="38"/>
      <c r="AKS2434" s="38"/>
      <c r="AKT2434" s="38"/>
      <c r="AKU2434" s="38"/>
      <c r="AKV2434" s="38"/>
      <c r="AKW2434" s="38"/>
      <c r="AKX2434" s="38"/>
      <c r="AKY2434" s="38"/>
      <c r="AKZ2434" s="38"/>
      <c r="ALA2434" s="38"/>
      <c r="ALB2434" s="38"/>
      <c r="ALC2434" s="38"/>
      <c r="ALD2434" s="38"/>
      <c r="ALE2434" s="38"/>
      <c r="ALF2434" s="38"/>
      <c r="ALG2434" s="38"/>
      <c r="ALH2434" s="38"/>
      <c r="ALI2434" s="38"/>
      <c r="ALJ2434" s="38"/>
      <c r="ALK2434" s="38"/>
      <c r="ALL2434" s="38"/>
      <c r="ALM2434" s="38"/>
      <c r="ALN2434" s="38"/>
      <c r="ALO2434" s="38"/>
      <c r="ALP2434" s="38"/>
      <c r="ALQ2434" s="38"/>
      <c r="ALR2434" s="38"/>
      <c r="ALS2434" s="38"/>
      <c r="ALT2434" s="38"/>
      <c r="ALU2434" s="38"/>
      <c r="ALV2434" s="38"/>
      <c r="ALW2434" s="38"/>
      <c r="ALX2434" s="38"/>
      <c r="ALY2434" s="38"/>
      <c r="ALZ2434" s="38"/>
      <c r="AMA2434" s="38"/>
      <c r="AMB2434" s="38"/>
      <c r="AMC2434" s="38"/>
      <c r="AMD2434" s="38"/>
      <c r="AME2434" s="38"/>
      <c r="AMF2434" s="38"/>
      <c r="AMG2434" s="38"/>
      <c r="AMH2434" s="38"/>
      <c r="AMI2434" s="38"/>
      <c r="AMJ2434" s="38"/>
      <c r="AMK2434" s="38"/>
      <c r="AML2434" s="38"/>
      <c r="AMM2434" s="38"/>
      <c r="AMN2434" s="38"/>
      <c r="AMO2434" s="38"/>
      <c r="AMP2434" s="38"/>
      <c r="AMQ2434" s="38"/>
      <c r="AMR2434" s="38"/>
      <c r="AMS2434" s="38"/>
      <c r="AMT2434" s="38"/>
      <c r="AMU2434" s="38"/>
      <c r="AMV2434" s="38"/>
      <c r="AMW2434" s="38"/>
      <c r="AMX2434" s="38"/>
      <c r="AMY2434" s="38"/>
      <c r="AMZ2434" s="38"/>
      <c r="ANA2434" s="38"/>
      <c r="ANB2434" s="38"/>
      <c r="ANC2434" s="38"/>
      <c r="AND2434" s="38"/>
      <c r="ANE2434" s="38"/>
      <c r="ANF2434" s="38"/>
      <c r="ANG2434" s="38"/>
      <c r="ANH2434" s="38"/>
      <c r="ANI2434" s="38"/>
      <c r="ANJ2434" s="38"/>
      <c r="ANK2434" s="38"/>
      <c r="ANL2434" s="38"/>
      <c r="ANM2434" s="38"/>
      <c r="ANN2434" s="38"/>
      <c r="ANO2434" s="38"/>
      <c r="ANP2434" s="38"/>
      <c r="ANQ2434" s="38"/>
      <c r="ANR2434" s="38"/>
      <c r="ANS2434" s="38"/>
      <c r="ANT2434" s="38"/>
      <c r="ANU2434" s="38"/>
      <c r="ANV2434" s="38"/>
      <c r="ANW2434" s="38"/>
      <c r="ANX2434" s="38"/>
      <c r="ANY2434" s="38"/>
      <c r="ANZ2434" s="38"/>
      <c r="AOA2434" s="38"/>
      <c r="AOB2434" s="38"/>
      <c r="AOC2434" s="38"/>
      <c r="AOD2434" s="38"/>
      <c r="AOE2434" s="38"/>
      <c r="AOF2434" s="38"/>
      <c r="AOG2434" s="38"/>
      <c r="AOH2434" s="38"/>
      <c r="AOI2434" s="38"/>
      <c r="AOJ2434" s="38"/>
      <c r="AOK2434" s="38"/>
      <c r="AOL2434" s="38"/>
      <c r="AOM2434" s="38"/>
      <c r="AON2434" s="38"/>
      <c r="AOO2434" s="38"/>
      <c r="AOP2434" s="38"/>
      <c r="AOQ2434" s="38"/>
      <c r="AOR2434" s="38"/>
      <c r="AOS2434" s="38"/>
      <c r="AOT2434" s="38"/>
      <c r="AOU2434" s="38"/>
      <c r="AOV2434" s="38"/>
      <c r="AOW2434" s="38"/>
      <c r="AOX2434" s="38"/>
      <c r="AOY2434" s="38"/>
      <c r="AOZ2434" s="38"/>
      <c r="APA2434" s="38"/>
      <c r="APB2434" s="38"/>
      <c r="APC2434" s="38"/>
    </row>
    <row r="2435" spans="1:1095" s="36" customFormat="1" ht="14.25" customHeight="1">
      <c r="A2435" s="3" t="s">
        <v>1722</v>
      </c>
      <c r="B2435" s="36" t="s">
        <v>3039</v>
      </c>
      <c r="C2435" s="10">
        <v>4099854064579</v>
      </c>
      <c r="D2435" s="224">
        <v>4058075625969</v>
      </c>
      <c r="E2435" s="245" t="s">
        <v>3040</v>
      </c>
      <c r="F2435" s="246"/>
      <c r="G2435" s="66" t="str">
        <f>HYPERLINK("https://ledvance.com/pt/product-datasheet/251358/237818","Ficha de Produto")</f>
        <v>Ficha de Produto</v>
      </c>
      <c r="H2435" s="217">
        <v>20</v>
      </c>
      <c r="I2435" s="34" t="s">
        <v>6388</v>
      </c>
      <c r="J2435" s="34" t="s">
        <v>6425</v>
      </c>
      <c r="K2435" s="34" t="s">
        <v>788</v>
      </c>
      <c r="L2435" s="34" t="s">
        <v>6506</v>
      </c>
      <c r="M2435" s="247">
        <v>7</v>
      </c>
      <c r="N2435" s="288" t="s">
        <v>722</v>
      </c>
    </row>
    <row r="2436" spans="1:1095" s="36" customFormat="1" ht="14.25" customHeight="1">
      <c r="A2436" s="3" t="s">
        <v>1722</v>
      </c>
      <c r="B2436" s="36" t="s">
        <v>3041</v>
      </c>
      <c r="C2436" s="10">
        <v>4099854064548</v>
      </c>
      <c r="D2436" s="224">
        <v>4058075626041</v>
      </c>
      <c r="E2436" s="245" t="s">
        <v>3042</v>
      </c>
      <c r="F2436" s="246"/>
      <c r="G2436" s="66" t="str">
        <f>HYPERLINK("https://ledvance.com/pt/product-datasheet/251358/237814","Ficha de Produto")</f>
        <v>Ficha de Produto</v>
      </c>
      <c r="H2436" s="217">
        <v>20</v>
      </c>
      <c r="I2436" s="34" t="s">
        <v>1040</v>
      </c>
      <c r="J2436" s="34" t="s">
        <v>6360</v>
      </c>
      <c r="K2436" s="34" t="s">
        <v>788</v>
      </c>
      <c r="L2436" s="34" t="s">
        <v>793</v>
      </c>
      <c r="M2436" s="247">
        <v>8.6</v>
      </c>
      <c r="N2436" s="288" t="s">
        <v>722</v>
      </c>
    </row>
    <row r="2437" spans="1:1095" s="36" customFormat="1" ht="14.25" customHeight="1">
      <c r="A2437" s="3" t="s">
        <v>1722</v>
      </c>
      <c r="B2437" s="36" t="s">
        <v>3043</v>
      </c>
      <c r="C2437" s="10">
        <v>4099854064517</v>
      </c>
      <c r="D2437" s="224">
        <v>4058075626010</v>
      </c>
      <c r="E2437" s="245" t="s">
        <v>3044</v>
      </c>
      <c r="F2437" s="246"/>
      <c r="G2437" s="66" t="str">
        <f>HYPERLINK("https://ledvance.com/pt/product-datasheet/251358/237802","Ficha de Produto")</f>
        <v>Ficha de Produto</v>
      </c>
      <c r="H2437" s="217">
        <v>20</v>
      </c>
      <c r="I2437" s="34" t="s">
        <v>1040</v>
      </c>
      <c r="J2437" s="34" t="s">
        <v>6360</v>
      </c>
      <c r="K2437" s="34" t="s">
        <v>788</v>
      </c>
      <c r="L2437" s="34" t="s">
        <v>793</v>
      </c>
      <c r="M2437" s="247">
        <v>8.6</v>
      </c>
      <c r="N2437" s="288" t="s">
        <v>722</v>
      </c>
    </row>
    <row r="2438" spans="1:1095" s="36" customFormat="1" ht="14.25" customHeight="1">
      <c r="A2438" s="3" t="s">
        <v>1722</v>
      </c>
      <c r="B2438" s="36" t="s">
        <v>3045</v>
      </c>
      <c r="C2438" s="10">
        <v>4099854064609</v>
      </c>
      <c r="D2438" s="224">
        <v>4058075626072</v>
      </c>
      <c r="E2438" s="245" t="s">
        <v>3046</v>
      </c>
      <c r="F2438" s="246"/>
      <c r="G2438" s="66" t="str">
        <f>HYPERLINK("https://ledvance.com/pt/product-datasheet/251358/237842","Ficha de Produto")</f>
        <v>Ficha de Produto</v>
      </c>
      <c r="H2438" s="217">
        <v>20</v>
      </c>
      <c r="I2438" s="34" t="s">
        <v>6354</v>
      </c>
      <c r="J2438" s="34" t="s">
        <v>6355</v>
      </c>
      <c r="K2438" s="34" t="s">
        <v>788</v>
      </c>
      <c r="L2438" s="34" t="s">
        <v>6506</v>
      </c>
      <c r="M2438" s="247">
        <v>11.8</v>
      </c>
      <c r="N2438" s="288" t="s">
        <v>722</v>
      </c>
    </row>
    <row r="2439" spans="1:1095" s="36" customFormat="1" ht="14.25" customHeight="1">
      <c r="A2439" s="3" t="s">
        <v>1722</v>
      </c>
      <c r="B2439" s="36" t="s">
        <v>3047</v>
      </c>
      <c r="C2439" s="10">
        <v>4099854064630</v>
      </c>
      <c r="D2439" s="224">
        <v>4058075626102</v>
      </c>
      <c r="E2439" s="245" t="s">
        <v>3048</v>
      </c>
      <c r="F2439" s="246"/>
      <c r="G2439" s="66" t="str">
        <f>HYPERLINK("https://ledvance.com/pt/product-datasheet/251358/237858","Ficha de Produto")</f>
        <v>Ficha de Produto</v>
      </c>
      <c r="H2439" s="217">
        <v>20</v>
      </c>
      <c r="I2439" s="34" t="s">
        <v>6354</v>
      </c>
      <c r="J2439" s="34" t="s">
        <v>6355</v>
      </c>
      <c r="K2439" s="34" t="s">
        <v>788</v>
      </c>
      <c r="L2439" s="34" t="s">
        <v>6506</v>
      </c>
      <c r="M2439" s="247">
        <v>11.8</v>
      </c>
      <c r="N2439" s="288" t="s">
        <v>722</v>
      </c>
    </row>
    <row r="2440" spans="1:1095" s="36" customFormat="1" ht="14.25" customHeight="1">
      <c r="A2440" s="3" t="s">
        <v>1722</v>
      </c>
      <c r="B2440" s="36" t="s">
        <v>3049</v>
      </c>
      <c r="C2440" s="10">
        <v>4099854064784</v>
      </c>
      <c r="D2440" s="224">
        <v>4058075622234</v>
      </c>
      <c r="E2440" s="245" t="s">
        <v>3050</v>
      </c>
      <c r="F2440" s="246"/>
      <c r="G2440" s="66" t="str">
        <f>HYPERLINK("https://ledvance.com/pt/product-datasheet/251358/237810","Ficha de Produto")</f>
        <v>Ficha de Produto</v>
      </c>
      <c r="H2440" s="217">
        <v>20</v>
      </c>
      <c r="I2440" s="34" t="s">
        <v>1052</v>
      </c>
      <c r="J2440" s="34" t="s">
        <v>6365</v>
      </c>
      <c r="K2440" s="34" t="s">
        <v>788</v>
      </c>
      <c r="L2440" s="34" t="s">
        <v>6506</v>
      </c>
      <c r="M2440" s="247">
        <v>18.3</v>
      </c>
      <c r="N2440" s="288" t="s">
        <v>722</v>
      </c>
    </row>
    <row r="2441" spans="1:1095" s="36" customFormat="1" ht="14.25" customHeight="1">
      <c r="A2441" s="3" t="s">
        <v>1722</v>
      </c>
      <c r="B2441" s="36" t="s">
        <v>3051</v>
      </c>
      <c r="C2441" s="10">
        <v>4099854064845</v>
      </c>
      <c r="D2441" s="224">
        <v>4058075622203</v>
      </c>
      <c r="E2441" s="245" t="s">
        <v>3052</v>
      </c>
      <c r="F2441" s="246"/>
      <c r="G2441" s="66" t="str">
        <f>HYPERLINK("https://ledvance.com/pt/product-datasheet/251358/237834","Ficha de Produto")</f>
        <v>Ficha de Produto</v>
      </c>
      <c r="H2441" s="217">
        <v>20</v>
      </c>
      <c r="I2441" s="34" t="s">
        <v>1052</v>
      </c>
      <c r="J2441" s="34" t="s">
        <v>6365</v>
      </c>
      <c r="K2441" s="34" t="s">
        <v>788</v>
      </c>
      <c r="L2441" s="34" t="s">
        <v>6506</v>
      </c>
      <c r="M2441" s="247">
        <v>18.3</v>
      </c>
      <c r="N2441" s="288" t="s">
        <v>722</v>
      </c>
    </row>
    <row r="2442" spans="1:1095" s="39" customFormat="1" ht="14.25" customHeight="1">
      <c r="A2442" s="8" t="s">
        <v>1722</v>
      </c>
      <c r="B2442" s="244" t="s">
        <v>3053</v>
      </c>
      <c r="C2442" s="8"/>
      <c r="D2442" s="7"/>
      <c r="E2442" s="230"/>
      <c r="F2442" s="7"/>
      <c r="G2442" s="68"/>
      <c r="H2442" s="230"/>
      <c r="I2442" s="230"/>
      <c r="J2442" s="230"/>
      <c r="K2442" s="230"/>
      <c r="L2442" s="230"/>
      <c r="M2442" s="248"/>
      <c r="N2442" s="289"/>
      <c r="O2442" s="38"/>
      <c r="P2442" s="38"/>
      <c r="Q2442" s="38"/>
      <c r="R2442" s="38"/>
      <c r="S2442" s="38"/>
      <c r="T2442" s="38"/>
      <c r="U2442" s="38"/>
      <c r="V2442" s="38"/>
      <c r="W2442" s="38"/>
      <c r="X2442" s="38"/>
      <c r="Y2442" s="38"/>
      <c r="Z2442" s="38"/>
      <c r="AA2442" s="38"/>
      <c r="AB2442" s="38"/>
      <c r="AC2442" s="38"/>
      <c r="AD2442" s="38"/>
      <c r="AE2442" s="38"/>
      <c r="AF2442" s="38"/>
      <c r="AG2442" s="38"/>
      <c r="AH2442" s="38"/>
      <c r="AI2442" s="38"/>
      <c r="AJ2442" s="38"/>
      <c r="AK2442" s="38"/>
      <c r="AL2442" s="38"/>
      <c r="AM2442" s="38"/>
      <c r="AN2442" s="38"/>
      <c r="AO2442" s="38"/>
      <c r="AP2442" s="38"/>
      <c r="AQ2442" s="38"/>
      <c r="AR2442" s="38"/>
      <c r="AS2442" s="38"/>
      <c r="AT2442" s="38"/>
      <c r="AU2442" s="38"/>
      <c r="AV2442" s="38"/>
      <c r="AW2442" s="38"/>
      <c r="AX2442" s="38"/>
      <c r="AY2442" s="38"/>
      <c r="AZ2442" s="38"/>
      <c r="BA2442" s="38"/>
      <c r="BB2442" s="38"/>
      <c r="BC2442" s="38"/>
      <c r="BD2442" s="38"/>
      <c r="BE2442" s="38"/>
      <c r="BF2442" s="38"/>
      <c r="BG2442" s="38"/>
      <c r="BH2442" s="38"/>
      <c r="BI2442" s="38"/>
      <c r="BJ2442" s="38"/>
      <c r="BK2442" s="38"/>
      <c r="BL2442" s="38"/>
      <c r="BM2442" s="38"/>
      <c r="BN2442" s="38"/>
      <c r="BO2442" s="38"/>
      <c r="BP2442" s="38"/>
      <c r="BQ2442" s="38"/>
      <c r="BR2442" s="38"/>
      <c r="BS2442" s="38"/>
      <c r="BT2442" s="38"/>
      <c r="BU2442" s="38"/>
      <c r="BV2442" s="38"/>
      <c r="BW2442" s="38"/>
      <c r="BX2442" s="38"/>
      <c r="BY2442" s="38"/>
      <c r="BZ2442" s="38"/>
      <c r="CA2442" s="38"/>
      <c r="CB2442" s="38"/>
      <c r="CC2442" s="38"/>
      <c r="CD2442" s="38"/>
      <c r="CE2442" s="38"/>
      <c r="CF2442" s="38"/>
      <c r="CG2442" s="38"/>
      <c r="CH2442" s="38"/>
      <c r="CI2442" s="38"/>
      <c r="CJ2442" s="38"/>
      <c r="CK2442" s="38"/>
      <c r="CL2442" s="38"/>
      <c r="CM2442" s="38"/>
      <c r="CN2442" s="38"/>
      <c r="CO2442" s="38"/>
      <c r="CP2442" s="38"/>
      <c r="CQ2442" s="38"/>
      <c r="CR2442" s="38"/>
      <c r="CS2442" s="38"/>
      <c r="CT2442" s="38"/>
      <c r="CU2442" s="38"/>
      <c r="CV2442" s="38"/>
      <c r="CW2442" s="38"/>
      <c r="CX2442" s="38"/>
      <c r="CY2442" s="38"/>
      <c r="CZ2442" s="38"/>
      <c r="DA2442" s="38"/>
      <c r="DB2442" s="38"/>
      <c r="DC2442" s="38"/>
      <c r="DD2442" s="38"/>
      <c r="DE2442" s="38"/>
      <c r="DF2442" s="38"/>
      <c r="DG2442" s="38"/>
      <c r="DH2442" s="38"/>
      <c r="DI2442" s="38"/>
      <c r="DJ2442" s="38"/>
      <c r="DK2442" s="38"/>
      <c r="DL2442" s="38"/>
      <c r="DM2442" s="38"/>
      <c r="DN2442" s="38"/>
      <c r="DO2442" s="38"/>
      <c r="DP2442" s="38"/>
      <c r="DQ2442" s="38"/>
      <c r="DR2442" s="38"/>
      <c r="DS2442" s="38"/>
      <c r="DT2442" s="38"/>
      <c r="DU2442" s="38"/>
      <c r="DV2442" s="38"/>
      <c r="DW2442" s="38"/>
      <c r="DX2442" s="38"/>
      <c r="DY2442" s="38"/>
      <c r="DZ2442" s="38"/>
      <c r="EA2442" s="38"/>
      <c r="EB2442" s="38"/>
      <c r="EC2442" s="38"/>
      <c r="ED2442" s="38"/>
      <c r="EE2442" s="38"/>
      <c r="EF2442" s="38"/>
      <c r="EG2442" s="38"/>
      <c r="EH2442" s="38"/>
      <c r="EI2442" s="38"/>
      <c r="EJ2442" s="38"/>
      <c r="EK2442" s="38"/>
      <c r="EL2442" s="38"/>
      <c r="EM2442" s="38"/>
      <c r="EN2442" s="38"/>
      <c r="EO2442" s="38"/>
      <c r="EP2442" s="38"/>
      <c r="EQ2442" s="38"/>
      <c r="ER2442" s="38"/>
      <c r="ES2442" s="38"/>
      <c r="ET2442" s="38"/>
      <c r="EU2442" s="38"/>
      <c r="EV2442" s="38"/>
      <c r="EW2442" s="38"/>
      <c r="EX2442" s="38"/>
      <c r="EY2442" s="38"/>
      <c r="EZ2442" s="38"/>
      <c r="FA2442" s="38"/>
      <c r="FB2442" s="38"/>
      <c r="FC2442" s="38"/>
      <c r="FD2442" s="38"/>
      <c r="FE2442" s="38"/>
      <c r="FF2442" s="38"/>
      <c r="FG2442" s="38"/>
      <c r="FH2442" s="38"/>
      <c r="FI2442" s="38"/>
      <c r="FJ2442" s="38"/>
      <c r="FK2442" s="38"/>
      <c r="FL2442" s="38"/>
      <c r="FM2442" s="38"/>
      <c r="FN2442" s="38"/>
      <c r="FO2442" s="38"/>
      <c r="FP2442" s="38"/>
      <c r="FQ2442" s="38"/>
      <c r="FR2442" s="38"/>
      <c r="FS2442" s="38"/>
      <c r="FT2442" s="38"/>
      <c r="FU2442" s="38"/>
      <c r="FV2442" s="38"/>
      <c r="FW2442" s="38"/>
      <c r="FX2442" s="38"/>
      <c r="FY2442" s="38"/>
      <c r="FZ2442" s="38"/>
      <c r="GA2442" s="38"/>
      <c r="GB2442" s="38"/>
      <c r="GC2442" s="38"/>
      <c r="GD2442" s="38"/>
      <c r="GE2442" s="38"/>
      <c r="GF2442" s="38"/>
      <c r="GG2442" s="38"/>
      <c r="GH2442" s="38"/>
      <c r="GI2442" s="38"/>
      <c r="GJ2442" s="38"/>
      <c r="GK2442" s="38"/>
      <c r="GL2442" s="38"/>
      <c r="GM2442" s="38"/>
      <c r="GN2442" s="38"/>
      <c r="GO2442" s="38"/>
      <c r="GP2442" s="38"/>
      <c r="GQ2442" s="38"/>
      <c r="GR2442" s="38"/>
      <c r="GS2442" s="38"/>
      <c r="GT2442" s="38"/>
      <c r="GU2442" s="38"/>
      <c r="GV2442" s="38"/>
      <c r="GW2442" s="38"/>
      <c r="GX2442" s="38"/>
      <c r="GY2442" s="38"/>
      <c r="GZ2442" s="38"/>
      <c r="HA2442" s="38"/>
      <c r="HB2442" s="38"/>
      <c r="HC2442" s="38"/>
      <c r="HD2442" s="38"/>
      <c r="HE2442" s="38"/>
      <c r="HF2442" s="38"/>
      <c r="HG2442" s="38"/>
      <c r="HH2442" s="38"/>
      <c r="HI2442" s="38"/>
      <c r="HJ2442" s="38"/>
      <c r="HK2442" s="38"/>
      <c r="HL2442" s="38"/>
      <c r="HM2442" s="38"/>
      <c r="HN2442" s="38"/>
      <c r="HO2442" s="38"/>
      <c r="HP2442" s="38"/>
      <c r="HQ2442" s="38"/>
      <c r="HR2442" s="38"/>
      <c r="HS2442" s="38"/>
      <c r="HT2442" s="38"/>
      <c r="HU2442" s="38"/>
      <c r="HV2442" s="38"/>
      <c r="HW2442" s="38"/>
      <c r="HX2442" s="38"/>
      <c r="HY2442" s="38"/>
      <c r="HZ2442" s="38"/>
      <c r="IA2442" s="38"/>
      <c r="IB2442" s="38"/>
      <c r="IC2442" s="38"/>
      <c r="ID2442" s="38"/>
      <c r="IE2442" s="38"/>
      <c r="IF2442" s="38"/>
      <c r="IG2442" s="38"/>
      <c r="IH2442" s="38"/>
      <c r="II2442" s="38"/>
      <c r="IJ2442" s="38"/>
      <c r="IK2442" s="38"/>
      <c r="IL2442" s="38"/>
      <c r="IM2442" s="38"/>
      <c r="IN2442" s="38"/>
      <c r="IO2442" s="38"/>
      <c r="IP2442" s="38"/>
      <c r="IQ2442" s="38"/>
      <c r="IR2442" s="38"/>
      <c r="IS2442" s="38"/>
      <c r="IT2442" s="38"/>
      <c r="IU2442" s="38"/>
      <c r="IV2442" s="38"/>
      <c r="IW2442" s="38"/>
      <c r="IX2442" s="38"/>
      <c r="IY2442" s="38"/>
      <c r="IZ2442" s="38"/>
      <c r="JA2442" s="38"/>
      <c r="JB2442" s="38"/>
      <c r="JC2442" s="38"/>
      <c r="JD2442" s="38"/>
      <c r="JE2442" s="38"/>
      <c r="JF2442" s="38"/>
      <c r="JG2442" s="38"/>
      <c r="JH2442" s="38"/>
      <c r="JI2442" s="38"/>
      <c r="JJ2442" s="38"/>
      <c r="JK2442" s="38"/>
      <c r="JL2442" s="38"/>
      <c r="JM2442" s="38"/>
      <c r="JN2442" s="38"/>
      <c r="JO2442" s="38"/>
      <c r="JP2442" s="38"/>
      <c r="JQ2442" s="38"/>
      <c r="JR2442" s="38"/>
      <c r="JS2442" s="38"/>
      <c r="JT2442" s="38"/>
      <c r="JU2442" s="38"/>
      <c r="JV2442" s="38"/>
      <c r="JW2442" s="38"/>
      <c r="JX2442" s="38"/>
      <c r="JY2442" s="38"/>
      <c r="JZ2442" s="38"/>
      <c r="KA2442" s="38"/>
      <c r="KB2442" s="38"/>
      <c r="KC2442" s="38"/>
      <c r="KD2442" s="38"/>
      <c r="KE2442" s="38"/>
      <c r="KF2442" s="38"/>
      <c r="KG2442" s="38"/>
      <c r="KH2442" s="38"/>
      <c r="KI2442" s="38"/>
      <c r="KJ2442" s="38"/>
      <c r="KK2442" s="38"/>
      <c r="KL2442" s="38"/>
      <c r="KM2442" s="38"/>
      <c r="KN2442" s="38"/>
      <c r="KO2442" s="38"/>
      <c r="KP2442" s="38"/>
      <c r="KQ2442" s="38"/>
      <c r="KR2442" s="38"/>
      <c r="KS2442" s="38"/>
      <c r="KT2442" s="38"/>
      <c r="KU2442" s="38"/>
      <c r="KV2442" s="38"/>
      <c r="KW2442" s="38"/>
      <c r="KX2442" s="38"/>
      <c r="KY2442" s="38"/>
      <c r="KZ2442" s="38"/>
      <c r="LA2442" s="38"/>
      <c r="LB2442" s="38"/>
      <c r="LC2442" s="38"/>
      <c r="LD2442" s="38"/>
      <c r="LE2442" s="38"/>
      <c r="LF2442" s="38"/>
      <c r="LG2442" s="38"/>
      <c r="LH2442" s="38"/>
      <c r="LI2442" s="38"/>
      <c r="LJ2442" s="38"/>
      <c r="LK2442" s="38"/>
      <c r="LL2442" s="38"/>
      <c r="LM2442" s="38"/>
      <c r="LN2442" s="38"/>
      <c r="LO2442" s="38"/>
      <c r="LP2442" s="38"/>
      <c r="LQ2442" s="38"/>
      <c r="LR2442" s="38"/>
      <c r="LS2442" s="38"/>
      <c r="LT2442" s="38"/>
      <c r="LU2442" s="38"/>
      <c r="LV2442" s="38"/>
      <c r="LW2442" s="38"/>
      <c r="LX2442" s="38"/>
      <c r="LY2442" s="38"/>
      <c r="LZ2442" s="38"/>
      <c r="MA2442" s="38"/>
      <c r="MB2442" s="38"/>
      <c r="MC2442" s="38"/>
      <c r="MD2442" s="38"/>
      <c r="ME2442" s="38"/>
      <c r="MF2442" s="38"/>
      <c r="MG2442" s="38"/>
      <c r="MH2442" s="38"/>
      <c r="MI2442" s="38"/>
      <c r="MJ2442" s="38"/>
      <c r="MK2442" s="38"/>
      <c r="ML2442" s="38"/>
      <c r="MM2442" s="38"/>
      <c r="MN2442" s="38"/>
      <c r="MO2442" s="38"/>
      <c r="MP2442" s="38"/>
      <c r="MQ2442" s="38"/>
      <c r="MR2442" s="38"/>
      <c r="MS2442" s="38"/>
      <c r="MT2442" s="38"/>
      <c r="MU2442" s="38"/>
      <c r="MV2442" s="38"/>
      <c r="MW2442" s="38"/>
      <c r="MX2442" s="38"/>
      <c r="MY2442" s="38"/>
      <c r="MZ2442" s="38"/>
      <c r="NA2442" s="38"/>
      <c r="NB2442" s="38"/>
      <c r="NC2442" s="38"/>
      <c r="ND2442" s="38"/>
      <c r="NE2442" s="38"/>
      <c r="NF2442" s="38"/>
      <c r="NG2442" s="38"/>
      <c r="NH2442" s="38"/>
      <c r="NI2442" s="38"/>
      <c r="NJ2442" s="38"/>
      <c r="NK2442" s="38"/>
      <c r="NL2442" s="38"/>
      <c r="NM2442" s="38"/>
      <c r="NN2442" s="38"/>
      <c r="NO2442" s="38"/>
      <c r="NP2442" s="38"/>
      <c r="NQ2442" s="38"/>
      <c r="NR2442" s="38"/>
      <c r="NS2442" s="38"/>
      <c r="NT2442" s="38"/>
      <c r="NU2442" s="38"/>
      <c r="NV2442" s="38"/>
      <c r="NW2442" s="38"/>
      <c r="NX2442" s="38"/>
      <c r="NY2442" s="38"/>
      <c r="NZ2442" s="38"/>
      <c r="OA2442" s="38"/>
      <c r="OB2442" s="38"/>
      <c r="OC2442" s="38"/>
      <c r="OD2442" s="38"/>
      <c r="OE2442" s="38"/>
      <c r="OF2442" s="38"/>
      <c r="OG2442" s="38"/>
      <c r="OH2442" s="38"/>
      <c r="OI2442" s="38"/>
      <c r="OJ2442" s="38"/>
      <c r="OK2442" s="38"/>
      <c r="OL2442" s="38"/>
      <c r="OM2442" s="38"/>
      <c r="ON2442" s="38"/>
      <c r="OO2442" s="38"/>
      <c r="OP2442" s="38"/>
      <c r="OQ2442" s="38"/>
      <c r="OR2442" s="38"/>
      <c r="OS2442" s="38"/>
      <c r="OT2442" s="38"/>
      <c r="OU2442" s="38"/>
      <c r="OV2442" s="38"/>
      <c r="OW2442" s="38"/>
      <c r="OX2442" s="38"/>
      <c r="OY2442" s="38"/>
      <c r="OZ2442" s="38"/>
      <c r="PA2442" s="38"/>
      <c r="PB2442" s="38"/>
      <c r="PC2442" s="38"/>
      <c r="PD2442" s="38"/>
      <c r="PE2442" s="38"/>
      <c r="PF2442" s="38"/>
      <c r="PG2442" s="38"/>
      <c r="PH2442" s="38"/>
      <c r="PI2442" s="38"/>
      <c r="PJ2442" s="38"/>
      <c r="PK2442" s="38"/>
      <c r="PL2442" s="38"/>
      <c r="PM2442" s="38"/>
      <c r="PN2442" s="38"/>
      <c r="PO2442" s="38"/>
      <c r="PP2442" s="38"/>
      <c r="PQ2442" s="38"/>
      <c r="PR2442" s="38"/>
      <c r="PS2442" s="38"/>
      <c r="PT2442" s="38"/>
      <c r="PU2442" s="38"/>
      <c r="PV2442" s="38"/>
      <c r="PW2442" s="38"/>
      <c r="PX2442" s="38"/>
      <c r="PY2442" s="38"/>
      <c r="PZ2442" s="38"/>
      <c r="QA2442" s="38"/>
      <c r="QB2442" s="38"/>
      <c r="QC2442" s="38"/>
      <c r="QD2442" s="38"/>
      <c r="QE2442" s="38"/>
      <c r="QF2442" s="38"/>
      <c r="QG2442" s="38"/>
      <c r="QH2442" s="38"/>
      <c r="QI2442" s="38"/>
      <c r="QJ2442" s="38"/>
      <c r="QK2442" s="38"/>
      <c r="QL2442" s="38"/>
      <c r="QM2442" s="38"/>
      <c r="QN2442" s="38"/>
      <c r="QO2442" s="38"/>
      <c r="QP2442" s="38"/>
      <c r="QQ2442" s="38"/>
      <c r="QR2442" s="38"/>
      <c r="QS2442" s="38"/>
      <c r="QT2442" s="38"/>
      <c r="QU2442" s="38"/>
      <c r="QV2442" s="38"/>
      <c r="QW2442" s="38"/>
      <c r="QX2442" s="38"/>
      <c r="QY2442" s="38"/>
      <c r="QZ2442" s="38"/>
      <c r="RA2442" s="38"/>
      <c r="RB2442" s="38"/>
      <c r="RC2442" s="38"/>
      <c r="RD2442" s="38"/>
      <c r="RE2442" s="38"/>
      <c r="RF2442" s="38"/>
      <c r="RG2442" s="38"/>
      <c r="RH2442" s="38"/>
      <c r="RI2442" s="38"/>
      <c r="RJ2442" s="38"/>
      <c r="RK2442" s="38"/>
      <c r="RL2442" s="38"/>
      <c r="RM2442" s="38"/>
      <c r="RN2442" s="38"/>
      <c r="RO2442" s="38"/>
      <c r="RP2442" s="38"/>
      <c r="RQ2442" s="38"/>
      <c r="RR2442" s="38"/>
      <c r="RS2442" s="38"/>
      <c r="RT2442" s="38"/>
      <c r="RU2442" s="38"/>
      <c r="RV2442" s="38"/>
      <c r="RW2442" s="38"/>
      <c r="RX2442" s="38"/>
      <c r="RY2442" s="38"/>
      <c r="RZ2442" s="38"/>
      <c r="SA2442" s="38"/>
      <c r="SB2442" s="38"/>
      <c r="SC2442" s="38"/>
      <c r="SD2442" s="38"/>
      <c r="SE2442" s="38"/>
      <c r="SF2442" s="38"/>
      <c r="SG2442" s="38"/>
      <c r="SH2442" s="38"/>
      <c r="SI2442" s="38"/>
      <c r="SJ2442" s="38"/>
      <c r="SK2442" s="38"/>
      <c r="SL2442" s="38"/>
      <c r="SM2442" s="38"/>
      <c r="SN2442" s="38"/>
      <c r="SO2442" s="38"/>
      <c r="SP2442" s="38"/>
      <c r="SQ2442" s="38"/>
      <c r="SR2442" s="38"/>
      <c r="SS2442" s="38"/>
      <c r="ST2442" s="38"/>
      <c r="SU2442" s="38"/>
      <c r="SV2442" s="38"/>
      <c r="SW2442" s="38"/>
      <c r="SX2442" s="38"/>
      <c r="SY2442" s="38"/>
      <c r="SZ2442" s="38"/>
      <c r="TA2442" s="38"/>
      <c r="TB2442" s="38"/>
      <c r="TC2442" s="38"/>
      <c r="TD2442" s="38"/>
      <c r="TE2442" s="38"/>
      <c r="TF2442" s="38"/>
      <c r="TG2442" s="38"/>
      <c r="TH2442" s="38"/>
      <c r="TI2442" s="38"/>
      <c r="TJ2442" s="38"/>
      <c r="TK2442" s="38"/>
      <c r="TL2442" s="38"/>
      <c r="TM2442" s="38"/>
      <c r="TN2442" s="38"/>
      <c r="TO2442" s="38"/>
      <c r="TP2442" s="38"/>
      <c r="TQ2442" s="38"/>
      <c r="TR2442" s="38"/>
      <c r="TS2442" s="38"/>
      <c r="TT2442" s="38"/>
      <c r="TU2442" s="38"/>
      <c r="TV2442" s="38"/>
      <c r="TW2442" s="38"/>
      <c r="TX2442" s="38"/>
      <c r="TY2442" s="38"/>
      <c r="TZ2442" s="38"/>
      <c r="UA2442" s="38"/>
      <c r="UB2442" s="38"/>
      <c r="UC2442" s="38"/>
      <c r="UD2442" s="38"/>
      <c r="UE2442" s="38"/>
      <c r="UF2442" s="38"/>
      <c r="UG2442" s="38"/>
      <c r="UH2442" s="38"/>
      <c r="UI2442" s="38"/>
      <c r="UJ2442" s="38"/>
      <c r="UK2442" s="38"/>
      <c r="UL2442" s="38"/>
      <c r="UM2442" s="38"/>
      <c r="UN2442" s="38"/>
      <c r="UO2442" s="38"/>
      <c r="UP2442" s="38"/>
      <c r="UQ2442" s="38"/>
      <c r="UR2442" s="38"/>
      <c r="US2442" s="38"/>
      <c r="UT2442" s="38"/>
      <c r="UU2442" s="38"/>
      <c r="UV2442" s="38"/>
      <c r="UW2442" s="38"/>
      <c r="UX2442" s="38"/>
      <c r="UY2442" s="38"/>
      <c r="UZ2442" s="38"/>
      <c r="VA2442" s="38"/>
      <c r="VB2442" s="38"/>
      <c r="VC2442" s="38"/>
      <c r="VD2442" s="38"/>
      <c r="VE2442" s="38"/>
      <c r="VF2442" s="38"/>
      <c r="VG2442" s="38"/>
      <c r="VH2442" s="38"/>
      <c r="VI2442" s="38"/>
      <c r="VJ2442" s="38"/>
      <c r="VK2442" s="38"/>
      <c r="VL2442" s="38"/>
      <c r="VM2442" s="38"/>
      <c r="VN2442" s="38"/>
      <c r="VO2442" s="38"/>
      <c r="VP2442" s="38"/>
      <c r="VQ2442" s="38"/>
      <c r="VR2442" s="38"/>
      <c r="VS2442" s="38"/>
      <c r="VT2442" s="38"/>
      <c r="VU2442" s="38"/>
      <c r="VV2442" s="38"/>
      <c r="VW2442" s="38"/>
      <c r="VX2442" s="38"/>
      <c r="VY2442" s="38"/>
      <c r="VZ2442" s="38"/>
      <c r="WA2442" s="38"/>
      <c r="WB2442" s="38"/>
      <c r="WC2442" s="38"/>
      <c r="WD2442" s="38"/>
      <c r="WE2442" s="38"/>
      <c r="WF2442" s="38"/>
      <c r="WG2442" s="38"/>
      <c r="WH2442" s="38"/>
      <c r="WI2442" s="38"/>
      <c r="WJ2442" s="38"/>
      <c r="WK2442" s="38"/>
      <c r="WL2442" s="38"/>
      <c r="WM2442" s="38"/>
      <c r="WN2442" s="38"/>
      <c r="WO2442" s="38"/>
      <c r="WP2442" s="38"/>
      <c r="WQ2442" s="38"/>
      <c r="WR2442" s="38"/>
      <c r="WS2442" s="38"/>
      <c r="WT2442" s="38"/>
      <c r="WU2442" s="38"/>
      <c r="WV2442" s="38"/>
      <c r="WW2442" s="38"/>
      <c r="WX2442" s="38"/>
      <c r="WY2442" s="38"/>
      <c r="WZ2442" s="38"/>
      <c r="XA2442" s="38"/>
      <c r="XB2442" s="38"/>
      <c r="XC2442" s="38"/>
      <c r="XD2442" s="38"/>
      <c r="XE2442" s="38"/>
      <c r="XF2442" s="38"/>
      <c r="XG2442" s="38"/>
      <c r="XH2442" s="38"/>
      <c r="XI2442" s="38"/>
      <c r="XJ2442" s="38"/>
      <c r="XK2442" s="38"/>
      <c r="XL2442" s="38"/>
      <c r="XM2442" s="38"/>
      <c r="XN2442" s="38"/>
      <c r="XO2442" s="38"/>
      <c r="XP2442" s="38"/>
      <c r="XQ2442" s="38"/>
      <c r="XR2442" s="38"/>
      <c r="XS2442" s="38"/>
      <c r="XT2442" s="38"/>
      <c r="XU2442" s="38"/>
      <c r="XV2442" s="38"/>
      <c r="XW2442" s="38"/>
      <c r="XX2442" s="38"/>
      <c r="XY2442" s="38"/>
      <c r="XZ2442" s="38"/>
      <c r="YA2442" s="38"/>
      <c r="YB2442" s="38"/>
      <c r="YC2442" s="38"/>
      <c r="YD2442" s="38"/>
      <c r="YE2442" s="38"/>
      <c r="YF2442" s="38"/>
      <c r="YG2442" s="38"/>
      <c r="YH2442" s="38"/>
      <c r="YI2442" s="38"/>
      <c r="YJ2442" s="38"/>
      <c r="YK2442" s="38"/>
      <c r="YL2442" s="38"/>
      <c r="YM2442" s="38"/>
      <c r="YN2442" s="38"/>
      <c r="YO2442" s="38"/>
      <c r="YP2442" s="38"/>
      <c r="YQ2442" s="38"/>
      <c r="YR2442" s="38"/>
      <c r="YS2442" s="38"/>
      <c r="YT2442" s="38"/>
      <c r="YU2442" s="38"/>
      <c r="YV2442" s="38"/>
      <c r="YW2442" s="38"/>
      <c r="YX2442" s="38"/>
      <c r="YY2442" s="38"/>
      <c r="YZ2442" s="38"/>
      <c r="ZA2442" s="38"/>
      <c r="ZB2442" s="38"/>
      <c r="ZC2442" s="38"/>
      <c r="ZD2442" s="38"/>
      <c r="ZE2442" s="38"/>
      <c r="ZF2442" s="38"/>
      <c r="ZG2442" s="38"/>
      <c r="ZH2442" s="38"/>
      <c r="ZI2442" s="38"/>
      <c r="ZJ2442" s="38"/>
      <c r="ZK2442" s="38"/>
      <c r="ZL2442" s="38"/>
      <c r="ZM2442" s="38"/>
      <c r="ZN2442" s="38"/>
      <c r="ZO2442" s="38"/>
      <c r="ZP2442" s="38"/>
      <c r="ZQ2442" s="38"/>
      <c r="ZR2442" s="38"/>
      <c r="ZS2442" s="38"/>
      <c r="ZT2442" s="38"/>
      <c r="ZU2442" s="38"/>
      <c r="ZV2442" s="38"/>
      <c r="ZW2442" s="38"/>
      <c r="ZX2442" s="38"/>
      <c r="ZY2442" s="38"/>
      <c r="ZZ2442" s="38"/>
      <c r="AAA2442" s="38"/>
      <c r="AAB2442" s="38"/>
      <c r="AAC2442" s="38"/>
      <c r="AAD2442" s="38"/>
      <c r="AAE2442" s="38"/>
      <c r="AAF2442" s="38"/>
      <c r="AAG2442" s="38"/>
      <c r="AAH2442" s="38"/>
      <c r="AAI2442" s="38"/>
      <c r="AAJ2442" s="38"/>
      <c r="AAK2442" s="38"/>
      <c r="AAL2442" s="38"/>
      <c r="AAM2442" s="38"/>
      <c r="AAN2442" s="38"/>
      <c r="AAO2442" s="38"/>
      <c r="AAP2442" s="38"/>
      <c r="AAQ2442" s="38"/>
      <c r="AAR2442" s="38"/>
      <c r="AAS2442" s="38"/>
      <c r="AAT2442" s="38"/>
      <c r="AAU2442" s="38"/>
      <c r="AAV2442" s="38"/>
      <c r="AAW2442" s="38"/>
      <c r="AAX2442" s="38"/>
      <c r="AAY2442" s="38"/>
      <c r="AAZ2442" s="38"/>
      <c r="ABA2442" s="38"/>
      <c r="ABB2442" s="38"/>
      <c r="ABC2442" s="38"/>
      <c r="ABD2442" s="38"/>
      <c r="ABE2442" s="38"/>
      <c r="ABF2442" s="38"/>
      <c r="ABG2442" s="38"/>
      <c r="ABH2442" s="38"/>
      <c r="ABI2442" s="38"/>
      <c r="ABJ2442" s="38"/>
      <c r="ABK2442" s="38"/>
      <c r="ABL2442" s="38"/>
      <c r="ABM2442" s="38"/>
      <c r="ABN2442" s="38"/>
      <c r="ABO2442" s="38"/>
      <c r="ABP2442" s="38"/>
      <c r="ABQ2442" s="38"/>
      <c r="ABR2442" s="38"/>
      <c r="ABS2442" s="38"/>
      <c r="ABT2442" s="38"/>
      <c r="ABU2442" s="38"/>
      <c r="ABV2442" s="38"/>
      <c r="ABW2442" s="38"/>
      <c r="ABX2442" s="38"/>
      <c r="ABY2442" s="38"/>
      <c r="ABZ2442" s="38"/>
      <c r="ACA2442" s="38"/>
      <c r="ACB2442" s="38"/>
      <c r="ACC2442" s="38"/>
      <c r="ACD2442" s="38"/>
      <c r="ACE2442" s="38"/>
      <c r="ACF2442" s="38"/>
      <c r="ACG2442" s="38"/>
      <c r="ACH2442" s="38"/>
      <c r="ACI2442" s="38"/>
      <c r="ACJ2442" s="38"/>
      <c r="ACK2442" s="38"/>
      <c r="ACL2442" s="38"/>
      <c r="ACM2442" s="38"/>
      <c r="ACN2442" s="38"/>
      <c r="ACO2442" s="38"/>
      <c r="ACP2442" s="38"/>
      <c r="ACQ2442" s="38"/>
      <c r="ACR2442" s="38"/>
      <c r="ACS2442" s="38"/>
      <c r="ACT2442" s="38"/>
      <c r="ACU2442" s="38"/>
      <c r="ACV2442" s="38"/>
      <c r="ACW2442" s="38"/>
      <c r="ACX2442" s="38"/>
      <c r="ACY2442" s="38"/>
      <c r="ACZ2442" s="38"/>
      <c r="ADA2442" s="38"/>
      <c r="ADB2442" s="38"/>
      <c r="ADC2442" s="38"/>
      <c r="ADD2442" s="38"/>
      <c r="ADE2442" s="38"/>
      <c r="ADF2442" s="38"/>
      <c r="ADG2442" s="38"/>
      <c r="ADH2442" s="38"/>
      <c r="ADI2442" s="38"/>
      <c r="ADJ2442" s="38"/>
      <c r="ADK2442" s="38"/>
      <c r="ADL2442" s="38"/>
      <c r="ADM2442" s="38"/>
      <c r="ADN2442" s="38"/>
      <c r="ADO2442" s="38"/>
      <c r="ADP2442" s="38"/>
      <c r="ADQ2442" s="38"/>
      <c r="ADR2442" s="38"/>
      <c r="ADS2442" s="38"/>
      <c r="ADT2442" s="38"/>
      <c r="ADU2442" s="38"/>
      <c r="ADV2442" s="38"/>
      <c r="ADW2442" s="38"/>
      <c r="ADX2442" s="38"/>
      <c r="ADY2442" s="38"/>
      <c r="ADZ2442" s="38"/>
      <c r="AEA2442" s="38"/>
      <c r="AEB2442" s="38"/>
      <c r="AEC2442" s="38"/>
      <c r="AED2442" s="38"/>
      <c r="AEE2442" s="38"/>
      <c r="AEF2442" s="38"/>
      <c r="AEG2442" s="38"/>
      <c r="AEH2442" s="38"/>
      <c r="AEI2442" s="38"/>
      <c r="AEJ2442" s="38"/>
      <c r="AEK2442" s="38"/>
      <c r="AEL2442" s="38"/>
      <c r="AEM2442" s="38"/>
      <c r="AEN2442" s="38"/>
      <c r="AEO2442" s="38"/>
      <c r="AEP2442" s="38"/>
      <c r="AEQ2442" s="38"/>
      <c r="AER2442" s="38"/>
      <c r="AES2442" s="38"/>
      <c r="AET2442" s="38"/>
      <c r="AEU2442" s="38"/>
      <c r="AEV2442" s="38"/>
      <c r="AEW2442" s="38"/>
      <c r="AEX2442" s="38"/>
      <c r="AEY2442" s="38"/>
      <c r="AEZ2442" s="38"/>
      <c r="AFA2442" s="38"/>
      <c r="AFB2442" s="38"/>
      <c r="AFC2442" s="38"/>
      <c r="AFD2442" s="38"/>
      <c r="AFE2442" s="38"/>
      <c r="AFF2442" s="38"/>
      <c r="AFG2442" s="38"/>
      <c r="AFH2442" s="38"/>
      <c r="AFI2442" s="38"/>
      <c r="AFJ2442" s="38"/>
      <c r="AFK2442" s="38"/>
      <c r="AFL2442" s="38"/>
      <c r="AFM2442" s="38"/>
      <c r="AFN2442" s="38"/>
      <c r="AFO2442" s="38"/>
      <c r="AFP2442" s="38"/>
      <c r="AFQ2442" s="38"/>
      <c r="AFR2442" s="38"/>
      <c r="AFS2442" s="38"/>
      <c r="AFT2442" s="38"/>
      <c r="AFU2442" s="38"/>
      <c r="AFV2442" s="38"/>
      <c r="AFW2442" s="38"/>
      <c r="AFX2442" s="38"/>
      <c r="AFY2442" s="38"/>
      <c r="AFZ2442" s="38"/>
      <c r="AGA2442" s="38"/>
      <c r="AGB2442" s="38"/>
      <c r="AGC2442" s="38"/>
      <c r="AGD2442" s="38"/>
      <c r="AGE2442" s="38"/>
      <c r="AGF2442" s="38"/>
      <c r="AGG2442" s="38"/>
      <c r="AGH2442" s="38"/>
      <c r="AGI2442" s="38"/>
      <c r="AGJ2442" s="38"/>
      <c r="AGK2442" s="38"/>
      <c r="AGL2442" s="38"/>
      <c r="AGM2442" s="38"/>
      <c r="AGN2442" s="38"/>
      <c r="AGO2442" s="38"/>
      <c r="AGP2442" s="38"/>
      <c r="AGQ2442" s="38"/>
      <c r="AGR2442" s="38"/>
      <c r="AGS2442" s="38"/>
      <c r="AGT2442" s="38"/>
      <c r="AGU2442" s="38"/>
      <c r="AGV2442" s="38"/>
      <c r="AGW2442" s="38"/>
      <c r="AGX2442" s="38"/>
      <c r="AGY2442" s="38"/>
      <c r="AGZ2442" s="38"/>
      <c r="AHA2442" s="38"/>
      <c r="AHB2442" s="38"/>
      <c r="AHC2442" s="38"/>
      <c r="AHD2442" s="38"/>
      <c r="AHE2442" s="38"/>
      <c r="AHF2442" s="38"/>
      <c r="AHG2442" s="38"/>
      <c r="AHH2442" s="38"/>
      <c r="AHI2442" s="38"/>
      <c r="AHJ2442" s="38"/>
      <c r="AHK2442" s="38"/>
      <c r="AHL2442" s="38"/>
      <c r="AHM2442" s="38"/>
      <c r="AHN2442" s="38"/>
      <c r="AHO2442" s="38"/>
      <c r="AHP2442" s="38"/>
      <c r="AHQ2442" s="38"/>
      <c r="AHR2442" s="38"/>
      <c r="AHS2442" s="38"/>
      <c r="AHT2442" s="38"/>
      <c r="AHU2442" s="38"/>
      <c r="AHV2442" s="38"/>
      <c r="AHW2442" s="38"/>
      <c r="AHX2442" s="38"/>
      <c r="AHY2442" s="38"/>
      <c r="AHZ2442" s="38"/>
      <c r="AIA2442" s="38"/>
      <c r="AIB2442" s="38"/>
      <c r="AIC2442" s="38"/>
      <c r="AID2442" s="38"/>
      <c r="AIE2442" s="38"/>
      <c r="AIF2442" s="38"/>
      <c r="AIG2442" s="38"/>
      <c r="AIH2442" s="38"/>
      <c r="AII2442" s="38"/>
      <c r="AIJ2442" s="38"/>
      <c r="AIK2442" s="38"/>
      <c r="AIL2442" s="38"/>
      <c r="AIM2442" s="38"/>
      <c r="AIN2442" s="38"/>
      <c r="AIO2442" s="38"/>
      <c r="AIP2442" s="38"/>
      <c r="AIQ2442" s="38"/>
      <c r="AIR2442" s="38"/>
      <c r="AIS2442" s="38"/>
      <c r="AIT2442" s="38"/>
      <c r="AIU2442" s="38"/>
      <c r="AIV2442" s="38"/>
      <c r="AIW2442" s="38"/>
      <c r="AIX2442" s="38"/>
      <c r="AIY2442" s="38"/>
      <c r="AIZ2442" s="38"/>
      <c r="AJA2442" s="38"/>
      <c r="AJB2442" s="38"/>
      <c r="AJC2442" s="38"/>
      <c r="AJD2442" s="38"/>
      <c r="AJE2442" s="38"/>
      <c r="AJF2442" s="38"/>
      <c r="AJG2442" s="38"/>
      <c r="AJH2442" s="38"/>
      <c r="AJI2442" s="38"/>
      <c r="AJJ2442" s="38"/>
      <c r="AJK2442" s="38"/>
      <c r="AJL2442" s="38"/>
      <c r="AJM2442" s="38"/>
      <c r="AJN2442" s="38"/>
      <c r="AJO2442" s="38"/>
      <c r="AJP2442" s="38"/>
      <c r="AJQ2442" s="38"/>
      <c r="AJR2442" s="38"/>
      <c r="AJS2442" s="38"/>
      <c r="AJT2442" s="38"/>
      <c r="AJU2442" s="38"/>
      <c r="AJV2442" s="38"/>
      <c r="AJW2442" s="38"/>
      <c r="AJX2442" s="38"/>
      <c r="AJY2442" s="38"/>
      <c r="AJZ2442" s="38"/>
      <c r="AKA2442" s="38"/>
      <c r="AKB2442" s="38"/>
      <c r="AKC2442" s="38"/>
      <c r="AKD2442" s="38"/>
      <c r="AKE2442" s="38"/>
      <c r="AKF2442" s="38"/>
      <c r="AKG2442" s="38"/>
      <c r="AKH2442" s="38"/>
      <c r="AKI2442" s="38"/>
      <c r="AKJ2442" s="38"/>
      <c r="AKK2442" s="38"/>
      <c r="AKL2442" s="38"/>
      <c r="AKM2442" s="38"/>
      <c r="AKN2442" s="38"/>
      <c r="AKO2442" s="38"/>
      <c r="AKP2442" s="38"/>
      <c r="AKQ2442" s="38"/>
      <c r="AKR2442" s="38"/>
      <c r="AKS2442" s="38"/>
      <c r="AKT2442" s="38"/>
      <c r="AKU2442" s="38"/>
      <c r="AKV2442" s="38"/>
      <c r="AKW2442" s="38"/>
      <c r="AKX2442" s="38"/>
      <c r="AKY2442" s="38"/>
      <c r="AKZ2442" s="38"/>
      <c r="ALA2442" s="38"/>
      <c r="ALB2442" s="38"/>
      <c r="ALC2442" s="38"/>
      <c r="ALD2442" s="38"/>
      <c r="ALE2442" s="38"/>
      <c r="ALF2442" s="38"/>
      <c r="ALG2442" s="38"/>
      <c r="ALH2442" s="38"/>
      <c r="ALI2442" s="38"/>
      <c r="ALJ2442" s="38"/>
      <c r="ALK2442" s="38"/>
      <c r="ALL2442" s="38"/>
      <c r="ALM2442" s="38"/>
      <c r="ALN2442" s="38"/>
      <c r="ALO2442" s="38"/>
      <c r="ALP2442" s="38"/>
      <c r="ALQ2442" s="38"/>
      <c r="ALR2442" s="38"/>
      <c r="ALS2442" s="38"/>
      <c r="ALT2442" s="38"/>
      <c r="ALU2442" s="38"/>
      <c r="ALV2442" s="38"/>
      <c r="ALW2442" s="38"/>
      <c r="ALX2442" s="38"/>
      <c r="ALY2442" s="38"/>
      <c r="ALZ2442" s="38"/>
      <c r="AMA2442" s="38"/>
      <c r="AMB2442" s="38"/>
      <c r="AMC2442" s="38"/>
      <c r="AMD2442" s="38"/>
      <c r="AME2442" s="38"/>
      <c r="AMF2442" s="38"/>
      <c r="AMG2442" s="38"/>
      <c r="AMH2442" s="38"/>
      <c r="AMI2442" s="38"/>
      <c r="AMJ2442" s="38"/>
      <c r="AMK2442" s="38"/>
      <c r="AML2442" s="38"/>
      <c r="AMM2442" s="38"/>
      <c r="AMN2442" s="38"/>
      <c r="AMO2442" s="38"/>
      <c r="AMP2442" s="38"/>
      <c r="AMQ2442" s="38"/>
      <c r="AMR2442" s="38"/>
      <c r="AMS2442" s="38"/>
      <c r="AMT2442" s="38"/>
      <c r="AMU2442" s="38"/>
      <c r="AMV2442" s="38"/>
      <c r="AMW2442" s="38"/>
      <c r="AMX2442" s="38"/>
      <c r="AMY2442" s="38"/>
      <c r="AMZ2442" s="38"/>
      <c r="ANA2442" s="38"/>
      <c r="ANB2442" s="38"/>
      <c r="ANC2442" s="38"/>
      <c r="AND2442" s="38"/>
      <c r="ANE2442" s="38"/>
      <c r="ANF2442" s="38"/>
      <c r="ANG2442" s="38"/>
      <c r="ANH2442" s="38"/>
      <c r="ANI2442" s="38"/>
      <c r="ANJ2442" s="38"/>
      <c r="ANK2442" s="38"/>
      <c r="ANL2442" s="38"/>
      <c r="ANM2442" s="38"/>
      <c r="ANN2442" s="38"/>
      <c r="ANO2442" s="38"/>
      <c r="ANP2442" s="38"/>
      <c r="ANQ2442" s="38"/>
      <c r="ANR2442" s="38"/>
      <c r="ANS2442" s="38"/>
      <c r="ANT2442" s="38"/>
      <c r="ANU2442" s="38"/>
      <c r="ANV2442" s="38"/>
      <c r="ANW2442" s="38"/>
      <c r="ANX2442" s="38"/>
      <c r="ANY2442" s="38"/>
      <c r="ANZ2442" s="38"/>
      <c r="AOA2442" s="38"/>
      <c r="AOB2442" s="38"/>
      <c r="AOC2442" s="38"/>
      <c r="AOD2442" s="38"/>
      <c r="AOE2442" s="38"/>
      <c r="AOF2442" s="38"/>
      <c r="AOG2442" s="38"/>
      <c r="AOH2442" s="38"/>
      <c r="AOI2442" s="38"/>
      <c r="AOJ2442" s="38"/>
      <c r="AOK2442" s="38"/>
      <c r="AOL2442" s="38"/>
      <c r="AOM2442" s="38"/>
      <c r="AON2442" s="38"/>
      <c r="AOO2442" s="38"/>
      <c r="AOP2442" s="38"/>
      <c r="AOQ2442" s="38"/>
      <c r="AOR2442" s="38"/>
      <c r="AOS2442" s="38"/>
      <c r="AOT2442" s="38"/>
      <c r="AOU2442" s="38"/>
      <c r="AOV2442" s="38"/>
      <c r="AOW2442" s="38"/>
      <c r="AOX2442" s="38"/>
      <c r="AOY2442" s="38"/>
      <c r="AOZ2442" s="38"/>
      <c r="APA2442" s="38"/>
      <c r="APB2442" s="38"/>
      <c r="APC2442" s="38"/>
    </row>
    <row r="2443" spans="1:1095" s="36" customFormat="1" ht="14.25" customHeight="1">
      <c r="A2443" s="3" t="s">
        <v>1722</v>
      </c>
      <c r="B2443" s="36" t="s">
        <v>3172</v>
      </c>
      <c r="C2443" s="10">
        <v>4058075757943</v>
      </c>
      <c r="D2443" s="224">
        <v>4058075757943</v>
      </c>
      <c r="E2443" s="245" t="s">
        <v>3054</v>
      </c>
      <c r="F2443" s="246"/>
      <c r="G2443" s="66" t="str">
        <f>HYPERLINK("https://ledvance.com/pt/product-datasheet/6985/208741","Ficha de Produto")</f>
        <v>Ficha de Produto</v>
      </c>
      <c r="H2443" s="217">
        <v>6</v>
      </c>
      <c r="I2443" s="34" t="s">
        <v>6384</v>
      </c>
      <c r="J2443" s="34" t="s">
        <v>6425</v>
      </c>
      <c r="K2443" s="34" t="s">
        <v>788</v>
      </c>
      <c r="L2443" s="34" t="s">
        <v>6506</v>
      </c>
      <c r="M2443" s="247">
        <v>7</v>
      </c>
      <c r="N2443" s="288" t="s">
        <v>722</v>
      </c>
    </row>
    <row r="2444" spans="1:1095" s="36" customFormat="1" ht="14.25" customHeight="1">
      <c r="A2444" s="3" t="s">
        <v>1722</v>
      </c>
      <c r="B2444" s="36" t="s">
        <v>3173</v>
      </c>
      <c r="C2444" s="10">
        <v>4058075757967</v>
      </c>
      <c r="D2444" s="224">
        <v>4058075757967</v>
      </c>
      <c r="E2444" s="245" t="s">
        <v>3055</v>
      </c>
      <c r="F2444" s="246"/>
      <c r="G2444" s="66" t="str">
        <f>HYPERLINK("https://ledvance.com/pt/product-datasheet/6985/208747","Ficha de Produto")</f>
        <v>Ficha de Produto</v>
      </c>
      <c r="H2444" s="217">
        <v>6</v>
      </c>
      <c r="I2444" s="34" t="s">
        <v>6426</v>
      </c>
      <c r="J2444" s="34" t="s">
        <v>6360</v>
      </c>
      <c r="K2444" s="34" t="s">
        <v>788</v>
      </c>
      <c r="L2444" s="34" t="s">
        <v>793</v>
      </c>
      <c r="M2444" s="247">
        <v>8.6</v>
      </c>
      <c r="N2444" s="288" t="s">
        <v>722</v>
      </c>
    </row>
    <row r="2445" spans="1:1095" s="36" customFormat="1" ht="14.25" customHeight="1">
      <c r="A2445" s="3" t="s">
        <v>1722</v>
      </c>
      <c r="B2445" s="36" t="s">
        <v>3174</v>
      </c>
      <c r="C2445" s="10">
        <v>4058075757981</v>
      </c>
      <c r="D2445" s="224">
        <v>4058075757981</v>
      </c>
      <c r="E2445" s="245" t="s">
        <v>3056</v>
      </c>
      <c r="F2445" s="246"/>
      <c r="G2445" s="66" t="str">
        <f>HYPERLINK("https://ledvance.com/pt/product-datasheet/6985/208751","Ficha de Produto")</f>
        <v>Ficha de Produto</v>
      </c>
      <c r="H2445" s="217">
        <v>6</v>
      </c>
      <c r="I2445" s="34" t="s">
        <v>796</v>
      </c>
      <c r="J2445" s="34" t="s">
        <v>6355</v>
      </c>
      <c r="K2445" s="34" t="s">
        <v>788</v>
      </c>
      <c r="L2445" s="34" t="s">
        <v>793</v>
      </c>
      <c r="M2445" s="247">
        <v>11.8</v>
      </c>
      <c r="N2445" s="288" t="s">
        <v>722</v>
      </c>
    </row>
    <row r="2446" spans="1:1095" s="39" customFormat="1" ht="14.25" customHeight="1">
      <c r="A2446" s="8" t="s">
        <v>1722</v>
      </c>
      <c r="B2446" s="244" t="s">
        <v>3057</v>
      </c>
      <c r="C2446" s="8"/>
      <c r="D2446" s="7"/>
      <c r="E2446" s="230"/>
      <c r="F2446" s="7"/>
      <c r="G2446" s="68"/>
      <c r="H2446" s="230"/>
      <c r="I2446" s="230"/>
      <c r="J2446" s="230"/>
      <c r="K2446" s="230"/>
      <c r="L2446" s="230"/>
      <c r="M2446" s="248"/>
      <c r="N2446" s="292"/>
      <c r="O2446" s="38"/>
      <c r="P2446" s="38"/>
      <c r="Q2446" s="38"/>
      <c r="R2446" s="38"/>
      <c r="S2446" s="38"/>
      <c r="T2446" s="38"/>
      <c r="U2446" s="38"/>
      <c r="V2446" s="38"/>
      <c r="W2446" s="38"/>
      <c r="X2446" s="38"/>
      <c r="Y2446" s="38"/>
      <c r="Z2446" s="38"/>
      <c r="AA2446" s="38"/>
      <c r="AB2446" s="38"/>
      <c r="AC2446" s="38"/>
      <c r="AD2446" s="38"/>
      <c r="AE2446" s="38"/>
      <c r="AF2446" s="38"/>
      <c r="AG2446" s="38"/>
      <c r="AH2446" s="38"/>
      <c r="AI2446" s="38"/>
      <c r="AJ2446" s="38"/>
      <c r="AK2446" s="38"/>
      <c r="AL2446" s="38"/>
      <c r="AM2446" s="38"/>
      <c r="AN2446" s="38"/>
      <c r="AO2446" s="38"/>
      <c r="AP2446" s="38"/>
      <c r="AQ2446" s="38"/>
      <c r="AR2446" s="38"/>
      <c r="AS2446" s="38"/>
      <c r="AT2446" s="38"/>
      <c r="AU2446" s="38"/>
      <c r="AV2446" s="38"/>
      <c r="AW2446" s="38"/>
      <c r="AX2446" s="38"/>
      <c r="AY2446" s="38"/>
      <c r="AZ2446" s="38"/>
      <c r="BA2446" s="38"/>
      <c r="BB2446" s="38"/>
      <c r="BC2446" s="38"/>
      <c r="BD2446" s="38"/>
      <c r="BE2446" s="38"/>
      <c r="BF2446" s="38"/>
      <c r="BG2446" s="38"/>
      <c r="BH2446" s="38"/>
      <c r="BI2446" s="38"/>
      <c r="BJ2446" s="38"/>
      <c r="BK2446" s="38"/>
      <c r="BL2446" s="38"/>
      <c r="BM2446" s="38"/>
      <c r="BN2446" s="38"/>
      <c r="BO2446" s="38"/>
      <c r="BP2446" s="38"/>
      <c r="BQ2446" s="38"/>
      <c r="BR2446" s="38"/>
      <c r="BS2446" s="38"/>
      <c r="BT2446" s="38"/>
      <c r="BU2446" s="38"/>
      <c r="BV2446" s="38"/>
      <c r="BW2446" s="38"/>
      <c r="BX2446" s="38"/>
      <c r="BY2446" s="38"/>
      <c r="BZ2446" s="38"/>
      <c r="CA2446" s="38"/>
      <c r="CB2446" s="38"/>
      <c r="CC2446" s="38"/>
      <c r="CD2446" s="38"/>
      <c r="CE2446" s="38"/>
      <c r="CF2446" s="38"/>
      <c r="CG2446" s="38"/>
      <c r="CH2446" s="38"/>
      <c r="CI2446" s="38"/>
      <c r="CJ2446" s="38"/>
      <c r="CK2446" s="38"/>
      <c r="CL2446" s="38"/>
      <c r="CM2446" s="38"/>
      <c r="CN2446" s="38"/>
      <c r="CO2446" s="38"/>
      <c r="CP2446" s="38"/>
      <c r="CQ2446" s="38"/>
      <c r="CR2446" s="38"/>
      <c r="CS2446" s="38"/>
      <c r="CT2446" s="38"/>
      <c r="CU2446" s="38"/>
      <c r="CV2446" s="38"/>
      <c r="CW2446" s="38"/>
      <c r="CX2446" s="38"/>
      <c r="CY2446" s="38"/>
      <c r="CZ2446" s="38"/>
      <c r="DA2446" s="38"/>
      <c r="DB2446" s="38"/>
      <c r="DC2446" s="38"/>
      <c r="DD2446" s="38"/>
      <c r="DE2446" s="38"/>
      <c r="DF2446" s="38"/>
      <c r="DG2446" s="38"/>
      <c r="DH2446" s="38"/>
      <c r="DI2446" s="38"/>
      <c r="DJ2446" s="38"/>
      <c r="DK2446" s="38"/>
      <c r="DL2446" s="38"/>
      <c r="DM2446" s="38"/>
      <c r="DN2446" s="38"/>
      <c r="DO2446" s="38"/>
      <c r="DP2446" s="38"/>
      <c r="DQ2446" s="38"/>
      <c r="DR2446" s="38"/>
      <c r="DS2446" s="38"/>
      <c r="DT2446" s="38"/>
      <c r="DU2446" s="38"/>
      <c r="DV2446" s="38"/>
      <c r="DW2446" s="38"/>
      <c r="DX2446" s="38"/>
      <c r="DY2446" s="38"/>
      <c r="DZ2446" s="38"/>
      <c r="EA2446" s="38"/>
      <c r="EB2446" s="38"/>
      <c r="EC2446" s="38"/>
      <c r="ED2446" s="38"/>
      <c r="EE2446" s="38"/>
      <c r="EF2446" s="38"/>
      <c r="EG2446" s="38"/>
      <c r="EH2446" s="38"/>
      <c r="EI2446" s="38"/>
      <c r="EJ2446" s="38"/>
      <c r="EK2446" s="38"/>
      <c r="EL2446" s="38"/>
      <c r="EM2446" s="38"/>
      <c r="EN2446" s="38"/>
      <c r="EO2446" s="38"/>
      <c r="EP2446" s="38"/>
      <c r="EQ2446" s="38"/>
      <c r="ER2446" s="38"/>
      <c r="ES2446" s="38"/>
      <c r="ET2446" s="38"/>
      <c r="EU2446" s="38"/>
      <c r="EV2446" s="38"/>
      <c r="EW2446" s="38"/>
      <c r="EX2446" s="38"/>
      <c r="EY2446" s="38"/>
      <c r="EZ2446" s="38"/>
      <c r="FA2446" s="38"/>
      <c r="FB2446" s="38"/>
      <c r="FC2446" s="38"/>
      <c r="FD2446" s="38"/>
      <c r="FE2446" s="38"/>
      <c r="FF2446" s="38"/>
      <c r="FG2446" s="38"/>
      <c r="FH2446" s="38"/>
      <c r="FI2446" s="38"/>
      <c r="FJ2446" s="38"/>
      <c r="FK2446" s="38"/>
      <c r="FL2446" s="38"/>
      <c r="FM2446" s="38"/>
      <c r="FN2446" s="38"/>
      <c r="FO2446" s="38"/>
      <c r="FP2446" s="38"/>
      <c r="FQ2446" s="38"/>
      <c r="FR2446" s="38"/>
      <c r="FS2446" s="38"/>
      <c r="FT2446" s="38"/>
      <c r="FU2446" s="38"/>
      <c r="FV2446" s="38"/>
      <c r="FW2446" s="38"/>
      <c r="FX2446" s="38"/>
      <c r="FY2446" s="38"/>
      <c r="FZ2446" s="38"/>
      <c r="GA2446" s="38"/>
      <c r="GB2446" s="38"/>
      <c r="GC2446" s="38"/>
      <c r="GD2446" s="38"/>
      <c r="GE2446" s="38"/>
      <c r="GF2446" s="38"/>
      <c r="GG2446" s="38"/>
      <c r="GH2446" s="38"/>
      <c r="GI2446" s="38"/>
      <c r="GJ2446" s="38"/>
      <c r="GK2446" s="38"/>
      <c r="GL2446" s="38"/>
      <c r="GM2446" s="38"/>
      <c r="GN2446" s="38"/>
      <c r="GO2446" s="38"/>
      <c r="GP2446" s="38"/>
      <c r="GQ2446" s="38"/>
      <c r="GR2446" s="38"/>
      <c r="GS2446" s="38"/>
      <c r="GT2446" s="38"/>
      <c r="GU2446" s="38"/>
      <c r="GV2446" s="38"/>
      <c r="GW2446" s="38"/>
      <c r="GX2446" s="38"/>
      <c r="GY2446" s="38"/>
      <c r="GZ2446" s="38"/>
      <c r="HA2446" s="38"/>
      <c r="HB2446" s="38"/>
      <c r="HC2446" s="38"/>
      <c r="HD2446" s="38"/>
      <c r="HE2446" s="38"/>
      <c r="HF2446" s="38"/>
      <c r="HG2446" s="38"/>
      <c r="HH2446" s="38"/>
      <c r="HI2446" s="38"/>
      <c r="HJ2446" s="38"/>
      <c r="HK2446" s="38"/>
      <c r="HL2446" s="38"/>
      <c r="HM2446" s="38"/>
      <c r="HN2446" s="38"/>
      <c r="HO2446" s="38"/>
      <c r="HP2446" s="38"/>
      <c r="HQ2446" s="38"/>
      <c r="HR2446" s="38"/>
      <c r="HS2446" s="38"/>
      <c r="HT2446" s="38"/>
      <c r="HU2446" s="38"/>
      <c r="HV2446" s="38"/>
      <c r="HW2446" s="38"/>
      <c r="HX2446" s="38"/>
      <c r="HY2446" s="38"/>
      <c r="HZ2446" s="38"/>
      <c r="IA2446" s="38"/>
      <c r="IB2446" s="38"/>
      <c r="IC2446" s="38"/>
      <c r="ID2446" s="38"/>
      <c r="IE2446" s="38"/>
      <c r="IF2446" s="38"/>
      <c r="IG2446" s="38"/>
      <c r="IH2446" s="38"/>
      <c r="II2446" s="38"/>
      <c r="IJ2446" s="38"/>
      <c r="IK2446" s="38"/>
      <c r="IL2446" s="38"/>
      <c r="IM2446" s="38"/>
      <c r="IN2446" s="38"/>
      <c r="IO2446" s="38"/>
      <c r="IP2446" s="38"/>
      <c r="IQ2446" s="38"/>
      <c r="IR2446" s="38"/>
      <c r="IS2446" s="38"/>
      <c r="IT2446" s="38"/>
      <c r="IU2446" s="38"/>
      <c r="IV2446" s="38"/>
      <c r="IW2446" s="38"/>
      <c r="IX2446" s="38"/>
      <c r="IY2446" s="38"/>
      <c r="IZ2446" s="38"/>
      <c r="JA2446" s="38"/>
      <c r="JB2446" s="38"/>
      <c r="JC2446" s="38"/>
      <c r="JD2446" s="38"/>
      <c r="JE2446" s="38"/>
      <c r="JF2446" s="38"/>
      <c r="JG2446" s="38"/>
      <c r="JH2446" s="38"/>
      <c r="JI2446" s="38"/>
      <c r="JJ2446" s="38"/>
      <c r="JK2446" s="38"/>
      <c r="JL2446" s="38"/>
      <c r="JM2446" s="38"/>
      <c r="JN2446" s="38"/>
      <c r="JO2446" s="38"/>
      <c r="JP2446" s="38"/>
      <c r="JQ2446" s="38"/>
      <c r="JR2446" s="38"/>
      <c r="JS2446" s="38"/>
      <c r="JT2446" s="38"/>
      <c r="JU2446" s="38"/>
      <c r="JV2446" s="38"/>
      <c r="JW2446" s="38"/>
      <c r="JX2446" s="38"/>
      <c r="JY2446" s="38"/>
      <c r="JZ2446" s="38"/>
      <c r="KA2446" s="38"/>
      <c r="KB2446" s="38"/>
      <c r="KC2446" s="38"/>
      <c r="KD2446" s="38"/>
      <c r="KE2446" s="38"/>
      <c r="KF2446" s="38"/>
      <c r="KG2446" s="38"/>
      <c r="KH2446" s="38"/>
      <c r="KI2446" s="38"/>
      <c r="KJ2446" s="38"/>
      <c r="KK2446" s="38"/>
      <c r="KL2446" s="38"/>
      <c r="KM2446" s="38"/>
      <c r="KN2446" s="38"/>
      <c r="KO2446" s="38"/>
      <c r="KP2446" s="38"/>
      <c r="KQ2446" s="38"/>
      <c r="KR2446" s="38"/>
      <c r="KS2446" s="38"/>
      <c r="KT2446" s="38"/>
      <c r="KU2446" s="38"/>
      <c r="KV2446" s="38"/>
      <c r="KW2446" s="38"/>
      <c r="KX2446" s="38"/>
      <c r="KY2446" s="38"/>
      <c r="KZ2446" s="38"/>
      <c r="LA2446" s="38"/>
      <c r="LB2446" s="38"/>
      <c r="LC2446" s="38"/>
      <c r="LD2446" s="38"/>
      <c r="LE2446" s="38"/>
      <c r="LF2446" s="38"/>
      <c r="LG2446" s="38"/>
      <c r="LH2446" s="38"/>
      <c r="LI2446" s="38"/>
      <c r="LJ2446" s="38"/>
      <c r="LK2446" s="38"/>
      <c r="LL2446" s="38"/>
      <c r="LM2446" s="38"/>
      <c r="LN2446" s="38"/>
      <c r="LO2446" s="38"/>
      <c r="LP2446" s="38"/>
      <c r="LQ2446" s="38"/>
      <c r="LR2446" s="38"/>
      <c r="LS2446" s="38"/>
      <c r="LT2446" s="38"/>
      <c r="LU2446" s="38"/>
      <c r="LV2446" s="38"/>
      <c r="LW2446" s="38"/>
      <c r="LX2446" s="38"/>
      <c r="LY2446" s="38"/>
      <c r="LZ2446" s="38"/>
      <c r="MA2446" s="38"/>
      <c r="MB2446" s="38"/>
      <c r="MC2446" s="38"/>
      <c r="MD2446" s="38"/>
      <c r="ME2446" s="38"/>
      <c r="MF2446" s="38"/>
      <c r="MG2446" s="38"/>
      <c r="MH2446" s="38"/>
      <c r="MI2446" s="38"/>
      <c r="MJ2446" s="38"/>
      <c r="MK2446" s="38"/>
      <c r="ML2446" s="38"/>
      <c r="MM2446" s="38"/>
      <c r="MN2446" s="38"/>
      <c r="MO2446" s="38"/>
      <c r="MP2446" s="38"/>
      <c r="MQ2446" s="38"/>
      <c r="MR2446" s="38"/>
      <c r="MS2446" s="38"/>
      <c r="MT2446" s="38"/>
      <c r="MU2446" s="38"/>
      <c r="MV2446" s="38"/>
      <c r="MW2446" s="38"/>
      <c r="MX2446" s="38"/>
      <c r="MY2446" s="38"/>
      <c r="MZ2446" s="38"/>
      <c r="NA2446" s="38"/>
      <c r="NB2446" s="38"/>
      <c r="NC2446" s="38"/>
      <c r="ND2446" s="38"/>
      <c r="NE2446" s="38"/>
      <c r="NF2446" s="38"/>
      <c r="NG2446" s="38"/>
      <c r="NH2446" s="38"/>
      <c r="NI2446" s="38"/>
      <c r="NJ2446" s="38"/>
      <c r="NK2446" s="38"/>
      <c r="NL2446" s="38"/>
      <c r="NM2446" s="38"/>
      <c r="NN2446" s="38"/>
      <c r="NO2446" s="38"/>
      <c r="NP2446" s="38"/>
      <c r="NQ2446" s="38"/>
      <c r="NR2446" s="38"/>
      <c r="NS2446" s="38"/>
      <c r="NT2446" s="38"/>
      <c r="NU2446" s="38"/>
      <c r="NV2446" s="38"/>
      <c r="NW2446" s="38"/>
      <c r="NX2446" s="38"/>
      <c r="NY2446" s="38"/>
      <c r="NZ2446" s="38"/>
      <c r="OA2446" s="38"/>
      <c r="OB2446" s="38"/>
      <c r="OC2446" s="38"/>
      <c r="OD2446" s="38"/>
      <c r="OE2446" s="38"/>
      <c r="OF2446" s="38"/>
      <c r="OG2446" s="38"/>
      <c r="OH2446" s="38"/>
      <c r="OI2446" s="38"/>
      <c r="OJ2446" s="38"/>
      <c r="OK2446" s="38"/>
      <c r="OL2446" s="38"/>
      <c r="OM2446" s="38"/>
      <c r="ON2446" s="38"/>
      <c r="OO2446" s="38"/>
      <c r="OP2446" s="38"/>
      <c r="OQ2446" s="38"/>
      <c r="OR2446" s="38"/>
      <c r="OS2446" s="38"/>
      <c r="OT2446" s="38"/>
      <c r="OU2446" s="38"/>
      <c r="OV2446" s="38"/>
      <c r="OW2446" s="38"/>
      <c r="OX2446" s="38"/>
      <c r="OY2446" s="38"/>
      <c r="OZ2446" s="38"/>
      <c r="PA2446" s="38"/>
      <c r="PB2446" s="38"/>
      <c r="PC2446" s="38"/>
      <c r="PD2446" s="38"/>
      <c r="PE2446" s="38"/>
      <c r="PF2446" s="38"/>
      <c r="PG2446" s="38"/>
      <c r="PH2446" s="38"/>
      <c r="PI2446" s="38"/>
      <c r="PJ2446" s="38"/>
      <c r="PK2446" s="38"/>
      <c r="PL2446" s="38"/>
      <c r="PM2446" s="38"/>
      <c r="PN2446" s="38"/>
      <c r="PO2446" s="38"/>
      <c r="PP2446" s="38"/>
      <c r="PQ2446" s="38"/>
      <c r="PR2446" s="38"/>
      <c r="PS2446" s="38"/>
      <c r="PT2446" s="38"/>
      <c r="PU2446" s="38"/>
      <c r="PV2446" s="38"/>
      <c r="PW2446" s="38"/>
      <c r="PX2446" s="38"/>
      <c r="PY2446" s="38"/>
      <c r="PZ2446" s="38"/>
      <c r="QA2446" s="38"/>
      <c r="QB2446" s="38"/>
      <c r="QC2446" s="38"/>
      <c r="QD2446" s="38"/>
      <c r="QE2446" s="38"/>
      <c r="QF2446" s="38"/>
      <c r="QG2446" s="38"/>
      <c r="QH2446" s="38"/>
      <c r="QI2446" s="38"/>
      <c r="QJ2446" s="38"/>
      <c r="QK2446" s="38"/>
      <c r="QL2446" s="38"/>
      <c r="QM2446" s="38"/>
      <c r="QN2446" s="38"/>
      <c r="QO2446" s="38"/>
      <c r="QP2446" s="38"/>
      <c r="QQ2446" s="38"/>
      <c r="QR2446" s="38"/>
      <c r="QS2446" s="38"/>
      <c r="QT2446" s="38"/>
      <c r="QU2446" s="38"/>
      <c r="QV2446" s="38"/>
      <c r="QW2446" s="38"/>
      <c r="QX2446" s="38"/>
      <c r="QY2446" s="38"/>
      <c r="QZ2446" s="38"/>
      <c r="RA2446" s="38"/>
      <c r="RB2446" s="38"/>
      <c r="RC2446" s="38"/>
      <c r="RD2446" s="38"/>
      <c r="RE2446" s="38"/>
      <c r="RF2446" s="38"/>
      <c r="RG2446" s="38"/>
      <c r="RH2446" s="38"/>
      <c r="RI2446" s="38"/>
      <c r="RJ2446" s="38"/>
      <c r="RK2446" s="38"/>
      <c r="RL2446" s="38"/>
      <c r="RM2446" s="38"/>
      <c r="RN2446" s="38"/>
      <c r="RO2446" s="38"/>
      <c r="RP2446" s="38"/>
      <c r="RQ2446" s="38"/>
      <c r="RR2446" s="38"/>
      <c r="RS2446" s="38"/>
      <c r="RT2446" s="38"/>
      <c r="RU2446" s="38"/>
      <c r="RV2446" s="38"/>
      <c r="RW2446" s="38"/>
      <c r="RX2446" s="38"/>
      <c r="RY2446" s="38"/>
      <c r="RZ2446" s="38"/>
      <c r="SA2446" s="38"/>
      <c r="SB2446" s="38"/>
      <c r="SC2446" s="38"/>
      <c r="SD2446" s="38"/>
      <c r="SE2446" s="38"/>
      <c r="SF2446" s="38"/>
      <c r="SG2446" s="38"/>
      <c r="SH2446" s="38"/>
      <c r="SI2446" s="38"/>
      <c r="SJ2446" s="38"/>
      <c r="SK2446" s="38"/>
      <c r="SL2446" s="38"/>
      <c r="SM2446" s="38"/>
      <c r="SN2446" s="38"/>
      <c r="SO2446" s="38"/>
      <c r="SP2446" s="38"/>
      <c r="SQ2446" s="38"/>
      <c r="SR2446" s="38"/>
      <c r="SS2446" s="38"/>
      <c r="ST2446" s="38"/>
      <c r="SU2446" s="38"/>
      <c r="SV2446" s="38"/>
      <c r="SW2446" s="38"/>
      <c r="SX2446" s="38"/>
      <c r="SY2446" s="38"/>
      <c r="SZ2446" s="38"/>
      <c r="TA2446" s="38"/>
      <c r="TB2446" s="38"/>
      <c r="TC2446" s="38"/>
      <c r="TD2446" s="38"/>
      <c r="TE2446" s="38"/>
      <c r="TF2446" s="38"/>
      <c r="TG2446" s="38"/>
      <c r="TH2446" s="38"/>
      <c r="TI2446" s="38"/>
      <c r="TJ2446" s="38"/>
      <c r="TK2446" s="38"/>
      <c r="TL2446" s="38"/>
      <c r="TM2446" s="38"/>
      <c r="TN2446" s="38"/>
      <c r="TO2446" s="38"/>
      <c r="TP2446" s="38"/>
      <c r="TQ2446" s="38"/>
      <c r="TR2446" s="38"/>
      <c r="TS2446" s="38"/>
      <c r="TT2446" s="38"/>
      <c r="TU2446" s="38"/>
      <c r="TV2446" s="38"/>
      <c r="TW2446" s="38"/>
      <c r="TX2446" s="38"/>
      <c r="TY2446" s="38"/>
      <c r="TZ2446" s="38"/>
      <c r="UA2446" s="38"/>
      <c r="UB2446" s="38"/>
      <c r="UC2446" s="38"/>
      <c r="UD2446" s="38"/>
      <c r="UE2446" s="38"/>
      <c r="UF2446" s="38"/>
      <c r="UG2446" s="38"/>
      <c r="UH2446" s="38"/>
      <c r="UI2446" s="38"/>
      <c r="UJ2446" s="38"/>
      <c r="UK2446" s="38"/>
      <c r="UL2446" s="38"/>
      <c r="UM2446" s="38"/>
      <c r="UN2446" s="38"/>
      <c r="UO2446" s="38"/>
      <c r="UP2446" s="38"/>
      <c r="UQ2446" s="38"/>
      <c r="UR2446" s="38"/>
      <c r="US2446" s="38"/>
      <c r="UT2446" s="38"/>
      <c r="UU2446" s="38"/>
      <c r="UV2446" s="38"/>
      <c r="UW2446" s="38"/>
      <c r="UX2446" s="38"/>
      <c r="UY2446" s="38"/>
      <c r="UZ2446" s="38"/>
      <c r="VA2446" s="38"/>
      <c r="VB2446" s="38"/>
      <c r="VC2446" s="38"/>
      <c r="VD2446" s="38"/>
      <c r="VE2446" s="38"/>
      <c r="VF2446" s="38"/>
      <c r="VG2446" s="38"/>
      <c r="VH2446" s="38"/>
      <c r="VI2446" s="38"/>
      <c r="VJ2446" s="38"/>
      <c r="VK2446" s="38"/>
      <c r="VL2446" s="38"/>
      <c r="VM2446" s="38"/>
      <c r="VN2446" s="38"/>
      <c r="VO2446" s="38"/>
      <c r="VP2446" s="38"/>
      <c r="VQ2446" s="38"/>
      <c r="VR2446" s="38"/>
      <c r="VS2446" s="38"/>
      <c r="VT2446" s="38"/>
      <c r="VU2446" s="38"/>
      <c r="VV2446" s="38"/>
      <c r="VW2446" s="38"/>
      <c r="VX2446" s="38"/>
      <c r="VY2446" s="38"/>
      <c r="VZ2446" s="38"/>
      <c r="WA2446" s="38"/>
      <c r="WB2446" s="38"/>
      <c r="WC2446" s="38"/>
      <c r="WD2446" s="38"/>
      <c r="WE2446" s="38"/>
      <c r="WF2446" s="38"/>
      <c r="WG2446" s="38"/>
      <c r="WH2446" s="38"/>
      <c r="WI2446" s="38"/>
      <c r="WJ2446" s="38"/>
      <c r="WK2446" s="38"/>
      <c r="WL2446" s="38"/>
      <c r="WM2446" s="38"/>
      <c r="WN2446" s="38"/>
      <c r="WO2446" s="38"/>
      <c r="WP2446" s="38"/>
      <c r="WQ2446" s="38"/>
      <c r="WR2446" s="38"/>
      <c r="WS2446" s="38"/>
      <c r="WT2446" s="38"/>
      <c r="WU2446" s="38"/>
      <c r="WV2446" s="38"/>
      <c r="WW2446" s="38"/>
      <c r="WX2446" s="38"/>
      <c r="WY2446" s="38"/>
      <c r="WZ2446" s="38"/>
      <c r="XA2446" s="38"/>
      <c r="XB2446" s="38"/>
      <c r="XC2446" s="38"/>
      <c r="XD2446" s="38"/>
      <c r="XE2446" s="38"/>
      <c r="XF2446" s="38"/>
      <c r="XG2446" s="38"/>
      <c r="XH2446" s="38"/>
      <c r="XI2446" s="38"/>
      <c r="XJ2446" s="38"/>
      <c r="XK2446" s="38"/>
      <c r="XL2446" s="38"/>
      <c r="XM2446" s="38"/>
      <c r="XN2446" s="38"/>
      <c r="XO2446" s="38"/>
      <c r="XP2446" s="38"/>
      <c r="XQ2446" s="38"/>
      <c r="XR2446" s="38"/>
      <c r="XS2446" s="38"/>
      <c r="XT2446" s="38"/>
      <c r="XU2446" s="38"/>
      <c r="XV2446" s="38"/>
      <c r="XW2446" s="38"/>
      <c r="XX2446" s="38"/>
      <c r="XY2446" s="38"/>
      <c r="XZ2446" s="38"/>
      <c r="YA2446" s="38"/>
      <c r="YB2446" s="38"/>
      <c r="YC2446" s="38"/>
      <c r="YD2446" s="38"/>
      <c r="YE2446" s="38"/>
      <c r="YF2446" s="38"/>
      <c r="YG2446" s="38"/>
      <c r="YH2446" s="38"/>
      <c r="YI2446" s="38"/>
      <c r="YJ2446" s="38"/>
      <c r="YK2446" s="38"/>
      <c r="YL2446" s="38"/>
      <c r="YM2446" s="38"/>
      <c r="YN2446" s="38"/>
      <c r="YO2446" s="38"/>
      <c r="YP2446" s="38"/>
      <c r="YQ2446" s="38"/>
      <c r="YR2446" s="38"/>
      <c r="YS2446" s="38"/>
      <c r="YT2446" s="38"/>
      <c r="YU2446" s="38"/>
      <c r="YV2446" s="38"/>
      <c r="YW2446" s="38"/>
      <c r="YX2446" s="38"/>
      <c r="YY2446" s="38"/>
      <c r="YZ2446" s="38"/>
      <c r="ZA2446" s="38"/>
      <c r="ZB2446" s="38"/>
      <c r="ZC2446" s="38"/>
      <c r="ZD2446" s="38"/>
      <c r="ZE2446" s="38"/>
      <c r="ZF2446" s="38"/>
      <c r="ZG2446" s="38"/>
      <c r="ZH2446" s="38"/>
      <c r="ZI2446" s="38"/>
      <c r="ZJ2446" s="38"/>
      <c r="ZK2446" s="38"/>
      <c r="ZL2446" s="38"/>
      <c r="ZM2446" s="38"/>
      <c r="ZN2446" s="38"/>
      <c r="ZO2446" s="38"/>
      <c r="ZP2446" s="38"/>
      <c r="ZQ2446" s="38"/>
      <c r="ZR2446" s="38"/>
      <c r="ZS2446" s="38"/>
      <c r="ZT2446" s="38"/>
      <c r="ZU2446" s="38"/>
      <c r="ZV2446" s="38"/>
      <c r="ZW2446" s="38"/>
      <c r="ZX2446" s="38"/>
      <c r="ZY2446" s="38"/>
      <c r="ZZ2446" s="38"/>
      <c r="AAA2446" s="38"/>
      <c r="AAB2446" s="38"/>
      <c r="AAC2446" s="38"/>
      <c r="AAD2446" s="38"/>
      <c r="AAE2446" s="38"/>
      <c r="AAF2446" s="38"/>
      <c r="AAG2446" s="38"/>
      <c r="AAH2446" s="38"/>
      <c r="AAI2446" s="38"/>
      <c r="AAJ2446" s="38"/>
      <c r="AAK2446" s="38"/>
      <c r="AAL2446" s="38"/>
      <c r="AAM2446" s="38"/>
      <c r="AAN2446" s="38"/>
      <c r="AAO2446" s="38"/>
      <c r="AAP2446" s="38"/>
      <c r="AAQ2446" s="38"/>
      <c r="AAR2446" s="38"/>
      <c r="AAS2446" s="38"/>
      <c r="AAT2446" s="38"/>
      <c r="AAU2446" s="38"/>
      <c r="AAV2446" s="38"/>
      <c r="AAW2446" s="38"/>
      <c r="AAX2446" s="38"/>
      <c r="AAY2446" s="38"/>
      <c r="AAZ2446" s="38"/>
      <c r="ABA2446" s="38"/>
      <c r="ABB2446" s="38"/>
      <c r="ABC2446" s="38"/>
      <c r="ABD2446" s="38"/>
      <c r="ABE2446" s="38"/>
      <c r="ABF2446" s="38"/>
      <c r="ABG2446" s="38"/>
      <c r="ABH2446" s="38"/>
      <c r="ABI2446" s="38"/>
      <c r="ABJ2446" s="38"/>
      <c r="ABK2446" s="38"/>
      <c r="ABL2446" s="38"/>
      <c r="ABM2446" s="38"/>
      <c r="ABN2446" s="38"/>
      <c r="ABO2446" s="38"/>
      <c r="ABP2446" s="38"/>
      <c r="ABQ2446" s="38"/>
      <c r="ABR2446" s="38"/>
      <c r="ABS2446" s="38"/>
      <c r="ABT2446" s="38"/>
      <c r="ABU2446" s="38"/>
      <c r="ABV2446" s="38"/>
      <c r="ABW2446" s="38"/>
      <c r="ABX2446" s="38"/>
      <c r="ABY2446" s="38"/>
      <c r="ABZ2446" s="38"/>
      <c r="ACA2446" s="38"/>
      <c r="ACB2446" s="38"/>
      <c r="ACC2446" s="38"/>
      <c r="ACD2446" s="38"/>
      <c r="ACE2446" s="38"/>
      <c r="ACF2446" s="38"/>
      <c r="ACG2446" s="38"/>
      <c r="ACH2446" s="38"/>
      <c r="ACI2446" s="38"/>
      <c r="ACJ2446" s="38"/>
      <c r="ACK2446" s="38"/>
      <c r="ACL2446" s="38"/>
      <c r="ACM2446" s="38"/>
      <c r="ACN2446" s="38"/>
      <c r="ACO2446" s="38"/>
      <c r="ACP2446" s="38"/>
      <c r="ACQ2446" s="38"/>
      <c r="ACR2446" s="38"/>
      <c r="ACS2446" s="38"/>
      <c r="ACT2446" s="38"/>
      <c r="ACU2446" s="38"/>
      <c r="ACV2446" s="38"/>
      <c r="ACW2446" s="38"/>
      <c r="ACX2446" s="38"/>
      <c r="ACY2446" s="38"/>
      <c r="ACZ2446" s="38"/>
      <c r="ADA2446" s="38"/>
      <c r="ADB2446" s="38"/>
      <c r="ADC2446" s="38"/>
      <c r="ADD2446" s="38"/>
      <c r="ADE2446" s="38"/>
      <c r="ADF2446" s="38"/>
      <c r="ADG2446" s="38"/>
      <c r="ADH2446" s="38"/>
      <c r="ADI2446" s="38"/>
      <c r="ADJ2446" s="38"/>
      <c r="ADK2446" s="38"/>
      <c r="ADL2446" s="38"/>
      <c r="ADM2446" s="38"/>
      <c r="ADN2446" s="38"/>
      <c r="ADO2446" s="38"/>
      <c r="ADP2446" s="38"/>
      <c r="ADQ2446" s="38"/>
      <c r="ADR2446" s="38"/>
      <c r="ADS2446" s="38"/>
      <c r="ADT2446" s="38"/>
      <c r="ADU2446" s="38"/>
      <c r="ADV2446" s="38"/>
      <c r="ADW2446" s="38"/>
      <c r="ADX2446" s="38"/>
      <c r="ADY2446" s="38"/>
      <c r="ADZ2446" s="38"/>
      <c r="AEA2446" s="38"/>
      <c r="AEB2446" s="38"/>
      <c r="AEC2446" s="38"/>
      <c r="AED2446" s="38"/>
      <c r="AEE2446" s="38"/>
      <c r="AEF2446" s="38"/>
      <c r="AEG2446" s="38"/>
      <c r="AEH2446" s="38"/>
      <c r="AEI2446" s="38"/>
      <c r="AEJ2446" s="38"/>
      <c r="AEK2446" s="38"/>
      <c r="AEL2446" s="38"/>
      <c r="AEM2446" s="38"/>
      <c r="AEN2446" s="38"/>
      <c r="AEO2446" s="38"/>
      <c r="AEP2446" s="38"/>
      <c r="AEQ2446" s="38"/>
      <c r="AER2446" s="38"/>
      <c r="AES2446" s="38"/>
      <c r="AET2446" s="38"/>
      <c r="AEU2446" s="38"/>
      <c r="AEV2446" s="38"/>
      <c r="AEW2446" s="38"/>
      <c r="AEX2446" s="38"/>
      <c r="AEY2446" s="38"/>
      <c r="AEZ2446" s="38"/>
      <c r="AFA2446" s="38"/>
      <c r="AFB2446" s="38"/>
      <c r="AFC2446" s="38"/>
      <c r="AFD2446" s="38"/>
      <c r="AFE2446" s="38"/>
      <c r="AFF2446" s="38"/>
      <c r="AFG2446" s="38"/>
      <c r="AFH2446" s="38"/>
      <c r="AFI2446" s="38"/>
      <c r="AFJ2446" s="38"/>
      <c r="AFK2446" s="38"/>
      <c r="AFL2446" s="38"/>
      <c r="AFM2446" s="38"/>
      <c r="AFN2446" s="38"/>
      <c r="AFO2446" s="38"/>
      <c r="AFP2446" s="38"/>
      <c r="AFQ2446" s="38"/>
      <c r="AFR2446" s="38"/>
      <c r="AFS2446" s="38"/>
      <c r="AFT2446" s="38"/>
      <c r="AFU2446" s="38"/>
      <c r="AFV2446" s="38"/>
      <c r="AFW2446" s="38"/>
      <c r="AFX2446" s="38"/>
      <c r="AFY2446" s="38"/>
      <c r="AFZ2446" s="38"/>
      <c r="AGA2446" s="38"/>
      <c r="AGB2446" s="38"/>
      <c r="AGC2446" s="38"/>
      <c r="AGD2446" s="38"/>
      <c r="AGE2446" s="38"/>
      <c r="AGF2446" s="38"/>
      <c r="AGG2446" s="38"/>
      <c r="AGH2446" s="38"/>
      <c r="AGI2446" s="38"/>
      <c r="AGJ2446" s="38"/>
      <c r="AGK2446" s="38"/>
      <c r="AGL2446" s="38"/>
      <c r="AGM2446" s="38"/>
      <c r="AGN2446" s="38"/>
      <c r="AGO2446" s="38"/>
      <c r="AGP2446" s="38"/>
      <c r="AGQ2446" s="38"/>
      <c r="AGR2446" s="38"/>
      <c r="AGS2446" s="38"/>
      <c r="AGT2446" s="38"/>
      <c r="AGU2446" s="38"/>
      <c r="AGV2446" s="38"/>
      <c r="AGW2446" s="38"/>
      <c r="AGX2446" s="38"/>
      <c r="AGY2446" s="38"/>
      <c r="AGZ2446" s="38"/>
      <c r="AHA2446" s="38"/>
      <c r="AHB2446" s="38"/>
      <c r="AHC2446" s="38"/>
      <c r="AHD2446" s="38"/>
      <c r="AHE2446" s="38"/>
      <c r="AHF2446" s="38"/>
      <c r="AHG2446" s="38"/>
      <c r="AHH2446" s="38"/>
      <c r="AHI2446" s="38"/>
      <c r="AHJ2446" s="38"/>
      <c r="AHK2446" s="38"/>
      <c r="AHL2446" s="38"/>
      <c r="AHM2446" s="38"/>
      <c r="AHN2446" s="38"/>
      <c r="AHO2446" s="38"/>
      <c r="AHP2446" s="38"/>
      <c r="AHQ2446" s="38"/>
      <c r="AHR2446" s="38"/>
      <c r="AHS2446" s="38"/>
      <c r="AHT2446" s="38"/>
      <c r="AHU2446" s="38"/>
      <c r="AHV2446" s="38"/>
      <c r="AHW2446" s="38"/>
      <c r="AHX2446" s="38"/>
      <c r="AHY2446" s="38"/>
      <c r="AHZ2446" s="38"/>
      <c r="AIA2446" s="38"/>
      <c r="AIB2446" s="38"/>
      <c r="AIC2446" s="38"/>
      <c r="AID2446" s="38"/>
      <c r="AIE2446" s="38"/>
      <c r="AIF2446" s="38"/>
      <c r="AIG2446" s="38"/>
      <c r="AIH2446" s="38"/>
      <c r="AII2446" s="38"/>
      <c r="AIJ2446" s="38"/>
      <c r="AIK2446" s="38"/>
      <c r="AIL2446" s="38"/>
      <c r="AIM2446" s="38"/>
      <c r="AIN2446" s="38"/>
      <c r="AIO2446" s="38"/>
      <c r="AIP2446" s="38"/>
      <c r="AIQ2446" s="38"/>
      <c r="AIR2446" s="38"/>
      <c r="AIS2446" s="38"/>
      <c r="AIT2446" s="38"/>
      <c r="AIU2446" s="38"/>
      <c r="AIV2446" s="38"/>
      <c r="AIW2446" s="38"/>
      <c r="AIX2446" s="38"/>
      <c r="AIY2446" s="38"/>
      <c r="AIZ2446" s="38"/>
      <c r="AJA2446" s="38"/>
      <c r="AJB2446" s="38"/>
      <c r="AJC2446" s="38"/>
      <c r="AJD2446" s="38"/>
      <c r="AJE2446" s="38"/>
      <c r="AJF2446" s="38"/>
      <c r="AJG2446" s="38"/>
      <c r="AJH2446" s="38"/>
      <c r="AJI2446" s="38"/>
      <c r="AJJ2446" s="38"/>
      <c r="AJK2446" s="38"/>
      <c r="AJL2446" s="38"/>
      <c r="AJM2446" s="38"/>
      <c r="AJN2446" s="38"/>
      <c r="AJO2446" s="38"/>
      <c r="AJP2446" s="38"/>
      <c r="AJQ2446" s="38"/>
      <c r="AJR2446" s="38"/>
      <c r="AJS2446" s="38"/>
      <c r="AJT2446" s="38"/>
      <c r="AJU2446" s="38"/>
      <c r="AJV2446" s="38"/>
      <c r="AJW2446" s="38"/>
      <c r="AJX2446" s="38"/>
      <c r="AJY2446" s="38"/>
      <c r="AJZ2446" s="38"/>
      <c r="AKA2446" s="38"/>
      <c r="AKB2446" s="38"/>
      <c r="AKC2446" s="38"/>
      <c r="AKD2446" s="38"/>
      <c r="AKE2446" s="38"/>
      <c r="AKF2446" s="38"/>
      <c r="AKG2446" s="38"/>
      <c r="AKH2446" s="38"/>
      <c r="AKI2446" s="38"/>
      <c r="AKJ2446" s="38"/>
      <c r="AKK2446" s="38"/>
      <c r="AKL2446" s="38"/>
      <c r="AKM2446" s="38"/>
      <c r="AKN2446" s="38"/>
      <c r="AKO2446" s="38"/>
      <c r="AKP2446" s="38"/>
      <c r="AKQ2446" s="38"/>
      <c r="AKR2446" s="38"/>
      <c r="AKS2446" s="38"/>
      <c r="AKT2446" s="38"/>
      <c r="AKU2446" s="38"/>
      <c r="AKV2446" s="38"/>
      <c r="AKW2446" s="38"/>
      <c r="AKX2446" s="38"/>
      <c r="AKY2446" s="38"/>
      <c r="AKZ2446" s="38"/>
      <c r="ALA2446" s="38"/>
      <c r="ALB2446" s="38"/>
      <c r="ALC2446" s="38"/>
      <c r="ALD2446" s="38"/>
      <c r="ALE2446" s="38"/>
      <c r="ALF2446" s="38"/>
      <c r="ALG2446" s="38"/>
      <c r="ALH2446" s="38"/>
      <c r="ALI2446" s="38"/>
      <c r="ALJ2446" s="38"/>
      <c r="ALK2446" s="38"/>
      <c r="ALL2446" s="38"/>
      <c r="ALM2446" s="38"/>
      <c r="ALN2446" s="38"/>
      <c r="ALO2446" s="38"/>
      <c r="ALP2446" s="38"/>
      <c r="ALQ2446" s="38"/>
      <c r="ALR2446" s="38"/>
      <c r="ALS2446" s="38"/>
      <c r="ALT2446" s="38"/>
      <c r="ALU2446" s="38"/>
      <c r="ALV2446" s="38"/>
      <c r="ALW2446" s="38"/>
      <c r="ALX2446" s="38"/>
      <c r="ALY2446" s="38"/>
      <c r="ALZ2446" s="38"/>
      <c r="AMA2446" s="38"/>
      <c r="AMB2446" s="38"/>
      <c r="AMC2446" s="38"/>
      <c r="AMD2446" s="38"/>
      <c r="AME2446" s="38"/>
      <c r="AMF2446" s="38"/>
      <c r="AMG2446" s="38"/>
      <c r="AMH2446" s="38"/>
      <c r="AMI2446" s="38"/>
      <c r="AMJ2446" s="38"/>
      <c r="AMK2446" s="38"/>
      <c r="AML2446" s="38"/>
      <c r="AMM2446" s="38"/>
      <c r="AMN2446" s="38"/>
      <c r="AMO2446" s="38"/>
      <c r="AMP2446" s="38"/>
      <c r="AMQ2446" s="38"/>
      <c r="AMR2446" s="38"/>
      <c r="AMS2446" s="38"/>
      <c r="AMT2446" s="38"/>
      <c r="AMU2446" s="38"/>
      <c r="AMV2446" s="38"/>
      <c r="AMW2446" s="38"/>
      <c r="AMX2446" s="38"/>
      <c r="AMY2446" s="38"/>
      <c r="AMZ2446" s="38"/>
      <c r="ANA2446" s="38"/>
      <c r="ANB2446" s="38"/>
      <c r="ANC2446" s="38"/>
      <c r="AND2446" s="38"/>
      <c r="ANE2446" s="38"/>
      <c r="ANF2446" s="38"/>
      <c r="ANG2446" s="38"/>
      <c r="ANH2446" s="38"/>
      <c r="ANI2446" s="38"/>
      <c r="ANJ2446" s="38"/>
      <c r="ANK2446" s="38"/>
      <c r="ANL2446" s="38"/>
      <c r="ANM2446" s="38"/>
      <c r="ANN2446" s="38"/>
      <c r="ANO2446" s="38"/>
      <c r="ANP2446" s="38"/>
      <c r="ANQ2446" s="38"/>
      <c r="ANR2446" s="38"/>
      <c r="ANS2446" s="38"/>
      <c r="ANT2446" s="38"/>
      <c r="ANU2446" s="38"/>
      <c r="ANV2446" s="38"/>
      <c r="ANW2446" s="38"/>
      <c r="ANX2446" s="38"/>
      <c r="ANY2446" s="38"/>
      <c r="ANZ2446" s="38"/>
      <c r="AOA2446" s="38"/>
      <c r="AOB2446" s="38"/>
      <c r="AOC2446" s="38"/>
      <c r="AOD2446" s="38"/>
      <c r="AOE2446" s="38"/>
      <c r="AOF2446" s="38"/>
      <c r="AOG2446" s="38"/>
      <c r="AOH2446" s="38"/>
      <c r="AOI2446" s="38"/>
      <c r="AOJ2446" s="38"/>
      <c r="AOK2446" s="38"/>
      <c r="AOL2446" s="38"/>
      <c r="AOM2446" s="38"/>
      <c r="AON2446" s="38"/>
      <c r="AOO2446" s="38"/>
      <c r="AOP2446" s="38"/>
      <c r="AOQ2446" s="38"/>
      <c r="AOR2446" s="38"/>
      <c r="AOS2446" s="38"/>
      <c r="AOT2446" s="38"/>
      <c r="AOU2446" s="38"/>
      <c r="AOV2446" s="38"/>
      <c r="AOW2446" s="38"/>
      <c r="AOX2446" s="38"/>
      <c r="AOY2446" s="38"/>
      <c r="AOZ2446" s="38"/>
      <c r="APA2446" s="38"/>
      <c r="APB2446" s="38"/>
      <c r="APC2446" s="38"/>
    </row>
    <row r="2447" spans="1:1095" s="36" customFormat="1" ht="14.25" customHeight="1">
      <c r="A2447" s="3" t="s">
        <v>1722</v>
      </c>
      <c r="B2447" s="36" t="s">
        <v>3058</v>
      </c>
      <c r="C2447" s="10">
        <v>4099854064906</v>
      </c>
      <c r="D2447" s="224">
        <v>4058075626935</v>
      </c>
      <c r="E2447" s="245" t="s">
        <v>3059</v>
      </c>
      <c r="F2447" s="246"/>
      <c r="G2447" s="66" t="str">
        <f>HYPERLINK("https://ledvance.com/pt/product-datasheet/251356/237850","Ficha de Produto")</f>
        <v>Ficha de Produto</v>
      </c>
      <c r="H2447" s="217">
        <v>20</v>
      </c>
      <c r="I2447" s="34" t="s">
        <v>6351</v>
      </c>
      <c r="J2447" s="34" t="s">
        <v>6337</v>
      </c>
      <c r="K2447" s="34" t="s">
        <v>788</v>
      </c>
      <c r="L2447" s="34" t="s">
        <v>765</v>
      </c>
      <c r="M2447" s="247">
        <v>18.3</v>
      </c>
      <c r="N2447" s="288" t="s">
        <v>722</v>
      </c>
    </row>
    <row r="2448" spans="1:1095" s="36" customFormat="1" ht="14.25" customHeight="1">
      <c r="A2448" s="3" t="s">
        <v>1722</v>
      </c>
      <c r="B2448" s="36" t="s">
        <v>3060</v>
      </c>
      <c r="C2448" s="10">
        <v>4099854064876</v>
      </c>
      <c r="D2448" s="224">
        <v>4058075626966</v>
      </c>
      <c r="E2448" s="245" t="s">
        <v>3061</v>
      </c>
      <c r="F2448" s="246"/>
      <c r="G2448" s="66" t="str">
        <f>HYPERLINK("https://ledvance.com/pt/product-datasheet/251356/237846","Ficha de Produto")</f>
        <v>Ficha de Produto</v>
      </c>
      <c r="H2448" s="217">
        <v>20</v>
      </c>
      <c r="I2448" s="34" t="s">
        <v>6352</v>
      </c>
      <c r="J2448" s="34" t="s">
        <v>798</v>
      </c>
      <c r="K2448" s="34" t="s">
        <v>788</v>
      </c>
      <c r="L2448" s="34" t="s">
        <v>765</v>
      </c>
      <c r="M2448" s="247">
        <v>31.200000000000003</v>
      </c>
      <c r="N2448" s="288" t="s">
        <v>722</v>
      </c>
    </row>
    <row r="2449" spans="1:1095" s="36" customFormat="1" ht="14.25" customHeight="1">
      <c r="A2449" s="3" t="s">
        <v>1722</v>
      </c>
      <c r="B2449" s="36" t="s">
        <v>3062</v>
      </c>
      <c r="C2449" s="10">
        <v>4099854048753</v>
      </c>
      <c r="D2449" s="224">
        <v>4058075626812</v>
      </c>
      <c r="E2449" s="245" t="s">
        <v>3063</v>
      </c>
      <c r="F2449" s="246"/>
      <c r="G2449" s="66" t="str">
        <f>HYPERLINK("https://ledvance.com/pt/product-datasheet/251356/236001","Ficha de Produto")</f>
        <v>Ficha de Produto</v>
      </c>
      <c r="H2449" s="217">
        <v>20</v>
      </c>
      <c r="I2449" s="34" t="s">
        <v>861</v>
      </c>
      <c r="J2449" s="34" t="s">
        <v>860</v>
      </c>
      <c r="K2449" s="34" t="s">
        <v>788</v>
      </c>
      <c r="L2449" s="34" t="s">
        <v>765</v>
      </c>
      <c r="M2449" s="247">
        <v>36.800000000000004</v>
      </c>
      <c r="N2449" s="288" t="s">
        <v>722</v>
      </c>
    </row>
    <row r="2450" spans="1:1095" s="36" customFormat="1" ht="14.25" customHeight="1">
      <c r="A2450" s="3" t="s">
        <v>1722</v>
      </c>
      <c r="B2450" s="36" t="s">
        <v>3064</v>
      </c>
      <c r="C2450" s="10">
        <v>4099854048678</v>
      </c>
      <c r="D2450" s="224">
        <v>4058075626782</v>
      </c>
      <c r="E2450" s="245" t="s">
        <v>3065</v>
      </c>
      <c r="F2450" s="246"/>
      <c r="G2450" s="66" t="str">
        <f>HYPERLINK("https://ledvance.com/pt/product-datasheet/251356/235987","Ficha de Produto")</f>
        <v>Ficha de Produto</v>
      </c>
      <c r="H2450" s="217">
        <v>20</v>
      </c>
      <c r="I2450" s="34" t="s">
        <v>6366</v>
      </c>
      <c r="J2450" s="34" t="s">
        <v>6427</v>
      </c>
      <c r="K2450" s="34" t="s">
        <v>788</v>
      </c>
      <c r="L2450" s="34" t="s">
        <v>765</v>
      </c>
      <c r="M2450" s="247">
        <v>55.300000000000004</v>
      </c>
      <c r="N2450" s="288" t="s">
        <v>722</v>
      </c>
    </row>
    <row r="2451" spans="1:1095" s="39" customFormat="1" ht="14.25" customHeight="1">
      <c r="A2451" s="8" t="s">
        <v>1722</v>
      </c>
      <c r="B2451" s="244" t="s">
        <v>3066</v>
      </c>
      <c r="C2451" s="8"/>
      <c r="D2451" s="7"/>
      <c r="E2451" s="230"/>
      <c r="F2451" s="7"/>
      <c r="G2451" s="68"/>
      <c r="H2451" s="230"/>
      <c r="I2451" s="230"/>
      <c r="J2451" s="230"/>
      <c r="K2451" s="230"/>
      <c r="L2451" s="230"/>
      <c r="M2451" s="248"/>
      <c r="N2451" s="284"/>
      <c r="O2451" s="38"/>
      <c r="P2451" s="38"/>
      <c r="Q2451" s="38"/>
      <c r="R2451" s="38"/>
      <c r="S2451" s="38"/>
      <c r="T2451" s="38"/>
      <c r="U2451" s="38"/>
      <c r="V2451" s="38"/>
      <c r="W2451" s="38"/>
      <c r="X2451" s="38"/>
      <c r="Y2451" s="38"/>
      <c r="Z2451" s="38"/>
      <c r="AA2451" s="38"/>
      <c r="AB2451" s="38"/>
      <c r="AC2451" s="38"/>
      <c r="AD2451" s="38"/>
      <c r="AE2451" s="38"/>
      <c r="AF2451" s="38"/>
      <c r="AG2451" s="38"/>
      <c r="AH2451" s="38"/>
      <c r="AI2451" s="38"/>
      <c r="AJ2451" s="38"/>
      <c r="AK2451" s="38"/>
      <c r="AL2451" s="38"/>
      <c r="AM2451" s="38"/>
      <c r="AN2451" s="38"/>
      <c r="AO2451" s="38"/>
      <c r="AP2451" s="38"/>
      <c r="AQ2451" s="38"/>
      <c r="AR2451" s="38"/>
      <c r="AS2451" s="38"/>
      <c r="AT2451" s="38"/>
      <c r="AU2451" s="38"/>
      <c r="AV2451" s="38"/>
      <c r="AW2451" s="38"/>
      <c r="AX2451" s="38"/>
      <c r="AY2451" s="38"/>
      <c r="AZ2451" s="38"/>
      <c r="BA2451" s="38"/>
      <c r="BB2451" s="38"/>
      <c r="BC2451" s="38"/>
      <c r="BD2451" s="38"/>
      <c r="BE2451" s="38"/>
      <c r="BF2451" s="38"/>
      <c r="BG2451" s="38"/>
      <c r="BH2451" s="38"/>
      <c r="BI2451" s="38"/>
      <c r="BJ2451" s="38"/>
      <c r="BK2451" s="38"/>
      <c r="BL2451" s="38"/>
      <c r="BM2451" s="38"/>
      <c r="BN2451" s="38"/>
      <c r="BO2451" s="38"/>
      <c r="BP2451" s="38"/>
      <c r="BQ2451" s="38"/>
      <c r="BR2451" s="38"/>
      <c r="BS2451" s="38"/>
      <c r="BT2451" s="38"/>
      <c r="BU2451" s="38"/>
      <c r="BV2451" s="38"/>
      <c r="BW2451" s="38"/>
      <c r="BX2451" s="38"/>
      <c r="BY2451" s="38"/>
      <c r="BZ2451" s="38"/>
      <c r="CA2451" s="38"/>
      <c r="CB2451" s="38"/>
      <c r="CC2451" s="38"/>
      <c r="CD2451" s="38"/>
      <c r="CE2451" s="38"/>
      <c r="CF2451" s="38"/>
      <c r="CG2451" s="38"/>
      <c r="CH2451" s="38"/>
      <c r="CI2451" s="38"/>
      <c r="CJ2451" s="38"/>
      <c r="CK2451" s="38"/>
      <c r="CL2451" s="38"/>
      <c r="CM2451" s="38"/>
      <c r="CN2451" s="38"/>
      <c r="CO2451" s="38"/>
      <c r="CP2451" s="38"/>
      <c r="CQ2451" s="38"/>
      <c r="CR2451" s="38"/>
      <c r="CS2451" s="38"/>
      <c r="CT2451" s="38"/>
      <c r="CU2451" s="38"/>
      <c r="CV2451" s="38"/>
      <c r="CW2451" s="38"/>
      <c r="CX2451" s="38"/>
      <c r="CY2451" s="38"/>
      <c r="CZ2451" s="38"/>
      <c r="DA2451" s="38"/>
      <c r="DB2451" s="38"/>
      <c r="DC2451" s="38"/>
      <c r="DD2451" s="38"/>
      <c r="DE2451" s="38"/>
      <c r="DF2451" s="38"/>
      <c r="DG2451" s="38"/>
      <c r="DH2451" s="38"/>
      <c r="DI2451" s="38"/>
      <c r="DJ2451" s="38"/>
      <c r="DK2451" s="38"/>
      <c r="DL2451" s="38"/>
      <c r="DM2451" s="38"/>
      <c r="DN2451" s="38"/>
      <c r="DO2451" s="38"/>
      <c r="DP2451" s="38"/>
      <c r="DQ2451" s="38"/>
      <c r="DR2451" s="38"/>
      <c r="DS2451" s="38"/>
      <c r="DT2451" s="38"/>
      <c r="DU2451" s="38"/>
      <c r="DV2451" s="38"/>
      <c r="DW2451" s="38"/>
      <c r="DX2451" s="38"/>
      <c r="DY2451" s="38"/>
      <c r="DZ2451" s="38"/>
      <c r="EA2451" s="38"/>
      <c r="EB2451" s="38"/>
      <c r="EC2451" s="38"/>
      <c r="ED2451" s="38"/>
      <c r="EE2451" s="38"/>
      <c r="EF2451" s="38"/>
      <c r="EG2451" s="38"/>
      <c r="EH2451" s="38"/>
      <c r="EI2451" s="38"/>
      <c r="EJ2451" s="38"/>
      <c r="EK2451" s="38"/>
      <c r="EL2451" s="38"/>
      <c r="EM2451" s="38"/>
      <c r="EN2451" s="38"/>
      <c r="EO2451" s="38"/>
      <c r="EP2451" s="38"/>
      <c r="EQ2451" s="38"/>
      <c r="ER2451" s="38"/>
      <c r="ES2451" s="38"/>
      <c r="ET2451" s="38"/>
      <c r="EU2451" s="38"/>
      <c r="EV2451" s="38"/>
      <c r="EW2451" s="38"/>
      <c r="EX2451" s="38"/>
      <c r="EY2451" s="38"/>
      <c r="EZ2451" s="38"/>
      <c r="FA2451" s="38"/>
      <c r="FB2451" s="38"/>
      <c r="FC2451" s="38"/>
      <c r="FD2451" s="38"/>
      <c r="FE2451" s="38"/>
      <c r="FF2451" s="38"/>
      <c r="FG2451" s="38"/>
      <c r="FH2451" s="38"/>
      <c r="FI2451" s="38"/>
      <c r="FJ2451" s="38"/>
      <c r="FK2451" s="38"/>
      <c r="FL2451" s="38"/>
      <c r="FM2451" s="38"/>
      <c r="FN2451" s="38"/>
      <c r="FO2451" s="38"/>
      <c r="FP2451" s="38"/>
      <c r="FQ2451" s="38"/>
      <c r="FR2451" s="38"/>
      <c r="FS2451" s="38"/>
      <c r="FT2451" s="38"/>
      <c r="FU2451" s="38"/>
      <c r="FV2451" s="38"/>
      <c r="FW2451" s="38"/>
      <c r="FX2451" s="38"/>
      <c r="FY2451" s="38"/>
      <c r="FZ2451" s="38"/>
      <c r="GA2451" s="38"/>
      <c r="GB2451" s="38"/>
      <c r="GC2451" s="38"/>
      <c r="GD2451" s="38"/>
      <c r="GE2451" s="38"/>
      <c r="GF2451" s="38"/>
      <c r="GG2451" s="38"/>
      <c r="GH2451" s="38"/>
      <c r="GI2451" s="38"/>
      <c r="GJ2451" s="38"/>
      <c r="GK2451" s="38"/>
      <c r="GL2451" s="38"/>
      <c r="GM2451" s="38"/>
      <c r="GN2451" s="38"/>
      <c r="GO2451" s="38"/>
      <c r="GP2451" s="38"/>
      <c r="GQ2451" s="38"/>
      <c r="GR2451" s="38"/>
      <c r="GS2451" s="38"/>
      <c r="GT2451" s="38"/>
      <c r="GU2451" s="38"/>
      <c r="GV2451" s="38"/>
      <c r="GW2451" s="38"/>
      <c r="GX2451" s="38"/>
      <c r="GY2451" s="38"/>
      <c r="GZ2451" s="38"/>
      <c r="HA2451" s="38"/>
      <c r="HB2451" s="38"/>
      <c r="HC2451" s="38"/>
      <c r="HD2451" s="38"/>
      <c r="HE2451" s="38"/>
      <c r="HF2451" s="38"/>
      <c r="HG2451" s="38"/>
      <c r="HH2451" s="38"/>
      <c r="HI2451" s="38"/>
      <c r="HJ2451" s="38"/>
      <c r="HK2451" s="38"/>
      <c r="HL2451" s="38"/>
      <c r="HM2451" s="38"/>
      <c r="HN2451" s="38"/>
      <c r="HO2451" s="38"/>
      <c r="HP2451" s="38"/>
      <c r="HQ2451" s="38"/>
      <c r="HR2451" s="38"/>
      <c r="HS2451" s="38"/>
      <c r="HT2451" s="38"/>
      <c r="HU2451" s="38"/>
      <c r="HV2451" s="38"/>
      <c r="HW2451" s="38"/>
      <c r="HX2451" s="38"/>
      <c r="HY2451" s="38"/>
      <c r="HZ2451" s="38"/>
      <c r="IA2451" s="38"/>
      <c r="IB2451" s="38"/>
      <c r="IC2451" s="38"/>
      <c r="ID2451" s="38"/>
      <c r="IE2451" s="38"/>
      <c r="IF2451" s="38"/>
      <c r="IG2451" s="38"/>
      <c r="IH2451" s="38"/>
      <c r="II2451" s="38"/>
      <c r="IJ2451" s="38"/>
      <c r="IK2451" s="38"/>
      <c r="IL2451" s="38"/>
      <c r="IM2451" s="38"/>
      <c r="IN2451" s="38"/>
      <c r="IO2451" s="38"/>
      <c r="IP2451" s="38"/>
      <c r="IQ2451" s="38"/>
      <c r="IR2451" s="38"/>
      <c r="IS2451" s="38"/>
      <c r="IT2451" s="38"/>
      <c r="IU2451" s="38"/>
      <c r="IV2451" s="38"/>
      <c r="IW2451" s="38"/>
      <c r="IX2451" s="38"/>
      <c r="IY2451" s="38"/>
      <c r="IZ2451" s="38"/>
      <c r="JA2451" s="38"/>
      <c r="JB2451" s="38"/>
      <c r="JC2451" s="38"/>
      <c r="JD2451" s="38"/>
      <c r="JE2451" s="38"/>
      <c r="JF2451" s="38"/>
      <c r="JG2451" s="38"/>
      <c r="JH2451" s="38"/>
      <c r="JI2451" s="38"/>
      <c r="JJ2451" s="38"/>
      <c r="JK2451" s="38"/>
      <c r="JL2451" s="38"/>
      <c r="JM2451" s="38"/>
      <c r="JN2451" s="38"/>
      <c r="JO2451" s="38"/>
      <c r="JP2451" s="38"/>
      <c r="JQ2451" s="38"/>
      <c r="JR2451" s="38"/>
      <c r="JS2451" s="38"/>
      <c r="JT2451" s="38"/>
      <c r="JU2451" s="38"/>
      <c r="JV2451" s="38"/>
      <c r="JW2451" s="38"/>
      <c r="JX2451" s="38"/>
      <c r="JY2451" s="38"/>
      <c r="JZ2451" s="38"/>
      <c r="KA2451" s="38"/>
      <c r="KB2451" s="38"/>
      <c r="KC2451" s="38"/>
      <c r="KD2451" s="38"/>
      <c r="KE2451" s="38"/>
      <c r="KF2451" s="38"/>
      <c r="KG2451" s="38"/>
      <c r="KH2451" s="38"/>
      <c r="KI2451" s="38"/>
      <c r="KJ2451" s="38"/>
      <c r="KK2451" s="38"/>
      <c r="KL2451" s="38"/>
      <c r="KM2451" s="38"/>
      <c r="KN2451" s="38"/>
      <c r="KO2451" s="38"/>
      <c r="KP2451" s="38"/>
      <c r="KQ2451" s="38"/>
      <c r="KR2451" s="38"/>
      <c r="KS2451" s="38"/>
      <c r="KT2451" s="38"/>
      <c r="KU2451" s="38"/>
      <c r="KV2451" s="38"/>
      <c r="KW2451" s="38"/>
      <c r="KX2451" s="38"/>
      <c r="KY2451" s="38"/>
      <c r="KZ2451" s="38"/>
      <c r="LA2451" s="38"/>
      <c r="LB2451" s="38"/>
      <c r="LC2451" s="38"/>
      <c r="LD2451" s="38"/>
      <c r="LE2451" s="38"/>
      <c r="LF2451" s="38"/>
      <c r="LG2451" s="38"/>
      <c r="LH2451" s="38"/>
      <c r="LI2451" s="38"/>
      <c r="LJ2451" s="38"/>
      <c r="LK2451" s="38"/>
      <c r="LL2451" s="38"/>
      <c r="LM2451" s="38"/>
      <c r="LN2451" s="38"/>
      <c r="LO2451" s="38"/>
      <c r="LP2451" s="38"/>
      <c r="LQ2451" s="38"/>
      <c r="LR2451" s="38"/>
      <c r="LS2451" s="38"/>
      <c r="LT2451" s="38"/>
      <c r="LU2451" s="38"/>
      <c r="LV2451" s="38"/>
      <c r="LW2451" s="38"/>
      <c r="LX2451" s="38"/>
      <c r="LY2451" s="38"/>
      <c r="LZ2451" s="38"/>
      <c r="MA2451" s="38"/>
      <c r="MB2451" s="38"/>
      <c r="MC2451" s="38"/>
      <c r="MD2451" s="38"/>
      <c r="ME2451" s="38"/>
      <c r="MF2451" s="38"/>
      <c r="MG2451" s="38"/>
      <c r="MH2451" s="38"/>
      <c r="MI2451" s="38"/>
      <c r="MJ2451" s="38"/>
      <c r="MK2451" s="38"/>
      <c r="ML2451" s="38"/>
      <c r="MM2451" s="38"/>
      <c r="MN2451" s="38"/>
      <c r="MO2451" s="38"/>
      <c r="MP2451" s="38"/>
      <c r="MQ2451" s="38"/>
      <c r="MR2451" s="38"/>
      <c r="MS2451" s="38"/>
      <c r="MT2451" s="38"/>
      <c r="MU2451" s="38"/>
      <c r="MV2451" s="38"/>
      <c r="MW2451" s="38"/>
      <c r="MX2451" s="38"/>
      <c r="MY2451" s="38"/>
      <c r="MZ2451" s="38"/>
      <c r="NA2451" s="38"/>
      <c r="NB2451" s="38"/>
      <c r="NC2451" s="38"/>
      <c r="ND2451" s="38"/>
      <c r="NE2451" s="38"/>
      <c r="NF2451" s="38"/>
      <c r="NG2451" s="38"/>
      <c r="NH2451" s="38"/>
      <c r="NI2451" s="38"/>
      <c r="NJ2451" s="38"/>
      <c r="NK2451" s="38"/>
      <c r="NL2451" s="38"/>
      <c r="NM2451" s="38"/>
      <c r="NN2451" s="38"/>
      <c r="NO2451" s="38"/>
      <c r="NP2451" s="38"/>
      <c r="NQ2451" s="38"/>
      <c r="NR2451" s="38"/>
      <c r="NS2451" s="38"/>
      <c r="NT2451" s="38"/>
      <c r="NU2451" s="38"/>
      <c r="NV2451" s="38"/>
      <c r="NW2451" s="38"/>
      <c r="NX2451" s="38"/>
      <c r="NY2451" s="38"/>
      <c r="NZ2451" s="38"/>
      <c r="OA2451" s="38"/>
      <c r="OB2451" s="38"/>
      <c r="OC2451" s="38"/>
      <c r="OD2451" s="38"/>
      <c r="OE2451" s="38"/>
      <c r="OF2451" s="38"/>
      <c r="OG2451" s="38"/>
      <c r="OH2451" s="38"/>
      <c r="OI2451" s="38"/>
      <c r="OJ2451" s="38"/>
      <c r="OK2451" s="38"/>
      <c r="OL2451" s="38"/>
      <c r="OM2451" s="38"/>
      <c r="ON2451" s="38"/>
      <c r="OO2451" s="38"/>
      <c r="OP2451" s="38"/>
      <c r="OQ2451" s="38"/>
      <c r="OR2451" s="38"/>
      <c r="OS2451" s="38"/>
      <c r="OT2451" s="38"/>
      <c r="OU2451" s="38"/>
      <c r="OV2451" s="38"/>
      <c r="OW2451" s="38"/>
      <c r="OX2451" s="38"/>
      <c r="OY2451" s="38"/>
      <c r="OZ2451" s="38"/>
      <c r="PA2451" s="38"/>
      <c r="PB2451" s="38"/>
      <c r="PC2451" s="38"/>
      <c r="PD2451" s="38"/>
      <c r="PE2451" s="38"/>
      <c r="PF2451" s="38"/>
      <c r="PG2451" s="38"/>
      <c r="PH2451" s="38"/>
      <c r="PI2451" s="38"/>
      <c r="PJ2451" s="38"/>
      <c r="PK2451" s="38"/>
      <c r="PL2451" s="38"/>
      <c r="PM2451" s="38"/>
      <c r="PN2451" s="38"/>
      <c r="PO2451" s="38"/>
      <c r="PP2451" s="38"/>
      <c r="PQ2451" s="38"/>
      <c r="PR2451" s="38"/>
      <c r="PS2451" s="38"/>
      <c r="PT2451" s="38"/>
      <c r="PU2451" s="38"/>
      <c r="PV2451" s="38"/>
      <c r="PW2451" s="38"/>
      <c r="PX2451" s="38"/>
      <c r="PY2451" s="38"/>
      <c r="PZ2451" s="38"/>
      <c r="QA2451" s="38"/>
      <c r="QB2451" s="38"/>
      <c r="QC2451" s="38"/>
      <c r="QD2451" s="38"/>
      <c r="QE2451" s="38"/>
      <c r="QF2451" s="38"/>
      <c r="QG2451" s="38"/>
      <c r="QH2451" s="38"/>
      <c r="QI2451" s="38"/>
      <c r="QJ2451" s="38"/>
      <c r="QK2451" s="38"/>
      <c r="QL2451" s="38"/>
      <c r="QM2451" s="38"/>
      <c r="QN2451" s="38"/>
      <c r="QO2451" s="38"/>
      <c r="QP2451" s="38"/>
      <c r="QQ2451" s="38"/>
      <c r="QR2451" s="38"/>
      <c r="QS2451" s="38"/>
      <c r="QT2451" s="38"/>
      <c r="QU2451" s="38"/>
      <c r="QV2451" s="38"/>
      <c r="QW2451" s="38"/>
      <c r="QX2451" s="38"/>
      <c r="QY2451" s="38"/>
      <c r="QZ2451" s="38"/>
      <c r="RA2451" s="38"/>
      <c r="RB2451" s="38"/>
      <c r="RC2451" s="38"/>
      <c r="RD2451" s="38"/>
      <c r="RE2451" s="38"/>
      <c r="RF2451" s="38"/>
      <c r="RG2451" s="38"/>
      <c r="RH2451" s="38"/>
      <c r="RI2451" s="38"/>
      <c r="RJ2451" s="38"/>
      <c r="RK2451" s="38"/>
      <c r="RL2451" s="38"/>
      <c r="RM2451" s="38"/>
      <c r="RN2451" s="38"/>
      <c r="RO2451" s="38"/>
      <c r="RP2451" s="38"/>
      <c r="RQ2451" s="38"/>
      <c r="RR2451" s="38"/>
      <c r="RS2451" s="38"/>
      <c r="RT2451" s="38"/>
      <c r="RU2451" s="38"/>
      <c r="RV2451" s="38"/>
      <c r="RW2451" s="38"/>
      <c r="RX2451" s="38"/>
      <c r="RY2451" s="38"/>
      <c r="RZ2451" s="38"/>
      <c r="SA2451" s="38"/>
      <c r="SB2451" s="38"/>
      <c r="SC2451" s="38"/>
      <c r="SD2451" s="38"/>
      <c r="SE2451" s="38"/>
      <c r="SF2451" s="38"/>
      <c r="SG2451" s="38"/>
      <c r="SH2451" s="38"/>
      <c r="SI2451" s="38"/>
      <c r="SJ2451" s="38"/>
      <c r="SK2451" s="38"/>
      <c r="SL2451" s="38"/>
      <c r="SM2451" s="38"/>
      <c r="SN2451" s="38"/>
      <c r="SO2451" s="38"/>
      <c r="SP2451" s="38"/>
      <c r="SQ2451" s="38"/>
      <c r="SR2451" s="38"/>
      <c r="SS2451" s="38"/>
      <c r="ST2451" s="38"/>
      <c r="SU2451" s="38"/>
      <c r="SV2451" s="38"/>
      <c r="SW2451" s="38"/>
      <c r="SX2451" s="38"/>
      <c r="SY2451" s="38"/>
      <c r="SZ2451" s="38"/>
      <c r="TA2451" s="38"/>
      <c r="TB2451" s="38"/>
      <c r="TC2451" s="38"/>
      <c r="TD2451" s="38"/>
      <c r="TE2451" s="38"/>
      <c r="TF2451" s="38"/>
      <c r="TG2451" s="38"/>
      <c r="TH2451" s="38"/>
      <c r="TI2451" s="38"/>
      <c r="TJ2451" s="38"/>
      <c r="TK2451" s="38"/>
      <c r="TL2451" s="38"/>
      <c r="TM2451" s="38"/>
      <c r="TN2451" s="38"/>
      <c r="TO2451" s="38"/>
      <c r="TP2451" s="38"/>
      <c r="TQ2451" s="38"/>
      <c r="TR2451" s="38"/>
      <c r="TS2451" s="38"/>
      <c r="TT2451" s="38"/>
      <c r="TU2451" s="38"/>
      <c r="TV2451" s="38"/>
      <c r="TW2451" s="38"/>
      <c r="TX2451" s="38"/>
      <c r="TY2451" s="38"/>
      <c r="TZ2451" s="38"/>
      <c r="UA2451" s="38"/>
      <c r="UB2451" s="38"/>
      <c r="UC2451" s="38"/>
      <c r="UD2451" s="38"/>
      <c r="UE2451" s="38"/>
      <c r="UF2451" s="38"/>
      <c r="UG2451" s="38"/>
      <c r="UH2451" s="38"/>
      <c r="UI2451" s="38"/>
      <c r="UJ2451" s="38"/>
      <c r="UK2451" s="38"/>
      <c r="UL2451" s="38"/>
      <c r="UM2451" s="38"/>
      <c r="UN2451" s="38"/>
      <c r="UO2451" s="38"/>
      <c r="UP2451" s="38"/>
      <c r="UQ2451" s="38"/>
      <c r="UR2451" s="38"/>
      <c r="US2451" s="38"/>
      <c r="UT2451" s="38"/>
      <c r="UU2451" s="38"/>
      <c r="UV2451" s="38"/>
      <c r="UW2451" s="38"/>
      <c r="UX2451" s="38"/>
      <c r="UY2451" s="38"/>
      <c r="UZ2451" s="38"/>
      <c r="VA2451" s="38"/>
      <c r="VB2451" s="38"/>
      <c r="VC2451" s="38"/>
      <c r="VD2451" s="38"/>
      <c r="VE2451" s="38"/>
      <c r="VF2451" s="38"/>
      <c r="VG2451" s="38"/>
      <c r="VH2451" s="38"/>
      <c r="VI2451" s="38"/>
      <c r="VJ2451" s="38"/>
      <c r="VK2451" s="38"/>
      <c r="VL2451" s="38"/>
      <c r="VM2451" s="38"/>
      <c r="VN2451" s="38"/>
      <c r="VO2451" s="38"/>
      <c r="VP2451" s="38"/>
      <c r="VQ2451" s="38"/>
      <c r="VR2451" s="38"/>
      <c r="VS2451" s="38"/>
      <c r="VT2451" s="38"/>
      <c r="VU2451" s="38"/>
      <c r="VV2451" s="38"/>
      <c r="VW2451" s="38"/>
      <c r="VX2451" s="38"/>
      <c r="VY2451" s="38"/>
      <c r="VZ2451" s="38"/>
      <c r="WA2451" s="38"/>
      <c r="WB2451" s="38"/>
      <c r="WC2451" s="38"/>
      <c r="WD2451" s="38"/>
      <c r="WE2451" s="38"/>
      <c r="WF2451" s="38"/>
      <c r="WG2451" s="38"/>
      <c r="WH2451" s="38"/>
      <c r="WI2451" s="38"/>
      <c r="WJ2451" s="38"/>
      <c r="WK2451" s="38"/>
      <c r="WL2451" s="38"/>
      <c r="WM2451" s="38"/>
      <c r="WN2451" s="38"/>
      <c r="WO2451" s="38"/>
      <c r="WP2451" s="38"/>
      <c r="WQ2451" s="38"/>
      <c r="WR2451" s="38"/>
      <c r="WS2451" s="38"/>
      <c r="WT2451" s="38"/>
      <c r="WU2451" s="38"/>
      <c r="WV2451" s="38"/>
      <c r="WW2451" s="38"/>
      <c r="WX2451" s="38"/>
      <c r="WY2451" s="38"/>
      <c r="WZ2451" s="38"/>
      <c r="XA2451" s="38"/>
      <c r="XB2451" s="38"/>
      <c r="XC2451" s="38"/>
      <c r="XD2451" s="38"/>
      <c r="XE2451" s="38"/>
      <c r="XF2451" s="38"/>
      <c r="XG2451" s="38"/>
      <c r="XH2451" s="38"/>
      <c r="XI2451" s="38"/>
      <c r="XJ2451" s="38"/>
      <c r="XK2451" s="38"/>
      <c r="XL2451" s="38"/>
      <c r="XM2451" s="38"/>
      <c r="XN2451" s="38"/>
      <c r="XO2451" s="38"/>
      <c r="XP2451" s="38"/>
      <c r="XQ2451" s="38"/>
      <c r="XR2451" s="38"/>
      <c r="XS2451" s="38"/>
      <c r="XT2451" s="38"/>
      <c r="XU2451" s="38"/>
      <c r="XV2451" s="38"/>
      <c r="XW2451" s="38"/>
      <c r="XX2451" s="38"/>
      <c r="XY2451" s="38"/>
      <c r="XZ2451" s="38"/>
      <c r="YA2451" s="38"/>
      <c r="YB2451" s="38"/>
      <c r="YC2451" s="38"/>
      <c r="YD2451" s="38"/>
      <c r="YE2451" s="38"/>
      <c r="YF2451" s="38"/>
      <c r="YG2451" s="38"/>
      <c r="YH2451" s="38"/>
      <c r="YI2451" s="38"/>
      <c r="YJ2451" s="38"/>
      <c r="YK2451" s="38"/>
      <c r="YL2451" s="38"/>
      <c r="YM2451" s="38"/>
      <c r="YN2451" s="38"/>
      <c r="YO2451" s="38"/>
      <c r="YP2451" s="38"/>
      <c r="YQ2451" s="38"/>
      <c r="YR2451" s="38"/>
      <c r="YS2451" s="38"/>
      <c r="YT2451" s="38"/>
      <c r="YU2451" s="38"/>
      <c r="YV2451" s="38"/>
      <c r="YW2451" s="38"/>
      <c r="YX2451" s="38"/>
      <c r="YY2451" s="38"/>
      <c r="YZ2451" s="38"/>
      <c r="ZA2451" s="38"/>
      <c r="ZB2451" s="38"/>
      <c r="ZC2451" s="38"/>
      <c r="ZD2451" s="38"/>
      <c r="ZE2451" s="38"/>
      <c r="ZF2451" s="38"/>
      <c r="ZG2451" s="38"/>
      <c r="ZH2451" s="38"/>
      <c r="ZI2451" s="38"/>
      <c r="ZJ2451" s="38"/>
      <c r="ZK2451" s="38"/>
      <c r="ZL2451" s="38"/>
      <c r="ZM2451" s="38"/>
      <c r="ZN2451" s="38"/>
      <c r="ZO2451" s="38"/>
      <c r="ZP2451" s="38"/>
      <c r="ZQ2451" s="38"/>
      <c r="ZR2451" s="38"/>
      <c r="ZS2451" s="38"/>
      <c r="ZT2451" s="38"/>
      <c r="ZU2451" s="38"/>
      <c r="ZV2451" s="38"/>
      <c r="ZW2451" s="38"/>
      <c r="ZX2451" s="38"/>
      <c r="ZY2451" s="38"/>
      <c r="ZZ2451" s="38"/>
      <c r="AAA2451" s="38"/>
      <c r="AAB2451" s="38"/>
      <c r="AAC2451" s="38"/>
      <c r="AAD2451" s="38"/>
      <c r="AAE2451" s="38"/>
      <c r="AAF2451" s="38"/>
      <c r="AAG2451" s="38"/>
      <c r="AAH2451" s="38"/>
      <c r="AAI2451" s="38"/>
      <c r="AAJ2451" s="38"/>
      <c r="AAK2451" s="38"/>
      <c r="AAL2451" s="38"/>
      <c r="AAM2451" s="38"/>
      <c r="AAN2451" s="38"/>
      <c r="AAO2451" s="38"/>
      <c r="AAP2451" s="38"/>
      <c r="AAQ2451" s="38"/>
      <c r="AAR2451" s="38"/>
      <c r="AAS2451" s="38"/>
      <c r="AAT2451" s="38"/>
      <c r="AAU2451" s="38"/>
      <c r="AAV2451" s="38"/>
      <c r="AAW2451" s="38"/>
      <c r="AAX2451" s="38"/>
      <c r="AAY2451" s="38"/>
      <c r="AAZ2451" s="38"/>
      <c r="ABA2451" s="38"/>
      <c r="ABB2451" s="38"/>
      <c r="ABC2451" s="38"/>
      <c r="ABD2451" s="38"/>
      <c r="ABE2451" s="38"/>
      <c r="ABF2451" s="38"/>
      <c r="ABG2451" s="38"/>
      <c r="ABH2451" s="38"/>
      <c r="ABI2451" s="38"/>
      <c r="ABJ2451" s="38"/>
      <c r="ABK2451" s="38"/>
      <c r="ABL2451" s="38"/>
      <c r="ABM2451" s="38"/>
      <c r="ABN2451" s="38"/>
      <c r="ABO2451" s="38"/>
      <c r="ABP2451" s="38"/>
      <c r="ABQ2451" s="38"/>
      <c r="ABR2451" s="38"/>
      <c r="ABS2451" s="38"/>
      <c r="ABT2451" s="38"/>
      <c r="ABU2451" s="38"/>
      <c r="ABV2451" s="38"/>
      <c r="ABW2451" s="38"/>
      <c r="ABX2451" s="38"/>
      <c r="ABY2451" s="38"/>
      <c r="ABZ2451" s="38"/>
      <c r="ACA2451" s="38"/>
      <c r="ACB2451" s="38"/>
      <c r="ACC2451" s="38"/>
      <c r="ACD2451" s="38"/>
      <c r="ACE2451" s="38"/>
      <c r="ACF2451" s="38"/>
      <c r="ACG2451" s="38"/>
      <c r="ACH2451" s="38"/>
      <c r="ACI2451" s="38"/>
      <c r="ACJ2451" s="38"/>
      <c r="ACK2451" s="38"/>
      <c r="ACL2451" s="38"/>
      <c r="ACM2451" s="38"/>
      <c r="ACN2451" s="38"/>
      <c r="ACO2451" s="38"/>
      <c r="ACP2451" s="38"/>
      <c r="ACQ2451" s="38"/>
      <c r="ACR2451" s="38"/>
      <c r="ACS2451" s="38"/>
      <c r="ACT2451" s="38"/>
      <c r="ACU2451" s="38"/>
      <c r="ACV2451" s="38"/>
      <c r="ACW2451" s="38"/>
      <c r="ACX2451" s="38"/>
      <c r="ACY2451" s="38"/>
      <c r="ACZ2451" s="38"/>
      <c r="ADA2451" s="38"/>
      <c r="ADB2451" s="38"/>
      <c r="ADC2451" s="38"/>
      <c r="ADD2451" s="38"/>
      <c r="ADE2451" s="38"/>
      <c r="ADF2451" s="38"/>
      <c r="ADG2451" s="38"/>
      <c r="ADH2451" s="38"/>
      <c r="ADI2451" s="38"/>
      <c r="ADJ2451" s="38"/>
      <c r="ADK2451" s="38"/>
      <c r="ADL2451" s="38"/>
      <c r="ADM2451" s="38"/>
      <c r="ADN2451" s="38"/>
      <c r="ADO2451" s="38"/>
      <c r="ADP2451" s="38"/>
      <c r="ADQ2451" s="38"/>
      <c r="ADR2451" s="38"/>
      <c r="ADS2451" s="38"/>
      <c r="ADT2451" s="38"/>
      <c r="ADU2451" s="38"/>
      <c r="ADV2451" s="38"/>
      <c r="ADW2451" s="38"/>
      <c r="ADX2451" s="38"/>
      <c r="ADY2451" s="38"/>
      <c r="ADZ2451" s="38"/>
      <c r="AEA2451" s="38"/>
      <c r="AEB2451" s="38"/>
      <c r="AEC2451" s="38"/>
      <c r="AED2451" s="38"/>
      <c r="AEE2451" s="38"/>
      <c r="AEF2451" s="38"/>
      <c r="AEG2451" s="38"/>
      <c r="AEH2451" s="38"/>
      <c r="AEI2451" s="38"/>
      <c r="AEJ2451" s="38"/>
      <c r="AEK2451" s="38"/>
      <c r="AEL2451" s="38"/>
      <c r="AEM2451" s="38"/>
      <c r="AEN2451" s="38"/>
      <c r="AEO2451" s="38"/>
      <c r="AEP2451" s="38"/>
      <c r="AEQ2451" s="38"/>
      <c r="AER2451" s="38"/>
      <c r="AES2451" s="38"/>
      <c r="AET2451" s="38"/>
      <c r="AEU2451" s="38"/>
      <c r="AEV2451" s="38"/>
      <c r="AEW2451" s="38"/>
      <c r="AEX2451" s="38"/>
      <c r="AEY2451" s="38"/>
      <c r="AEZ2451" s="38"/>
      <c r="AFA2451" s="38"/>
      <c r="AFB2451" s="38"/>
      <c r="AFC2451" s="38"/>
      <c r="AFD2451" s="38"/>
      <c r="AFE2451" s="38"/>
      <c r="AFF2451" s="38"/>
      <c r="AFG2451" s="38"/>
      <c r="AFH2451" s="38"/>
      <c r="AFI2451" s="38"/>
      <c r="AFJ2451" s="38"/>
      <c r="AFK2451" s="38"/>
      <c r="AFL2451" s="38"/>
      <c r="AFM2451" s="38"/>
      <c r="AFN2451" s="38"/>
      <c r="AFO2451" s="38"/>
      <c r="AFP2451" s="38"/>
      <c r="AFQ2451" s="38"/>
      <c r="AFR2451" s="38"/>
      <c r="AFS2451" s="38"/>
      <c r="AFT2451" s="38"/>
      <c r="AFU2451" s="38"/>
      <c r="AFV2451" s="38"/>
      <c r="AFW2451" s="38"/>
      <c r="AFX2451" s="38"/>
      <c r="AFY2451" s="38"/>
      <c r="AFZ2451" s="38"/>
      <c r="AGA2451" s="38"/>
      <c r="AGB2451" s="38"/>
      <c r="AGC2451" s="38"/>
      <c r="AGD2451" s="38"/>
      <c r="AGE2451" s="38"/>
      <c r="AGF2451" s="38"/>
      <c r="AGG2451" s="38"/>
      <c r="AGH2451" s="38"/>
      <c r="AGI2451" s="38"/>
      <c r="AGJ2451" s="38"/>
      <c r="AGK2451" s="38"/>
      <c r="AGL2451" s="38"/>
      <c r="AGM2451" s="38"/>
      <c r="AGN2451" s="38"/>
      <c r="AGO2451" s="38"/>
      <c r="AGP2451" s="38"/>
      <c r="AGQ2451" s="38"/>
      <c r="AGR2451" s="38"/>
      <c r="AGS2451" s="38"/>
      <c r="AGT2451" s="38"/>
      <c r="AGU2451" s="38"/>
      <c r="AGV2451" s="38"/>
      <c r="AGW2451" s="38"/>
      <c r="AGX2451" s="38"/>
      <c r="AGY2451" s="38"/>
      <c r="AGZ2451" s="38"/>
      <c r="AHA2451" s="38"/>
      <c r="AHB2451" s="38"/>
      <c r="AHC2451" s="38"/>
      <c r="AHD2451" s="38"/>
      <c r="AHE2451" s="38"/>
      <c r="AHF2451" s="38"/>
      <c r="AHG2451" s="38"/>
      <c r="AHH2451" s="38"/>
      <c r="AHI2451" s="38"/>
      <c r="AHJ2451" s="38"/>
      <c r="AHK2451" s="38"/>
      <c r="AHL2451" s="38"/>
      <c r="AHM2451" s="38"/>
      <c r="AHN2451" s="38"/>
      <c r="AHO2451" s="38"/>
      <c r="AHP2451" s="38"/>
      <c r="AHQ2451" s="38"/>
      <c r="AHR2451" s="38"/>
      <c r="AHS2451" s="38"/>
      <c r="AHT2451" s="38"/>
      <c r="AHU2451" s="38"/>
      <c r="AHV2451" s="38"/>
      <c r="AHW2451" s="38"/>
      <c r="AHX2451" s="38"/>
      <c r="AHY2451" s="38"/>
      <c r="AHZ2451" s="38"/>
      <c r="AIA2451" s="38"/>
      <c r="AIB2451" s="38"/>
      <c r="AIC2451" s="38"/>
      <c r="AID2451" s="38"/>
      <c r="AIE2451" s="38"/>
      <c r="AIF2451" s="38"/>
      <c r="AIG2451" s="38"/>
      <c r="AIH2451" s="38"/>
      <c r="AII2451" s="38"/>
      <c r="AIJ2451" s="38"/>
      <c r="AIK2451" s="38"/>
      <c r="AIL2451" s="38"/>
      <c r="AIM2451" s="38"/>
      <c r="AIN2451" s="38"/>
      <c r="AIO2451" s="38"/>
      <c r="AIP2451" s="38"/>
      <c r="AIQ2451" s="38"/>
      <c r="AIR2451" s="38"/>
      <c r="AIS2451" s="38"/>
      <c r="AIT2451" s="38"/>
      <c r="AIU2451" s="38"/>
      <c r="AIV2451" s="38"/>
      <c r="AIW2451" s="38"/>
      <c r="AIX2451" s="38"/>
      <c r="AIY2451" s="38"/>
      <c r="AIZ2451" s="38"/>
      <c r="AJA2451" s="38"/>
      <c r="AJB2451" s="38"/>
      <c r="AJC2451" s="38"/>
      <c r="AJD2451" s="38"/>
      <c r="AJE2451" s="38"/>
      <c r="AJF2451" s="38"/>
      <c r="AJG2451" s="38"/>
      <c r="AJH2451" s="38"/>
      <c r="AJI2451" s="38"/>
      <c r="AJJ2451" s="38"/>
      <c r="AJK2451" s="38"/>
      <c r="AJL2451" s="38"/>
      <c r="AJM2451" s="38"/>
      <c r="AJN2451" s="38"/>
      <c r="AJO2451" s="38"/>
      <c r="AJP2451" s="38"/>
      <c r="AJQ2451" s="38"/>
      <c r="AJR2451" s="38"/>
      <c r="AJS2451" s="38"/>
      <c r="AJT2451" s="38"/>
      <c r="AJU2451" s="38"/>
      <c r="AJV2451" s="38"/>
      <c r="AJW2451" s="38"/>
      <c r="AJX2451" s="38"/>
      <c r="AJY2451" s="38"/>
      <c r="AJZ2451" s="38"/>
      <c r="AKA2451" s="38"/>
      <c r="AKB2451" s="38"/>
      <c r="AKC2451" s="38"/>
      <c r="AKD2451" s="38"/>
      <c r="AKE2451" s="38"/>
      <c r="AKF2451" s="38"/>
      <c r="AKG2451" s="38"/>
      <c r="AKH2451" s="38"/>
      <c r="AKI2451" s="38"/>
      <c r="AKJ2451" s="38"/>
      <c r="AKK2451" s="38"/>
      <c r="AKL2451" s="38"/>
      <c r="AKM2451" s="38"/>
      <c r="AKN2451" s="38"/>
      <c r="AKO2451" s="38"/>
      <c r="AKP2451" s="38"/>
      <c r="AKQ2451" s="38"/>
      <c r="AKR2451" s="38"/>
      <c r="AKS2451" s="38"/>
      <c r="AKT2451" s="38"/>
      <c r="AKU2451" s="38"/>
      <c r="AKV2451" s="38"/>
      <c r="AKW2451" s="38"/>
      <c r="AKX2451" s="38"/>
      <c r="AKY2451" s="38"/>
      <c r="AKZ2451" s="38"/>
      <c r="ALA2451" s="38"/>
      <c r="ALB2451" s="38"/>
      <c r="ALC2451" s="38"/>
      <c r="ALD2451" s="38"/>
      <c r="ALE2451" s="38"/>
      <c r="ALF2451" s="38"/>
      <c r="ALG2451" s="38"/>
      <c r="ALH2451" s="38"/>
      <c r="ALI2451" s="38"/>
      <c r="ALJ2451" s="38"/>
      <c r="ALK2451" s="38"/>
      <c r="ALL2451" s="38"/>
      <c r="ALM2451" s="38"/>
      <c r="ALN2451" s="38"/>
      <c r="ALO2451" s="38"/>
      <c r="ALP2451" s="38"/>
      <c r="ALQ2451" s="38"/>
      <c r="ALR2451" s="38"/>
      <c r="ALS2451" s="38"/>
      <c r="ALT2451" s="38"/>
      <c r="ALU2451" s="38"/>
      <c r="ALV2451" s="38"/>
      <c r="ALW2451" s="38"/>
      <c r="ALX2451" s="38"/>
      <c r="ALY2451" s="38"/>
      <c r="ALZ2451" s="38"/>
      <c r="AMA2451" s="38"/>
      <c r="AMB2451" s="38"/>
      <c r="AMC2451" s="38"/>
      <c r="AMD2451" s="38"/>
      <c r="AME2451" s="38"/>
      <c r="AMF2451" s="38"/>
      <c r="AMG2451" s="38"/>
      <c r="AMH2451" s="38"/>
      <c r="AMI2451" s="38"/>
      <c r="AMJ2451" s="38"/>
      <c r="AMK2451" s="38"/>
      <c r="AML2451" s="38"/>
      <c r="AMM2451" s="38"/>
      <c r="AMN2451" s="38"/>
      <c r="AMO2451" s="38"/>
      <c r="AMP2451" s="38"/>
      <c r="AMQ2451" s="38"/>
      <c r="AMR2451" s="38"/>
      <c r="AMS2451" s="38"/>
      <c r="AMT2451" s="38"/>
      <c r="AMU2451" s="38"/>
      <c r="AMV2451" s="38"/>
      <c r="AMW2451" s="38"/>
      <c r="AMX2451" s="38"/>
      <c r="AMY2451" s="38"/>
      <c r="AMZ2451" s="38"/>
      <c r="ANA2451" s="38"/>
      <c r="ANB2451" s="38"/>
      <c r="ANC2451" s="38"/>
      <c r="AND2451" s="38"/>
      <c r="ANE2451" s="38"/>
      <c r="ANF2451" s="38"/>
      <c r="ANG2451" s="38"/>
      <c r="ANH2451" s="38"/>
      <c r="ANI2451" s="38"/>
      <c r="ANJ2451" s="38"/>
      <c r="ANK2451" s="38"/>
      <c r="ANL2451" s="38"/>
      <c r="ANM2451" s="38"/>
      <c r="ANN2451" s="38"/>
      <c r="ANO2451" s="38"/>
      <c r="ANP2451" s="38"/>
      <c r="ANQ2451" s="38"/>
      <c r="ANR2451" s="38"/>
      <c r="ANS2451" s="38"/>
      <c r="ANT2451" s="38"/>
      <c r="ANU2451" s="38"/>
      <c r="ANV2451" s="38"/>
      <c r="ANW2451" s="38"/>
      <c r="ANX2451" s="38"/>
      <c r="ANY2451" s="38"/>
      <c r="ANZ2451" s="38"/>
      <c r="AOA2451" s="38"/>
      <c r="AOB2451" s="38"/>
      <c r="AOC2451" s="38"/>
      <c r="AOD2451" s="38"/>
      <c r="AOE2451" s="38"/>
      <c r="AOF2451" s="38"/>
      <c r="AOG2451" s="38"/>
      <c r="AOH2451" s="38"/>
      <c r="AOI2451" s="38"/>
      <c r="AOJ2451" s="38"/>
      <c r="AOK2451" s="38"/>
      <c r="AOL2451" s="38"/>
      <c r="AOM2451" s="38"/>
      <c r="AON2451" s="38"/>
      <c r="AOO2451" s="38"/>
      <c r="AOP2451" s="38"/>
      <c r="AOQ2451" s="38"/>
      <c r="AOR2451" s="38"/>
      <c r="AOS2451" s="38"/>
      <c r="AOT2451" s="38"/>
      <c r="AOU2451" s="38"/>
      <c r="AOV2451" s="38"/>
      <c r="AOW2451" s="38"/>
      <c r="AOX2451" s="38"/>
      <c r="AOY2451" s="38"/>
      <c r="AOZ2451" s="38"/>
      <c r="APA2451" s="38"/>
      <c r="APB2451" s="38"/>
      <c r="APC2451" s="38"/>
    </row>
    <row r="2452" spans="1:1095" s="36" customFormat="1" ht="14.25" customHeight="1">
      <c r="A2452" s="3" t="s">
        <v>1722</v>
      </c>
      <c r="B2452" s="36" t="s">
        <v>3067</v>
      </c>
      <c r="C2452" s="10">
        <v>4099854049682</v>
      </c>
      <c r="D2452" s="224">
        <v>4058075653283</v>
      </c>
      <c r="E2452" s="245" t="s">
        <v>3068</v>
      </c>
      <c r="F2452" s="246"/>
      <c r="G2452" s="66" t="str">
        <f>HYPERLINK("https://ledvance.com/pt/product-datasheet/251354/235988","Ficha de Produto")</f>
        <v>Ficha de Produto</v>
      </c>
      <c r="H2452" s="217">
        <v>20</v>
      </c>
      <c r="I2452" s="34" t="s">
        <v>6349</v>
      </c>
      <c r="J2452" s="34" t="s">
        <v>6418</v>
      </c>
      <c r="K2452" s="34" t="s">
        <v>788</v>
      </c>
      <c r="L2452" s="34" t="s">
        <v>6506</v>
      </c>
      <c r="M2452" s="247">
        <v>12.600000000000001</v>
      </c>
      <c r="N2452" s="288" t="s">
        <v>722</v>
      </c>
    </row>
    <row r="2453" spans="1:1095" s="36" customFormat="1" ht="14.25" customHeight="1">
      <c r="A2453" s="3" t="s">
        <v>1722</v>
      </c>
      <c r="B2453" s="36" t="s">
        <v>3069</v>
      </c>
      <c r="C2453" s="10">
        <v>4099854049736</v>
      </c>
      <c r="D2453" s="224">
        <v>4058075653221</v>
      </c>
      <c r="E2453" s="245" t="s">
        <v>3070</v>
      </c>
      <c r="F2453" s="246"/>
      <c r="G2453" s="66" t="str">
        <f>HYPERLINK("https://ledvance.com/pt/product-datasheet/251354/236008","Ficha de Produto")</f>
        <v>Ficha de Produto</v>
      </c>
      <c r="H2453" s="217">
        <v>20</v>
      </c>
      <c r="I2453" s="34" t="s">
        <v>6351</v>
      </c>
      <c r="J2453" s="34" t="s">
        <v>807</v>
      </c>
      <c r="K2453" s="34" t="s">
        <v>788</v>
      </c>
      <c r="L2453" s="34" t="s">
        <v>6506</v>
      </c>
      <c r="M2453" s="247">
        <v>18.2</v>
      </c>
      <c r="N2453" s="288" t="s">
        <v>722</v>
      </c>
    </row>
    <row r="2454" spans="1:1095" s="36" customFormat="1" ht="14.25" customHeight="1">
      <c r="A2454" s="3" t="s">
        <v>1722</v>
      </c>
      <c r="B2454" s="36" t="s">
        <v>3071</v>
      </c>
      <c r="C2454" s="10">
        <v>4099854049767</v>
      </c>
      <c r="D2454" s="224">
        <v>4058075627055</v>
      </c>
      <c r="E2454" s="245" t="s">
        <v>3072</v>
      </c>
      <c r="F2454" s="246"/>
      <c r="G2454" s="66" t="str">
        <f>HYPERLINK("https://ledvance.com/pt/product-datasheet/251354/236024","Ficha de Produto")</f>
        <v>Ficha de Produto</v>
      </c>
      <c r="H2454" s="217">
        <v>20</v>
      </c>
      <c r="I2454" s="34" t="s">
        <v>6352</v>
      </c>
      <c r="J2454" s="34" t="s">
        <v>6428</v>
      </c>
      <c r="K2454" s="34" t="s">
        <v>788</v>
      </c>
      <c r="L2454" s="34" t="s">
        <v>6506</v>
      </c>
      <c r="M2454" s="247">
        <v>31.200000000000003</v>
      </c>
      <c r="N2454" s="288" t="s">
        <v>722</v>
      </c>
    </row>
    <row r="2455" spans="1:1095" s="36" customFormat="1" ht="14.25" customHeight="1">
      <c r="A2455" s="3" t="s">
        <v>1722</v>
      </c>
      <c r="B2455" s="36" t="s">
        <v>3073</v>
      </c>
      <c r="C2455" s="10">
        <v>4099854064937</v>
      </c>
      <c r="D2455" s="224">
        <v>4058075626874</v>
      </c>
      <c r="E2455" s="245" t="s">
        <v>3074</v>
      </c>
      <c r="F2455" s="246"/>
      <c r="G2455" s="66" t="str">
        <f>HYPERLINK("https://ledvance.com/pt/product-datasheet/251354/237854","Ficha de Produto")</f>
        <v>Ficha de Produto</v>
      </c>
      <c r="H2455" s="217">
        <v>20</v>
      </c>
      <c r="I2455" s="34" t="s">
        <v>6352</v>
      </c>
      <c r="J2455" s="34" t="s">
        <v>771</v>
      </c>
      <c r="K2455" s="34" t="s">
        <v>788</v>
      </c>
      <c r="L2455" s="34" t="s">
        <v>6506</v>
      </c>
      <c r="M2455" s="247">
        <v>19.600000000000001</v>
      </c>
      <c r="N2455" s="288" t="s">
        <v>722</v>
      </c>
    </row>
    <row r="2456" spans="1:1095" s="36" customFormat="1" ht="14.25" customHeight="1">
      <c r="A2456" s="3" t="s">
        <v>1722</v>
      </c>
      <c r="B2456" s="36" t="s">
        <v>3075</v>
      </c>
      <c r="C2456" s="10">
        <v>4099854048647</v>
      </c>
      <c r="D2456" s="224">
        <v>4058075626843</v>
      </c>
      <c r="E2456" s="245" t="s">
        <v>3076</v>
      </c>
      <c r="F2456" s="246"/>
      <c r="G2456" s="66" t="str">
        <f>HYPERLINK("https://ledvance.com/pt/product-datasheet/251354/236055","Ficha de Produto")</f>
        <v>Ficha de Produto</v>
      </c>
      <c r="H2456" s="217">
        <v>20</v>
      </c>
      <c r="I2456" s="34" t="s">
        <v>861</v>
      </c>
      <c r="J2456" s="34" t="s">
        <v>860</v>
      </c>
      <c r="K2456" s="34" t="s">
        <v>788</v>
      </c>
      <c r="L2456" s="34" t="s">
        <v>6506</v>
      </c>
      <c r="M2456" s="247">
        <v>27.700000000000003</v>
      </c>
      <c r="N2456" s="288" t="s">
        <v>722</v>
      </c>
    </row>
    <row r="2457" spans="1:1095" s="36" customFormat="1" ht="14.25" customHeight="1">
      <c r="A2457" s="3" t="s">
        <v>1722</v>
      </c>
      <c r="B2457" s="36" t="s">
        <v>3077</v>
      </c>
      <c r="C2457" s="10">
        <v>4099854048722</v>
      </c>
      <c r="D2457" s="224">
        <v>4058075626904</v>
      </c>
      <c r="E2457" s="245" t="s">
        <v>3078</v>
      </c>
      <c r="F2457" s="246"/>
      <c r="G2457" s="66" t="str">
        <f>HYPERLINK("https://ledvance.com/pt/product-datasheet/251354/236071","Ficha de Produto")</f>
        <v>Ficha de Produto</v>
      </c>
      <c r="H2457" s="217">
        <v>20</v>
      </c>
      <c r="I2457" s="34" t="s">
        <v>6366</v>
      </c>
      <c r="J2457" s="34" t="s">
        <v>6427</v>
      </c>
      <c r="K2457" s="34" t="s">
        <v>788</v>
      </c>
      <c r="L2457" s="34" t="s">
        <v>6506</v>
      </c>
      <c r="M2457" s="247">
        <v>48.1</v>
      </c>
      <c r="N2457" s="288" t="s">
        <v>722</v>
      </c>
    </row>
    <row r="2458" spans="1:1095" s="39" customFormat="1" ht="14.25" customHeight="1">
      <c r="A2458" s="8" t="s">
        <v>1722</v>
      </c>
      <c r="B2458" s="244" t="s">
        <v>756</v>
      </c>
      <c r="C2458" s="8"/>
      <c r="D2458" s="7"/>
      <c r="E2458" s="230"/>
      <c r="F2458" s="7"/>
      <c r="G2458" s="68"/>
      <c r="H2458" s="230"/>
      <c r="I2458" s="230"/>
      <c r="J2458" s="230"/>
      <c r="K2458" s="230"/>
      <c r="L2458" s="230"/>
      <c r="M2458" s="248"/>
      <c r="N2458" s="284"/>
      <c r="O2458" s="38"/>
      <c r="P2458" s="38"/>
      <c r="Q2458" s="38"/>
      <c r="R2458" s="38"/>
      <c r="S2458" s="38"/>
      <c r="T2458" s="38"/>
      <c r="U2458" s="38"/>
      <c r="V2458" s="38"/>
      <c r="W2458" s="38"/>
      <c r="X2458" s="38"/>
      <c r="Y2458" s="38"/>
      <c r="Z2458" s="38"/>
      <c r="AA2458" s="38"/>
      <c r="AB2458" s="38"/>
      <c r="AC2458" s="38"/>
      <c r="AD2458" s="38"/>
      <c r="AE2458" s="38"/>
      <c r="AF2458" s="38"/>
      <c r="AG2458" s="38"/>
      <c r="AH2458" s="38"/>
      <c r="AI2458" s="38"/>
      <c r="AJ2458" s="38"/>
      <c r="AK2458" s="38"/>
      <c r="AL2458" s="38"/>
      <c r="AM2458" s="38"/>
      <c r="AN2458" s="38"/>
      <c r="AO2458" s="38"/>
      <c r="AP2458" s="38"/>
      <c r="AQ2458" s="38"/>
      <c r="AR2458" s="38"/>
      <c r="AS2458" s="38"/>
      <c r="AT2458" s="38"/>
      <c r="AU2458" s="38"/>
      <c r="AV2458" s="38"/>
      <c r="AW2458" s="38"/>
      <c r="AX2458" s="38"/>
      <c r="AY2458" s="38"/>
      <c r="AZ2458" s="38"/>
      <c r="BA2458" s="38"/>
      <c r="BB2458" s="38"/>
      <c r="BC2458" s="38"/>
      <c r="BD2458" s="38"/>
      <c r="BE2458" s="38"/>
      <c r="BF2458" s="38"/>
      <c r="BG2458" s="38"/>
      <c r="BH2458" s="38"/>
      <c r="BI2458" s="38"/>
      <c r="BJ2458" s="38"/>
      <c r="BK2458" s="38"/>
      <c r="BL2458" s="38"/>
      <c r="BM2458" s="38"/>
      <c r="BN2458" s="38"/>
      <c r="BO2458" s="38"/>
      <c r="BP2458" s="38"/>
      <c r="BQ2458" s="38"/>
      <c r="BR2458" s="38"/>
      <c r="BS2458" s="38"/>
      <c r="BT2458" s="38"/>
      <c r="BU2458" s="38"/>
      <c r="BV2458" s="38"/>
      <c r="BW2458" s="38"/>
      <c r="BX2458" s="38"/>
      <c r="BY2458" s="38"/>
      <c r="BZ2458" s="38"/>
      <c r="CA2458" s="38"/>
      <c r="CB2458" s="38"/>
      <c r="CC2458" s="38"/>
      <c r="CD2458" s="38"/>
      <c r="CE2458" s="38"/>
      <c r="CF2458" s="38"/>
      <c r="CG2458" s="38"/>
      <c r="CH2458" s="38"/>
      <c r="CI2458" s="38"/>
      <c r="CJ2458" s="38"/>
      <c r="CK2458" s="38"/>
      <c r="CL2458" s="38"/>
      <c r="CM2458" s="38"/>
      <c r="CN2458" s="38"/>
      <c r="CO2458" s="38"/>
      <c r="CP2458" s="38"/>
      <c r="CQ2458" s="38"/>
      <c r="CR2458" s="38"/>
      <c r="CS2458" s="38"/>
      <c r="CT2458" s="38"/>
      <c r="CU2458" s="38"/>
      <c r="CV2458" s="38"/>
      <c r="CW2458" s="38"/>
      <c r="CX2458" s="38"/>
      <c r="CY2458" s="38"/>
      <c r="CZ2458" s="38"/>
      <c r="DA2458" s="38"/>
      <c r="DB2458" s="38"/>
      <c r="DC2458" s="38"/>
      <c r="DD2458" s="38"/>
      <c r="DE2458" s="38"/>
      <c r="DF2458" s="38"/>
      <c r="DG2458" s="38"/>
      <c r="DH2458" s="38"/>
      <c r="DI2458" s="38"/>
      <c r="DJ2458" s="38"/>
      <c r="DK2458" s="38"/>
      <c r="DL2458" s="38"/>
      <c r="DM2458" s="38"/>
      <c r="DN2458" s="38"/>
      <c r="DO2458" s="38"/>
      <c r="DP2458" s="38"/>
      <c r="DQ2458" s="38"/>
      <c r="DR2458" s="38"/>
      <c r="DS2458" s="38"/>
      <c r="DT2458" s="38"/>
      <c r="DU2458" s="38"/>
      <c r="DV2458" s="38"/>
      <c r="DW2458" s="38"/>
      <c r="DX2458" s="38"/>
      <c r="DY2458" s="38"/>
      <c r="DZ2458" s="38"/>
      <c r="EA2458" s="38"/>
      <c r="EB2458" s="38"/>
      <c r="EC2458" s="38"/>
      <c r="ED2458" s="38"/>
      <c r="EE2458" s="38"/>
      <c r="EF2458" s="38"/>
      <c r="EG2458" s="38"/>
      <c r="EH2458" s="38"/>
      <c r="EI2458" s="38"/>
      <c r="EJ2458" s="38"/>
      <c r="EK2458" s="38"/>
      <c r="EL2458" s="38"/>
      <c r="EM2458" s="38"/>
      <c r="EN2458" s="38"/>
      <c r="EO2458" s="38"/>
      <c r="EP2458" s="38"/>
      <c r="EQ2458" s="38"/>
      <c r="ER2458" s="38"/>
      <c r="ES2458" s="38"/>
      <c r="ET2458" s="38"/>
      <c r="EU2458" s="38"/>
      <c r="EV2458" s="38"/>
      <c r="EW2458" s="38"/>
      <c r="EX2458" s="38"/>
      <c r="EY2458" s="38"/>
      <c r="EZ2458" s="38"/>
      <c r="FA2458" s="38"/>
      <c r="FB2458" s="38"/>
      <c r="FC2458" s="38"/>
      <c r="FD2458" s="38"/>
      <c r="FE2458" s="38"/>
      <c r="FF2458" s="38"/>
      <c r="FG2458" s="38"/>
      <c r="FH2458" s="38"/>
      <c r="FI2458" s="38"/>
      <c r="FJ2458" s="38"/>
      <c r="FK2458" s="38"/>
      <c r="FL2458" s="38"/>
      <c r="FM2458" s="38"/>
      <c r="FN2458" s="38"/>
      <c r="FO2458" s="38"/>
      <c r="FP2458" s="38"/>
      <c r="FQ2458" s="38"/>
      <c r="FR2458" s="38"/>
      <c r="FS2458" s="38"/>
      <c r="FT2458" s="38"/>
      <c r="FU2458" s="38"/>
      <c r="FV2458" s="38"/>
      <c r="FW2458" s="38"/>
      <c r="FX2458" s="38"/>
      <c r="FY2458" s="38"/>
      <c r="FZ2458" s="38"/>
      <c r="GA2458" s="38"/>
      <c r="GB2458" s="38"/>
      <c r="GC2458" s="38"/>
      <c r="GD2458" s="38"/>
      <c r="GE2458" s="38"/>
      <c r="GF2458" s="38"/>
      <c r="GG2458" s="38"/>
      <c r="GH2458" s="38"/>
      <c r="GI2458" s="38"/>
      <c r="GJ2458" s="38"/>
      <c r="GK2458" s="38"/>
      <c r="GL2458" s="38"/>
      <c r="GM2458" s="38"/>
      <c r="GN2458" s="38"/>
      <c r="GO2458" s="38"/>
      <c r="GP2458" s="38"/>
      <c r="GQ2458" s="38"/>
      <c r="GR2458" s="38"/>
      <c r="GS2458" s="38"/>
      <c r="GT2458" s="38"/>
      <c r="GU2458" s="38"/>
      <c r="GV2458" s="38"/>
      <c r="GW2458" s="38"/>
      <c r="GX2458" s="38"/>
      <c r="GY2458" s="38"/>
      <c r="GZ2458" s="38"/>
      <c r="HA2458" s="38"/>
      <c r="HB2458" s="38"/>
      <c r="HC2458" s="38"/>
      <c r="HD2458" s="38"/>
      <c r="HE2458" s="38"/>
      <c r="HF2458" s="38"/>
      <c r="HG2458" s="38"/>
      <c r="HH2458" s="38"/>
      <c r="HI2458" s="38"/>
      <c r="HJ2458" s="38"/>
      <c r="HK2458" s="38"/>
      <c r="HL2458" s="38"/>
      <c r="HM2458" s="38"/>
      <c r="HN2458" s="38"/>
      <c r="HO2458" s="38"/>
      <c r="HP2458" s="38"/>
      <c r="HQ2458" s="38"/>
      <c r="HR2458" s="38"/>
      <c r="HS2458" s="38"/>
      <c r="HT2458" s="38"/>
      <c r="HU2458" s="38"/>
      <c r="HV2458" s="38"/>
      <c r="HW2458" s="38"/>
      <c r="HX2458" s="38"/>
      <c r="HY2458" s="38"/>
      <c r="HZ2458" s="38"/>
      <c r="IA2458" s="38"/>
      <c r="IB2458" s="38"/>
      <c r="IC2458" s="38"/>
      <c r="ID2458" s="38"/>
      <c r="IE2458" s="38"/>
      <c r="IF2458" s="38"/>
      <c r="IG2458" s="38"/>
      <c r="IH2458" s="38"/>
      <c r="II2458" s="38"/>
      <c r="IJ2458" s="38"/>
      <c r="IK2458" s="38"/>
      <c r="IL2458" s="38"/>
      <c r="IM2458" s="38"/>
      <c r="IN2458" s="38"/>
      <c r="IO2458" s="38"/>
      <c r="IP2458" s="38"/>
      <c r="IQ2458" s="38"/>
      <c r="IR2458" s="38"/>
      <c r="IS2458" s="38"/>
      <c r="IT2458" s="38"/>
      <c r="IU2458" s="38"/>
      <c r="IV2458" s="38"/>
      <c r="IW2458" s="38"/>
      <c r="IX2458" s="38"/>
      <c r="IY2458" s="38"/>
      <c r="IZ2458" s="38"/>
      <c r="JA2458" s="38"/>
      <c r="JB2458" s="38"/>
      <c r="JC2458" s="38"/>
      <c r="JD2458" s="38"/>
      <c r="JE2458" s="38"/>
      <c r="JF2458" s="38"/>
      <c r="JG2458" s="38"/>
      <c r="JH2458" s="38"/>
      <c r="JI2458" s="38"/>
      <c r="JJ2458" s="38"/>
      <c r="JK2458" s="38"/>
      <c r="JL2458" s="38"/>
      <c r="JM2458" s="38"/>
      <c r="JN2458" s="38"/>
      <c r="JO2458" s="38"/>
      <c r="JP2458" s="38"/>
      <c r="JQ2458" s="38"/>
      <c r="JR2458" s="38"/>
      <c r="JS2458" s="38"/>
      <c r="JT2458" s="38"/>
      <c r="JU2458" s="38"/>
      <c r="JV2458" s="38"/>
      <c r="JW2458" s="38"/>
      <c r="JX2458" s="38"/>
      <c r="JY2458" s="38"/>
      <c r="JZ2458" s="38"/>
      <c r="KA2458" s="38"/>
      <c r="KB2458" s="38"/>
      <c r="KC2458" s="38"/>
      <c r="KD2458" s="38"/>
      <c r="KE2458" s="38"/>
      <c r="KF2458" s="38"/>
      <c r="KG2458" s="38"/>
      <c r="KH2458" s="38"/>
      <c r="KI2458" s="38"/>
      <c r="KJ2458" s="38"/>
      <c r="KK2458" s="38"/>
      <c r="KL2458" s="38"/>
      <c r="KM2458" s="38"/>
      <c r="KN2458" s="38"/>
      <c r="KO2458" s="38"/>
      <c r="KP2458" s="38"/>
      <c r="KQ2458" s="38"/>
      <c r="KR2458" s="38"/>
      <c r="KS2458" s="38"/>
      <c r="KT2458" s="38"/>
      <c r="KU2458" s="38"/>
      <c r="KV2458" s="38"/>
      <c r="KW2458" s="38"/>
      <c r="KX2458" s="38"/>
      <c r="KY2458" s="38"/>
      <c r="KZ2458" s="38"/>
      <c r="LA2458" s="38"/>
      <c r="LB2458" s="38"/>
      <c r="LC2458" s="38"/>
      <c r="LD2458" s="38"/>
      <c r="LE2458" s="38"/>
      <c r="LF2458" s="38"/>
      <c r="LG2458" s="38"/>
      <c r="LH2458" s="38"/>
      <c r="LI2458" s="38"/>
      <c r="LJ2458" s="38"/>
      <c r="LK2458" s="38"/>
      <c r="LL2458" s="38"/>
      <c r="LM2458" s="38"/>
      <c r="LN2458" s="38"/>
      <c r="LO2458" s="38"/>
      <c r="LP2458" s="38"/>
      <c r="LQ2458" s="38"/>
      <c r="LR2458" s="38"/>
      <c r="LS2458" s="38"/>
      <c r="LT2458" s="38"/>
      <c r="LU2458" s="38"/>
      <c r="LV2458" s="38"/>
      <c r="LW2458" s="38"/>
      <c r="LX2458" s="38"/>
      <c r="LY2458" s="38"/>
      <c r="LZ2458" s="38"/>
      <c r="MA2458" s="38"/>
      <c r="MB2458" s="38"/>
      <c r="MC2458" s="38"/>
      <c r="MD2458" s="38"/>
      <c r="ME2458" s="38"/>
      <c r="MF2458" s="38"/>
      <c r="MG2458" s="38"/>
      <c r="MH2458" s="38"/>
      <c r="MI2458" s="38"/>
      <c r="MJ2458" s="38"/>
      <c r="MK2458" s="38"/>
      <c r="ML2458" s="38"/>
      <c r="MM2458" s="38"/>
      <c r="MN2458" s="38"/>
      <c r="MO2458" s="38"/>
      <c r="MP2458" s="38"/>
      <c r="MQ2458" s="38"/>
      <c r="MR2458" s="38"/>
      <c r="MS2458" s="38"/>
      <c r="MT2458" s="38"/>
      <c r="MU2458" s="38"/>
      <c r="MV2458" s="38"/>
      <c r="MW2458" s="38"/>
      <c r="MX2458" s="38"/>
      <c r="MY2458" s="38"/>
      <c r="MZ2458" s="38"/>
      <c r="NA2458" s="38"/>
      <c r="NB2458" s="38"/>
      <c r="NC2458" s="38"/>
      <c r="ND2458" s="38"/>
      <c r="NE2458" s="38"/>
      <c r="NF2458" s="38"/>
      <c r="NG2458" s="38"/>
      <c r="NH2458" s="38"/>
      <c r="NI2458" s="38"/>
      <c r="NJ2458" s="38"/>
      <c r="NK2458" s="38"/>
      <c r="NL2458" s="38"/>
      <c r="NM2458" s="38"/>
      <c r="NN2458" s="38"/>
      <c r="NO2458" s="38"/>
      <c r="NP2458" s="38"/>
      <c r="NQ2458" s="38"/>
      <c r="NR2458" s="38"/>
      <c r="NS2458" s="38"/>
      <c r="NT2458" s="38"/>
      <c r="NU2458" s="38"/>
      <c r="NV2458" s="38"/>
      <c r="NW2458" s="38"/>
      <c r="NX2458" s="38"/>
      <c r="NY2458" s="38"/>
      <c r="NZ2458" s="38"/>
      <c r="OA2458" s="38"/>
      <c r="OB2458" s="38"/>
      <c r="OC2458" s="38"/>
      <c r="OD2458" s="38"/>
      <c r="OE2458" s="38"/>
      <c r="OF2458" s="38"/>
      <c r="OG2458" s="38"/>
      <c r="OH2458" s="38"/>
      <c r="OI2458" s="38"/>
      <c r="OJ2458" s="38"/>
      <c r="OK2458" s="38"/>
      <c r="OL2458" s="38"/>
      <c r="OM2458" s="38"/>
      <c r="ON2458" s="38"/>
      <c r="OO2458" s="38"/>
      <c r="OP2458" s="38"/>
      <c r="OQ2458" s="38"/>
      <c r="OR2458" s="38"/>
      <c r="OS2458" s="38"/>
      <c r="OT2458" s="38"/>
      <c r="OU2458" s="38"/>
      <c r="OV2458" s="38"/>
      <c r="OW2458" s="38"/>
      <c r="OX2458" s="38"/>
      <c r="OY2458" s="38"/>
      <c r="OZ2458" s="38"/>
      <c r="PA2458" s="38"/>
      <c r="PB2458" s="38"/>
      <c r="PC2458" s="38"/>
      <c r="PD2458" s="38"/>
      <c r="PE2458" s="38"/>
      <c r="PF2458" s="38"/>
      <c r="PG2458" s="38"/>
      <c r="PH2458" s="38"/>
      <c r="PI2458" s="38"/>
      <c r="PJ2458" s="38"/>
      <c r="PK2458" s="38"/>
      <c r="PL2458" s="38"/>
      <c r="PM2458" s="38"/>
      <c r="PN2458" s="38"/>
      <c r="PO2458" s="38"/>
      <c r="PP2458" s="38"/>
      <c r="PQ2458" s="38"/>
      <c r="PR2458" s="38"/>
      <c r="PS2458" s="38"/>
      <c r="PT2458" s="38"/>
      <c r="PU2458" s="38"/>
      <c r="PV2458" s="38"/>
      <c r="PW2458" s="38"/>
      <c r="PX2458" s="38"/>
      <c r="PY2458" s="38"/>
      <c r="PZ2458" s="38"/>
      <c r="QA2458" s="38"/>
      <c r="QB2458" s="38"/>
      <c r="QC2458" s="38"/>
      <c r="QD2458" s="38"/>
      <c r="QE2458" s="38"/>
      <c r="QF2458" s="38"/>
      <c r="QG2458" s="38"/>
      <c r="QH2458" s="38"/>
      <c r="QI2458" s="38"/>
      <c r="QJ2458" s="38"/>
      <c r="QK2458" s="38"/>
      <c r="QL2458" s="38"/>
      <c r="QM2458" s="38"/>
      <c r="QN2458" s="38"/>
      <c r="QO2458" s="38"/>
      <c r="QP2458" s="38"/>
      <c r="QQ2458" s="38"/>
      <c r="QR2458" s="38"/>
      <c r="QS2458" s="38"/>
      <c r="QT2458" s="38"/>
      <c r="QU2458" s="38"/>
      <c r="QV2458" s="38"/>
      <c r="QW2458" s="38"/>
      <c r="QX2458" s="38"/>
      <c r="QY2458" s="38"/>
      <c r="QZ2458" s="38"/>
      <c r="RA2458" s="38"/>
      <c r="RB2458" s="38"/>
      <c r="RC2458" s="38"/>
      <c r="RD2458" s="38"/>
      <c r="RE2458" s="38"/>
      <c r="RF2458" s="38"/>
      <c r="RG2458" s="38"/>
      <c r="RH2458" s="38"/>
      <c r="RI2458" s="38"/>
      <c r="RJ2458" s="38"/>
      <c r="RK2458" s="38"/>
      <c r="RL2458" s="38"/>
      <c r="RM2458" s="38"/>
      <c r="RN2458" s="38"/>
      <c r="RO2458" s="38"/>
      <c r="RP2458" s="38"/>
      <c r="RQ2458" s="38"/>
      <c r="RR2458" s="38"/>
      <c r="RS2458" s="38"/>
      <c r="RT2458" s="38"/>
      <c r="RU2458" s="38"/>
      <c r="RV2458" s="38"/>
      <c r="RW2458" s="38"/>
      <c r="RX2458" s="38"/>
      <c r="RY2458" s="38"/>
      <c r="RZ2458" s="38"/>
      <c r="SA2458" s="38"/>
      <c r="SB2458" s="38"/>
      <c r="SC2458" s="38"/>
      <c r="SD2458" s="38"/>
      <c r="SE2458" s="38"/>
      <c r="SF2458" s="38"/>
      <c r="SG2458" s="38"/>
      <c r="SH2458" s="38"/>
      <c r="SI2458" s="38"/>
      <c r="SJ2458" s="38"/>
      <c r="SK2458" s="38"/>
      <c r="SL2458" s="38"/>
      <c r="SM2458" s="38"/>
      <c r="SN2458" s="38"/>
      <c r="SO2458" s="38"/>
      <c r="SP2458" s="38"/>
      <c r="SQ2458" s="38"/>
      <c r="SR2458" s="38"/>
      <c r="SS2458" s="38"/>
      <c r="ST2458" s="38"/>
      <c r="SU2458" s="38"/>
      <c r="SV2458" s="38"/>
      <c r="SW2458" s="38"/>
      <c r="SX2458" s="38"/>
      <c r="SY2458" s="38"/>
      <c r="SZ2458" s="38"/>
      <c r="TA2458" s="38"/>
      <c r="TB2458" s="38"/>
      <c r="TC2458" s="38"/>
      <c r="TD2458" s="38"/>
      <c r="TE2458" s="38"/>
      <c r="TF2458" s="38"/>
      <c r="TG2458" s="38"/>
      <c r="TH2458" s="38"/>
      <c r="TI2458" s="38"/>
      <c r="TJ2458" s="38"/>
      <c r="TK2458" s="38"/>
      <c r="TL2458" s="38"/>
      <c r="TM2458" s="38"/>
      <c r="TN2458" s="38"/>
      <c r="TO2458" s="38"/>
      <c r="TP2458" s="38"/>
      <c r="TQ2458" s="38"/>
      <c r="TR2458" s="38"/>
      <c r="TS2458" s="38"/>
      <c r="TT2458" s="38"/>
      <c r="TU2458" s="38"/>
      <c r="TV2458" s="38"/>
      <c r="TW2458" s="38"/>
      <c r="TX2458" s="38"/>
      <c r="TY2458" s="38"/>
      <c r="TZ2458" s="38"/>
      <c r="UA2458" s="38"/>
      <c r="UB2458" s="38"/>
      <c r="UC2458" s="38"/>
      <c r="UD2458" s="38"/>
      <c r="UE2458" s="38"/>
      <c r="UF2458" s="38"/>
      <c r="UG2458" s="38"/>
      <c r="UH2458" s="38"/>
      <c r="UI2458" s="38"/>
      <c r="UJ2458" s="38"/>
      <c r="UK2458" s="38"/>
      <c r="UL2458" s="38"/>
      <c r="UM2458" s="38"/>
      <c r="UN2458" s="38"/>
      <c r="UO2458" s="38"/>
      <c r="UP2458" s="38"/>
      <c r="UQ2458" s="38"/>
      <c r="UR2458" s="38"/>
      <c r="US2458" s="38"/>
      <c r="UT2458" s="38"/>
      <c r="UU2458" s="38"/>
      <c r="UV2458" s="38"/>
      <c r="UW2458" s="38"/>
      <c r="UX2458" s="38"/>
      <c r="UY2458" s="38"/>
      <c r="UZ2458" s="38"/>
      <c r="VA2458" s="38"/>
      <c r="VB2458" s="38"/>
      <c r="VC2458" s="38"/>
      <c r="VD2458" s="38"/>
      <c r="VE2458" s="38"/>
      <c r="VF2458" s="38"/>
      <c r="VG2458" s="38"/>
      <c r="VH2458" s="38"/>
      <c r="VI2458" s="38"/>
      <c r="VJ2458" s="38"/>
      <c r="VK2458" s="38"/>
      <c r="VL2458" s="38"/>
      <c r="VM2458" s="38"/>
      <c r="VN2458" s="38"/>
      <c r="VO2458" s="38"/>
      <c r="VP2458" s="38"/>
      <c r="VQ2458" s="38"/>
      <c r="VR2458" s="38"/>
      <c r="VS2458" s="38"/>
      <c r="VT2458" s="38"/>
      <c r="VU2458" s="38"/>
      <c r="VV2458" s="38"/>
      <c r="VW2458" s="38"/>
      <c r="VX2458" s="38"/>
      <c r="VY2458" s="38"/>
      <c r="VZ2458" s="38"/>
      <c r="WA2458" s="38"/>
      <c r="WB2458" s="38"/>
      <c r="WC2458" s="38"/>
      <c r="WD2458" s="38"/>
      <c r="WE2458" s="38"/>
      <c r="WF2458" s="38"/>
      <c r="WG2458" s="38"/>
      <c r="WH2458" s="38"/>
      <c r="WI2458" s="38"/>
      <c r="WJ2458" s="38"/>
      <c r="WK2458" s="38"/>
      <c r="WL2458" s="38"/>
      <c r="WM2458" s="38"/>
      <c r="WN2458" s="38"/>
      <c r="WO2458" s="38"/>
      <c r="WP2458" s="38"/>
      <c r="WQ2458" s="38"/>
      <c r="WR2458" s="38"/>
      <c r="WS2458" s="38"/>
      <c r="WT2458" s="38"/>
      <c r="WU2458" s="38"/>
      <c r="WV2458" s="38"/>
      <c r="WW2458" s="38"/>
      <c r="WX2458" s="38"/>
      <c r="WY2458" s="38"/>
      <c r="WZ2458" s="38"/>
      <c r="XA2458" s="38"/>
      <c r="XB2458" s="38"/>
      <c r="XC2458" s="38"/>
      <c r="XD2458" s="38"/>
      <c r="XE2458" s="38"/>
      <c r="XF2458" s="38"/>
      <c r="XG2458" s="38"/>
      <c r="XH2458" s="38"/>
      <c r="XI2458" s="38"/>
      <c r="XJ2458" s="38"/>
      <c r="XK2458" s="38"/>
      <c r="XL2458" s="38"/>
      <c r="XM2458" s="38"/>
      <c r="XN2458" s="38"/>
      <c r="XO2458" s="38"/>
      <c r="XP2458" s="38"/>
      <c r="XQ2458" s="38"/>
      <c r="XR2458" s="38"/>
      <c r="XS2458" s="38"/>
      <c r="XT2458" s="38"/>
      <c r="XU2458" s="38"/>
      <c r="XV2458" s="38"/>
      <c r="XW2458" s="38"/>
      <c r="XX2458" s="38"/>
      <c r="XY2458" s="38"/>
      <c r="XZ2458" s="38"/>
      <c r="YA2458" s="38"/>
      <c r="YB2458" s="38"/>
      <c r="YC2458" s="38"/>
      <c r="YD2458" s="38"/>
      <c r="YE2458" s="38"/>
      <c r="YF2458" s="38"/>
      <c r="YG2458" s="38"/>
      <c r="YH2458" s="38"/>
      <c r="YI2458" s="38"/>
      <c r="YJ2458" s="38"/>
      <c r="YK2458" s="38"/>
      <c r="YL2458" s="38"/>
      <c r="YM2458" s="38"/>
      <c r="YN2458" s="38"/>
      <c r="YO2458" s="38"/>
      <c r="YP2458" s="38"/>
      <c r="YQ2458" s="38"/>
      <c r="YR2458" s="38"/>
      <c r="YS2458" s="38"/>
      <c r="YT2458" s="38"/>
      <c r="YU2458" s="38"/>
      <c r="YV2458" s="38"/>
      <c r="YW2458" s="38"/>
      <c r="YX2458" s="38"/>
      <c r="YY2458" s="38"/>
      <c r="YZ2458" s="38"/>
      <c r="ZA2458" s="38"/>
      <c r="ZB2458" s="38"/>
      <c r="ZC2458" s="38"/>
      <c r="ZD2458" s="38"/>
      <c r="ZE2458" s="38"/>
      <c r="ZF2458" s="38"/>
      <c r="ZG2458" s="38"/>
      <c r="ZH2458" s="38"/>
      <c r="ZI2458" s="38"/>
      <c r="ZJ2458" s="38"/>
      <c r="ZK2458" s="38"/>
      <c r="ZL2458" s="38"/>
      <c r="ZM2458" s="38"/>
      <c r="ZN2458" s="38"/>
      <c r="ZO2458" s="38"/>
      <c r="ZP2458" s="38"/>
      <c r="ZQ2458" s="38"/>
      <c r="ZR2458" s="38"/>
      <c r="ZS2458" s="38"/>
      <c r="ZT2458" s="38"/>
      <c r="ZU2458" s="38"/>
      <c r="ZV2458" s="38"/>
      <c r="ZW2458" s="38"/>
      <c r="ZX2458" s="38"/>
      <c r="ZY2458" s="38"/>
      <c r="ZZ2458" s="38"/>
      <c r="AAA2458" s="38"/>
      <c r="AAB2458" s="38"/>
      <c r="AAC2458" s="38"/>
      <c r="AAD2458" s="38"/>
      <c r="AAE2458" s="38"/>
      <c r="AAF2458" s="38"/>
      <c r="AAG2458" s="38"/>
      <c r="AAH2458" s="38"/>
      <c r="AAI2458" s="38"/>
      <c r="AAJ2458" s="38"/>
      <c r="AAK2458" s="38"/>
      <c r="AAL2458" s="38"/>
      <c r="AAM2458" s="38"/>
      <c r="AAN2458" s="38"/>
      <c r="AAO2458" s="38"/>
      <c r="AAP2458" s="38"/>
      <c r="AAQ2458" s="38"/>
      <c r="AAR2458" s="38"/>
      <c r="AAS2458" s="38"/>
      <c r="AAT2458" s="38"/>
      <c r="AAU2458" s="38"/>
      <c r="AAV2458" s="38"/>
      <c r="AAW2458" s="38"/>
      <c r="AAX2458" s="38"/>
      <c r="AAY2458" s="38"/>
      <c r="AAZ2458" s="38"/>
      <c r="ABA2458" s="38"/>
      <c r="ABB2458" s="38"/>
      <c r="ABC2458" s="38"/>
      <c r="ABD2458" s="38"/>
      <c r="ABE2458" s="38"/>
      <c r="ABF2458" s="38"/>
      <c r="ABG2458" s="38"/>
      <c r="ABH2458" s="38"/>
      <c r="ABI2458" s="38"/>
      <c r="ABJ2458" s="38"/>
      <c r="ABK2458" s="38"/>
      <c r="ABL2458" s="38"/>
      <c r="ABM2458" s="38"/>
      <c r="ABN2458" s="38"/>
      <c r="ABO2458" s="38"/>
      <c r="ABP2458" s="38"/>
      <c r="ABQ2458" s="38"/>
      <c r="ABR2458" s="38"/>
      <c r="ABS2458" s="38"/>
      <c r="ABT2458" s="38"/>
      <c r="ABU2458" s="38"/>
      <c r="ABV2458" s="38"/>
      <c r="ABW2458" s="38"/>
      <c r="ABX2458" s="38"/>
      <c r="ABY2458" s="38"/>
      <c r="ABZ2458" s="38"/>
      <c r="ACA2458" s="38"/>
      <c r="ACB2458" s="38"/>
      <c r="ACC2458" s="38"/>
      <c r="ACD2458" s="38"/>
      <c r="ACE2458" s="38"/>
      <c r="ACF2458" s="38"/>
      <c r="ACG2458" s="38"/>
      <c r="ACH2458" s="38"/>
      <c r="ACI2458" s="38"/>
      <c r="ACJ2458" s="38"/>
      <c r="ACK2458" s="38"/>
      <c r="ACL2458" s="38"/>
      <c r="ACM2458" s="38"/>
      <c r="ACN2458" s="38"/>
      <c r="ACO2458" s="38"/>
      <c r="ACP2458" s="38"/>
      <c r="ACQ2458" s="38"/>
      <c r="ACR2458" s="38"/>
      <c r="ACS2458" s="38"/>
      <c r="ACT2458" s="38"/>
      <c r="ACU2458" s="38"/>
      <c r="ACV2458" s="38"/>
      <c r="ACW2458" s="38"/>
      <c r="ACX2458" s="38"/>
      <c r="ACY2458" s="38"/>
      <c r="ACZ2458" s="38"/>
      <c r="ADA2458" s="38"/>
      <c r="ADB2458" s="38"/>
      <c r="ADC2458" s="38"/>
      <c r="ADD2458" s="38"/>
      <c r="ADE2458" s="38"/>
      <c r="ADF2458" s="38"/>
      <c r="ADG2458" s="38"/>
      <c r="ADH2458" s="38"/>
      <c r="ADI2458" s="38"/>
      <c r="ADJ2458" s="38"/>
      <c r="ADK2458" s="38"/>
      <c r="ADL2458" s="38"/>
      <c r="ADM2458" s="38"/>
      <c r="ADN2458" s="38"/>
      <c r="ADO2458" s="38"/>
      <c r="ADP2458" s="38"/>
      <c r="ADQ2458" s="38"/>
      <c r="ADR2458" s="38"/>
      <c r="ADS2458" s="38"/>
      <c r="ADT2458" s="38"/>
      <c r="ADU2458" s="38"/>
      <c r="ADV2458" s="38"/>
      <c r="ADW2458" s="38"/>
      <c r="ADX2458" s="38"/>
      <c r="ADY2458" s="38"/>
      <c r="ADZ2458" s="38"/>
      <c r="AEA2458" s="38"/>
      <c r="AEB2458" s="38"/>
      <c r="AEC2458" s="38"/>
      <c r="AED2458" s="38"/>
      <c r="AEE2458" s="38"/>
      <c r="AEF2458" s="38"/>
      <c r="AEG2458" s="38"/>
      <c r="AEH2458" s="38"/>
      <c r="AEI2458" s="38"/>
      <c r="AEJ2458" s="38"/>
      <c r="AEK2458" s="38"/>
      <c r="AEL2458" s="38"/>
      <c r="AEM2458" s="38"/>
      <c r="AEN2458" s="38"/>
      <c r="AEO2458" s="38"/>
      <c r="AEP2458" s="38"/>
      <c r="AEQ2458" s="38"/>
      <c r="AER2458" s="38"/>
      <c r="AES2458" s="38"/>
      <c r="AET2458" s="38"/>
      <c r="AEU2458" s="38"/>
      <c r="AEV2458" s="38"/>
      <c r="AEW2458" s="38"/>
      <c r="AEX2458" s="38"/>
      <c r="AEY2458" s="38"/>
      <c r="AEZ2458" s="38"/>
      <c r="AFA2458" s="38"/>
      <c r="AFB2458" s="38"/>
      <c r="AFC2458" s="38"/>
      <c r="AFD2458" s="38"/>
      <c r="AFE2458" s="38"/>
      <c r="AFF2458" s="38"/>
      <c r="AFG2458" s="38"/>
      <c r="AFH2458" s="38"/>
      <c r="AFI2458" s="38"/>
      <c r="AFJ2458" s="38"/>
      <c r="AFK2458" s="38"/>
      <c r="AFL2458" s="38"/>
      <c r="AFM2458" s="38"/>
      <c r="AFN2458" s="38"/>
      <c r="AFO2458" s="38"/>
      <c r="AFP2458" s="38"/>
      <c r="AFQ2458" s="38"/>
      <c r="AFR2458" s="38"/>
      <c r="AFS2458" s="38"/>
      <c r="AFT2458" s="38"/>
      <c r="AFU2458" s="38"/>
      <c r="AFV2458" s="38"/>
      <c r="AFW2458" s="38"/>
      <c r="AFX2458" s="38"/>
      <c r="AFY2458" s="38"/>
      <c r="AFZ2458" s="38"/>
      <c r="AGA2458" s="38"/>
      <c r="AGB2458" s="38"/>
      <c r="AGC2458" s="38"/>
      <c r="AGD2458" s="38"/>
      <c r="AGE2458" s="38"/>
      <c r="AGF2458" s="38"/>
      <c r="AGG2458" s="38"/>
      <c r="AGH2458" s="38"/>
      <c r="AGI2458" s="38"/>
      <c r="AGJ2458" s="38"/>
      <c r="AGK2458" s="38"/>
      <c r="AGL2458" s="38"/>
      <c r="AGM2458" s="38"/>
      <c r="AGN2458" s="38"/>
      <c r="AGO2458" s="38"/>
      <c r="AGP2458" s="38"/>
      <c r="AGQ2458" s="38"/>
      <c r="AGR2458" s="38"/>
      <c r="AGS2458" s="38"/>
      <c r="AGT2458" s="38"/>
      <c r="AGU2458" s="38"/>
      <c r="AGV2458" s="38"/>
      <c r="AGW2458" s="38"/>
      <c r="AGX2458" s="38"/>
      <c r="AGY2458" s="38"/>
      <c r="AGZ2458" s="38"/>
      <c r="AHA2458" s="38"/>
      <c r="AHB2458" s="38"/>
      <c r="AHC2458" s="38"/>
      <c r="AHD2458" s="38"/>
      <c r="AHE2458" s="38"/>
      <c r="AHF2458" s="38"/>
      <c r="AHG2458" s="38"/>
      <c r="AHH2458" s="38"/>
      <c r="AHI2458" s="38"/>
      <c r="AHJ2458" s="38"/>
      <c r="AHK2458" s="38"/>
      <c r="AHL2458" s="38"/>
      <c r="AHM2458" s="38"/>
      <c r="AHN2458" s="38"/>
      <c r="AHO2458" s="38"/>
      <c r="AHP2458" s="38"/>
      <c r="AHQ2458" s="38"/>
      <c r="AHR2458" s="38"/>
      <c r="AHS2458" s="38"/>
      <c r="AHT2458" s="38"/>
      <c r="AHU2458" s="38"/>
      <c r="AHV2458" s="38"/>
      <c r="AHW2458" s="38"/>
      <c r="AHX2458" s="38"/>
      <c r="AHY2458" s="38"/>
      <c r="AHZ2458" s="38"/>
      <c r="AIA2458" s="38"/>
      <c r="AIB2458" s="38"/>
      <c r="AIC2458" s="38"/>
      <c r="AID2458" s="38"/>
      <c r="AIE2458" s="38"/>
      <c r="AIF2458" s="38"/>
      <c r="AIG2458" s="38"/>
      <c r="AIH2458" s="38"/>
      <c r="AII2458" s="38"/>
      <c r="AIJ2458" s="38"/>
      <c r="AIK2458" s="38"/>
      <c r="AIL2458" s="38"/>
      <c r="AIM2458" s="38"/>
      <c r="AIN2458" s="38"/>
      <c r="AIO2458" s="38"/>
      <c r="AIP2458" s="38"/>
      <c r="AIQ2458" s="38"/>
      <c r="AIR2458" s="38"/>
      <c r="AIS2458" s="38"/>
      <c r="AIT2458" s="38"/>
      <c r="AIU2458" s="38"/>
      <c r="AIV2458" s="38"/>
      <c r="AIW2458" s="38"/>
      <c r="AIX2458" s="38"/>
      <c r="AIY2458" s="38"/>
      <c r="AIZ2458" s="38"/>
      <c r="AJA2458" s="38"/>
      <c r="AJB2458" s="38"/>
      <c r="AJC2458" s="38"/>
      <c r="AJD2458" s="38"/>
      <c r="AJE2458" s="38"/>
      <c r="AJF2458" s="38"/>
      <c r="AJG2458" s="38"/>
      <c r="AJH2458" s="38"/>
      <c r="AJI2458" s="38"/>
      <c r="AJJ2458" s="38"/>
      <c r="AJK2458" s="38"/>
      <c r="AJL2458" s="38"/>
      <c r="AJM2458" s="38"/>
      <c r="AJN2458" s="38"/>
      <c r="AJO2458" s="38"/>
      <c r="AJP2458" s="38"/>
      <c r="AJQ2458" s="38"/>
      <c r="AJR2458" s="38"/>
      <c r="AJS2458" s="38"/>
      <c r="AJT2458" s="38"/>
      <c r="AJU2458" s="38"/>
      <c r="AJV2458" s="38"/>
      <c r="AJW2458" s="38"/>
      <c r="AJX2458" s="38"/>
      <c r="AJY2458" s="38"/>
      <c r="AJZ2458" s="38"/>
      <c r="AKA2458" s="38"/>
      <c r="AKB2458" s="38"/>
      <c r="AKC2458" s="38"/>
      <c r="AKD2458" s="38"/>
      <c r="AKE2458" s="38"/>
      <c r="AKF2458" s="38"/>
      <c r="AKG2458" s="38"/>
      <c r="AKH2458" s="38"/>
      <c r="AKI2458" s="38"/>
      <c r="AKJ2458" s="38"/>
      <c r="AKK2458" s="38"/>
      <c r="AKL2458" s="38"/>
      <c r="AKM2458" s="38"/>
      <c r="AKN2458" s="38"/>
      <c r="AKO2458" s="38"/>
      <c r="AKP2458" s="38"/>
      <c r="AKQ2458" s="38"/>
      <c r="AKR2458" s="38"/>
      <c r="AKS2458" s="38"/>
      <c r="AKT2458" s="38"/>
      <c r="AKU2458" s="38"/>
      <c r="AKV2458" s="38"/>
      <c r="AKW2458" s="38"/>
      <c r="AKX2458" s="38"/>
      <c r="AKY2458" s="38"/>
      <c r="AKZ2458" s="38"/>
      <c r="ALA2458" s="38"/>
      <c r="ALB2458" s="38"/>
      <c r="ALC2458" s="38"/>
      <c r="ALD2458" s="38"/>
      <c r="ALE2458" s="38"/>
      <c r="ALF2458" s="38"/>
      <c r="ALG2458" s="38"/>
      <c r="ALH2458" s="38"/>
      <c r="ALI2458" s="38"/>
      <c r="ALJ2458" s="38"/>
      <c r="ALK2458" s="38"/>
      <c r="ALL2458" s="38"/>
      <c r="ALM2458" s="38"/>
      <c r="ALN2458" s="38"/>
      <c r="ALO2458" s="38"/>
      <c r="ALP2458" s="38"/>
      <c r="ALQ2458" s="38"/>
      <c r="ALR2458" s="38"/>
      <c r="ALS2458" s="38"/>
      <c r="ALT2458" s="38"/>
      <c r="ALU2458" s="38"/>
      <c r="ALV2458" s="38"/>
      <c r="ALW2458" s="38"/>
      <c r="ALX2458" s="38"/>
      <c r="ALY2458" s="38"/>
      <c r="ALZ2458" s="38"/>
      <c r="AMA2458" s="38"/>
      <c r="AMB2458" s="38"/>
      <c r="AMC2458" s="38"/>
      <c r="AMD2458" s="38"/>
      <c r="AME2458" s="38"/>
      <c r="AMF2458" s="38"/>
      <c r="AMG2458" s="38"/>
      <c r="AMH2458" s="38"/>
      <c r="AMI2458" s="38"/>
      <c r="AMJ2458" s="38"/>
      <c r="AMK2458" s="38"/>
      <c r="AML2458" s="38"/>
      <c r="AMM2458" s="38"/>
      <c r="AMN2458" s="38"/>
      <c r="AMO2458" s="38"/>
      <c r="AMP2458" s="38"/>
      <c r="AMQ2458" s="38"/>
      <c r="AMR2458" s="38"/>
      <c r="AMS2458" s="38"/>
      <c r="AMT2458" s="38"/>
      <c r="AMU2458" s="38"/>
      <c r="AMV2458" s="38"/>
      <c r="AMW2458" s="38"/>
      <c r="AMX2458" s="38"/>
      <c r="AMY2458" s="38"/>
      <c r="AMZ2458" s="38"/>
      <c r="ANA2458" s="38"/>
      <c r="ANB2458" s="38"/>
      <c r="ANC2458" s="38"/>
      <c r="AND2458" s="38"/>
      <c r="ANE2458" s="38"/>
      <c r="ANF2458" s="38"/>
      <c r="ANG2458" s="38"/>
      <c r="ANH2458" s="38"/>
      <c r="ANI2458" s="38"/>
      <c r="ANJ2458" s="38"/>
      <c r="ANK2458" s="38"/>
      <c r="ANL2458" s="38"/>
      <c r="ANM2458" s="38"/>
      <c r="ANN2458" s="38"/>
      <c r="ANO2458" s="38"/>
      <c r="ANP2458" s="38"/>
      <c r="ANQ2458" s="38"/>
      <c r="ANR2458" s="38"/>
      <c r="ANS2458" s="38"/>
      <c r="ANT2458" s="38"/>
      <c r="ANU2458" s="38"/>
      <c r="ANV2458" s="38"/>
      <c r="ANW2458" s="38"/>
      <c r="ANX2458" s="38"/>
      <c r="ANY2458" s="38"/>
      <c r="ANZ2458" s="38"/>
      <c r="AOA2458" s="38"/>
      <c r="AOB2458" s="38"/>
      <c r="AOC2458" s="38"/>
      <c r="AOD2458" s="38"/>
      <c r="AOE2458" s="38"/>
      <c r="AOF2458" s="38"/>
      <c r="AOG2458" s="38"/>
      <c r="AOH2458" s="38"/>
      <c r="AOI2458" s="38"/>
      <c r="AOJ2458" s="38"/>
      <c r="AOK2458" s="38"/>
      <c r="AOL2458" s="38"/>
      <c r="AOM2458" s="38"/>
      <c r="AON2458" s="38"/>
      <c r="AOO2458" s="38"/>
      <c r="AOP2458" s="38"/>
      <c r="AOQ2458" s="38"/>
      <c r="AOR2458" s="38"/>
      <c r="AOS2458" s="38"/>
      <c r="AOT2458" s="38"/>
      <c r="AOU2458" s="38"/>
      <c r="AOV2458" s="38"/>
      <c r="AOW2458" s="38"/>
      <c r="AOX2458" s="38"/>
      <c r="AOY2458" s="38"/>
      <c r="AOZ2458" s="38"/>
      <c r="APA2458" s="38"/>
      <c r="APB2458" s="38"/>
      <c r="APC2458" s="38"/>
    </row>
    <row r="2459" spans="1:1095" s="36" customFormat="1" ht="14.25" customHeight="1">
      <c r="A2459" s="3" t="s">
        <v>1722</v>
      </c>
      <c r="B2459" s="36" t="s">
        <v>3175</v>
      </c>
      <c r="C2459" s="10">
        <v>4058075432710</v>
      </c>
      <c r="D2459" s="224">
        <v>4058075432710</v>
      </c>
      <c r="E2459" s="245" t="s">
        <v>3079</v>
      </c>
      <c r="F2459" s="246"/>
      <c r="G2459" s="66" t="str">
        <f>HYPERLINK("https://ledvance.com/pt/product-datasheet/6990/114997","Ficha de Produto")</f>
        <v>Ficha de Produto</v>
      </c>
      <c r="H2459" s="217">
        <v>6</v>
      </c>
      <c r="I2459" s="34" t="s">
        <v>6349</v>
      </c>
      <c r="J2459" s="34" t="s">
        <v>809</v>
      </c>
      <c r="K2459" s="34" t="s">
        <v>788</v>
      </c>
      <c r="L2459" s="34" t="s">
        <v>793</v>
      </c>
      <c r="M2459" s="247">
        <v>16.600000000000001</v>
      </c>
      <c r="N2459" s="288" t="s">
        <v>722</v>
      </c>
    </row>
    <row r="2460" spans="1:1095" s="36" customFormat="1" ht="14.25" customHeight="1">
      <c r="A2460" s="3" t="s">
        <v>1722</v>
      </c>
      <c r="B2460" s="36" t="s">
        <v>3176</v>
      </c>
      <c r="C2460" s="10">
        <v>4058075432734</v>
      </c>
      <c r="D2460" s="224">
        <v>4058075432734</v>
      </c>
      <c r="E2460" s="245" t="s">
        <v>3080</v>
      </c>
      <c r="F2460" s="246"/>
      <c r="G2460" s="66" t="str">
        <f>HYPERLINK("https://ledvance.com/pt/product-datasheet/6990/114994","Ficha de Produto")</f>
        <v>Ficha de Produto</v>
      </c>
      <c r="H2460" s="217">
        <v>6</v>
      </c>
      <c r="I2460" s="34" t="s">
        <v>6352</v>
      </c>
      <c r="J2460" s="34" t="s">
        <v>798</v>
      </c>
      <c r="K2460" s="34" t="s">
        <v>788</v>
      </c>
      <c r="L2460" s="34" t="s">
        <v>793</v>
      </c>
      <c r="M2460" s="247">
        <v>22.8</v>
      </c>
      <c r="N2460" s="288" t="s">
        <v>722</v>
      </c>
    </row>
    <row r="2461" spans="1:1095" s="39" customFormat="1" ht="14.25" customHeight="1">
      <c r="A2461" s="8" t="s">
        <v>1722</v>
      </c>
      <c r="B2461" s="244" t="s">
        <v>1705</v>
      </c>
      <c r="C2461" s="8"/>
      <c r="E2461" s="230"/>
      <c r="F2461" s="7"/>
      <c r="G2461" s="68"/>
      <c r="H2461" s="230"/>
      <c r="I2461" s="230"/>
      <c r="J2461" s="230"/>
      <c r="K2461" s="230"/>
      <c r="L2461" s="230"/>
      <c r="M2461" s="248"/>
      <c r="N2461" s="289"/>
      <c r="O2461" s="38"/>
      <c r="P2461" s="38"/>
      <c r="Q2461" s="38"/>
      <c r="R2461" s="38"/>
      <c r="S2461" s="38"/>
      <c r="T2461" s="38"/>
      <c r="U2461" s="38"/>
      <c r="V2461" s="38"/>
      <c r="W2461" s="38"/>
      <c r="X2461" s="38"/>
      <c r="Y2461" s="38"/>
      <c r="Z2461" s="38"/>
      <c r="AA2461" s="38"/>
      <c r="AB2461" s="38"/>
      <c r="AC2461" s="38"/>
      <c r="AD2461" s="38"/>
      <c r="AE2461" s="38"/>
      <c r="AF2461" s="38"/>
      <c r="AG2461" s="38"/>
      <c r="AH2461" s="38"/>
      <c r="AI2461" s="38"/>
      <c r="AJ2461" s="38"/>
      <c r="AK2461" s="38"/>
      <c r="AL2461" s="38"/>
      <c r="AM2461" s="38"/>
      <c r="AN2461" s="38"/>
      <c r="AO2461" s="38"/>
      <c r="AP2461" s="38"/>
      <c r="AQ2461" s="38"/>
      <c r="AR2461" s="38"/>
      <c r="AS2461" s="38"/>
      <c r="AT2461" s="38"/>
      <c r="AU2461" s="38"/>
      <c r="AV2461" s="38"/>
      <c r="AW2461" s="38"/>
      <c r="AX2461" s="38"/>
      <c r="AY2461" s="38"/>
      <c r="AZ2461" s="38"/>
      <c r="BA2461" s="38"/>
      <c r="BB2461" s="38"/>
      <c r="BC2461" s="38"/>
      <c r="BD2461" s="38"/>
      <c r="BE2461" s="38"/>
      <c r="BF2461" s="38"/>
      <c r="BG2461" s="38"/>
      <c r="BH2461" s="38"/>
      <c r="BI2461" s="38"/>
      <c r="BJ2461" s="38"/>
      <c r="BK2461" s="38"/>
      <c r="BL2461" s="38"/>
      <c r="BM2461" s="38"/>
      <c r="BN2461" s="38"/>
      <c r="BO2461" s="38"/>
      <c r="BP2461" s="38"/>
      <c r="BQ2461" s="38"/>
      <c r="BR2461" s="38"/>
      <c r="BS2461" s="38"/>
      <c r="BT2461" s="38"/>
      <c r="BU2461" s="38"/>
      <c r="BV2461" s="38"/>
      <c r="BW2461" s="38"/>
      <c r="BX2461" s="38"/>
      <c r="BY2461" s="38"/>
      <c r="BZ2461" s="38"/>
      <c r="CA2461" s="38"/>
      <c r="CB2461" s="38"/>
      <c r="CC2461" s="38"/>
      <c r="CD2461" s="38"/>
      <c r="CE2461" s="38"/>
      <c r="CF2461" s="38"/>
      <c r="CG2461" s="38"/>
      <c r="CH2461" s="38"/>
      <c r="CI2461" s="38"/>
      <c r="CJ2461" s="38"/>
      <c r="CK2461" s="38"/>
      <c r="CL2461" s="38"/>
      <c r="CM2461" s="38"/>
      <c r="CN2461" s="38"/>
      <c r="CO2461" s="38"/>
      <c r="CP2461" s="38"/>
      <c r="CQ2461" s="38"/>
      <c r="CR2461" s="38"/>
      <c r="CS2461" s="38"/>
      <c r="CT2461" s="38"/>
      <c r="CU2461" s="38"/>
      <c r="CV2461" s="38"/>
      <c r="CW2461" s="38"/>
      <c r="CX2461" s="38"/>
      <c r="CY2461" s="38"/>
      <c r="CZ2461" s="38"/>
      <c r="DA2461" s="38"/>
      <c r="DB2461" s="38"/>
      <c r="DC2461" s="38"/>
      <c r="DD2461" s="38"/>
      <c r="DE2461" s="38"/>
      <c r="DF2461" s="38"/>
      <c r="DG2461" s="38"/>
      <c r="DH2461" s="38"/>
      <c r="DI2461" s="38"/>
      <c r="DJ2461" s="38"/>
      <c r="DK2461" s="38"/>
      <c r="DL2461" s="38"/>
      <c r="DM2461" s="38"/>
      <c r="DN2461" s="38"/>
      <c r="DO2461" s="38"/>
      <c r="DP2461" s="38"/>
      <c r="DQ2461" s="38"/>
      <c r="DR2461" s="38"/>
      <c r="DS2461" s="38"/>
      <c r="DT2461" s="38"/>
      <c r="DU2461" s="38"/>
      <c r="DV2461" s="38"/>
      <c r="DW2461" s="38"/>
      <c r="DX2461" s="38"/>
      <c r="DY2461" s="38"/>
      <c r="DZ2461" s="38"/>
      <c r="EA2461" s="38"/>
      <c r="EB2461" s="38"/>
      <c r="EC2461" s="38"/>
      <c r="ED2461" s="38"/>
      <c r="EE2461" s="38"/>
      <c r="EF2461" s="38"/>
      <c r="EG2461" s="38"/>
      <c r="EH2461" s="38"/>
      <c r="EI2461" s="38"/>
      <c r="EJ2461" s="38"/>
      <c r="EK2461" s="38"/>
      <c r="EL2461" s="38"/>
      <c r="EM2461" s="38"/>
      <c r="EN2461" s="38"/>
      <c r="EO2461" s="38"/>
      <c r="EP2461" s="38"/>
      <c r="EQ2461" s="38"/>
      <c r="ER2461" s="38"/>
      <c r="ES2461" s="38"/>
      <c r="ET2461" s="38"/>
      <c r="EU2461" s="38"/>
      <c r="EV2461" s="38"/>
      <c r="EW2461" s="38"/>
      <c r="EX2461" s="38"/>
      <c r="EY2461" s="38"/>
      <c r="EZ2461" s="38"/>
      <c r="FA2461" s="38"/>
      <c r="FB2461" s="38"/>
      <c r="FC2461" s="38"/>
      <c r="FD2461" s="38"/>
      <c r="FE2461" s="38"/>
      <c r="FF2461" s="38"/>
      <c r="FG2461" s="38"/>
      <c r="FH2461" s="38"/>
      <c r="FI2461" s="38"/>
      <c r="FJ2461" s="38"/>
      <c r="FK2461" s="38"/>
      <c r="FL2461" s="38"/>
      <c r="FM2461" s="38"/>
      <c r="FN2461" s="38"/>
      <c r="FO2461" s="38"/>
      <c r="FP2461" s="38"/>
      <c r="FQ2461" s="38"/>
      <c r="FR2461" s="38"/>
      <c r="FS2461" s="38"/>
      <c r="FT2461" s="38"/>
      <c r="FU2461" s="38"/>
      <c r="FV2461" s="38"/>
      <c r="FW2461" s="38"/>
      <c r="FX2461" s="38"/>
      <c r="FY2461" s="38"/>
      <c r="FZ2461" s="38"/>
      <c r="GA2461" s="38"/>
      <c r="GB2461" s="38"/>
      <c r="GC2461" s="38"/>
      <c r="GD2461" s="38"/>
      <c r="GE2461" s="38"/>
      <c r="GF2461" s="38"/>
      <c r="GG2461" s="38"/>
      <c r="GH2461" s="38"/>
      <c r="GI2461" s="38"/>
      <c r="GJ2461" s="38"/>
      <c r="GK2461" s="38"/>
      <c r="GL2461" s="38"/>
      <c r="GM2461" s="38"/>
      <c r="GN2461" s="38"/>
      <c r="GO2461" s="38"/>
      <c r="GP2461" s="38"/>
      <c r="GQ2461" s="38"/>
      <c r="GR2461" s="38"/>
      <c r="GS2461" s="38"/>
      <c r="GT2461" s="38"/>
      <c r="GU2461" s="38"/>
      <c r="GV2461" s="38"/>
      <c r="GW2461" s="38"/>
      <c r="GX2461" s="38"/>
      <c r="GY2461" s="38"/>
      <c r="GZ2461" s="38"/>
      <c r="HA2461" s="38"/>
      <c r="HB2461" s="38"/>
      <c r="HC2461" s="38"/>
      <c r="HD2461" s="38"/>
      <c r="HE2461" s="38"/>
      <c r="HF2461" s="38"/>
      <c r="HG2461" s="38"/>
      <c r="HH2461" s="38"/>
      <c r="HI2461" s="38"/>
      <c r="HJ2461" s="38"/>
      <c r="HK2461" s="38"/>
      <c r="HL2461" s="38"/>
      <c r="HM2461" s="38"/>
      <c r="HN2461" s="38"/>
      <c r="HO2461" s="38"/>
      <c r="HP2461" s="38"/>
      <c r="HQ2461" s="38"/>
      <c r="HR2461" s="38"/>
      <c r="HS2461" s="38"/>
      <c r="HT2461" s="38"/>
      <c r="HU2461" s="38"/>
      <c r="HV2461" s="38"/>
      <c r="HW2461" s="38"/>
      <c r="HX2461" s="38"/>
      <c r="HY2461" s="38"/>
      <c r="HZ2461" s="38"/>
      <c r="IA2461" s="38"/>
      <c r="IB2461" s="38"/>
      <c r="IC2461" s="38"/>
      <c r="ID2461" s="38"/>
      <c r="IE2461" s="38"/>
      <c r="IF2461" s="38"/>
      <c r="IG2461" s="38"/>
      <c r="IH2461" s="38"/>
      <c r="II2461" s="38"/>
      <c r="IJ2461" s="38"/>
      <c r="IK2461" s="38"/>
      <c r="IL2461" s="38"/>
      <c r="IM2461" s="38"/>
      <c r="IN2461" s="38"/>
      <c r="IO2461" s="38"/>
      <c r="IP2461" s="38"/>
      <c r="IQ2461" s="38"/>
      <c r="IR2461" s="38"/>
      <c r="IS2461" s="38"/>
      <c r="IT2461" s="38"/>
      <c r="IU2461" s="38"/>
      <c r="IV2461" s="38"/>
      <c r="IW2461" s="38"/>
      <c r="IX2461" s="38"/>
      <c r="IY2461" s="38"/>
      <c r="IZ2461" s="38"/>
      <c r="JA2461" s="38"/>
      <c r="JB2461" s="38"/>
      <c r="JC2461" s="38"/>
      <c r="JD2461" s="38"/>
      <c r="JE2461" s="38"/>
      <c r="JF2461" s="38"/>
      <c r="JG2461" s="38"/>
      <c r="JH2461" s="38"/>
      <c r="JI2461" s="38"/>
      <c r="JJ2461" s="38"/>
      <c r="JK2461" s="38"/>
      <c r="JL2461" s="38"/>
      <c r="JM2461" s="38"/>
      <c r="JN2461" s="38"/>
      <c r="JO2461" s="38"/>
      <c r="JP2461" s="38"/>
      <c r="JQ2461" s="38"/>
      <c r="JR2461" s="38"/>
      <c r="JS2461" s="38"/>
      <c r="JT2461" s="38"/>
      <c r="JU2461" s="38"/>
      <c r="JV2461" s="38"/>
      <c r="JW2461" s="38"/>
      <c r="JX2461" s="38"/>
      <c r="JY2461" s="38"/>
      <c r="JZ2461" s="38"/>
      <c r="KA2461" s="38"/>
      <c r="KB2461" s="38"/>
      <c r="KC2461" s="38"/>
      <c r="KD2461" s="38"/>
      <c r="KE2461" s="38"/>
      <c r="KF2461" s="38"/>
      <c r="KG2461" s="38"/>
      <c r="KH2461" s="38"/>
      <c r="KI2461" s="38"/>
      <c r="KJ2461" s="38"/>
      <c r="KK2461" s="38"/>
      <c r="KL2461" s="38"/>
      <c r="KM2461" s="38"/>
      <c r="KN2461" s="38"/>
      <c r="KO2461" s="38"/>
      <c r="KP2461" s="38"/>
      <c r="KQ2461" s="38"/>
      <c r="KR2461" s="38"/>
      <c r="KS2461" s="38"/>
      <c r="KT2461" s="38"/>
      <c r="KU2461" s="38"/>
      <c r="KV2461" s="38"/>
      <c r="KW2461" s="38"/>
      <c r="KX2461" s="38"/>
      <c r="KY2461" s="38"/>
      <c r="KZ2461" s="38"/>
      <c r="LA2461" s="38"/>
      <c r="LB2461" s="38"/>
      <c r="LC2461" s="38"/>
      <c r="LD2461" s="38"/>
      <c r="LE2461" s="38"/>
      <c r="LF2461" s="38"/>
      <c r="LG2461" s="38"/>
      <c r="LH2461" s="38"/>
      <c r="LI2461" s="38"/>
      <c r="LJ2461" s="38"/>
      <c r="LK2461" s="38"/>
      <c r="LL2461" s="38"/>
      <c r="LM2461" s="38"/>
      <c r="LN2461" s="38"/>
      <c r="LO2461" s="38"/>
      <c r="LP2461" s="38"/>
      <c r="LQ2461" s="38"/>
      <c r="LR2461" s="38"/>
      <c r="LS2461" s="38"/>
      <c r="LT2461" s="38"/>
      <c r="LU2461" s="38"/>
      <c r="LV2461" s="38"/>
      <c r="LW2461" s="38"/>
      <c r="LX2461" s="38"/>
      <c r="LY2461" s="38"/>
      <c r="LZ2461" s="38"/>
      <c r="MA2461" s="38"/>
      <c r="MB2461" s="38"/>
      <c r="MC2461" s="38"/>
      <c r="MD2461" s="38"/>
      <c r="ME2461" s="38"/>
      <c r="MF2461" s="38"/>
      <c r="MG2461" s="38"/>
      <c r="MH2461" s="38"/>
      <c r="MI2461" s="38"/>
      <c r="MJ2461" s="38"/>
      <c r="MK2461" s="38"/>
      <c r="ML2461" s="38"/>
      <c r="MM2461" s="38"/>
      <c r="MN2461" s="38"/>
      <c r="MO2461" s="38"/>
      <c r="MP2461" s="38"/>
      <c r="MQ2461" s="38"/>
      <c r="MR2461" s="38"/>
      <c r="MS2461" s="38"/>
      <c r="MT2461" s="38"/>
      <c r="MU2461" s="38"/>
      <c r="MV2461" s="38"/>
      <c r="MW2461" s="38"/>
      <c r="MX2461" s="38"/>
      <c r="MY2461" s="38"/>
      <c r="MZ2461" s="38"/>
      <c r="NA2461" s="38"/>
      <c r="NB2461" s="38"/>
      <c r="NC2461" s="38"/>
      <c r="ND2461" s="38"/>
      <c r="NE2461" s="38"/>
      <c r="NF2461" s="38"/>
      <c r="NG2461" s="38"/>
      <c r="NH2461" s="38"/>
      <c r="NI2461" s="38"/>
      <c r="NJ2461" s="38"/>
      <c r="NK2461" s="38"/>
      <c r="NL2461" s="38"/>
      <c r="NM2461" s="38"/>
      <c r="NN2461" s="38"/>
      <c r="NO2461" s="38"/>
      <c r="NP2461" s="38"/>
      <c r="NQ2461" s="38"/>
      <c r="NR2461" s="38"/>
      <c r="NS2461" s="38"/>
      <c r="NT2461" s="38"/>
      <c r="NU2461" s="38"/>
      <c r="NV2461" s="38"/>
      <c r="NW2461" s="38"/>
      <c r="NX2461" s="38"/>
      <c r="NY2461" s="38"/>
      <c r="NZ2461" s="38"/>
      <c r="OA2461" s="38"/>
      <c r="OB2461" s="38"/>
      <c r="OC2461" s="38"/>
      <c r="OD2461" s="38"/>
      <c r="OE2461" s="38"/>
      <c r="OF2461" s="38"/>
      <c r="OG2461" s="38"/>
      <c r="OH2461" s="38"/>
      <c r="OI2461" s="38"/>
      <c r="OJ2461" s="38"/>
      <c r="OK2461" s="38"/>
      <c r="OL2461" s="38"/>
      <c r="OM2461" s="38"/>
      <c r="ON2461" s="38"/>
      <c r="OO2461" s="38"/>
      <c r="OP2461" s="38"/>
      <c r="OQ2461" s="38"/>
      <c r="OR2461" s="38"/>
      <c r="OS2461" s="38"/>
      <c r="OT2461" s="38"/>
      <c r="OU2461" s="38"/>
      <c r="OV2461" s="38"/>
      <c r="OW2461" s="38"/>
      <c r="OX2461" s="38"/>
      <c r="OY2461" s="38"/>
      <c r="OZ2461" s="38"/>
      <c r="PA2461" s="38"/>
      <c r="PB2461" s="38"/>
      <c r="PC2461" s="38"/>
      <c r="PD2461" s="38"/>
      <c r="PE2461" s="38"/>
      <c r="PF2461" s="38"/>
      <c r="PG2461" s="38"/>
      <c r="PH2461" s="38"/>
      <c r="PI2461" s="38"/>
      <c r="PJ2461" s="38"/>
      <c r="PK2461" s="38"/>
      <c r="PL2461" s="38"/>
      <c r="PM2461" s="38"/>
      <c r="PN2461" s="38"/>
      <c r="PO2461" s="38"/>
      <c r="PP2461" s="38"/>
      <c r="PQ2461" s="38"/>
      <c r="PR2461" s="38"/>
      <c r="PS2461" s="38"/>
      <c r="PT2461" s="38"/>
      <c r="PU2461" s="38"/>
      <c r="PV2461" s="38"/>
      <c r="PW2461" s="38"/>
      <c r="PX2461" s="38"/>
      <c r="PY2461" s="38"/>
      <c r="PZ2461" s="38"/>
      <c r="QA2461" s="38"/>
      <c r="QB2461" s="38"/>
      <c r="QC2461" s="38"/>
      <c r="QD2461" s="38"/>
      <c r="QE2461" s="38"/>
      <c r="QF2461" s="38"/>
      <c r="QG2461" s="38"/>
      <c r="QH2461" s="38"/>
      <c r="QI2461" s="38"/>
      <c r="QJ2461" s="38"/>
      <c r="QK2461" s="38"/>
      <c r="QL2461" s="38"/>
      <c r="QM2461" s="38"/>
      <c r="QN2461" s="38"/>
      <c r="QO2461" s="38"/>
      <c r="QP2461" s="38"/>
      <c r="QQ2461" s="38"/>
      <c r="QR2461" s="38"/>
      <c r="QS2461" s="38"/>
      <c r="QT2461" s="38"/>
      <c r="QU2461" s="38"/>
      <c r="QV2461" s="38"/>
      <c r="QW2461" s="38"/>
      <c r="QX2461" s="38"/>
      <c r="QY2461" s="38"/>
      <c r="QZ2461" s="38"/>
      <c r="RA2461" s="38"/>
      <c r="RB2461" s="38"/>
      <c r="RC2461" s="38"/>
      <c r="RD2461" s="38"/>
      <c r="RE2461" s="38"/>
      <c r="RF2461" s="38"/>
      <c r="RG2461" s="38"/>
      <c r="RH2461" s="38"/>
      <c r="RI2461" s="38"/>
      <c r="RJ2461" s="38"/>
      <c r="RK2461" s="38"/>
      <c r="RL2461" s="38"/>
      <c r="RM2461" s="38"/>
      <c r="RN2461" s="38"/>
      <c r="RO2461" s="38"/>
      <c r="RP2461" s="38"/>
      <c r="RQ2461" s="38"/>
      <c r="RR2461" s="38"/>
      <c r="RS2461" s="38"/>
      <c r="RT2461" s="38"/>
      <c r="RU2461" s="38"/>
      <c r="RV2461" s="38"/>
      <c r="RW2461" s="38"/>
      <c r="RX2461" s="38"/>
      <c r="RY2461" s="38"/>
      <c r="RZ2461" s="38"/>
      <c r="SA2461" s="38"/>
      <c r="SB2461" s="38"/>
      <c r="SC2461" s="38"/>
      <c r="SD2461" s="38"/>
      <c r="SE2461" s="38"/>
      <c r="SF2461" s="38"/>
      <c r="SG2461" s="38"/>
      <c r="SH2461" s="38"/>
      <c r="SI2461" s="38"/>
      <c r="SJ2461" s="38"/>
      <c r="SK2461" s="38"/>
      <c r="SL2461" s="38"/>
      <c r="SM2461" s="38"/>
      <c r="SN2461" s="38"/>
      <c r="SO2461" s="38"/>
      <c r="SP2461" s="38"/>
      <c r="SQ2461" s="38"/>
      <c r="SR2461" s="38"/>
      <c r="SS2461" s="38"/>
      <c r="ST2461" s="38"/>
      <c r="SU2461" s="38"/>
      <c r="SV2461" s="38"/>
      <c r="SW2461" s="38"/>
      <c r="SX2461" s="38"/>
      <c r="SY2461" s="38"/>
      <c r="SZ2461" s="38"/>
      <c r="TA2461" s="38"/>
      <c r="TB2461" s="38"/>
      <c r="TC2461" s="38"/>
      <c r="TD2461" s="38"/>
      <c r="TE2461" s="38"/>
      <c r="TF2461" s="38"/>
      <c r="TG2461" s="38"/>
      <c r="TH2461" s="38"/>
      <c r="TI2461" s="38"/>
      <c r="TJ2461" s="38"/>
      <c r="TK2461" s="38"/>
      <c r="TL2461" s="38"/>
      <c r="TM2461" s="38"/>
      <c r="TN2461" s="38"/>
      <c r="TO2461" s="38"/>
      <c r="TP2461" s="38"/>
      <c r="TQ2461" s="38"/>
      <c r="TR2461" s="38"/>
      <c r="TS2461" s="38"/>
      <c r="TT2461" s="38"/>
      <c r="TU2461" s="38"/>
      <c r="TV2461" s="38"/>
      <c r="TW2461" s="38"/>
      <c r="TX2461" s="38"/>
      <c r="TY2461" s="38"/>
      <c r="TZ2461" s="38"/>
      <c r="UA2461" s="38"/>
      <c r="UB2461" s="38"/>
      <c r="UC2461" s="38"/>
      <c r="UD2461" s="38"/>
      <c r="UE2461" s="38"/>
      <c r="UF2461" s="38"/>
      <c r="UG2461" s="38"/>
      <c r="UH2461" s="38"/>
      <c r="UI2461" s="38"/>
      <c r="UJ2461" s="38"/>
      <c r="UK2461" s="38"/>
      <c r="UL2461" s="38"/>
      <c r="UM2461" s="38"/>
      <c r="UN2461" s="38"/>
      <c r="UO2461" s="38"/>
      <c r="UP2461" s="38"/>
      <c r="UQ2461" s="38"/>
      <c r="UR2461" s="38"/>
      <c r="US2461" s="38"/>
      <c r="UT2461" s="38"/>
      <c r="UU2461" s="38"/>
      <c r="UV2461" s="38"/>
      <c r="UW2461" s="38"/>
      <c r="UX2461" s="38"/>
      <c r="UY2461" s="38"/>
      <c r="UZ2461" s="38"/>
      <c r="VA2461" s="38"/>
      <c r="VB2461" s="38"/>
      <c r="VC2461" s="38"/>
      <c r="VD2461" s="38"/>
      <c r="VE2461" s="38"/>
      <c r="VF2461" s="38"/>
      <c r="VG2461" s="38"/>
      <c r="VH2461" s="38"/>
      <c r="VI2461" s="38"/>
      <c r="VJ2461" s="38"/>
      <c r="VK2461" s="38"/>
      <c r="VL2461" s="38"/>
      <c r="VM2461" s="38"/>
      <c r="VN2461" s="38"/>
      <c r="VO2461" s="38"/>
      <c r="VP2461" s="38"/>
      <c r="VQ2461" s="38"/>
      <c r="VR2461" s="38"/>
      <c r="VS2461" s="38"/>
      <c r="VT2461" s="38"/>
      <c r="VU2461" s="38"/>
      <c r="VV2461" s="38"/>
      <c r="VW2461" s="38"/>
      <c r="VX2461" s="38"/>
      <c r="VY2461" s="38"/>
      <c r="VZ2461" s="38"/>
      <c r="WA2461" s="38"/>
      <c r="WB2461" s="38"/>
      <c r="WC2461" s="38"/>
      <c r="WD2461" s="38"/>
      <c r="WE2461" s="38"/>
      <c r="WF2461" s="38"/>
      <c r="WG2461" s="38"/>
      <c r="WH2461" s="38"/>
      <c r="WI2461" s="38"/>
      <c r="WJ2461" s="38"/>
      <c r="WK2461" s="38"/>
      <c r="WL2461" s="38"/>
      <c r="WM2461" s="38"/>
      <c r="WN2461" s="38"/>
      <c r="WO2461" s="38"/>
      <c r="WP2461" s="38"/>
      <c r="WQ2461" s="38"/>
      <c r="WR2461" s="38"/>
      <c r="WS2461" s="38"/>
      <c r="WT2461" s="38"/>
      <c r="WU2461" s="38"/>
      <c r="WV2461" s="38"/>
      <c r="WW2461" s="38"/>
      <c r="WX2461" s="38"/>
      <c r="WY2461" s="38"/>
      <c r="WZ2461" s="38"/>
      <c r="XA2461" s="38"/>
      <c r="XB2461" s="38"/>
      <c r="XC2461" s="38"/>
      <c r="XD2461" s="38"/>
      <c r="XE2461" s="38"/>
      <c r="XF2461" s="38"/>
      <c r="XG2461" s="38"/>
      <c r="XH2461" s="38"/>
      <c r="XI2461" s="38"/>
      <c r="XJ2461" s="38"/>
      <c r="XK2461" s="38"/>
      <c r="XL2461" s="38"/>
      <c r="XM2461" s="38"/>
      <c r="XN2461" s="38"/>
      <c r="XO2461" s="38"/>
      <c r="XP2461" s="38"/>
      <c r="XQ2461" s="38"/>
      <c r="XR2461" s="38"/>
      <c r="XS2461" s="38"/>
      <c r="XT2461" s="38"/>
      <c r="XU2461" s="38"/>
      <c r="XV2461" s="38"/>
      <c r="XW2461" s="38"/>
      <c r="XX2461" s="38"/>
      <c r="XY2461" s="38"/>
      <c r="XZ2461" s="38"/>
      <c r="YA2461" s="38"/>
      <c r="YB2461" s="38"/>
      <c r="YC2461" s="38"/>
      <c r="YD2461" s="38"/>
      <c r="YE2461" s="38"/>
      <c r="YF2461" s="38"/>
      <c r="YG2461" s="38"/>
      <c r="YH2461" s="38"/>
      <c r="YI2461" s="38"/>
      <c r="YJ2461" s="38"/>
      <c r="YK2461" s="38"/>
      <c r="YL2461" s="38"/>
      <c r="YM2461" s="38"/>
      <c r="YN2461" s="38"/>
      <c r="YO2461" s="38"/>
      <c r="YP2461" s="38"/>
      <c r="YQ2461" s="38"/>
      <c r="YR2461" s="38"/>
      <c r="YS2461" s="38"/>
      <c r="YT2461" s="38"/>
      <c r="YU2461" s="38"/>
      <c r="YV2461" s="38"/>
      <c r="YW2461" s="38"/>
      <c r="YX2461" s="38"/>
      <c r="YY2461" s="38"/>
      <c r="YZ2461" s="38"/>
      <c r="ZA2461" s="38"/>
      <c r="ZB2461" s="38"/>
      <c r="ZC2461" s="38"/>
      <c r="ZD2461" s="38"/>
      <c r="ZE2461" s="38"/>
      <c r="ZF2461" s="38"/>
      <c r="ZG2461" s="38"/>
      <c r="ZH2461" s="38"/>
      <c r="ZI2461" s="38"/>
      <c r="ZJ2461" s="38"/>
      <c r="ZK2461" s="38"/>
      <c r="ZL2461" s="38"/>
      <c r="ZM2461" s="38"/>
      <c r="ZN2461" s="38"/>
      <c r="ZO2461" s="38"/>
      <c r="ZP2461" s="38"/>
      <c r="ZQ2461" s="38"/>
      <c r="ZR2461" s="38"/>
      <c r="ZS2461" s="38"/>
      <c r="ZT2461" s="38"/>
      <c r="ZU2461" s="38"/>
      <c r="ZV2461" s="38"/>
      <c r="ZW2461" s="38"/>
      <c r="ZX2461" s="38"/>
      <c r="ZY2461" s="38"/>
      <c r="ZZ2461" s="38"/>
      <c r="AAA2461" s="38"/>
      <c r="AAB2461" s="38"/>
      <c r="AAC2461" s="38"/>
      <c r="AAD2461" s="38"/>
      <c r="AAE2461" s="38"/>
      <c r="AAF2461" s="38"/>
      <c r="AAG2461" s="38"/>
      <c r="AAH2461" s="38"/>
      <c r="AAI2461" s="38"/>
      <c r="AAJ2461" s="38"/>
      <c r="AAK2461" s="38"/>
      <c r="AAL2461" s="38"/>
      <c r="AAM2461" s="38"/>
      <c r="AAN2461" s="38"/>
      <c r="AAO2461" s="38"/>
      <c r="AAP2461" s="38"/>
      <c r="AAQ2461" s="38"/>
      <c r="AAR2461" s="38"/>
      <c r="AAS2461" s="38"/>
      <c r="AAT2461" s="38"/>
      <c r="AAU2461" s="38"/>
      <c r="AAV2461" s="38"/>
      <c r="AAW2461" s="38"/>
      <c r="AAX2461" s="38"/>
      <c r="AAY2461" s="38"/>
      <c r="AAZ2461" s="38"/>
      <c r="ABA2461" s="38"/>
      <c r="ABB2461" s="38"/>
      <c r="ABC2461" s="38"/>
      <c r="ABD2461" s="38"/>
      <c r="ABE2461" s="38"/>
      <c r="ABF2461" s="38"/>
      <c r="ABG2461" s="38"/>
      <c r="ABH2461" s="38"/>
      <c r="ABI2461" s="38"/>
      <c r="ABJ2461" s="38"/>
      <c r="ABK2461" s="38"/>
      <c r="ABL2461" s="38"/>
      <c r="ABM2461" s="38"/>
      <c r="ABN2461" s="38"/>
      <c r="ABO2461" s="38"/>
      <c r="ABP2461" s="38"/>
      <c r="ABQ2461" s="38"/>
      <c r="ABR2461" s="38"/>
      <c r="ABS2461" s="38"/>
      <c r="ABT2461" s="38"/>
      <c r="ABU2461" s="38"/>
      <c r="ABV2461" s="38"/>
      <c r="ABW2461" s="38"/>
      <c r="ABX2461" s="38"/>
      <c r="ABY2461" s="38"/>
      <c r="ABZ2461" s="38"/>
      <c r="ACA2461" s="38"/>
      <c r="ACB2461" s="38"/>
      <c r="ACC2461" s="38"/>
      <c r="ACD2461" s="38"/>
      <c r="ACE2461" s="38"/>
      <c r="ACF2461" s="38"/>
      <c r="ACG2461" s="38"/>
      <c r="ACH2461" s="38"/>
      <c r="ACI2461" s="38"/>
      <c r="ACJ2461" s="38"/>
      <c r="ACK2461" s="38"/>
      <c r="ACL2461" s="38"/>
      <c r="ACM2461" s="38"/>
      <c r="ACN2461" s="38"/>
      <c r="ACO2461" s="38"/>
      <c r="ACP2461" s="38"/>
      <c r="ACQ2461" s="38"/>
      <c r="ACR2461" s="38"/>
      <c r="ACS2461" s="38"/>
      <c r="ACT2461" s="38"/>
      <c r="ACU2461" s="38"/>
      <c r="ACV2461" s="38"/>
      <c r="ACW2461" s="38"/>
      <c r="ACX2461" s="38"/>
      <c r="ACY2461" s="38"/>
      <c r="ACZ2461" s="38"/>
      <c r="ADA2461" s="38"/>
      <c r="ADB2461" s="38"/>
      <c r="ADC2461" s="38"/>
      <c r="ADD2461" s="38"/>
      <c r="ADE2461" s="38"/>
      <c r="ADF2461" s="38"/>
      <c r="ADG2461" s="38"/>
      <c r="ADH2461" s="38"/>
      <c r="ADI2461" s="38"/>
      <c r="ADJ2461" s="38"/>
      <c r="ADK2461" s="38"/>
      <c r="ADL2461" s="38"/>
      <c r="ADM2461" s="38"/>
      <c r="ADN2461" s="38"/>
      <c r="ADO2461" s="38"/>
      <c r="ADP2461" s="38"/>
      <c r="ADQ2461" s="38"/>
      <c r="ADR2461" s="38"/>
      <c r="ADS2461" s="38"/>
      <c r="ADT2461" s="38"/>
      <c r="ADU2461" s="38"/>
      <c r="ADV2461" s="38"/>
      <c r="ADW2461" s="38"/>
      <c r="ADX2461" s="38"/>
      <c r="ADY2461" s="38"/>
      <c r="ADZ2461" s="38"/>
      <c r="AEA2461" s="38"/>
      <c r="AEB2461" s="38"/>
      <c r="AEC2461" s="38"/>
      <c r="AED2461" s="38"/>
      <c r="AEE2461" s="38"/>
      <c r="AEF2461" s="38"/>
      <c r="AEG2461" s="38"/>
      <c r="AEH2461" s="38"/>
      <c r="AEI2461" s="38"/>
      <c r="AEJ2461" s="38"/>
      <c r="AEK2461" s="38"/>
      <c r="AEL2461" s="38"/>
      <c r="AEM2461" s="38"/>
      <c r="AEN2461" s="38"/>
      <c r="AEO2461" s="38"/>
      <c r="AEP2461" s="38"/>
      <c r="AEQ2461" s="38"/>
      <c r="AER2461" s="38"/>
      <c r="AES2461" s="38"/>
      <c r="AET2461" s="38"/>
      <c r="AEU2461" s="38"/>
      <c r="AEV2461" s="38"/>
      <c r="AEW2461" s="38"/>
      <c r="AEX2461" s="38"/>
      <c r="AEY2461" s="38"/>
      <c r="AEZ2461" s="38"/>
      <c r="AFA2461" s="38"/>
      <c r="AFB2461" s="38"/>
      <c r="AFC2461" s="38"/>
      <c r="AFD2461" s="38"/>
      <c r="AFE2461" s="38"/>
      <c r="AFF2461" s="38"/>
      <c r="AFG2461" s="38"/>
      <c r="AFH2461" s="38"/>
      <c r="AFI2461" s="38"/>
      <c r="AFJ2461" s="38"/>
      <c r="AFK2461" s="38"/>
      <c r="AFL2461" s="38"/>
      <c r="AFM2461" s="38"/>
      <c r="AFN2461" s="38"/>
      <c r="AFO2461" s="38"/>
      <c r="AFP2461" s="38"/>
      <c r="AFQ2461" s="38"/>
      <c r="AFR2461" s="38"/>
      <c r="AFS2461" s="38"/>
      <c r="AFT2461" s="38"/>
      <c r="AFU2461" s="38"/>
      <c r="AFV2461" s="38"/>
      <c r="AFW2461" s="38"/>
      <c r="AFX2461" s="38"/>
      <c r="AFY2461" s="38"/>
      <c r="AFZ2461" s="38"/>
      <c r="AGA2461" s="38"/>
      <c r="AGB2461" s="38"/>
      <c r="AGC2461" s="38"/>
      <c r="AGD2461" s="38"/>
      <c r="AGE2461" s="38"/>
      <c r="AGF2461" s="38"/>
      <c r="AGG2461" s="38"/>
      <c r="AGH2461" s="38"/>
      <c r="AGI2461" s="38"/>
      <c r="AGJ2461" s="38"/>
      <c r="AGK2461" s="38"/>
      <c r="AGL2461" s="38"/>
      <c r="AGM2461" s="38"/>
      <c r="AGN2461" s="38"/>
      <c r="AGO2461" s="38"/>
      <c r="AGP2461" s="38"/>
      <c r="AGQ2461" s="38"/>
      <c r="AGR2461" s="38"/>
      <c r="AGS2461" s="38"/>
      <c r="AGT2461" s="38"/>
      <c r="AGU2461" s="38"/>
      <c r="AGV2461" s="38"/>
      <c r="AGW2461" s="38"/>
      <c r="AGX2461" s="38"/>
      <c r="AGY2461" s="38"/>
      <c r="AGZ2461" s="38"/>
      <c r="AHA2461" s="38"/>
      <c r="AHB2461" s="38"/>
      <c r="AHC2461" s="38"/>
      <c r="AHD2461" s="38"/>
      <c r="AHE2461" s="38"/>
      <c r="AHF2461" s="38"/>
      <c r="AHG2461" s="38"/>
      <c r="AHH2461" s="38"/>
      <c r="AHI2461" s="38"/>
      <c r="AHJ2461" s="38"/>
      <c r="AHK2461" s="38"/>
      <c r="AHL2461" s="38"/>
      <c r="AHM2461" s="38"/>
      <c r="AHN2461" s="38"/>
      <c r="AHO2461" s="38"/>
      <c r="AHP2461" s="38"/>
      <c r="AHQ2461" s="38"/>
      <c r="AHR2461" s="38"/>
      <c r="AHS2461" s="38"/>
      <c r="AHT2461" s="38"/>
      <c r="AHU2461" s="38"/>
      <c r="AHV2461" s="38"/>
      <c r="AHW2461" s="38"/>
      <c r="AHX2461" s="38"/>
      <c r="AHY2461" s="38"/>
      <c r="AHZ2461" s="38"/>
      <c r="AIA2461" s="38"/>
      <c r="AIB2461" s="38"/>
      <c r="AIC2461" s="38"/>
      <c r="AID2461" s="38"/>
      <c r="AIE2461" s="38"/>
      <c r="AIF2461" s="38"/>
      <c r="AIG2461" s="38"/>
      <c r="AIH2461" s="38"/>
      <c r="AII2461" s="38"/>
      <c r="AIJ2461" s="38"/>
      <c r="AIK2461" s="38"/>
      <c r="AIL2461" s="38"/>
      <c r="AIM2461" s="38"/>
      <c r="AIN2461" s="38"/>
      <c r="AIO2461" s="38"/>
      <c r="AIP2461" s="38"/>
      <c r="AIQ2461" s="38"/>
      <c r="AIR2461" s="38"/>
      <c r="AIS2461" s="38"/>
      <c r="AIT2461" s="38"/>
      <c r="AIU2461" s="38"/>
      <c r="AIV2461" s="38"/>
      <c r="AIW2461" s="38"/>
      <c r="AIX2461" s="38"/>
      <c r="AIY2461" s="38"/>
      <c r="AIZ2461" s="38"/>
      <c r="AJA2461" s="38"/>
      <c r="AJB2461" s="38"/>
      <c r="AJC2461" s="38"/>
      <c r="AJD2461" s="38"/>
      <c r="AJE2461" s="38"/>
      <c r="AJF2461" s="38"/>
      <c r="AJG2461" s="38"/>
      <c r="AJH2461" s="38"/>
      <c r="AJI2461" s="38"/>
      <c r="AJJ2461" s="38"/>
      <c r="AJK2461" s="38"/>
      <c r="AJL2461" s="38"/>
      <c r="AJM2461" s="38"/>
      <c r="AJN2461" s="38"/>
      <c r="AJO2461" s="38"/>
      <c r="AJP2461" s="38"/>
      <c r="AJQ2461" s="38"/>
      <c r="AJR2461" s="38"/>
      <c r="AJS2461" s="38"/>
      <c r="AJT2461" s="38"/>
      <c r="AJU2461" s="38"/>
      <c r="AJV2461" s="38"/>
      <c r="AJW2461" s="38"/>
      <c r="AJX2461" s="38"/>
      <c r="AJY2461" s="38"/>
      <c r="AJZ2461" s="38"/>
      <c r="AKA2461" s="38"/>
      <c r="AKB2461" s="38"/>
      <c r="AKC2461" s="38"/>
      <c r="AKD2461" s="38"/>
      <c r="AKE2461" s="38"/>
      <c r="AKF2461" s="38"/>
      <c r="AKG2461" s="38"/>
      <c r="AKH2461" s="38"/>
      <c r="AKI2461" s="38"/>
      <c r="AKJ2461" s="38"/>
      <c r="AKK2461" s="38"/>
      <c r="AKL2461" s="38"/>
      <c r="AKM2461" s="38"/>
      <c r="AKN2461" s="38"/>
      <c r="AKO2461" s="38"/>
      <c r="AKP2461" s="38"/>
      <c r="AKQ2461" s="38"/>
      <c r="AKR2461" s="38"/>
      <c r="AKS2461" s="38"/>
      <c r="AKT2461" s="38"/>
      <c r="AKU2461" s="38"/>
      <c r="AKV2461" s="38"/>
      <c r="AKW2461" s="38"/>
      <c r="AKX2461" s="38"/>
      <c r="AKY2461" s="38"/>
      <c r="AKZ2461" s="38"/>
      <c r="ALA2461" s="38"/>
      <c r="ALB2461" s="38"/>
      <c r="ALC2461" s="38"/>
      <c r="ALD2461" s="38"/>
      <c r="ALE2461" s="38"/>
      <c r="ALF2461" s="38"/>
      <c r="ALG2461" s="38"/>
      <c r="ALH2461" s="38"/>
      <c r="ALI2461" s="38"/>
      <c r="ALJ2461" s="38"/>
      <c r="ALK2461" s="38"/>
      <c r="ALL2461" s="38"/>
      <c r="ALM2461" s="38"/>
      <c r="ALN2461" s="38"/>
      <c r="ALO2461" s="38"/>
      <c r="ALP2461" s="38"/>
      <c r="ALQ2461" s="38"/>
      <c r="ALR2461" s="38"/>
      <c r="ALS2461" s="38"/>
      <c r="ALT2461" s="38"/>
      <c r="ALU2461" s="38"/>
      <c r="ALV2461" s="38"/>
      <c r="ALW2461" s="38"/>
      <c r="ALX2461" s="38"/>
      <c r="ALY2461" s="38"/>
      <c r="ALZ2461" s="38"/>
      <c r="AMA2461" s="38"/>
      <c r="AMB2461" s="38"/>
      <c r="AMC2461" s="38"/>
      <c r="AMD2461" s="38"/>
      <c r="AME2461" s="38"/>
      <c r="AMF2461" s="38"/>
      <c r="AMG2461" s="38"/>
      <c r="AMH2461" s="38"/>
      <c r="AMI2461" s="38"/>
      <c r="AMJ2461" s="38"/>
      <c r="AMK2461" s="38"/>
      <c r="AML2461" s="38"/>
      <c r="AMM2461" s="38"/>
      <c r="AMN2461" s="38"/>
      <c r="AMO2461" s="38"/>
      <c r="AMP2461" s="38"/>
      <c r="AMQ2461" s="38"/>
      <c r="AMR2461" s="38"/>
      <c r="AMS2461" s="38"/>
      <c r="AMT2461" s="38"/>
      <c r="AMU2461" s="38"/>
      <c r="AMV2461" s="38"/>
      <c r="AMW2461" s="38"/>
      <c r="AMX2461" s="38"/>
      <c r="AMY2461" s="38"/>
      <c r="AMZ2461" s="38"/>
      <c r="ANA2461" s="38"/>
      <c r="ANB2461" s="38"/>
      <c r="ANC2461" s="38"/>
      <c r="AND2461" s="38"/>
      <c r="ANE2461" s="38"/>
      <c r="ANF2461" s="38"/>
      <c r="ANG2461" s="38"/>
      <c r="ANH2461" s="38"/>
      <c r="ANI2461" s="38"/>
      <c r="ANJ2461" s="38"/>
      <c r="ANK2461" s="38"/>
      <c r="ANL2461" s="38"/>
      <c r="ANM2461" s="38"/>
      <c r="ANN2461" s="38"/>
      <c r="ANO2461" s="38"/>
      <c r="ANP2461" s="38"/>
      <c r="ANQ2461" s="38"/>
      <c r="ANR2461" s="38"/>
      <c r="ANS2461" s="38"/>
      <c r="ANT2461" s="38"/>
      <c r="ANU2461" s="38"/>
      <c r="ANV2461" s="38"/>
      <c r="ANW2461" s="38"/>
      <c r="ANX2461" s="38"/>
      <c r="ANY2461" s="38"/>
      <c r="ANZ2461" s="38"/>
      <c r="AOA2461" s="38"/>
      <c r="AOB2461" s="38"/>
      <c r="AOC2461" s="38"/>
      <c r="AOD2461" s="38"/>
      <c r="AOE2461" s="38"/>
      <c r="AOF2461" s="38"/>
      <c r="AOG2461" s="38"/>
      <c r="AOH2461" s="38"/>
      <c r="AOI2461" s="38"/>
      <c r="AOJ2461" s="38"/>
      <c r="AOK2461" s="38"/>
      <c r="AOL2461" s="38"/>
      <c r="AOM2461" s="38"/>
      <c r="AON2461" s="38"/>
      <c r="AOO2461" s="38"/>
      <c r="AOP2461" s="38"/>
      <c r="AOQ2461" s="38"/>
      <c r="AOR2461" s="38"/>
      <c r="AOS2461" s="38"/>
      <c r="AOT2461" s="38"/>
      <c r="AOU2461" s="38"/>
      <c r="AOV2461" s="38"/>
      <c r="AOW2461" s="38"/>
      <c r="AOX2461" s="38"/>
      <c r="AOY2461" s="38"/>
      <c r="AOZ2461" s="38"/>
      <c r="APA2461" s="38"/>
      <c r="APB2461" s="38"/>
      <c r="APC2461" s="38"/>
    </row>
    <row r="2462" spans="1:1095" s="36" customFormat="1" ht="14.25" customHeight="1">
      <c r="A2462" s="3" t="s">
        <v>1722</v>
      </c>
      <c r="B2462" s="36" t="s">
        <v>3081</v>
      </c>
      <c r="C2462" s="10">
        <v>4099854059674</v>
      </c>
      <c r="D2462" s="224">
        <v>4052899955066</v>
      </c>
      <c r="E2462" s="245" t="s">
        <v>3081</v>
      </c>
      <c r="F2462" s="246"/>
      <c r="G2462" s="66" t="str">
        <f>HYPERLINK("https://ledvance.com/pt/product-datasheet/6975/237016","Ficha de Produto")</f>
        <v>Ficha de Produto</v>
      </c>
      <c r="H2462" s="217">
        <v>10</v>
      </c>
      <c r="I2462" s="34" t="s">
        <v>1039</v>
      </c>
      <c r="J2462" s="34" t="s">
        <v>886</v>
      </c>
      <c r="K2462" s="34" t="s">
        <v>788</v>
      </c>
      <c r="L2462" s="34" t="s">
        <v>793</v>
      </c>
      <c r="M2462" s="247">
        <v>21.200000000000003</v>
      </c>
      <c r="N2462" s="288" t="s">
        <v>722</v>
      </c>
    </row>
    <row r="2463" spans="1:1095" s="39" customFormat="1" ht="14.25" customHeight="1">
      <c r="A2463" s="8" t="s">
        <v>1722</v>
      </c>
      <c r="B2463" s="244" t="s">
        <v>1706</v>
      </c>
      <c r="C2463" s="8"/>
      <c r="E2463" s="230"/>
      <c r="F2463" s="7"/>
      <c r="G2463" s="68"/>
      <c r="H2463" s="230"/>
      <c r="I2463" s="230"/>
      <c r="J2463" s="230"/>
      <c r="K2463" s="230"/>
      <c r="L2463" s="230"/>
      <c r="M2463" s="248"/>
      <c r="N2463" s="284"/>
      <c r="O2463" s="38"/>
      <c r="P2463" s="38"/>
      <c r="Q2463" s="38"/>
      <c r="R2463" s="38"/>
      <c r="S2463" s="38"/>
      <c r="T2463" s="38"/>
      <c r="U2463" s="38"/>
      <c r="V2463" s="38"/>
      <c r="W2463" s="38"/>
      <c r="X2463" s="38"/>
      <c r="Y2463" s="38"/>
      <c r="Z2463" s="38"/>
      <c r="AA2463" s="38"/>
      <c r="AB2463" s="38"/>
      <c r="AC2463" s="38"/>
      <c r="AD2463" s="38"/>
      <c r="AE2463" s="38"/>
      <c r="AF2463" s="38"/>
      <c r="AG2463" s="38"/>
      <c r="AH2463" s="38"/>
      <c r="AI2463" s="38"/>
      <c r="AJ2463" s="38"/>
      <c r="AK2463" s="38"/>
      <c r="AL2463" s="38"/>
      <c r="AM2463" s="38"/>
      <c r="AN2463" s="38"/>
      <c r="AO2463" s="38"/>
      <c r="AP2463" s="38"/>
      <c r="AQ2463" s="38"/>
      <c r="AR2463" s="38"/>
      <c r="AS2463" s="38"/>
      <c r="AT2463" s="38"/>
      <c r="AU2463" s="38"/>
      <c r="AV2463" s="38"/>
      <c r="AW2463" s="38"/>
      <c r="AX2463" s="38"/>
      <c r="AY2463" s="38"/>
      <c r="AZ2463" s="38"/>
      <c r="BA2463" s="38"/>
      <c r="BB2463" s="38"/>
      <c r="BC2463" s="38"/>
      <c r="BD2463" s="38"/>
      <c r="BE2463" s="38"/>
      <c r="BF2463" s="38"/>
      <c r="BG2463" s="38"/>
      <c r="BH2463" s="38"/>
      <c r="BI2463" s="38"/>
      <c r="BJ2463" s="38"/>
      <c r="BK2463" s="38"/>
      <c r="BL2463" s="38"/>
      <c r="BM2463" s="38"/>
      <c r="BN2463" s="38"/>
      <c r="BO2463" s="38"/>
      <c r="BP2463" s="38"/>
      <c r="BQ2463" s="38"/>
      <c r="BR2463" s="38"/>
      <c r="BS2463" s="38"/>
      <c r="BT2463" s="38"/>
      <c r="BU2463" s="38"/>
      <c r="BV2463" s="38"/>
      <c r="BW2463" s="38"/>
      <c r="BX2463" s="38"/>
      <c r="BY2463" s="38"/>
      <c r="BZ2463" s="38"/>
      <c r="CA2463" s="38"/>
      <c r="CB2463" s="38"/>
      <c r="CC2463" s="38"/>
      <c r="CD2463" s="38"/>
      <c r="CE2463" s="38"/>
      <c r="CF2463" s="38"/>
      <c r="CG2463" s="38"/>
      <c r="CH2463" s="38"/>
      <c r="CI2463" s="38"/>
      <c r="CJ2463" s="38"/>
      <c r="CK2463" s="38"/>
      <c r="CL2463" s="38"/>
      <c r="CM2463" s="38"/>
      <c r="CN2463" s="38"/>
      <c r="CO2463" s="38"/>
      <c r="CP2463" s="38"/>
      <c r="CQ2463" s="38"/>
      <c r="CR2463" s="38"/>
      <c r="CS2463" s="38"/>
      <c r="CT2463" s="38"/>
      <c r="CU2463" s="38"/>
      <c r="CV2463" s="38"/>
      <c r="CW2463" s="38"/>
      <c r="CX2463" s="38"/>
      <c r="CY2463" s="38"/>
      <c r="CZ2463" s="38"/>
      <c r="DA2463" s="38"/>
      <c r="DB2463" s="38"/>
      <c r="DC2463" s="38"/>
      <c r="DD2463" s="38"/>
      <c r="DE2463" s="38"/>
      <c r="DF2463" s="38"/>
      <c r="DG2463" s="38"/>
      <c r="DH2463" s="38"/>
      <c r="DI2463" s="38"/>
      <c r="DJ2463" s="38"/>
      <c r="DK2463" s="38"/>
      <c r="DL2463" s="38"/>
      <c r="DM2463" s="38"/>
      <c r="DN2463" s="38"/>
      <c r="DO2463" s="38"/>
      <c r="DP2463" s="38"/>
      <c r="DQ2463" s="38"/>
      <c r="DR2463" s="38"/>
      <c r="DS2463" s="38"/>
      <c r="DT2463" s="38"/>
      <c r="DU2463" s="38"/>
      <c r="DV2463" s="38"/>
      <c r="DW2463" s="38"/>
      <c r="DX2463" s="38"/>
      <c r="DY2463" s="38"/>
      <c r="DZ2463" s="38"/>
      <c r="EA2463" s="38"/>
      <c r="EB2463" s="38"/>
      <c r="EC2463" s="38"/>
      <c r="ED2463" s="38"/>
      <c r="EE2463" s="38"/>
      <c r="EF2463" s="38"/>
      <c r="EG2463" s="38"/>
      <c r="EH2463" s="38"/>
      <c r="EI2463" s="38"/>
      <c r="EJ2463" s="38"/>
      <c r="EK2463" s="38"/>
      <c r="EL2463" s="38"/>
      <c r="EM2463" s="38"/>
      <c r="EN2463" s="38"/>
      <c r="EO2463" s="38"/>
      <c r="EP2463" s="38"/>
      <c r="EQ2463" s="38"/>
      <c r="ER2463" s="38"/>
      <c r="ES2463" s="38"/>
      <c r="ET2463" s="38"/>
      <c r="EU2463" s="38"/>
      <c r="EV2463" s="38"/>
      <c r="EW2463" s="38"/>
      <c r="EX2463" s="38"/>
      <c r="EY2463" s="38"/>
      <c r="EZ2463" s="38"/>
      <c r="FA2463" s="38"/>
      <c r="FB2463" s="38"/>
      <c r="FC2463" s="38"/>
      <c r="FD2463" s="38"/>
      <c r="FE2463" s="38"/>
      <c r="FF2463" s="38"/>
      <c r="FG2463" s="38"/>
      <c r="FH2463" s="38"/>
      <c r="FI2463" s="38"/>
      <c r="FJ2463" s="38"/>
      <c r="FK2463" s="38"/>
      <c r="FL2463" s="38"/>
      <c r="FM2463" s="38"/>
      <c r="FN2463" s="38"/>
      <c r="FO2463" s="38"/>
      <c r="FP2463" s="38"/>
      <c r="FQ2463" s="38"/>
      <c r="FR2463" s="38"/>
      <c r="FS2463" s="38"/>
      <c r="FT2463" s="38"/>
      <c r="FU2463" s="38"/>
      <c r="FV2463" s="38"/>
      <c r="FW2463" s="38"/>
      <c r="FX2463" s="38"/>
      <c r="FY2463" s="38"/>
      <c r="FZ2463" s="38"/>
      <c r="GA2463" s="38"/>
      <c r="GB2463" s="38"/>
      <c r="GC2463" s="38"/>
      <c r="GD2463" s="38"/>
      <c r="GE2463" s="38"/>
      <c r="GF2463" s="38"/>
      <c r="GG2463" s="38"/>
      <c r="GH2463" s="38"/>
      <c r="GI2463" s="38"/>
      <c r="GJ2463" s="38"/>
      <c r="GK2463" s="38"/>
      <c r="GL2463" s="38"/>
      <c r="GM2463" s="38"/>
      <c r="GN2463" s="38"/>
      <c r="GO2463" s="38"/>
      <c r="GP2463" s="38"/>
      <c r="GQ2463" s="38"/>
      <c r="GR2463" s="38"/>
      <c r="GS2463" s="38"/>
      <c r="GT2463" s="38"/>
      <c r="GU2463" s="38"/>
      <c r="GV2463" s="38"/>
      <c r="GW2463" s="38"/>
      <c r="GX2463" s="38"/>
      <c r="GY2463" s="38"/>
      <c r="GZ2463" s="38"/>
      <c r="HA2463" s="38"/>
      <c r="HB2463" s="38"/>
      <c r="HC2463" s="38"/>
      <c r="HD2463" s="38"/>
      <c r="HE2463" s="38"/>
      <c r="HF2463" s="38"/>
      <c r="HG2463" s="38"/>
      <c r="HH2463" s="38"/>
      <c r="HI2463" s="38"/>
      <c r="HJ2463" s="38"/>
      <c r="HK2463" s="38"/>
      <c r="HL2463" s="38"/>
      <c r="HM2463" s="38"/>
      <c r="HN2463" s="38"/>
      <c r="HO2463" s="38"/>
      <c r="HP2463" s="38"/>
      <c r="HQ2463" s="38"/>
      <c r="HR2463" s="38"/>
      <c r="HS2463" s="38"/>
      <c r="HT2463" s="38"/>
      <c r="HU2463" s="38"/>
      <c r="HV2463" s="38"/>
      <c r="HW2463" s="38"/>
      <c r="HX2463" s="38"/>
      <c r="HY2463" s="38"/>
      <c r="HZ2463" s="38"/>
      <c r="IA2463" s="38"/>
      <c r="IB2463" s="38"/>
      <c r="IC2463" s="38"/>
      <c r="ID2463" s="38"/>
      <c r="IE2463" s="38"/>
      <c r="IF2463" s="38"/>
      <c r="IG2463" s="38"/>
      <c r="IH2463" s="38"/>
      <c r="II2463" s="38"/>
      <c r="IJ2463" s="38"/>
      <c r="IK2463" s="38"/>
      <c r="IL2463" s="38"/>
      <c r="IM2463" s="38"/>
      <c r="IN2463" s="38"/>
      <c r="IO2463" s="38"/>
      <c r="IP2463" s="38"/>
      <c r="IQ2463" s="38"/>
      <c r="IR2463" s="38"/>
      <c r="IS2463" s="38"/>
      <c r="IT2463" s="38"/>
      <c r="IU2463" s="38"/>
      <c r="IV2463" s="38"/>
      <c r="IW2463" s="38"/>
      <c r="IX2463" s="38"/>
      <c r="IY2463" s="38"/>
      <c r="IZ2463" s="38"/>
      <c r="JA2463" s="38"/>
      <c r="JB2463" s="38"/>
      <c r="JC2463" s="38"/>
      <c r="JD2463" s="38"/>
      <c r="JE2463" s="38"/>
      <c r="JF2463" s="38"/>
      <c r="JG2463" s="38"/>
      <c r="JH2463" s="38"/>
      <c r="JI2463" s="38"/>
      <c r="JJ2463" s="38"/>
      <c r="JK2463" s="38"/>
      <c r="JL2463" s="38"/>
      <c r="JM2463" s="38"/>
      <c r="JN2463" s="38"/>
      <c r="JO2463" s="38"/>
      <c r="JP2463" s="38"/>
      <c r="JQ2463" s="38"/>
      <c r="JR2463" s="38"/>
      <c r="JS2463" s="38"/>
      <c r="JT2463" s="38"/>
      <c r="JU2463" s="38"/>
      <c r="JV2463" s="38"/>
      <c r="JW2463" s="38"/>
      <c r="JX2463" s="38"/>
      <c r="JY2463" s="38"/>
      <c r="JZ2463" s="38"/>
      <c r="KA2463" s="38"/>
      <c r="KB2463" s="38"/>
      <c r="KC2463" s="38"/>
      <c r="KD2463" s="38"/>
      <c r="KE2463" s="38"/>
      <c r="KF2463" s="38"/>
      <c r="KG2463" s="38"/>
      <c r="KH2463" s="38"/>
      <c r="KI2463" s="38"/>
      <c r="KJ2463" s="38"/>
      <c r="KK2463" s="38"/>
      <c r="KL2463" s="38"/>
      <c r="KM2463" s="38"/>
      <c r="KN2463" s="38"/>
      <c r="KO2463" s="38"/>
      <c r="KP2463" s="38"/>
      <c r="KQ2463" s="38"/>
      <c r="KR2463" s="38"/>
      <c r="KS2463" s="38"/>
      <c r="KT2463" s="38"/>
      <c r="KU2463" s="38"/>
      <c r="KV2463" s="38"/>
      <c r="KW2463" s="38"/>
      <c r="KX2463" s="38"/>
      <c r="KY2463" s="38"/>
      <c r="KZ2463" s="38"/>
      <c r="LA2463" s="38"/>
      <c r="LB2463" s="38"/>
      <c r="LC2463" s="38"/>
      <c r="LD2463" s="38"/>
      <c r="LE2463" s="38"/>
      <c r="LF2463" s="38"/>
      <c r="LG2463" s="38"/>
      <c r="LH2463" s="38"/>
      <c r="LI2463" s="38"/>
      <c r="LJ2463" s="38"/>
      <c r="LK2463" s="38"/>
      <c r="LL2463" s="38"/>
      <c r="LM2463" s="38"/>
      <c r="LN2463" s="38"/>
      <c r="LO2463" s="38"/>
      <c r="LP2463" s="38"/>
      <c r="LQ2463" s="38"/>
      <c r="LR2463" s="38"/>
      <c r="LS2463" s="38"/>
      <c r="LT2463" s="38"/>
      <c r="LU2463" s="38"/>
      <c r="LV2463" s="38"/>
      <c r="LW2463" s="38"/>
      <c r="LX2463" s="38"/>
      <c r="LY2463" s="38"/>
      <c r="LZ2463" s="38"/>
      <c r="MA2463" s="38"/>
      <c r="MB2463" s="38"/>
      <c r="MC2463" s="38"/>
      <c r="MD2463" s="38"/>
      <c r="ME2463" s="38"/>
      <c r="MF2463" s="38"/>
      <c r="MG2463" s="38"/>
      <c r="MH2463" s="38"/>
      <c r="MI2463" s="38"/>
      <c r="MJ2463" s="38"/>
      <c r="MK2463" s="38"/>
      <c r="ML2463" s="38"/>
      <c r="MM2463" s="38"/>
      <c r="MN2463" s="38"/>
      <c r="MO2463" s="38"/>
      <c r="MP2463" s="38"/>
      <c r="MQ2463" s="38"/>
      <c r="MR2463" s="38"/>
      <c r="MS2463" s="38"/>
      <c r="MT2463" s="38"/>
      <c r="MU2463" s="38"/>
      <c r="MV2463" s="38"/>
      <c r="MW2463" s="38"/>
      <c r="MX2463" s="38"/>
      <c r="MY2463" s="38"/>
      <c r="MZ2463" s="38"/>
      <c r="NA2463" s="38"/>
      <c r="NB2463" s="38"/>
      <c r="NC2463" s="38"/>
      <c r="ND2463" s="38"/>
      <c r="NE2463" s="38"/>
      <c r="NF2463" s="38"/>
      <c r="NG2463" s="38"/>
      <c r="NH2463" s="38"/>
      <c r="NI2463" s="38"/>
      <c r="NJ2463" s="38"/>
      <c r="NK2463" s="38"/>
      <c r="NL2463" s="38"/>
      <c r="NM2463" s="38"/>
      <c r="NN2463" s="38"/>
      <c r="NO2463" s="38"/>
      <c r="NP2463" s="38"/>
      <c r="NQ2463" s="38"/>
      <c r="NR2463" s="38"/>
      <c r="NS2463" s="38"/>
      <c r="NT2463" s="38"/>
      <c r="NU2463" s="38"/>
      <c r="NV2463" s="38"/>
      <c r="NW2463" s="38"/>
      <c r="NX2463" s="38"/>
      <c r="NY2463" s="38"/>
      <c r="NZ2463" s="38"/>
      <c r="OA2463" s="38"/>
      <c r="OB2463" s="38"/>
      <c r="OC2463" s="38"/>
      <c r="OD2463" s="38"/>
      <c r="OE2463" s="38"/>
      <c r="OF2463" s="38"/>
      <c r="OG2463" s="38"/>
      <c r="OH2463" s="38"/>
      <c r="OI2463" s="38"/>
      <c r="OJ2463" s="38"/>
      <c r="OK2463" s="38"/>
      <c r="OL2463" s="38"/>
      <c r="OM2463" s="38"/>
      <c r="ON2463" s="38"/>
      <c r="OO2463" s="38"/>
      <c r="OP2463" s="38"/>
      <c r="OQ2463" s="38"/>
      <c r="OR2463" s="38"/>
      <c r="OS2463" s="38"/>
      <c r="OT2463" s="38"/>
      <c r="OU2463" s="38"/>
      <c r="OV2463" s="38"/>
      <c r="OW2463" s="38"/>
      <c r="OX2463" s="38"/>
      <c r="OY2463" s="38"/>
      <c r="OZ2463" s="38"/>
      <c r="PA2463" s="38"/>
      <c r="PB2463" s="38"/>
      <c r="PC2463" s="38"/>
      <c r="PD2463" s="38"/>
      <c r="PE2463" s="38"/>
      <c r="PF2463" s="38"/>
      <c r="PG2463" s="38"/>
      <c r="PH2463" s="38"/>
      <c r="PI2463" s="38"/>
      <c r="PJ2463" s="38"/>
      <c r="PK2463" s="38"/>
      <c r="PL2463" s="38"/>
      <c r="PM2463" s="38"/>
      <c r="PN2463" s="38"/>
      <c r="PO2463" s="38"/>
      <c r="PP2463" s="38"/>
      <c r="PQ2463" s="38"/>
      <c r="PR2463" s="38"/>
      <c r="PS2463" s="38"/>
      <c r="PT2463" s="38"/>
      <c r="PU2463" s="38"/>
      <c r="PV2463" s="38"/>
      <c r="PW2463" s="38"/>
      <c r="PX2463" s="38"/>
      <c r="PY2463" s="38"/>
      <c r="PZ2463" s="38"/>
      <c r="QA2463" s="38"/>
      <c r="QB2463" s="38"/>
      <c r="QC2463" s="38"/>
      <c r="QD2463" s="38"/>
      <c r="QE2463" s="38"/>
      <c r="QF2463" s="38"/>
      <c r="QG2463" s="38"/>
      <c r="QH2463" s="38"/>
      <c r="QI2463" s="38"/>
      <c r="QJ2463" s="38"/>
      <c r="QK2463" s="38"/>
      <c r="QL2463" s="38"/>
      <c r="QM2463" s="38"/>
      <c r="QN2463" s="38"/>
      <c r="QO2463" s="38"/>
      <c r="QP2463" s="38"/>
      <c r="QQ2463" s="38"/>
      <c r="QR2463" s="38"/>
      <c r="QS2463" s="38"/>
      <c r="QT2463" s="38"/>
      <c r="QU2463" s="38"/>
      <c r="QV2463" s="38"/>
      <c r="QW2463" s="38"/>
      <c r="QX2463" s="38"/>
      <c r="QY2463" s="38"/>
      <c r="QZ2463" s="38"/>
      <c r="RA2463" s="38"/>
      <c r="RB2463" s="38"/>
      <c r="RC2463" s="38"/>
      <c r="RD2463" s="38"/>
      <c r="RE2463" s="38"/>
      <c r="RF2463" s="38"/>
      <c r="RG2463" s="38"/>
      <c r="RH2463" s="38"/>
      <c r="RI2463" s="38"/>
      <c r="RJ2463" s="38"/>
      <c r="RK2463" s="38"/>
      <c r="RL2463" s="38"/>
      <c r="RM2463" s="38"/>
      <c r="RN2463" s="38"/>
      <c r="RO2463" s="38"/>
      <c r="RP2463" s="38"/>
      <c r="RQ2463" s="38"/>
      <c r="RR2463" s="38"/>
      <c r="RS2463" s="38"/>
      <c r="RT2463" s="38"/>
      <c r="RU2463" s="38"/>
      <c r="RV2463" s="38"/>
      <c r="RW2463" s="38"/>
      <c r="RX2463" s="38"/>
      <c r="RY2463" s="38"/>
      <c r="RZ2463" s="38"/>
      <c r="SA2463" s="38"/>
      <c r="SB2463" s="38"/>
      <c r="SC2463" s="38"/>
      <c r="SD2463" s="38"/>
      <c r="SE2463" s="38"/>
      <c r="SF2463" s="38"/>
      <c r="SG2463" s="38"/>
      <c r="SH2463" s="38"/>
      <c r="SI2463" s="38"/>
      <c r="SJ2463" s="38"/>
      <c r="SK2463" s="38"/>
      <c r="SL2463" s="38"/>
      <c r="SM2463" s="38"/>
      <c r="SN2463" s="38"/>
      <c r="SO2463" s="38"/>
      <c r="SP2463" s="38"/>
      <c r="SQ2463" s="38"/>
      <c r="SR2463" s="38"/>
      <c r="SS2463" s="38"/>
      <c r="ST2463" s="38"/>
      <c r="SU2463" s="38"/>
      <c r="SV2463" s="38"/>
      <c r="SW2463" s="38"/>
      <c r="SX2463" s="38"/>
      <c r="SY2463" s="38"/>
      <c r="SZ2463" s="38"/>
      <c r="TA2463" s="38"/>
      <c r="TB2463" s="38"/>
      <c r="TC2463" s="38"/>
      <c r="TD2463" s="38"/>
      <c r="TE2463" s="38"/>
      <c r="TF2463" s="38"/>
      <c r="TG2463" s="38"/>
      <c r="TH2463" s="38"/>
      <c r="TI2463" s="38"/>
      <c r="TJ2463" s="38"/>
      <c r="TK2463" s="38"/>
      <c r="TL2463" s="38"/>
      <c r="TM2463" s="38"/>
      <c r="TN2463" s="38"/>
      <c r="TO2463" s="38"/>
      <c r="TP2463" s="38"/>
      <c r="TQ2463" s="38"/>
      <c r="TR2463" s="38"/>
      <c r="TS2463" s="38"/>
      <c r="TT2463" s="38"/>
      <c r="TU2463" s="38"/>
      <c r="TV2463" s="38"/>
      <c r="TW2463" s="38"/>
      <c r="TX2463" s="38"/>
      <c r="TY2463" s="38"/>
      <c r="TZ2463" s="38"/>
      <c r="UA2463" s="38"/>
      <c r="UB2463" s="38"/>
      <c r="UC2463" s="38"/>
      <c r="UD2463" s="38"/>
      <c r="UE2463" s="38"/>
      <c r="UF2463" s="38"/>
      <c r="UG2463" s="38"/>
      <c r="UH2463" s="38"/>
      <c r="UI2463" s="38"/>
      <c r="UJ2463" s="38"/>
      <c r="UK2463" s="38"/>
      <c r="UL2463" s="38"/>
      <c r="UM2463" s="38"/>
      <c r="UN2463" s="38"/>
      <c r="UO2463" s="38"/>
      <c r="UP2463" s="38"/>
      <c r="UQ2463" s="38"/>
      <c r="UR2463" s="38"/>
      <c r="US2463" s="38"/>
      <c r="UT2463" s="38"/>
      <c r="UU2463" s="38"/>
      <c r="UV2463" s="38"/>
      <c r="UW2463" s="38"/>
      <c r="UX2463" s="38"/>
      <c r="UY2463" s="38"/>
      <c r="UZ2463" s="38"/>
      <c r="VA2463" s="38"/>
      <c r="VB2463" s="38"/>
      <c r="VC2463" s="38"/>
      <c r="VD2463" s="38"/>
      <c r="VE2463" s="38"/>
      <c r="VF2463" s="38"/>
      <c r="VG2463" s="38"/>
      <c r="VH2463" s="38"/>
      <c r="VI2463" s="38"/>
      <c r="VJ2463" s="38"/>
      <c r="VK2463" s="38"/>
      <c r="VL2463" s="38"/>
      <c r="VM2463" s="38"/>
      <c r="VN2463" s="38"/>
      <c r="VO2463" s="38"/>
      <c r="VP2463" s="38"/>
      <c r="VQ2463" s="38"/>
      <c r="VR2463" s="38"/>
      <c r="VS2463" s="38"/>
      <c r="VT2463" s="38"/>
      <c r="VU2463" s="38"/>
      <c r="VV2463" s="38"/>
      <c r="VW2463" s="38"/>
      <c r="VX2463" s="38"/>
      <c r="VY2463" s="38"/>
      <c r="VZ2463" s="38"/>
      <c r="WA2463" s="38"/>
      <c r="WB2463" s="38"/>
      <c r="WC2463" s="38"/>
      <c r="WD2463" s="38"/>
      <c r="WE2463" s="38"/>
      <c r="WF2463" s="38"/>
      <c r="WG2463" s="38"/>
      <c r="WH2463" s="38"/>
      <c r="WI2463" s="38"/>
      <c r="WJ2463" s="38"/>
      <c r="WK2463" s="38"/>
      <c r="WL2463" s="38"/>
      <c r="WM2463" s="38"/>
      <c r="WN2463" s="38"/>
      <c r="WO2463" s="38"/>
      <c r="WP2463" s="38"/>
      <c r="WQ2463" s="38"/>
      <c r="WR2463" s="38"/>
      <c r="WS2463" s="38"/>
      <c r="WT2463" s="38"/>
      <c r="WU2463" s="38"/>
      <c r="WV2463" s="38"/>
      <c r="WW2463" s="38"/>
      <c r="WX2463" s="38"/>
      <c r="WY2463" s="38"/>
      <c r="WZ2463" s="38"/>
      <c r="XA2463" s="38"/>
      <c r="XB2463" s="38"/>
      <c r="XC2463" s="38"/>
      <c r="XD2463" s="38"/>
      <c r="XE2463" s="38"/>
      <c r="XF2463" s="38"/>
      <c r="XG2463" s="38"/>
      <c r="XH2463" s="38"/>
      <c r="XI2463" s="38"/>
      <c r="XJ2463" s="38"/>
      <c r="XK2463" s="38"/>
      <c r="XL2463" s="38"/>
      <c r="XM2463" s="38"/>
      <c r="XN2463" s="38"/>
      <c r="XO2463" s="38"/>
      <c r="XP2463" s="38"/>
      <c r="XQ2463" s="38"/>
      <c r="XR2463" s="38"/>
      <c r="XS2463" s="38"/>
      <c r="XT2463" s="38"/>
      <c r="XU2463" s="38"/>
      <c r="XV2463" s="38"/>
      <c r="XW2463" s="38"/>
      <c r="XX2463" s="38"/>
      <c r="XY2463" s="38"/>
      <c r="XZ2463" s="38"/>
      <c r="YA2463" s="38"/>
      <c r="YB2463" s="38"/>
      <c r="YC2463" s="38"/>
      <c r="YD2463" s="38"/>
      <c r="YE2463" s="38"/>
      <c r="YF2463" s="38"/>
      <c r="YG2463" s="38"/>
      <c r="YH2463" s="38"/>
      <c r="YI2463" s="38"/>
      <c r="YJ2463" s="38"/>
      <c r="YK2463" s="38"/>
      <c r="YL2463" s="38"/>
      <c r="YM2463" s="38"/>
      <c r="YN2463" s="38"/>
      <c r="YO2463" s="38"/>
      <c r="YP2463" s="38"/>
      <c r="YQ2463" s="38"/>
      <c r="YR2463" s="38"/>
      <c r="YS2463" s="38"/>
      <c r="YT2463" s="38"/>
      <c r="YU2463" s="38"/>
      <c r="YV2463" s="38"/>
      <c r="YW2463" s="38"/>
      <c r="YX2463" s="38"/>
      <c r="YY2463" s="38"/>
      <c r="YZ2463" s="38"/>
      <c r="ZA2463" s="38"/>
      <c r="ZB2463" s="38"/>
      <c r="ZC2463" s="38"/>
      <c r="ZD2463" s="38"/>
      <c r="ZE2463" s="38"/>
      <c r="ZF2463" s="38"/>
      <c r="ZG2463" s="38"/>
      <c r="ZH2463" s="38"/>
      <c r="ZI2463" s="38"/>
      <c r="ZJ2463" s="38"/>
      <c r="ZK2463" s="38"/>
      <c r="ZL2463" s="38"/>
      <c r="ZM2463" s="38"/>
      <c r="ZN2463" s="38"/>
      <c r="ZO2463" s="38"/>
      <c r="ZP2463" s="38"/>
      <c r="ZQ2463" s="38"/>
      <c r="ZR2463" s="38"/>
      <c r="ZS2463" s="38"/>
      <c r="ZT2463" s="38"/>
      <c r="ZU2463" s="38"/>
      <c r="ZV2463" s="38"/>
      <c r="ZW2463" s="38"/>
      <c r="ZX2463" s="38"/>
      <c r="ZY2463" s="38"/>
      <c r="ZZ2463" s="38"/>
      <c r="AAA2463" s="38"/>
      <c r="AAB2463" s="38"/>
      <c r="AAC2463" s="38"/>
      <c r="AAD2463" s="38"/>
      <c r="AAE2463" s="38"/>
      <c r="AAF2463" s="38"/>
      <c r="AAG2463" s="38"/>
      <c r="AAH2463" s="38"/>
      <c r="AAI2463" s="38"/>
      <c r="AAJ2463" s="38"/>
      <c r="AAK2463" s="38"/>
      <c r="AAL2463" s="38"/>
      <c r="AAM2463" s="38"/>
      <c r="AAN2463" s="38"/>
      <c r="AAO2463" s="38"/>
      <c r="AAP2463" s="38"/>
      <c r="AAQ2463" s="38"/>
      <c r="AAR2463" s="38"/>
      <c r="AAS2463" s="38"/>
      <c r="AAT2463" s="38"/>
      <c r="AAU2463" s="38"/>
      <c r="AAV2463" s="38"/>
      <c r="AAW2463" s="38"/>
      <c r="AAX2463" s="38"/>
      <c r="AAY2463" s="38"/>
      <c r="AAZ2463" s="38"/>
      <c r="ABA2463" s="38"/>
      <c r="ABB2463" s="38"/>
      <c r="ABC2463" s="38"/>
      <c r="ABD2463" s="38"/>
      <c r="ABE2463" s="38"/>
      <c r="ABF2463" s="38"/>
      <c r="ABG2463" s="38"/>
      <c r="ABH2463" s="38"/>
      <c r="ABI2463" s="38"/>
      <c r="ABJ2463" s="38"/>
      <c r="ABK2463" s="38"/>
      <c r="ABL2463" s="38"/>
      <c r="ABM2463" s="38"/>
      <c r="ABN2463" s="38"/>
      <c r="ABO2463" s="38"/>
      <c r="ABP2463" s="38"/>
      <c r="ABQ2463" s="38"/>
      <c r="ABR2463" s="38"/>
      <c r="ABS2463" s="38"/>
      <c r="ABT2463" s="38"/>
      <c r="ABU2463" s="38"/>
      <c r="ABV2463" s="38"/>
      <c r="ABW2463" s="38"/>
      <c r="ABX2463" s="38"/>
      <c r="ABY2463" s="38"/>
      <c r="ABZ2463" s="38"/>
      <c r="ACA2463" s="38"/>
      <c r="ACB2463" s="38"/>
      <c r="ACC2463" s="38"/>
      <c r="ACD2463" s="38"/>
      <c r="ACE2463" s="38"/>
      <c r="ACF2463" s="38"/>
      <c r="ACG2463" s="38"/>
      <c r="ACH2463" s="38"/>
      <c r="ACI2463" s="38"/>
      <c r="ACJ2463" s="38"/>
      <c r="ACK2463" s="38"/>
      <c r="ACL2463" s="38"/>
      <c r="ACM2463" s="38"/>
      <c r="ACN2463" s="38"/>
      <c r="ACO2463" s="38"/>
      <c r="ACP2463" s="38"/>
      <c r="ACQ2463" s="38"/>
      <c r="ACR2463" s="38"/>
      <c r="ACS2463" s="38"/>
      <c r="ACT2463" s="38"/>
      <c r="ACU2463" s="38"/>
      <c r="ACV2463" s="38"/>
      <c r="ACW2463" s="38"/>
      <c r="ACX2463" s="38"/>
      <c r="ACY2463" s="38"/>
      <c r="ACZ2463" s="38"/>
      <c r="ADA2463" s="38"/>
      <c r="ADB2463" s="38"/>
      <c r="ADC2463" s="38"/>
      <c r="ADD2463" s="38"/>
      <c r="ADE2463" s="38"/>
      <c r="ADF2463" s="38"/>
      <c r="ADG2463" s="38"/>
      <c r="ADH2463" s="38"/>
      <c r="ADI2463" s="38"/>
      <c r="ADJ2463" s="38"/>
      <c r="ADK2463" s="38"/>
      <c r="ADL2463" s="38"/>
      <c r="ADM2463" s="38"/>
      <c r="ADN2463" s="38"/>
      <c r="ADO2463" s="38"/>
      <c r="ADP2463" s="38"/>
      <c r="ADQ2463" s="38"/>
      <c r="ADR2463" s="38"/>
      <c r="ADS2463" s="38"/>
      <c r="ADT2463" s="38"/>
      <c r="ADU2463" s="38"/>
      <c r="ADV2463" s="38"/>
      <c r="ADW2463" s="38"/>
      <c r="ADX2463" s="38"/>
      <c r="ADY2463" s="38"/>
      <c r="ADZ2463" s="38"/>
      <c r="AEA2463" s="38"/>
      <c r="AEB2463" s="38"/>
      <c r="AEC2463" s="38"/>
      <c r="AED2463" s="38"/>
      <c r="AEE2463" s="38"/>
      <c r="AEF2463" s="38"/>
      <c r="AEG2463" s="38"/>
      <c r="AEH2463" s="38"/>
      <c r="AEI2463" s="38"/>
      <c r="AEJ2463" s="38"/>
      <c r="AEK2463" s="38"/>
      <c r="AEL2463" s="38"/>
      <c r="AEM2463" s="38"/>
      <c r="AEN2463" s="38"/>
      <c r="AEO2463" s="38"/>
      <c r="AEP2463" s="38"/>
      <c r="AEQ2463" s="38"/>
      <c r="AER2463" s="38"/>
      <c r="AES2463" s="38"/>
      <c r="AET2463" s="38"/>
      <c r="AEU2463" s="38"/>
      <c r="AEV2463" s="38"/>
      <c r="AEW2463" s="38"/>
      <c r="AEX2463" s="38"/>
      <c r="AEY2463" s="38"/>
      <c r="AEZ2463" s="38"/>
      <c r="AFA2463" s="38"/>
      <c r="AFB2463" s="38"/>
      <c r="AFC2463" s="38"/>
      <c r="AFD2463" s="38"/>
      <c r="AFE2463" s="38"/>
      <c r="AFF2463" s="38"/>
      <c r="AFG2463" s="38"/>
      <c r="AFH2463" s="38"/>
      <c r="AFI2463" s="38"/>
      <c r="AFJ2463" s="38"/>
      <c r="AFK2463" s="38"/>
      <c r="AFL2463" s="38"/>
      <c r="AFM2463" s="38"/>
      <c r="AFN2463" s="38"/>
      <c r="AFO2463" s="38"/>
      <c r="AFP2463" s="38"/>
      <c r="AFQ2463" s="38"/>
      <c r="AFR2463" s="38"/>
      <c r="AFS2463" s="38"/>
      <c r="AFT2463" s="38"/>
      <c r="AFU2463" s="38"/>
      <c r="AFV2463" s="38"/>
      <c r="AFW2463" s="38"/>
      <c r="AFX2463" s="38"/>
      <c r="AFY2463" s="38"/>
      <c r="AFZ2463" s="38"/>
      <c r="AGA2463" s="38"/>
      <c r="AGB2463" s="38"/>
      <c r="AGC2463" s="38"/>
      <c r="AGD2463" s="38"/>
      <c r="AGE2463" s="38"/>
      <c r="AGF2463" s="38"/>
      <c r="AGG2463" s="38"/>
      <c r="AGH2463" s="38"/>
      <c r="AGI2463" s="38"/>
      <c r="AGJ2463" s="38"/>
      <c r="AGK2463" s="38"/>
      <c r="AGL2463" s="38"/>
      <c r="AGM2463" s="38"/>
      <c r="AGN2463" s="38"/>
      <c r="AGO2463" s="38"/>
      <c r="AGP2463" s="38"/>
      <c r="AGQ2463" s="38"/>
      <c r="AGR2463" s="38"/>
      <c r="AGS2463" s="38"/>
      <c r="AGT2463" s="38"/>
      <c r="AGU2463" s="38"/>
      <c r="AGV2463" s="38"/>
      <c r="AGW2463" s="38"/>
      <c r="AGX2463" s="38"/>
      <c r="AGY2463" s="38"/>
      <c r="AGZ2463" s="38"/>
      <c r="AHA2463" s="38"/>
      <c r="AHB2463" s="38"/>
      <c r="AHC2463" s="38"/>
      <c r="AHD2463" s="38"/>
      <c r="AHE2463" s="38"/>
      <c r="AHF2463" s="38"/>
      <c r="AHG2463" s="38"/>
      <c r="AHH2463" s="38"/>
      <c r="AHI2463" s="38"/>
      <c r="AHJ2463" s="38"/>
      <c r="AHK2463" s="38"/>
      <c r="AHL2463" s="38"/>
      <c r="AHM2463" s="38"/>
      <c r="AHN2463" s="38"/>
      <c r="AHO2463" s="38"/>
      <c r="AHP2463" s="38"/>
      <c r="AHQ2463" s="38"/>
      <c r="AHR2463" s="38"/>
      <c r="AHS2463" s="38"/>
      <c r="AHT2463" s="38"/>
      <c r="AHU2463" s="38"/>
      <c r="AHV2463" s="38"/>
      <c r="AHW2463" s="38"/>
      <c r="AHX2463" s="38"/>
      <c r="AHY2463" s="38"/>
      <c r="AHZ2463" s="38"/>
      <c r="AIA2463" s="38"/>
      <c r="AIB2463" s="38"/>
      <c r="AIC2463" s="38"/>
      <c r="AID2463" s="38"/>
      <c r="AIE2463" s="38"/>
      <c r="AIF2463" s="38"/>
      <c r="AIG2463" s="38"/>
      <c r="AIH2463" s="38"/>
      <c r="AII2463" s="38"/>
      <c r="AIJ2463" s="38"/>
      <c r="AIK2463" s="38"/>
      <c r="AIL2463" s="38"/>
      <c r="AIM2463" s="38"/>
      <c r="AIN2463" s="38"/>
      <c r="AIO2463" s="38"/>
      <c r="AIP2463" s="38"/>
      <c r="AIQ2463" s="38"/>
      <c r="AIR2463" s="38"/>
      <c r="AIS2463" s="38"/>
      <c r="AIT2463" s="38"/>
      <c r="AIU2463" s="38"/>
      <c r="AIV2463" s="38"/>
      <c r="AIW2463" s="38"/>
      <c r="AIX2463" s="38"/>
      <c r="AIY2463" s="38"/>
      <c r="AIZ2463" s="38"/>
      <c r="AJA2463" s="38"/>
      <c r="AJB2463" s="38"/>
      <c r="AJC2463" s="38"/>
      <c r="AJD2463" s="38"/>
      <c r="AJE2463" s="38"/>
      <c r="AJF2463" s="38"/>
      <c r="AJG2463" s="38"/>
      <c r="AJH2463" s="38"/>
      <c r="AJI2463" s="38"/>
      <c r="AJJ2463" s="38"/>
      <c r="AJK2463" s="38"/>
      <c r="AJL2463" s="38"/>
      <c r="AJM2463" s="38"/>
      <c r="AJN2463" s="38"/>
      <c r="AJO2463" s="38"/>
      <c r="AJP2463" s="38"/>
      <c r="AJQ2463" s="38"/>
      <c r="AJR2463" s="38"/>
      <c r="AJS2463" s="38"/>
      <c r="AJT2463" s="38"/>
      <c r="AJU2463" s="38"/>
      <c r="AJV2463" s="38"/>
      <c r="AJW2463" s="38"/>
      <c r="AJX2463" s="38"/>
      <c r="AJY2463" s="38"/>
      <c r="AJZ2463" s="38"/>
      <c r="AKA2463" s="38"/>
      <c r="AKB2463" s="38"/>
      <c r="AKC2463" s="38"/>
      <c r="AKD2463" s="38"/>
      <c r="AKE2463" s="38"/>
      <c r="AKF2463" s="38"/>
      <c r="AKG2463" s="38"/>
      <c r="AKH2463" s="38"/>
      <c r="AKI2463" s="38"/>
      <c r="AKJ2463" s="38"/>
      <c r="AKK2463" s="38"/>
      <c r="AKL2463" s="38"/>
      <c r="AKM2463" s="38"/>
      <c r="AKN2463" s="38"/>
      <c r="AKO2463" s="38"/>
      <c r="AKP2463" s="38"/>
      <c r="AKQ2463" s="38"/>
      <c r="AKR2463" s="38"/>
      <c r="AKS2463" s="38"/>
      <c r="AKT2463" s="38"/>
      <c r="AKU2463" s="38"/>
      <c r="AKV2463" s="38"/>
      <c r="AKW2463" s="38"/>
      <c r="AKX2463" s="38"/>
      <c r="AKY2463" s="38"/>
      <c r="AKZ2463" s="38"/>
      <c r="ALA2463" s="38"/>
      <c r="ALB2463" s="38"/>
      <c r="ALC2463" s="38"/>
      <c r="ALD2463" s="38"/>
      <c r="ALE2463" s="38"/>
      <c r="ALF2463" s="38"/>
      <c r="ALG2463" s="38"/>
      <c r="ALH2463" s="38"/>
      <c r="ALI2463" s="38"/>
      <c r="ALJ2463" s="38"/>
      <c r="ALK2463" s="38"/>
      <c r="ALL2463" s="38"/>
      <c r="ALM2463" s="38"/>
      <c r="ALN2463" s="38"/>
      <c r="ALO2463" s="38"/>
      <c r="ALP2463" s="38"/>
      <c r="ALQ2463" s="38"/>
      <c r="ALR2463" s="38"/>
      <c r="ALS2463" s="38"/>
      <c r="ALT2463" s="38"/>
      <c r="ALU2463" s="38"/>
      <c r="ALV2463" s="38"/>
      <c r="ALW2463" s="38"/>
      <c r="ALX2463" s="38"/>
      <c r="ALY2463" s="38"/>
      <c r="ALZ2463" s="38"/>
      <c r="AMA2463" s="38"/>
      <c r="AMB2463" s="38"/>
      <c r="AMC2463" s="38"/>
      <c r="AMD2463" s="38"/>
      <c r="AME2463" s="38"/>
      <c r="AMF2463" s="38"/>
      <c r="AMG2463" s="38"/>
      <c r="AMH2463" s="38"/>
      <c r="AMI2463" s="38"/>
      <c r="AMJ2463" s="38"/>
      <c r="AMK2463" s="38"/>
      <c r="AML2463" s="38"/>
      <c r="AMM2463" s="38"/>
      <c r="AMN2463" s="38"/>
      <c r="AMO2463" s="38"/>
      <c r="AMP2463" s="38"/>
      <c r="AMQ2463" s="38"/>
      <c r="AMR2463" s="38"/>
      <c r="AMS2463" s="38"/>
      <c r="AMT2463" s="38"/>
      <c r="AMU2463" s="38"/>
      <c r="AMV2463" s="38"/>
      <c r="AMW2463" s="38"/>
      <c r="AMX2463" s="38"/>
      <c r="AMY2463" s="38"/>
      <c r="AMZ2463" s="38"/>
      <c r="ANA2463" s="38"/>
      <c r="ANB2463" s="38"/>
      <c r="ANC2463" s="38"/>
      <c r="AND2463" s="38"/>
      <c r="ANE2463" s="38"/>
      <c r="ANF2463" s="38"/>
      <c r="ANG2463" s="38"/>
      <c r="ANH2463" s="38"/>
      <c r="ANI2463" s="38"/>
      <c r="ANJ2463" s="38"/>
      <c r="ANK2463" s="38"/>
      <c r="ANL2463" s="38"/>
      <c r="ANM2463" s="38"/>
      <c r="ANN2463" s="38"/>
      <c r="ANO2463" s="38"/>
      <c r="ANP2463" s="38"/>
      <c r="ANQ2463" s="38"/>
      <c r="ANR2463" s="38"/>
      <c r="ANS2463" s="38"/>
      <c r="ANT2463" s="38"/>
      <c r="ANU2463" s="38"/>
      <c r="ANV2463" s="38"/>
      <c r="ANW2463" s="38"/>
      <c r="ANX2463" s="38"/>
      <c r="ANY2463" s="38"/>
      <c r="ANZ2463" s="38"/>
      <c r="AOA2463" s="38"/>
      <c r="AOB2463" s="38"/>
      <c r="AOC2463" s="38"/>
      <c r="AOD2463" s="38"/>
      <c r="AOE2463" s="38"/>
      <c r="AOF2463" s="38"/>
      <c r="AOG2463" s="38"/>
      <c r="AOH2463" s="38"/>
      <c r="AOI2463" s="38"/>
      <c r="AOJ2463" s="38"/>
      <c r="AOK2463" s="38"/>
      <c r="AOL2463" s="38"/>
      <c r="AOM2463" s="38"/>
      <c r="AON2463" s="38"/>
      <c r="AOO2463" s="38"/>
      <c r="AOP2463" s="38"/>
      <c r="AOQ2463" s="38"/>
      <c r="AOR2463" s="38"/>
      <c r="AOS2463" s="38"/>
      <c r="AOT2463" s="38"/>
      <c r="AOU2463" s="38"/>
      <c r="AOV2463" s="38"/>
      <c r="AOW2463" s="38"/>
      <c r="AOX2463" s="38"/>
      <c r="AOY2463" s="38"/>
      <c r="AOZ2463" s="38"/>
      <c r="APA2463" s="38"/>
      <c r="APB2463" s="38"/>
      <c r="APC2463" s="38"/>
    </row>
    <row r="2464" spans="1:1095" s="36" customFormat="1" ht="14.25" customHeight="1">
      <c r="A2464" s="3" t="s">
        <v>1722</v>
      </c>
      <c r="B2464" s="36" t="s">
        <v>3177</v>
      </c>
      <c r="C2464" s="10">
        <v>4058075699434</v>
      </c>
      <c r="D2464" s="224">
        <v>4058075699434</v>
      </c>
      <c r="E2464" s="245" t="s">
        <v>3082</v>
      </c>
      <c r="F2464" s="246"/>
      <c r="G2464" s="66" t="str">
        <f>HYPERLINK("https://ledvance.com/pt/product-datasheet/6975/195469","Ficha de Produto")</f>
        <v>Ficha de Produto</v>
      </c>
      <c r="H2464" s="217">
        <v>10</v>
      </c>
      <c r="I2464" s="34" t="s">
        <v>6390</v>
      </c>
      <c r="J2464" s="34" t="s">
        <v>855</v>
      </c>
      <c r="K2464" s="34" t="s">
        <v>788</v>
      </c>
      <c r="L2464" s="34" t="s">
        <v>793</v>
      </c>
      <c r="M2464" s="247">
        <v>18.400000000000002</v>
      </c>
      <c r="N2464" s="288" t="s">
        <v>722</v>
      </c>
    </row>
    <row r="2465" spans="1:1095" s="36" customFormat="1" ht="14.25" customHeight="1">
      <c r="A2465" s="3" t="s">
        <v>1722</v>
      </c>
      <c r="B2465" s="36" t="s">
        <v>3178</v>
      </c>
      <c r="C2465" s="10">
        <v>4058075699458</v>
      </c>
      <c r="D2465" s="224">
        <v>4058075699458</v>
      </c>
      <c r="E2465" s="245" t="s">
        <v>3083</v>
      </c>
      <c r="F2465" s="246"/>
      <c r="G2465" s="66" t="str">
        <f>HYPERLINK("https://ledvance.com/pt/product-datasheet/6975/195472","Ficha de Produto")</f>
        <v>Ficha de Produto</v>
      </c>
      <c r="H2465" s="217">
        <v>10</v>
      </c>
      <c r="I2465" s="34" t="s">
        <v>1048</v>
      </c>
      <c r="J2465" s="34" t="s">
        <v>809</v>
      </c>
      <c r="K2465" s="34" t="s">
        <v>788</v>
      </c>
      <c r="L2465" s="34" t="s">
        <v>793</v>
      </c>
      <c r="M2465" s="247">
        <v>19.600000000000001</v>
      </c>
      <c r="N2465" s="288" t="s">
        <v>722</v>
      </c>
    </row>
    <row r="2466" spans="1:1095" s="39" customFormat="1" ht="14.25" customHeight="1">
      <c r="A2466" s="8" t="s">
        <v>1722</v>
      </c>
      <c r="B2466" s="244" t="s">
        <v>3084</v>
      </c>
      <c r="C2466" s="8"/>
      <c r="D2466" s="7"/>
      <c r="E2466" s="230"/>
      <c r="F2466" s="7"/>
      <c r="G2466" s="68"/>
      <c r="H2466" s="230"/>
      <c r="I2466" s="230"/>
      <c r="J2466" s="230"/>
      <c r="K2466" s="230"/>
      <c r="L2466" s="230"/>
      <c r="M2466" s="248"/>
      <c r="N2466" s="284"/>
      <c r="O2466" s="38"/>
      <c r="P2466" s="38"/>
      <c r="Q2466" s="38"/>
      <c r="R2466" s="38"/>
      <c r="S2466" s="38"/>
      <c r="T2466" s="38"/>
      <c r="U2466" s="38"/>
      <c r="V2466" s="38"/>
      <c r="W2466" s="38"/>
      <c r="X2466" s="38"/>
      <c r="Y2466" s="38"/>
      <c r="Z2466" s="38"/>
      <c r="AA2466" s="38"/>
      <c r="AB2466" s="38"/>
      <c r="AC2466" s="38"/>
      <c r="AD2466" s="38"/>
      <c r="AE2466" s="38"/>
      <c r="AF2466" s="38"/>
      <c r="AG2466" s="38"/>
      <c r="AH2466" s="38"/>
      <c r="AI2466" s="38"/>
      <c r="AJ2466" s="38"/>
      <c r="AK2466" s="38"/>
      <c r="AL2466" s="38"/>
      <c r="AM2466" s="38"/>
      <c r="AN2466" s="38"/>
      <c r="AO2466" s="38"/>
      <c r="AP2466" s="38"/>
      <c r="AQ2466" s="38"/>
      <c r="AR2466" s="38"/>
      <c r="AS2466" s="38"/>
      <c r="AT2466" s="38"/>
      <c r="AU2466" s="38"/>
      <c r="AV2466" s="38"/>
      <c r="AW2466" s="38"/>
      <c r="AX2466" s="38"/>
      <c r="AY2466" s="38"/>
      <c r="AZ2466" s="38"/>
      <c r="BA2466" s="38"/>
      <c r="BB2466" s="38"/>
      <c r="BC2466" s="38"/>
      <c r="BD2466" s="38"/>
      <c r="BE2466" s="38"/>
      <c r="BF2466" s="38"/>
      <c r="BG2466" s="38"/>
      <c r="BH2466" s="38"/>
      <c r="BI2466" s="38"/>
      <c r="BJ2466" s="38"/>
      <c r="BK2466" s="38"/>
      <c r="BL2466" s="38"/>
      <c r="BM2466" s="38"/>
      <c r="BN2466" s="38"/>
      <c r="BO2466" s="38"/>
      <c r="BP2466" s="38"/>
      <c r="BQ2466" s="38"/>
      <c r="BR2466" s="38"/>
      <c r="BS2466" s="38"/>
      <c r="BT2466" s="38"/>
      <c r="BU2466" s="38"/>
      <c r="BV2466" s="38"/>
      <c r="BW2466" s="38"/>
      <c r="BX2466" s="38"/>
      <c r="BY2466" s="38"/>
      <c r="BZ2466" s="38"/>
      <c r="CA2466" s="38"/>
      <c r="CB2466" s="38"/>
      <c r="CC2466" s="38"/>
      <c r="CD2466" s="38"/>
      <c r="CE2466" s="38"/>
      <c r="CF2466" s="38"/>
      <c r="CG2466" s="38"/>
      <c r="CH2466" s="38"/>
      <c r="CI2466" s="38"/>
      <c r="CJ2466" s="38"/>
      <c r="CK2466" s="38"/>
      <c r="CL2466" s="38"/>
      <c r="CM2466" s="38"/>
      <c r="CN2466" s="38"/>
      <c r="CO2466" s="38"/>
      <c r="CP2466" s="38"/>
      <c r="CQ2466" s="38"/>
      <c r="CR2466" s="38"/>
      <c r="CS2466" s="38"/>
      <c r="CT2466" s="38"/>
      <c r="CU2466" s="38"/>
      <c r="CV2466" s="38"/>
      <c r="CW2466" s="38"/>
      <c r="CX2466" s="38"/>
      <c r="CY2466" s="38"/>
      <c r="CZ2466" s="38"/>
      <c r="DA2466" s="38"/>
      <c r="DB2466" s="38"/>
      <c r="DC2466" s="38"/>
      <c r="DD2466" s="38"/>
      <c r="DE2466" s="38"/>
      <c r="DF2466" s="38"/>
      <c r="DG2466" s="38"/>
      <c r="DH2466" s="38"/>
      <c r="DI2466" s="38"/>
      <c r="DJ2466" s="38"/>
      <c r="DK2466" s="38"/>
      <c r="DL2466" s="38"/>
      <c r="DM2466" s="38"/>
      <c r="DN2466" s="38"/>
      <c r="DO2466" s="38"/>
      <c r="DP2466" s="38"/>
      <c r="DQ2466" s="38"/>
      <c r="DR2466" s="38"/>
      <c r="DS2466" s="38"/>
      <c r="DT2466" s="38"/>
      <c r="DU2466" s="38"/>
      <c r="DV2466" s="38"/>
      <c r="DW2466" s="38"/>
      <c r="DX2466" s="38"/>
      <c r="DY2466" s="38"/>
      <c r="DZ2466" s="38"/>
      <c r="EA2466" s="38"/>
      <c r="EB2466" s="38"/>
      <c r="EC2466" s="38"/>
      <c r="ED2466" s="38"/>
      <c r="EE2466" s="38"/>
      <c r="EF2466" s="38"/>
      <c r="EG2466" s="38"/>
      <c r="EH2466" s="38"/>
      <c r="EI2466" s="38"/>
      <c r="EJ2466" s="38"/>
      <c r="EK2466" s="38"/>
      <c r="EL2466" s="38"/>
      <c r="EM2466" s="38"/>
      <c r="EN2466" s="38"/>
      <c r="EO2466" s="38"/>
      <c r="EP2466" s="38"/>
      <c r="EQ2466" s="38"/>
      <c r="ER2466" s="38"/>
      <c r="ES2466" s="38"/>
      <c r="ET2466" s="38"/>
      <c r="EU2466" s="38"/>
      <c r="EV2466" s="38"/>
      <c r="EW2466" s="38"/>
      <c r="EX2466" s="38"/>
      <c r="EY2466" s="38"/>
      <c r="EZ2466" s="38"/>
      <c r="FA2466" s="38"/>
      <c r="FB2466" s="38"/>
      <c r="FC2466" s="38"/>
      <c r="FD2466" s="38"/>
      <c r="FE2466" s="38"/>
      <c r="FF2466" s="38"/>
      <c r="FG2466" s="38"/>
      <c r="FH2466" s="38"/>
      <c r="FI2466" s="38"/>
      <c r="FJ2466" s="38"/>
      <c r="FK2466" s="38"/>
      <c r="FL2466" s="38"/>
      <c r="FM2466" s="38"/>
      <c r="FN2466" s="38"/>
      <c r="FO2466" s="38"/>
      <c r="FP2466" s="38"/>
      <c r="FQ2466" s="38"/>
      <c r="FR2466" s="38"/>
      <c r="FS2466" s="38"/>
      <c r="FT2466" s="38"/>
      <c r="FU2466" s="38"/>
      <c r="FV2466" s="38"/>
      <c r="FW2466" s="38"/>
      <c r="FX2466" s="38"/>
      <c r="FY2466" s="38"/>
      <c r="FZ2466" s="38"/>
      <c r="GA2466" s="38"/>
      <c r="GB2466" s="38"/>
      <c r="GC2466" s="38"/>
      <c r="GD2466" s="38"/>
      <c r="GE2466" s="38"/>
      <c r="GF2466" s="38"/>
      <c r="GG2466" s="38"/>
      <c r="GH2466" s="38"/>
      <c r="GI2466" s="38"/>
      <c r="GJ2466" s="38"/>
      <c r="GK2466" s="38"/>
      <c r="GL2466" s="38"/>
      <c r="GM2466" s="38"/>
      <c r="GN2466" s="38"/>
      <c r="GO2466" s="38"/>
      <c r="GP2466" s="38"/>
      <c r="GQ2466" s="38"/>
      <c r="GR2466" s="38"/>
      <c r="GS2466" s="38"/>
      <c r="GT2466" s="38"/>
      <c r="GU2466" s="38"/>
      <c r="GV2466" s="38"/>
      <c r="GW2466" s="38"/>
      <c r="GX2466" s="38"/>
      <c r="GY2466" s="38"/>
      <c r="GZ2466" s="38"/>
      <c r="HA2466" s="38"/>
      <c r="HB2466" s="38"/>
      <c r="HC2466" s="38"/>
      <c r="HD2466" s="38"/>
      <c r="HE2466" s="38"/>
      <c r="HF2466" s="38"/>
      <c r="HG2466" s="38"/>
      <c r="HH2466" s="38"/>
      <c r="HI2466" s="38"/>
      <c r="HJ2466" s="38"/>
      <c r="HK2466" s="38"/>
      <c r="HL2466" s="38"/>
      <c r="HM2466" s="38"/>
      <c r="HN2466" s="38"/>
      <c r="HO2466" s="38"/>
      <c r="HP2466" s="38"/>
      <c r="HQ2466" s="38"/>
      <c r="HR2466" s="38"/>
      <c r="HS2466" s="38"/>
      <c r="HT2466" s="38"/>
      <c r="HU2466" s="38"/>
      <c r="HV2466" s="38"/>
      <c r="HW2466" s="38"/>
      <c r="HX2466" s="38"/>
      <c r="HY2466" s="38"/>
      <c r="HZ2466" s="38"/>
      <c r="IA2466" s="38"/>
      <c r="IB2466" s="38"/>
      <c r="IC2466" s="38"/>
      <c r="ID2466" s="38"/>
      <c r="IE2466" s="38"/>
      <c r="IF2466" s="38"/>
      <c r="IG2466" s="38"/>
      <c r="IH2466" s="38"/>
      <c r="II2466" s="38"/>
      <c r="IJ2466" s="38"/>
      <c r="IK2466" s="38"/>
      <c r="IL2466" s="38"/>
      <c r="IM2466" s="38"/>
      <c r="IN2466" s="38"/>
      <c r="IO2466" s="38"/>
      <c r="IP2466" s="38"/>
      <c r="IQ2466" s="38"/>
      <c r="IR2466" s="38"/>
      <c r="IS2466" s="38"/>
      <c r="IT2466" s="38"/>
      <c r="IU2466" s="38"/>
      <c r="IV2466" s="38"/>
      <c r="IW2466" s="38"/>
      <c r="IX2466" s="38"/>
      <c r="IY2466" s="38"/>
      <c r="IZ2466" s="38"/>
      <c r="JA2466" s="38"/>
      <c r="JB2466" s="38"/>
      <c r="JC2466" s="38"/>
      <c r="JD2466" s="38"/>
      <c r="JE2466" s="38"/>
      <c r="JF2466" s="38"/>
      <c r="JG2466" s="38"/>
      <c r="JH2466" s="38"/>
      <c r="JI2466" s="38"/>
      <c r="JJ2466" s="38"/>
      <c r="JK2466" s="38"/>
      <c r="JL2466" s="38"/>
      <c r="JM2466" s="38"/>
      <c r="JN2466" s="38"/>
      <c r="JO2466" s="38"/>
      <c r="JP2466" s="38"/>
      <c r="JQ2466" s="38"/>
      <c r="JR2466" s="38"/>
      <c r="JS2466" s="38"/>
      <c r="JT2466" s="38"/>
      <c r="JU2466" s="38"/>
      <c r="JV2466" s="38"/>
      <c r="JW2466" s="38"/>
      <c r="JX2466" s="38"/>
      <c r="JY2466" s="38"/>
      <c r="JZ2466" s="38"/>
      <c r="KA2466" s="38"/>
      <c r="KB2466" s="38"/>
      <c r="KC2466" s="38"/>
      <c r="KD2466" s="38"/>
      <c r="KE2466" s="38"/>
      <c r="KF2466" s="38"/>
      <c r="KG2466" s="38"/>
      <c r="KH2466" s="38"/>
      <c r="KI2466" s="38"/>
      <c r="KJ2466" s="38"/>
      <c r="KK2466" s="38"/>
      <c r="KL2466" s="38"/>
      <c r="KM2466" s="38"/>
      <c r="KN2466" s="38"/>
      <c r="KO2466" s="38"/>
      <c r="KP2466" s="38"/>
      <c r="KQ2466" s="38"/>
      <c r="KR2466" s="38"/>
      <c r="KS2466" s="38"/>
      <c r="KT2466" s="38"/>
      <c r="KU2466" s="38"/>
      <c r="KV2466" s="38"/>
      <c r="KW2466" s="38"/>
      <c r="KX2466" s="38"/>
      <c r="KY2466" s="38"/>
      <c r="KZ2466" s="38"/>
      <c r="LA2466" s="38"/>
      <c r="LB2466" s="38"/>
      <c r="LC2466" s="38"/>
      <c r="LD2466" s="38"/>
      <c r="LE2466" s="38"/>
      <c r="LF2466" s="38"/>
      <c r="LG2466" s="38"/>
      <c r="LH2466" s="38"/>
      <c r="LI2466" s="38"/>
      <c r="LJ2466" s="38"/>
      <c r="LK2466" s="38"/>
      <c r="LL2466" s="38"/>
      <c r="LM2466" s="38"/>
      <c r="LN2466" s="38"/>
      <c r="LO2466" s="38"/>
      <c r="LP2466" s="38"/>
      <c r="LQ2466" s="38"/>
      <c r="LR2466" s="38"/>
      <c r="LS2466" s="38"/>
      <c r="LT2466" s="38"/>
      <c r="LU2466" s="38"/>
      <c r="LV2466" s="38"/>
      <c r="LW2466" s="38"/>
      <c r="LX2466" s="38"/>
      <c r="LY2466" s="38"/>
      <c r="LZ2466" s="38"/>
      <c r="MA2466" s="38"/>
      <c r="MB2466" s="38"/>
      <c r="MC2466" s="38"/>
      <c r="MD2466" s="38"/>
      <c r="ME2466" s="38"/>
      <c r="MF2466" s="38"/>
      <c r="MG2466" s="38"/>
      <c r="MH2466" s="38"/>
      <c r="MI2466" s="38"/>
      <c r="MJ2466" s="38"/>
      <c r="MK2466" s="38"/>
      <c r="ML2466" s="38"/>
      <c r="MM2466" s="38"/>
      <c r="MN2466" s="38"/>
      <c r="MO2466" s="38"/>
      <c r="MP2466" s="38"/>
      <c r="MQ2466" s="38"/>
      <c r="MR2466" s="38"/>
      <c r="MS2466" s="38"/>
      <c r="MT2466" s="38"/>
      <c r="MU2466" s="38"/>
      <c r="MV2466" s="38"/>
      <c r="MW2466" s="38"/>
      <c r="MX2466" s="38"/>
      <c r="MY2466" s="38"/>
      <c r="MZ2466" s="38"/>
      <c r="NA2466" s="38"/>
      <c r="NB2466" s="38"/>
      <c r="NC2466" s="38"/>
      <c r="ND2466" s="38"/>
      <c r="NE2466" s="38"/>
      <c r="NF2466" s="38"/>
      <c r="NG2466" s="38"/>
      <c r="NH2466" s="38"/>
      <c r="NI2466" s="38"/>
      <c r="NJ2466" s="38"/>
      <c r="NK2466" s="38"/>
      <c r="NL2466" s="38"/>
      <c r="NM2466" s="38"/>
      <c r="NN2466" s="38"/>
      <c r="NO2466" s="38"/>
      <c r="NP2466" s="38"/>
      <c r="NQ2466" s="38"/>
      <c r="NR2466" s="38"/>
      <c r="NS2466" s="38"/>
      <c r="NT2466" s="38"/>
      <c r="NU2466" s="38"/>
      <c r="NV2466" s="38"/>
      <c r="NW2466" s="38"/>
      <c r="NX2466" s="38"/>
      <c r="NY2466" s="38"/>
      <c r="NZ2466" s="38"/>
      <c r="OA2466" s="38"/>
      <c r="OB2466" s="38"/>
      <c r="OC2466" s="38"/>
      <c r="OD2466" s="38"/>
      <c r="OE2466" s="38"/>
      <c r="OF2466" s="38"/>
      <c r="OG2466" s="38"/>
      <c r="OH2466" s="38"/>
      <c r="OI2466" s="38"/>
      <c r="OJ2466" s="38"/>
      <c r="OK2466" s="38"/>
      <c r="OL2466" s="38"/>
      <c r="OM2466" s="38"/>
      <c r="ON2466" s="38"/>
      <c r="OO2466" s="38"/>
      <c r="OP2466" s="38"/>
      <c r="OQ2466" s="38"/>
      <c r="OR2466" s="38"/>
      <c r="OS2466" s="38"/>
      <c r="OT2466" s="38"/>
      <c r="OU2466" s="38"/>
      <c r="OV2466" s="38"/>
      <c r="OW2466" s="38"/>
      <c r="OX2466" s="38"/>
      <c r="OY2466" s="38"/>
      <c r="OZ2466" s="38"/>
      <c r="PA2466" s="38"/>
      <c r="PB2466" s="38"/>
      <c r="PC2466" s="38"/>
      <c r="PD2466" s="38"/>
      <c r="PE2466" s="38"/>
      <c r="PF2466" s="38"/>
      <c r="PG2466" s="38"/>
      <c r="PH2466" s="38"/>
      <c r="PI2466" s="38"/>
      <c r="PJ2466" s="38"/>
      <c r="PK2466" s="38"/>
      <c r="PL2466" s="38"/>
      <c r="PM2466" s="38"/>
      <c r="PN2466" s="38"/>
      <c r="PO2466" s="38"/>
      <c r="PP2466" s="38"/>
      <c r="PQ2466" s="38"/>
      <c r="PR2466" s="38"/>
      <c r="PS2466" s="38"/>
      <c r="PT2466" s="38"/>
      <c r="PU2466" s="38"/>
      <c r="PV2466" s="38"/>
      <c r="PW2466" s="38"/>
      <c r="PX2466" s="38"/>
      <c r="PY2466" s="38"/>
      <c r="PZ2466" s="38"/>
      <c r="QA2466" s="38"/>
      <c r="QB2466" s="38"/>
      <c r="QC2466" s="38"/>
      <c r="QD2466" s="38"/>
      <c r="QE2466" s="38"/>
      <c r="QF2466" s="38"/>
      <c r="QG2466" s="38"/>
      <c r="QH2466" s="38"/>
      <c r="QI2466" s="38"/>
      <c r="QJ2466" s="38"/>
      <c r="QK2466" s="38"/>
      <c r="QL2466" s="38"/>
      <c r="QM2466" s="38"/>
      <c r="QN2466" s="38"/>
      <c r="QO2466" s="38"/>
      <c r="QP2466" s="38"/>
      <c r="QQ2466" s="38"/>
      <c r="QR2466" s="38"/>
      <c r="QS2466" s="38"/>
      <c r="QT2466" s="38"/>
      <c r="QU2466" s="38"/>
      <c r="QV2466" s="38"/>
      <c r="QW2466" s="38"/>
      <c r="QX2466" s="38"/>
      <c r="QY2466" s="38"/>
      <c r="QZ2466" s="38"/>
      <c r="RA2466" s="38"/>
      <c r="RB2466" s="38"/>
      <c r="RC2466" s="38"/>
      <c r="RD2466" s="38"/>
      <c r="RE2466" s="38"/>
      <c r="RF2466" s="38"/>
      <c r="RG2466" s="38"/>
      <c r="RH2466" s="38"/>
      <c r="RI2466" s="38"/>
      <c r="RJ2466" s="38"/>
      <c r="RK2466" s="38"/>
      <c r="RL2466" s="38"/>
      <c r="RM2466" s="38"/>
      <c r="RN2466" s="38"/>
      <c r="RO2466" s="38"/>
      <c r="RP2466" s="38"/>
      <c r="RQ2466" s="38"/>
      <c r="RR2466" s="38"/>
      <c r="RS2466" s="38"/>
      <c r="RT2466" s="38"/>
      <c r="RU2466" s="38"/>
      <c r="RV2466" s="38"/>
      <c r="RW2466" s="38"/>
      <c r="RX2466" s="38"/>
      <c r="RY2466" s="38"/>
      <c r="RZ2466" s="38"/>
      <c r="SA2466" s="38"/>
      <c r="SB2466" s="38"/>
      <c r="SC2466" s="38"/>
      <c r="SD2466" s="38"/>
      <c r="SE2466" s="38"/>
      <c r="SF2466" s="38"/>
      <c r="SG2466" s="38"/>
      <c r="SH2466" s="38"/>
      <c r="SI2466" s="38"/>
      <c r="SJ2466" s="38"/>
      <c r="SK2466" s="38"/>
      <c r="SL2466" s="38"/>
      <c r="SM2466" s="38"/>
      <c r="SN2466" s="38"/>
      <c r="SO2466" s="38"/>
      <c r="SP2466" s="38"/>
      <c r="SQ2466" s="38"/>
      <c r="SR2466" s="38"/>
      <c r="SS2466" s="38"/>
      <c r="ST2466" s="38"/>
      <c r="SU2466" s="38"/>
      <c r="SV2466" s="38"/>
      <c r="SW2466" s="38"/>
      <c r="SX2466" s="38"/>
      <c r="SY2466" s="38"/>
      <c r="SZ2466" s="38"/>
      <c r="TA2466" s="38"/>
      <c r="TB2466" s="38"/>
      <c r="TC2466" s="38"/>
      <c r="TD2466" s="38"/>
      <c r="TE2466" s="38"/>
      <c r="TF2466" s="38"/>
      <c r="TG2466" s="38"/>
      <c r="TH2466" s="38"/>
      <c r="TI2466" s="38"/>
      <c r="TJ2466" s="38"/>
      <c r="TK2466" s="38"/>
      <c r="TL2466" s="38"/>
      <c r="TM2466" s="38"/>
      <c r="TN2466" s="38"/>
      <c r="TO2466" s="38"/>
      <c r="TP2466" s="38"/>
      <c r="TQ2466" s="38"/>
      <c r="TR2466" s="38"/>
      <c r="TS2466" s="38"/>
      <c r="TT2466" s="38"/>
      <c r="TU2466" s="38"/>
      <c r="TV2466" s="38"/>
      <c r="TW2466" s="38"/>
      <c r="TX2466" s="38"/>
      <c r="TY2466" s="38"/>
      <c r="TZ2466" s="38"/>
      <c r="UA2466" s="38"/>
      <c r="UB2466" s="38"/>
      <c r="UC2466" s="38"/>
      <c r="UD2466" s="38"/>
      <c r="UE2466" s="38"/>
      <c r="UF2466" s="38"/>
      <c r="UG2466" s="38"/>
      <c r="UH2466" s="38"/>
      <c r="UI2466" s="38"/>
      <c r="UJ2466" s="38"/>
      <c r="UK2466" s="38"/>
      <c r="UL2466" s="38"/>
      <c r="UM2466" s="38"/>
      <c r="UN2466" s="38"/>
      <c r="UO2466" s="38"/>
      <c r="UP2466" s="38"/>
      <c r="UQ2466" s="38"/>
      <c r="UR2466" s="38"/>
      <c r="US2466" s="38"/>
      <c r="UT2466" s="38"/>
      <c r="UU2466" s="38"/>
      <c r="UV2466" s="38"/>
      <c r="UW2466" s="38"/>
      <c r="UX2466" s="38"/>
      <c r="UY2466" s="38"/>
      <c r="UZ2466" s="38"/>
      <c r="VA2466" s="38"/>
      <c r="VB2466" s="38"/>
      <c r="VC2466" s="38"/>
      <c r="VD2466" s="38"/>
      <c r="VE2466" s="38"/>
      <c r="VF2466" s="38"/>
      <c r="VG2466" s="38"/>
      <c r="VH2466" s="38"/>
      <c r="VI2466" s="38"/>
      <c r="VJ2466" s="38"/>
      <c r="VK2466" s="38"/>
      <c r="VL2466" s="38"/>
      <c r="VM2466" s="38"/>
      <c r="VN2466" s="38"/>
      <c r="VO2466" s="38"/>
      <c r="VP2466" s="38"/>
      <c r="VQ2466" s="38"/>
      <c r="VR2466" s="38"/>
      <c r="VS2466" s="38"/>
      <c r="VT2466" s="38"/>
      <c r="VU2466" s="38"/>
      <c r="VV2466" s="38"/>
      <c r="VW2466" s="38"/>
      <c r="VX2466" s="38"/>
      <c r="VY2466" s="38"/>
      <c r="VZ2466" s="38"/>
      <c r="WA2466" s="38"/>
      <c r="WB2466" s="38"/>
      <c r="WC2466" s="38"/>
      <c r="WD2466" s="38"/>
      <c r="WE2466" s="38"/>
      <c r="WF2466" s="38"/>
      <c r="WG2466" s="38"/>
      <c r="WH2466" s="38"/>
      <c r="WI2466" s="38"/>
      <c r="WJ2466" s="38"/>
      <c r="WK2466" s="38"/>
      <c r="WL2466" s="38"/>
      <c r="WM2466" s="38"/>
      <c r="WN2466" s="38"/>
      <c r="WO2466" s="38"/>
      <c r="WP2466" s="38"/>
      <c r="WQ2466" s="38"/>
      <c r="WR2466" s="38"/>
      <c r="WS2466" s="38"/>
      <c r="WT2466" s="38"/>
      <c r="WU2466" s="38"/>
      <c r="WV2466" s="38"/>
      <c r="WW2466" s="38"/>
      <c r="WX2466" s="38"/>
      <c r="WY2466" s="38"/>
      <c r="WZ2466" s="38"/>
      <c r="XA2466" s="38"/>
      <c r="XB2466" s="38"/>
      <c r="XC2466" s="38"/>
      <c r="XD2466" s="38"/>
      <c r="XE2466" s="38"/>
      <c r="XF2466" s="38"/>
      <c r="XG2466" s="38"/>
      <c r="XH2466" s="38"/>
      <c r="XI2466" s="38"/>
      <c r="XJ2466" s="38"/>
      <c r="XK2466" s="38"/>
      <c r="XL2466" s="38"/>
      <c r="XM2466" s="38"/>
      <c r="XN2466" s="38"/>
      <c r="XO2466" s="38"/>
      <c r="XP2466" s="38"/>
      <c r="XQ2466" s="38"/>
      <c r="XR2466" s="38"/>
      <c r="XS2466" s="38"/>
      <c r="XT2466" s="38"/>
      <c r="XU2466" s="38"/>
      <c r="XV2466" s="38"/>
      <c r="XW2466" s="38"/>
      <c r="XX2466" s="38"/>
      <c r="XY2466" s="38"/>
      <c r="XZ2466" s="38"/>
      <c r="YA2466" s="38"/>
      <c r="YB2466" s="38"/>
      <c r="YC2466" s="38"/>
      <c r="YD2466" s="38"/>
      <c r="YE2466" s="38"/>
      <c r="YF2466" s="38"/>
      <c r="YG2466" s="38"/>
      <c r="YH2466" s="38"/>
      <c r="YI2466" s="38"/>
      <c r="YJ2466" s="38"/>
      <c r="YK2466" s="38"/>
      <c r="YL2466" s="38"/>
      <c r="YM2466" s="38"/>
      <c r="YN2466" s="38"/>
      <c r="YO2466" s="38"/>
      <c r="YP2466" s="38"/>
      <c r="YQ2466" s="38"/>
      <c r="YR2466" s="38"/>
      <c r="YS2466" s="38"/>
      <c r="YT2466" s="38"/>
      <c r="YU2466" s="38"/>
      <c r="YV2466" s="38"/>
      <c r="YW2466" s="38"/>
      <c r="YX2466" s="38"/>
      <c r="YY2466" s="38"/>
      <c r="YZ2466" s="38"/>
      <c r="ZA2466" s="38"/>
      <c r="ZB2466" s="38"/>
      <c r="ZC2466" s="38"/>
      <c r="ZD2466" s="38"/>
      <c r="ZE2466" s="38"/>
      <c r="ZF2466" s="38"/>
      <c r="ZG2466" s="38"/>
      <c r="ZH2466" s="38"/>
      <c r="ZI2466" s="38"/>
      <c r="ZJ2466" s="38"/>
      <c r="ZK2466" s="38"/>
      <c r="ZL2466" s="38"/>
      <c r="ZM2466" s="38"/>
      <c r="ZN2466" s="38"/>
      <c r="ZO2466" s="38"/>
      <c r="ZP2466" s="38"/>
      <c r="ZQ2466" s="38"/>
      <c r="ZR2466" s="38"/>
      <c r="ZS2466" s="38"/>
      <c r="ZT2466" s="38"/>
      <c r="ZU2466" s="38"/>
      <c r="ZV2466" s="38"/>
      <c r="ZW2466" s="38"/>
      <c r="ZX2466" s="38"/>
      <c r="ZY2466" s="38"/>
      <c r="ZZ2466" s="38"/>
      <c r="AAA2466" s="38"/>
      <c r="AAB2466" s="38"/>
      <c r="AAC2466" s="38"/>
      <c r="AAD2466" s="38"/>
      <c r="AAE2466" s="38"/>
      <c r="AAF2466" s="38"/>
      <c r="AAG2466" s="38"/>
      <c r="AAH2466" s="38"/>
      <c r="AAI2466" s="38"/>
      <c r="AAJ2466" s="38"/>
      <c r="AAK2466" s="38"/>
      <c r="AAL2466" s="38"/>
      <c r="AAM2466" s="38"/>
      <c r="AAN2466" s="38"/>
      <c r="AAO2466" s="38"/>
      <c r="AAP2466" s="38"/>
      <c r="AAQ2466" s="38"/>
      <c r="AAR2466" s="38"/>
      <c r="AAS2466" s="38"/>
      <c r="AAT2466" s="38"/>
      <c r="AAU2466" s="38"/>
      <c r="AAV2466" s="38"/>
      <c r="AAW2466" s="38"/>
      <c r="AAX2466" s="38"/>
      <c r="AAY2466" s="38"/>
      <c r="AAZ2466" s="38"/>
      <c r="ABA2466" s="38"/>
      <c r="ABB2466" s="38"/>
      <c r="ABC2466" s="38"/>
      <c r="ABD2466" s="38"/>
      <c r="ABE2466" s="38"/>
      <c r="ABF2466" s="38"/>
      <c r="ABG2466" s="38"/>
      <c r="ABH2466" s="38"/>
      <c r="ABI2466" s="38"/>
      <c r="ABJ2466" s="38"/>
      <c r="ABK2466" s="38"/>
      <c r="ABL2466" s="38"/>
      <c r="ABM2466" s="38"/>
      <c r="ABN2466" s="38"/>
      <c r="ABO2466" s="38"/>
      <c r="ABP2466" s="38"/>
      <c r="ABQ2466" s="38"/>
      <c r="ABR2466" s="38"/>
      <c r="ABS2466" s="38"/>
      <c r="ABT2466" s="38"/>
      <c r="ABU2466" s="38"/>
      <c r="ABV2466" s="38"/>
      <c r="ABW2466" s="38"/>
      <c r="ABX2466" s="38"/>
      <c r="ABY2466" s="38"/>
      <c r="ABZ2466" s="38"/>
      <c r="ACA2466" s="38"/>
      <c r="ACB2466" s="38"/>
      <c r="ACC2466" s="38"/>
      <c r="ACD2466" s="38"/>
      <c r="ACE2466" s="38"/>
      <c r="ACF2466" s="38"/>
      <c r="ACG2466" s="38"/>
      <c r="ACH2466" s="38"/>
      <c r="ACI2466" s="38"/>
      <c r="ACJ2466" s="38"/>
      <c r="ACK2466" s="38"/>
      <c r="ACL2466" s="38"/>
      <c r="ACM2466" s="38"/>
      <c r="ACN2466" s="38"/>
      <c r="ACO2466" s="38"/>
      <c r="ACP2466" s="38"/>
      <c r="ACQ2466" s="38"/>
      <c r="ACR2466" s="38"/>
      <c r="ACS2466" s="38"/>
      <c r="ACT2466" s="38"/>
      <c r="ACU2466" s="38"/>
      <c r="ACV2466" s="38"/>
      <c r="ACW2466" s="38"/>
      <c r="ACX2466" s="38"/>
      <c r="ACY2466" s="38"/>
      <c r="ACZ2466" s="38"/>
      <c r="ADA2466" s="38"/>
      <c r="ADB2466" s="38"/>
      <c r="ADC2466" s="38"/>
      <c r="ADD2466" s="38"/>
      <c r="ADE2466" s="38"/>
      <c r="ADF2466" s="38"/>
      <c r="ADG2466" s="38"/>
      <c r="ADH2466" s="38"/>
      <c r="ADI2466" s="38"/>
      <c r="ADJ2466" s="38"/>
      <c r="ADK2466" s="38"/>
      <c r="ADL2466" s="38"/>
      <c r="ADM2466" s="38"/>
      <c r="ADN2466" s="38"/>
      <c r="ADO2466" s="38"/>
      <c r="ADP2466" s="38"/>
      <c r="ADQ2466" s="38"/>
      <c r="ADR2466" s="38"/>
      <c r="ADS2466" s="38"/>
      <c r="ADT2466" s="38"/>
      <c r="ADU2466" s="38"/>
      <c r="ADV2466" s="38"/>
      <c r="ADW2466" s="38"/>
      <c r="ADX2466" s="38"/>
      <c r="ADY2466" s="38"/>
      <c r="ADZ2466" s="38"/>
      <c r="AEA2466" s="38"/>
      <c r="AEB2466" s="38"/>
      <c r="AEC2466" s="38"/>
      <c r="AED2466" s="38"/>
      <c r="AEE2466" s="38"/>
      <c r="AEF2466" s="38"/>
      <c r="AEG2466" s="38"/>
      <c r="AEH2466" s="38"/>
      <c r="AEI2466" s="38"/>
      <c r="AEJ2466" s="38"/>
      <c r="AEK2466" s="38"/>
      <c r="AEL2466" s="38"/>
      <c r="AEM2466" s="38"/>
      <c r="AEN2466" s="38"/>
      <c r="AEO2466" s="38"/>
      <c r="AEP2466" s="38"/>
      <c r="AEQ2466" s="38"/>
      <c r="AER2466" s="38"/>
      <c r="AES2466" s="38"/>
      <c r="AET2466" s="38"/>
      <c r="AEU2466" s="38"/>
      <c r="AEV2466" s="38"/>
      <c r="AEW2466" s="38"/>
      <c r="AEX2466" s="38"/>
      <c r="AEY2466" s="38"/>
      <c r="AEZ2466" s="38"/>
      <c r="AFA2466" s="38"/>
      <c r="AFB2466" s="38"/>
      <c r="AFC2466" s="38"/>
      <c r="AFD2466" s="38"/>
      <c r="AFE2466" s="38"/>
      <c r="AFF2466" s="38"/>
      <c r="AFG2466" s="38"/>
      <c r="AFH2466" s="38"/>
      <c r="AFI2466" s="38"/>
      <c r="AFJ2466" s="38"/>
      <c r="AFK2466" s="38"/>
      <c r="AFL2466" s="38"/>
      <c r="AFM2466" s="38"/>
      <c r="AFN2466" s="38"/>
      <c r="AFO2466" s="38"/>
      <c r="AFP2466" s="38"/>
      <c r="AFQ2466" s="38"/>
      <c r="AFR2466" s="38"/>
      <c r="AFS2466" s="38"/>
      <c r="AFT2466" s="38"/>
      <c r="AFU2466" s="38"/>
      <c r="AFV2466" s="38"/>
      <c r="AFW2466" s="38"/>
      <c r="AFX2466" s="38"/>
      <c r="AFY2466" s="38"/>
      <c r="AFZ2466" s="38"/>
      <c r="AGA2466" s="38"/>
      <c r="AGB2466" s="38"/>
      <c r="AGC2466" s="38"/>
      <c r="AGD2466" s="38"/>
      <c r="AGE2466" s="38"/>
      <c r="AGF2466" s="38"/>
      <c r="AGG2466" s="38"/>
      <c r="AGH2466" s="38"/>
      <c r="AGI2466" s="38"/>
      <c r="AGJ2466" s="38"/>
      <c r="AGK2466" s="38"/>
      <c r="AGL2466" s="38"/>
      <c r="AGM2466" s="38"/>
      <c r="AGN2466" s="38"/>
      <c r="AGO2466" s="38"/>
      <c r="AGP2466" s="38"/>
      <c r="AGQ2466" s="38"/>
      <c r="AGR2466" s="38"/>
      <c r="AGS2466" s="38"/>
      <c r="AGT2466" s="38"/>
      <c r="AGU2466" s="38"/>
      <c r="AGV2466" s="38"/>
      <c r="AGW2466" s="38"/>
      <c r="AGX2466" s="38"/>
      <c r="AGY2466" s="38"/>
      <c r="AGZ2466" s="38"/>
      <c r="AHA2466" s="38"/>
      <c r="AHB2466" s="38"/>
      <c r="AHC2466" s="38"/>
      <c r="AHD2466" s="38"/>
      <c r="AHE2466" s="38"/>
      <c r="AHF2466" s="38"/>
      <c r="AHG2466" s="38"/>
      <c r="AHH2466" s="38"/>
      <c r="AHI2466" s="38"/>
      <c r="AHJ2466" s="38"/>
      <c r="AHK2466" s="38"/>
      <c r="AHL2466" s="38"/>
      <c r="AHM2466" s="38"/>
      <c r="AHN2466" s="38"/>
      <c r="AHO2466" s="38"/>
      <c r="AHP2466" s="38"/>
      <c r="AHQ2466" s="38"/>
      <c r="AHR2466" s="38"/>
      <c r="AHS2466" s="38"/>
      <c r="AHT2466" s="38"/>
      <c r="AHU2466" s="38"/>
      <c r="AHV2466" s="38"/>
      <c r="AHW2466" s="38"/>
      <c r="AHX2466" s="38"/>
      <c r="AHY2466" s="38"/>
      <c r="AHZ2466" s="38"/>
      <c r="AIA2466" s="38"/>
      <c r="AIB2466" s="38"/>
      <c r="AIC2466" s="38"/>
      <c r="AID2466" s="38"/>
      <c r="AIE2466" s="38"/>
      <c r="AIF2466" s="38"/>
      <c r="AIG2466" s="38"/>
      <c r="AIH2466" s="38"/>
      <c r="AII2466" s="38"/>
      <c r="AIJ2466" s="38"/>
      <c r="AIK2466" s="38"/>
      <c r="AIL2466" s="38"/>
      <c r="AIM2466" s="38"/>
      <c r="AIN2466" s="38"/>
      <c r="AIO2466" s="38"/>
      <c r="AIP2466" s="38"/>
      <c r="AIQ2466" s="38"/>
      <c r="AIR2466" s="38"/>
      <c r="AIS2466" s="38"/>
      <c r="AIT2466" s="38"/>
      <c r="AIU2466" s="38"/>
      <c r="AIV2466" s="38"/>
      <c r="AIW2466" s="38"/>
      <c r="AIX2466" s="38"/>
      <c r="AIY2466" s="38"/>
      <c r="AIZ2466" s="38"/>
      <c r="AJA2466" s="38"/>
      <c r="AJB2466" s="38"/>
      <c r="AJC2466" s="38"/>
      <c r="AJD2466" s="38"/>
      <c r="AJE2466" s="38"/>
      <c r="AJF2466" s="38"/>
      <c r="AJG2466" s="38"/>
      <c r="AJH2466" s="38"/>
      <c r="AJI2466" s="38"/>
      <c r="AJJ2466" s="38"/>
      <c r="AJK2466" s="38"/>
      <c r="AJL2466" s="38"/>
      <c r="AJM2466" s="38"/>
      <c r="AJN2466" s="38"/>
      <c r="AJO2466" s="38"/>
      <c r="AJP2466" s="38"/>
      <c r="AJQ2466" s="38"/>
      <c r="AJR2466" s="38"/>
      <c r="AJS2466" s="38"/>
      <c r="AJT2466" s="38"/>
      <c r="AJU2466" s="38"/>
      <c r="AJV2466" s="38"/>
      <c r="AJW2466" s="38"/>
      <c r="AJX2466" s="38"/>
      <c r="AJY2466" s="38"/>
      <c r="AJZ2466" s="38"/>
      <c r="AKA2466" s="38"/>
      <c r="AKB2466" s="38"/>
      <c r="AKC2466" s="38"/>
      <c r="AKD2466" s="38"/>
      <c r="AKE2466" s="38"/>
      <c r="AKF2466" s="38"/>
      <c r="AKG2466" s="38"/>
      <c r="AKH2466" s="38"/>
      <c r="AKI2466" s="38"/>
      <c r="AKJ2466" s="38"/>
      <c r="AKK2466" s="38"/>
      <c r="AKL2466" s="38"/>
      <c r="AKM2466" s="38"/>
      <c r="AKN2466" s="38"/>
      <c r="AKO2466" s="38"/>
      <c r="AKP2466" s="38"/>
      <c r="AKQ2466" s="38"/>
      <c r="AKR2466" s="38"/>
      <c r="AKS2466" s="38"/>
      <c r="AKT2466" s="38"/>
      <c r="AKU2466" s="38"/>
      <c r="AKV2466" s="38"/>
      <c r="AKW2466" s="38"/>
      <c r="AKX2466" s="38"/>
      <c r="AKY2466" s="38"/>
      <c r="AKZ2466" s="38"/>
      <c r="ALA2466" s="38"/>
      <c r="ALB2466" s="38"/>
      <c r="ALC2466" s="38"/>
      <c r="ALD2466" s="38"/>
      <c r="ALE2466" s="38"/>
      <c r="ALF2466" s="38"/>
      <c r="ALG2466" s="38"/>
      <c r="ALH2466" s="38"/>
      <c r="ALI2466" s="38"/>
      <c r="ALJ2466" s="38"/>
      <c r="ALK2466" s="38"/>
      <c r="ALL2466" s="38"/>
      <c r="ALM2466" s="38"/>
      <c r="ALN2466" s="38"/>
      <c r="ALO2466" s="38"/>
      <c r="ALP2466" s="38"/>
      <c r="ALQ2466" s="38"/>
      <c r="ALR2466" s="38"/>
      <c r="ALS2466" s="38"/>
      <c r="ALT2466" s="38"/>
      <c r="ALU2466" s="38"/>
      <c r="ALV2466" s="38"/>
      <c r="ALW2466" s="38"/>
      <c r="ALX2466" s="38"/>
      <c r="ALY2466" s="38"/>
      <c r="ALZ2466" s="38"/>
      <c r="AMA2466" s="38"/>
      <c r="AMB2466" s="38"/>
      <c r="AMC2466" s="38"/>
      <c r="AMD2466" s="38"/>
      <c r="AME2466" s="38"/>
      <c r="AMF2466" s="38"/>
      <c r="AMG2466" s="38"/>
      <c r="AMH2466" s="38"/>
      <c r="AMI2466" s="38"/>
      <c r="AMJ2466" s="38"/>
      <c r="AMK2466" s="38"/>
      <c r="AML2466" s="38"/>
      <c r="AMM2466" s="38"/>
      <c r="AMN2466" s="38"/>
      <c r="AMO2466" s="38"/>
      <c r="AMP2466" s="38"/>
      <c r="AMQ2466" s="38"/>
      <c r="AMR2466" s="38"/>
      <c r="AMS2466" s="38"/>
      <c r="AMT2466" s="38"/>
      <c r="AMU2466" s="38"/>
      <c r="AMV2466" s="38"/>
      <c r="AMW2466" s="38"/>
      <c r="AMX2466" s="38"/>
      <c r="AMY2466" s="38"/>
      <c r="AMZ2466" s="38"/>
      <c r="ANA2466" s="38"/>
      <c r="ANB2466" s="38"/>
      <c r="ANC2466" s="38"/>
      <c r="AND2466" s="38"/>
      <c r="ANE2466" s="38"/>
      <c r="ANF2466" s="38"/>
      <c r="ANG2466" s="38"/>
      <c r="ANH2466" s="38"/>
      <c r="ANI2466" s="38"/>
      <c r="ANJ2466" s="38"/>
      <c r="ANK2466" s="38"/>
      <c r="ANL2466" s="38"/>
      <c r="ANM2466" s="38"/>
      <c r="ANN2466" s="38"/>
      <c r="ANO2466" s="38"/>
      <c r="ANP2466" s="38"/>
      <c r="ANQ2466" s="38"/>
      <c r="ANR2466" s="38"/>
      <c r="ANS2466" s="38"/>
      <c r="ANT2466" s="38"/>
      <c r="ANU2466" s="38"/>
      <c r="ANV2466" s="38"/>
      <c r="ANW2466" s="38"/>
      <c r="ANX2466" s="38"/>
      <c r="ANY2466" s="38"/>
      <c r="ANZ2466" s="38"/>
      <c r="AOA2466" s="38"/>
      <c r="AOB2466" s="38"/>
      <c r="AOC2466" s="38"/>
      <c r="AOD2466" s="38"/>
      <c r="AOE2466" s="38"/>
      <c r="AOF2466" s="38"/>
      <c r="AOG2466" s="38"/>
      <c r="AOH2466" s="38"/>
      <c r="AOI2466" s="38"/>
      <c r="AOJ2466" s="38"/>
      <c r="AOK2466" s="38"/>
      <c r="AOL2466" s="38"/>
      <c r="AOM2466" s="38"/>
      <c r="AON2466" s="38"/>
      <c r="AOO2466" s="38"/>
      <c r="AOP2466" s="38"/>
      <c r="AOQ2466" s="38"/>
      <c r="AOR2466" s="38"/>
      <c r="AOS2466" s="38"/>
      <c r="AOT2466" s="38"/>
      <c r="AOU2466" s="38"/>
      <c r="AOV2466" s="38"/>
      <c r="AOW2466" s="38"/>
      <c r="AOX2466" s="38"/>
      <c r="AOY2466" s="38"/>
      <c r="AOZ2466" s="38"/>
      <c r="APA2466" s="38"/>
      <c r="APB2466" s="38"/>
      <c r="APC2466" s="38"/>
    </row>
    <row r="2467" spans="1:1095" s="36" customFormat="1" ht="14.25" customHeight="1">
      <c r="A2467" s="3" t="s">
        <v>1722</v>
      </c>
      <c r="B2467" s="36" t="s">
        <v>3085</v>
      </c>
      <c r="C2467" s="10">
        <v>4058075607033</v>
      </c>
      <c r="D2467" s="224">
        <v>4058075607033</v>
      </c>
      <c r="E2467" s="245" t="s">
        <v>3086</v>
      </c>
      <c r="F2467" s="246"/>
      <c r="G2467" s="66" t="str">
        <f>HYPERLINK("https://ledvance.com/pt/product-datasheet/7008/166714","Ficha de Produto")</f>
        <v>Ficha de Produto</v>
      </c>
      <c r="H2467" s="217">
        <v>10</v>
      </c>
      <c r="I2467" s="34" t="s">
        <v>6429</v>
      </c>
      <c r="J2467" s="34" t="s">
        <v>6430</v>
      </c>
      <c r="K2467" s="34" t="s">
        <v>788</v>
      </c>
      <c r="L2467" s="34" t="s">
        <v>6506</v>
      </c>
      <c r="M2467" s="247">
        <v>36</v>
      </c>
      <c r="N2467" s="288" t="s">
        <v>722</v>
      </c>
    </row>
    <row r="2468" spans="1:1095" s="36" customFormat="1" ht="14.25" customHeight="1">
      <c r="A2468" s="3" t="s">
        <v>1722</v>
      </c>
      <c r="B2468" s="36" t="s">
        <v>3087</v>
      </c>
      <c r="C2468" s="10">
        <v>4058075607019</v>
      </c>
      <c r="D2468" s="224">
        <v>4058075607019</v>
      </c>
      <c r="E2468" s="245" t="s">
        <v>3088</v>
      </c>
      <c r="F2468" s="246"/>
      <c r="G2468" s="66" t="str">
        <f>HYPERLINK("https://ledvance.com/pt/product-datasheet/7008/166711","Ficha de Produto")</f>
        <v>Ficha de Produto</v>
      </c>
      <c r="H2468" s="217">
        <v>10</v>
      </c>
      <c r="I2468" s="34" t="s">
        <v>6429</v>
      </c>
      <c r="J2468" s="34" t="s">
        <v>6430</v>
      </c>
      <c r="K2468" s="34" t="s">
        <v>788</v>
      </c>
      <c r="L2468" s="34" t="s">
        <v>6506</v>
      </c>
      <c r="M2468" s="247">
        <v>36</v>
      </c>
      <c r="N2468" s="288" t="s">
        <v>722</v>
      </c>
    </row>
    <row r="2469" spans="1:1095" s="36" customFormat="1" ht="14.25" customHeight="1">
      <c r="A2469" s="3" t="s">
        <v>1722</v>
      </c>
      <c r="B2469" s="36" t="s">
        <v>3089</v>
      </c>
      <c r="C2469" s="10">
        <v>4058075607071</v>
      </c>
      <c r="D2469" s="224">
        <v>4058075607071</v>
      </c>
      <c r="E2469" s="245" t="s">
        <v>3090</v>
      </c>
      <c r="F2469" s="246"/>
      <c r="G2469" s="66" t="str">
        <f>HYPERLINK("https://ledvance.com/pt/product-datasheet/7008/166720","Ficha de Produto")</f>
        <v>Ficha de Produto</v>
      </c>
      <c r="H2469" s="217">
        <v>10</v>
      </c>
      <c r="I2469" s="34" t="s">
        <v>6354</v>
      </c>
      <c r="J2469" s="34" t="s">
        <v>6398</v>
      </c>
      <c r="K2469" s="34" t="s">
        <v>788</v>
      </c>
      <c r="L2469" s="34" t="s">
        <v>6506</v>
      </c>
      <c r="M2469" s="247">
        <v>41.900000000000006</v>
      </c>
      <c r="N2469" s="288" t="s">
        <v>722</v>
      </c>
    </row>
    <row r="2470" spans="1:1095" s="36" customFormat="1" ht="14.25" customHeight="1">
      <c r="A2470" s="3" t="s">
        <v>1722</v>
      </c>
      <c r="B2470" s="36" t="s">
        <v>3091</v>
      </c>
      <c r="C2470" s="10">
        <v>4058075607057</v>
      </c>
      <c r="D2470" s="224">
        <v>4058075607057</v>
      </c>
      <c r="E2470" s="245" t="s">
        <v>3092</v>
      </c>
      <c r="F2470" s="246"/>
      <c r="G2470" s="66" t="str">
        <f>HYPERLINK("https://ledvance.com/pt/product-datasheet/7008/166717","Ficha de Produto")</f>
        <v>Ficha de Produto</v>
      </c>
      <c r="H2470" s="217">
        <v>10</v>
      </c>
      <c r="I2470" s="34" t="s">
        <v>6354</v>
      </c>
      <c r="J2470" s="34" t="s">
        <v>6398</v>
      </c>
      <c r="K2470" s="34" t="s">
        <v>788</v>
      </c>
      <c r="L2470" s="34" t="s">
        <v>6506</v>
      </c>
      <c r="M2470" s="247">
        <v>41.900000000000006</v>
      </c>
      <c r="N2470" s="288" t="s">
        <v>722</v>
      </c>
    </row>
    <row r="2471" spans="1:1095" s="36" customFormat="1" ht="14.25" customHeight="1">
      <c r="A2471" s="3" t="s">
        <v>1722</v>
      </c>
      <c r="B2471" s="36" t="s">
        <v>3093</v>
      </c>
      <c r="C2471" s="10">
        <v>4058075607095</v>
      </c>
      <c r="D2471" s="224">
        <v>4058075607095</v>
      </c>
      <c r="E2471" s="245" t="s">
        <v>3094</v>
      </c>
      <c r="F2471" s="246"/>
      <c r="G2471" s="66" t="str">
        <f>HYPERLINK("https://ledvance.com/pt/product-datasheet/7008/166723","Ficha de Produto")</f>
        <v>Ficha de Produto</v>
      </c>
      <c r="H2471" s="217">
        <v>5</v>
      </c>
      <c r="I2471" s="34" t="s">
        <v>6351</v>
      </c>
      <c r="J2471" s="34" t="s">
        <v>6431</v>
      </c>
      <c r="K2471" s="34" t="s">
        <v>788</v>
      </c>
      <c r="L2471" s="34" t="s">
        <v>6506</v>
      </c>
      <c r="M2471" s="247">
        <v>83.300000000000011</v>
      </c>
      <c r="N2471" s="288" t="s">
        <v>722</v>
      </c>
    </row>
    <row r="2472" spans="1:1095" s="39" customFormat="1" ht="14.25" customHeight="1">
      <c r="A2472" s="8" t="s">
        <v>1722</v>
      </c>
      <c r="B2472" s="244" t="s">
        <v>1707</v>
      </c>
      <c r="C2472" s="8"/>
      <c r="D2472" s="7"/>
      <c r="E2472" s="230"/>
      <c r="F2472" s="7"/>
      <c r="G2472" s="68"/>
      <c r="H2472" s="230"/>
      <c r="I2472" s="230"/>
      <c r="J2472" s="230"/>
      <c r="K2472" s="230"/>
      <c r="L2472" s="230"/>
      <c r="M2472" s="248"/>
      <c r="N2472" s="284"/>
      <c r="O2472" s="38"/>
      <c r="P2472" s="38"/>
      <c r="Q2472" s="38"/>
      <c r="R2472" s="38"/>
      <c r="S2472" s="38"/>
      <c r="T2472" s="38"/>
      <c r="U2472" s="38"/>
      <c r="V2472" s="38"/>
      <c r="W2472" s="38"/>
      <c r="X2472" s="38"/>
      <c r="Y2472" s="38"/>
      <c r="Z2472" s="38"/>
      <c r="AA2472" s="38"/>
      <c r="AB2472" s="38"/>
      <c r="AC2472" s="38"/>
      <c r="AD2472" s="38"/>
      <c r="AE2472" s="38"/>
      <c r="AF2472" s="38"/>
      <c r="AG2472" s="38"/>
      <c r="AH2472" s="38"/>
      <c r="AI2472" s="38"/>
      <c r="AJ2472" s="38"/>
      <c r="AK2472" s="38"/>
      <c r="AL2472" s="38"/>
      <c r="AM2472" s="38"/>
      <c r="AN2472" s="38"/>
      <c r="AO2472" s="38"/>
      <c r="AP2472" s="38"/>
      <c r="AQ2472" s="38"/>
      <c r="AR2472" s="38"/>
      <c r="AS2472" s="38"/>
      <c r="AT2472" s="38"/>
      <c r="AU2472" s="38"/>
      <c r="AV2472" s="38"/>
      <c r="AW2472" s="38"/>
      <c r="AX2472" s="38"/>
      <c r="AY2472" s="38"/>
      <c r="AZ2472" s="38"/>
      <c r="BA2472" s="38"/>
      <c r="BB2472" s="38"/>
      <c r="BC2472" s="38"/>
      <c r="BD2472" s="38"/>
      <c r="BE2472" s="38"/>
      <c r="BF2472" s="38"/>
      <c r="BG2472" s="38"/>
      <c r="BH2472" s="38"/>
      <c r="BI2472" s="38"/>
      <c r="BJ2472" s="38"/>
      <c r="BK2472" s="38"/>
      <c r="BL2472" s="38"/>
      <c r="BM2472" s="38"/>
      <c r="BN2472" s="38"/>
      <c r="BO2472" s="38"/>
      <c r="BP2472" s="38"/>
      <c r="BQ2472" s="38"/>
      <c r="BR2472" s="38"/>
      <c r="BS2472" s="38"/>
      <c r="BT2472" s="38"/>
      <c r="BU2472" s="38"/>
      <c r="BV2472" s="38"/>
      <c r="BW2472" s="38"/>
      <c r="BX2472" s="38"/>
      <c r="BY2472" s="38"/>
      <c r="BZ2472" s="38"/>
      <c r="CA2472" s="38"/>
      <c r="CB2472" s="38"/>
      <c r="CC2472" s="38"/>
      <c r="CD2472" s="38"/>
      <c r="CE2472" s="38"/>
      <c r="CF2472" s="38"/>
      <c r="CG2472" s="38"/>
      <c r="CH2472" s="38"/>
      <c r="CI2472" s="38"/>
      <c r="CJ2472" s="38"/>
      <c r="CK2472" s="38"/>
      <c r="CL2472" s="38"/>
      <c r="CM2472" s="38"/>
      <c r="CN2472" s="38"/>
      <c r="CO2472" s="38"/>
      <c r="CP2472" s="38"/>
      <c r="CQ2472" s="38"/>
      <c r="CR2472" s="38"/>
      <c r="CS2472" s="38"/>
      <c r="CT2472" s="38"/>
      <c r="CU2472" s="38"/>
      <c r="CV2472" s="38"/>
      <c r="CW2472" s="38"/>
      <c r="CX2472" s="38"/>
      <c r="CY2472" s="38"/>
      <c r="CZ2472" s="38"/>
      <c r="DA2472" s="38"/>
      <c r="DB2472" s="38"/>
      <c r="DC2472" s="38"/>
      <c r="DD2472" s="38"/>
      <c r="DE2472" s="38"/>
      <c r="DF2472" s="38"/>
      <c r="DG2472" s="38"/>
      <c r="DH2472" s="38"/>
      <c r="DI2472" s="38"/>
      <c r="DJ2472" s="38"/>
      <c r="DK2472" s="38"/>
      <c r="DL2472" s="38"/>
      <c r="DM2472" s="38"/>
      <c r="DN2472" s="38"/>
      <c r="DO2472" s="38"/>
      <c r="DP2472" s="38"/>
      <c r="DQ2472" s="38"/>
      <c r="DR2472" s="38"/>
      <c r="DS2472" s="38"/>
      <c r="DT2472" s="38"/>
      <c r="DU2472" s="38"/>
      <c r="DV2472" s="38"/>
      <c r="DW2472" s="38"/>
      <c r="DX2472" s="38"/>
      <c r="DY2472" s="38"/>
      <c r="DZ2472" s="38"/>
      <c r="EA2472" s="38"/>
      <c r="EB2472" s="38"/>
      <c r="EC2472" s="38"/>
      <c r="ED2472" s="38"/>
      <c r="EE2472" s="38"/>
      <c r="EF2472" s="38"/>
      <c r="EG2472" s="38"/>
      <c r="EH2472" s="38"/>
      <c r="EI2472" s="38"/>
      <c r="EJ2472" s="38"/>
      <c r="EK2472" s="38"/>
      <c r="EL2472" s="38"/>
      <c r="EM2472" s="38"/>
      <c r="EN2472" s="38"/>
      <c r="EO2472" s="38"/>
      <c r="EP2472" s="38"/>
      <c r="EQ2472" s="38"/>
      <c r="ER2472" s="38"/>
      <c r="ES2472" s="38"/>
      <c r="ET2472" s="38"/>
      <c r="EU2472" s="38"/>
      <c r="EV2472" s="38"/>
      <c r="EW2472" s="38"/>
      <c r="EX2472" s="38"/>
      <c r="EY2472" s="38"/>
      <c r="EZ2472" s="38"/>
      <c r="FA2472" s="38"/>
      <c r="FB2472" s="38"/>
      <c r="FC2472" s="38"/>
      <c r="FD2472" s="38"/>
      <c r="FE2472" s="38"/>
      <c r="FF2472" s="38"/>
      <c r="FG2472" s="38"/>
      <c r="FH2472" s="38"/>
      <c r="FI2472" s="38"/>
      <c r="FJ2472" s="38"/>
      <c r="FK2472" s="38"/>
      <c r="FL2472" s="38"/>
      <c r="FM2472" s="38"/>
      <c r="FN2472" s="38"/>
      <c r="FO2472" s="38"/>
      <c r="FP2472" s="38"/>
      <c r="FQ2472" s="38"/>
      <c r="FR2472" s="38"/>
      <c r="FS2472" s="38"/>
      <c r="FT2472" s="38"/>
      <c r="FU2472" s="38"/>
      <c r="FV2472" s="38"/>
      <c r="FW2472" s="38"/>
      <c r="FX2472" s="38"/>
      <c r="FY2472" s="38"/>
      <c r="FZ2472" s="38"/>
      <c r="GA2472" s="38"/>
      <c r="GB2472" s="38"/>
      <c r="GC2472" s="38"/>
      <c r="GD2472" s="38"/>
      <c r="GE2472" s="38"/>
      <c r="GF2472" s="38"/>
      <c r="GG2472" s="38"/>
      <c r="GH2472" s="38"/>
      <c r="GI2472" s="38"/>
      <c r="GJ2472" s="38"/>
      <c r="GK2472" s="38"/>
      <c r="GL2472" s="38"/>
      <c r="GM2472" s="38"/>
      <c r="GN2472" s="38"/>
      <c r="GO2472" s="38"/>
      <c r="GP2472" s="38"/>
      <c r="GQ2472" s="38"/>
      <c r="GR2472" s="38"/>
      <c r="GS2472" s="38"/>
      <c r="GT2472" s="38"/>
      <c r="GU2472" s="38"/>
      <c r="GV2472" s="38"/>
      <c r="GW2472" s="38"/>
      <c r="GX2472" s="38"/>
      <c r="GY2472" s="38"/>
      <c r="GZ2472" s="38"/>
      <c r="HA2472" s="38"/>
      <c r="HB2472" s="38"/>
      <c r="HC2472" s="38"/>
      <c r="HD2472" s="38"/>
      <c r="HE2472" s="38"/>
      <c r="HF2472" s="38"/>
      <c r="HG2472" s="38"/>
      <c r="HH2472" s="38"/>
      <c r="HI2472" s="38"/>
      <c r="HJ2472" s="38"/>
      <c r="HK2472" s="38"/>
      <c r="HL2472" s="38"/>
      <c r="HM2472" s="38"/>
      <c r="HN2472" s="38"/>
      <c r="HO2472" s="38"/>
      <c r="HP2472" s="38"/>
      <c r="HQ2472" s="38"/>
      <c r="HR2472" s="38"/>
      <c r="HS2472" s="38"/>
      <c r="HT2472" s="38"/>
      <c r="HU2472" s="38"/>
      <c r="HV2472" s="38"/>
      <c r="HW2472" s="38"/>
      <c r="HX2472" s="38"/>
      <c r="HY2472" s="38"/>
      <c r="HZ2472" s="38"/>
      <c r="IA2472" s="38"/>
      <c r="IB2472" s="38"/>
      <c r="IC2472" s="38"/>
      <c r="ID2472" s="38"/>
      <c r="IE2472" s="38"/>
      <c r="IF2472" s="38"/>
      <c r="IG2472" s="38"/>
      <c r="IH2472" s="38"/>
      <c r="II2472" s="38"/>
      <c r="IJ2472" s="38"/>
      <c r="IK2472" s="38"/>
      <c r="IL2472" s="38"/>
      <c r="IM2472" s="38"/>
      <c r="IN2472" s="38"/>
      <c r="IO2472" s="38"/>
      <c r="IP2472" s="38"/>
      <c r="IQ2472" s="38"/>
      <c r="IR2472" s="38"/>
      <c r="IS2472" s="38"/>
      <c r="IT2472" s="38"/>
      <c r="IU2472" s="38"/>
      <c r="IV2472" s="38"/>
      <c r="IW2472" s="38"/>
      <c r="IX2472" s="38"/>
      <c r="IY2472" s="38"/>
      <c r="IZ2472" s="38"/>
      <c r="JA2472" s="38"/>
      <c r="JB2472" s="38"/>
      <c r="JC2472" s="38"/>
      <c r="JD2472" s="38"/>
      <c r="JE2472" s="38"/>
      <c r="JF2472" s="38"/>
      <c r="JG2472" s="38"/>
      <c r="JH2472" s="38"/>
      <c r="JI2472" s="38"/>
      <c r="JJ2472" s="38"/>
      <c r="JK2472" s="38"/>
      <c r="JL2472" s="38"/>
      <c r="JM2472" s="38"/>
      <c r="JN2472" s="38"/>
      <c r="JO2472" s="38"/>
      <c r="JP2472" s="38"/>
      <c r="JQ2472" s="38"/>
      <c r="JR2472" s="38"/>
      <c r="JS2472" s="38"/>
      <c r="JT2472" s="38"/>
      <c r="JU2472" s="38"/>
      <c r="JV2472" s="38"/>
      <c r="JW2472" s="38"/>
      <c r="JX2472" s="38"/>
      <c r="JY2472" s="38"/>
      <c r="JZ2472" s="38"/>
      <c r="KA2472" s="38"/>
      <c r="KB2472" s="38"/>
      <c r="KC2472" s="38"/>
      <c r="KD2472" s="38"/>
      <c r="KE2472" s="38"/>
      <c r="KF2472" s="38"/>
      <c r="KG2472" s="38"/>
      <c r="KH2472" s="38"/>
      <c r="KI2472" s="38"/>
      <c r="KJ2472" s="38"/>
      <c r="KK2472" s="38"/>
      <c r="KL2472" s="38"/>
      <c r="KM2472" s="38"/>
      <c r="KN2472" s="38"/>
      <c r="KO2472" s="38"/>
      <c r="KP2472" s="38"/>
      <c r="KQ2472" s="38"/>
      <c r="KR2472" s="38"/>
      <c r="KS2472" s="38"/>
      <c r="KT2472" s="38"/>
      <c r="KU2472" s="38"/>
      <c r="KV2472" s="38"/>
      <c r="KW2472" s="38"/>
      <c r="KX2472" s="38"/>
      <c r="KY2472" s="38"/>
      <c r="KZ2472" s="38"/>
      <c r="LA2472" s="38"/>
      <c r="LB2472" s="38"/>
      <c r="LC2472" s="38"/>
      <c r="LD2472" s="38"/>
      <c r="LE2472" s="38"/>
      <c r="LF2472" s="38"/>
      <c r="LG2472" s="38"/>
      <c r="LH2472" s="38"/>
      <c r="LI2472" s="38"/>
      <c r="LJ2472" s="38"/>
      <c r="LK2472" s="38"/>
      <c r="LL2472" s="38"/>
      <c r="LM2472" s="38"/>
      <c r="LN2472" s="38"/>
      <c r="LO2472" s="38"/>
      <c r="LP2472" s="38"/>
      <c r="LQ2472" s="38"/>
      <c r="LR2472" s="38"/>
      <c r="LS2472" s="38"/>
      <c r="LT2472" s="38"/>
      <c r="LU2472" s="38"/>
      <c r="LV2472" s="38"/>
      <c r="LW2472" s="38"/>
      <c r="LX2472" s="38"/>
      <c r="LY2472" s="38"/>
      <c r="LZ2472" s="38"/>
      <c r="MA2472" s="38"/>
      <c r="MB2472" s="38"/>
      <c r="MC2472" s="38"/>
      <c r="MD2472" s="38"/>
      <c r="ME2472" s="38"/>
      <c r="MF2472" s="38"/>
      <c r="MG2472" s="38"/>
      <c r="MH2472" s="38"/>
      <c r="MI2472" s="38"/>
      <c r="MJ2472" s="38"/>
      <c r="MK2472" s="38"/>
      <c r="ML2472" s="38"/>
      <c r="MM2472" s="38"/>
      <c r="MN2472" s="38"/>
      <c r="MO2472" s="38"/>
      <c r="MP2472" s="38"/>
      <c r="MQ2472" s="38"/>
      <c r="MR2472" s="38"/>
      <c r="MS2472" s="38"/>
      <c r="MT2472" s="38"/>
      <c r="MU2472" s="38"/>
      <c r="MV2472" s="38"/>
      <c r="MW2472" s="38"/>
      <c r="MX2472" s="38"/>
      <c r="MY2472" s="38"/>
      <c r="MZ2472" s="38"/>
      <c r="NA2472" s="38"/>
      <c r="NB2472" s="38"/>
      <c r="NC2472" s="38"/>
      <c r="ND2472" s="38"/>
      <c r="NE2472" s="38"/>
      <c r="NF2472" s="38"/>
      <c r="NG2472" s="38"/>
      <c r="NH2472" s="38"/>
      <c r="NI2472" s="38"/>
      <c r="NJ2472" s="38"/>
      <c r="NK2472" s="38"/>
      <c r="NL2472" s="38"/>
      <c r="NM2472" s="38"/>
      <c r="NN2472" s="38"/>
      <c r="NO2472" s="38"/>
      <c r="NP2472" s="38"/>
      <c r="NQ2472" s="38"/>
      <c r="NR2472" s="38"/>
      <c r="NS2472" s="38"/>
      <c r="NT2472" s="38"/>
      <c r="NU2472" s="38"/>
      <c r="NV2472" s="38"/>
      <c r="NW2472" s="38"/>
      <c r="NX2472" s="38"/>
      <c r="NY2472" s="38"/>
      <c r="NZ2472" s="38"/>
      <c r="OA2472" s="38"/>
      <c r="OB2472" s="38"/>
      <c r="OC2472" s="38"/>
      <c r="OD2472" s="38"/>
      <c r="OE2472" s="38"/>
      <c r="OF2472" s="38"/>
      <c r="OG2472" s="38"/>
      <c r="OH2472" s="38"/>
      <c r="OI2472" s="38"/>
      <c r="OJ2472" s="38"/>
      <c r="OK2472" s="38"/>
      <c r="OL2472" s="38"/>
      <c r="OM2472" s="38"/>
      <c r="ON2472" s="38"/>
      <c r="OO2472" s="38"/>
      <c r="OP2472" s="38"/>
      <c r="OQ2472" s="38"/>
      <c r="OR2472" s="38"/>
      <c r="OS2472" s="38"/>
      <c r="OT2472" s="38"/>
      <c r="OU2472" s="38"/>
      <c r="OV2472" s="38"/>
      <c r="OW2472" s="38"/>
      <c r="OX2472" s="38"/>
      <c r="OY2472" s="38"/>
      <c r="OZ2472" s="38"/>
      <c r="PA2472" s="38"/>
      <c r="PB2472" s="38"/>
      <c r="PC2472" s="38"/>
      <c r="PD2472" s="38"/>
      <c r="PE2472" s="38"/>
      <c r="PF2472" s="38"/>
      <c r="PG2472" s="38"/>
      <c r="PH2472" s="38"/>
      <c r="PI2472" s="38"/>
      <c r="PJ2472" s="38"/>
      <c r="PK2472" s="38"/>
      <c r="PL2472" s="38"/>
      <c r="PM2472" s="38"/>
      <c r="PN2472" s="38"/>
      <c r="PO2472" s="38"/>
      <c r="PP2472" s="38"/>
      <c r="PQ2472" s="38"/>
      <c r="PR2472" s="38"/>
      <c r="PS2472" s="38"/>
      <c r="PT2472" s="38"/>
      <c r="PU2472" s="38"/>
      <c r="PV2472" s="38"/>
      <c r="PW2472" s="38"/>
      <c r="PX2472" s="38"/>
      <c r="PY2472" s="38"/>
      <c r="PZ2472" s="38"/>
      <c r="QA2472" s="38"/>
      <c r="QB2472" s="38"/>
      <c r="QC2472" s="38"/>
      <c r="QD2472" s="38"/>
      <c r="QE2472" s="38"/>
      <c r="QF2472" s="38"/>
      <c r="QG2472" s="38"/>
      <c r="QH2472" s="38"/>
      <c r="QI2472" s="38"/>
      <c r="QJ2472" s="38"/>
      <c r="QK2472" s="38"/>
      <c r="QL2472" s="38"/>
      <c r="QM2472" s="38"/>
      <c r="QN2472" s="38"/>
      <c r="QO2472" s="38"/>
      <c r="QP2472" s="38"/>
      <c r="QQ2472" s="38"/>
      <c r="QR2472" s="38"/>
      <c r="QS2472" s="38"/>
      <c r="QT2472" s="38"/>
      <c r="QU2472" s="38"/>
      <c r="QV2472" s="38"/>
      <c r="QW2472" s="38"/>
      <c r="QX2472" s="38"/>
      <c r="QY2472" s="38"/>
      <c r="QZ2472" s="38"/>
      <c r="RA2472" s="38"/>
      <c r="RB2472" s="38"/>
      <c r="RC2472" s="38"/>
      <c r="RD2472" s="38"/>
      <c r="RE2472" s="38"/>
      <c r="RF2472" s="38"/>
      <c r="RG2472" s="38"/>
      <c r="RH2472" s="38"/>
      <c r="RI2472" s="38"/>
      <c r="RJ2472" s="38"/>
      <c r="RK2472" s="38"/>
      <c r="RL2472" s="38"/>
      <c r="RM2472" s="38"/>
      <c r="RN2472" s="38"/>
      <c r="RO2472" s="38"/>
      <c r="RP2472" s="38"/>
      <c r="RQ2472" s="38"/>
      <c r="RR2472" s="38"/>
      <c r="RS2472" s="38"/>
      <c r="RT2472" s="38"/>
      <c r="RU2472" s="38"/>
      <c r="RV2472" s="38"/>
      <c r="RW2472" s="38"/>
      <c r="RX2472" s="38"/>
      <c r="RY2472" s="38"/>
      <c r="RZ2472" s="38"/>
      <c r="SA2472" s="38"/>
      <c r="SB2472" s="38"/>
      <c r="SC2472" s="38"/>
      <c r="SD2472" s="38"/>
      <c r="SE2472" s="38"/>
      <c r="SF2472" s="38"/>
      <c r="SG2472" s="38"/>
      <c r="SH2472" s="38"/>
      <c r="SI2472" s="38"/>
      <c r="SJ2472" s="38"/>
      <c r="SK2472" s="38"/>
      <c r="SL2472" s="38"/>
      <c r="SM2472" s="38"/>
      <c r="SN2472" s="38"/>
      <c r="SO2472" s="38"/>
      <c r="SP2472" s="38"/>
      <c r="SQ2472" s="38"/>
      <c r="SR2472" s="38"/>
      <c r="SS2472" s="38"/>
      <c r="ST2472" s="38"/>
      <c r="SU2472" s="38"/>
      <c r="SV2472" s="38"/>
      <c r="SW2472" s="38"/>
      <c r="SX2472" s="38"/>
      <c r="SY2472" s="38"/>
      <c r="SZ2472" s="38"/>
      <c r="TA2472" s="38"/>
      <c r="TB2472" s="38"/>
      <c r="TC2472" s="38"/>
      <c r="TD2472" s="38"/>
      <c r="TE2472" s="38"/>
      <c r="TF2472" s="38"/>
      <c r="TG2472" s="38"/>
      <c r="TH2472" s="38"/>
      <c r="TI2472" s="38"/>
      <c r="TJ2472" s="38"/>
      <c r="TK2472" s="38"/>
      <c r="TL2472" s="38"/>
      <c r="TM2472" s="38"/>
      <c r="TN2472" s="38"/>
      <c r="TO2472" s="38"/>
      <c r="TP2472" s="38"/>
      <c r="TQ2472" s="38"/>
      <c r="TR2472" s="38"/>
      <c r="TS2472" s="38"/>
      <c r="TT2472" s="38"/>
      <c r="TU2472" s="38"/>
      <c r="TV2472" s="38"/>
      <c r="TW2472" s="38"/>
      <c r="TX2472" s="38"/>
      <c r="TY2472" s="38"/>
      <c r="TZ2472" s="38"/>
      <c r="UA2472" s="38"/>
      <c r="UB2472" s="38"/>
      <c r="UC2472" s="38"/>
      <c r="UD2472" s="38"/>
      <c r="UE2472" s="38"/>
      <c r="UF2472" s="38"/>
      <c r="UG2472" s="38"/>
      <c r="UH2472" s="38"/>
      <c r="UI2472" s="38"/>
      <c r="UJ2472" s="38"/>
      <c r="UK2472" s="38"/>
      <c r="UL2472" s="38"/>
      <c r="UM2472" s="38"/>
      <c r="UN2472" s="38"/>
      <c r="UO2472" s="38"/>
      <c r="UP2472" s="38"/>
      <c r="UQ2472" s="38"/>
      <c r="UR2472" s="38"/>
      <c r="US2472" s="38"/>
      <c r="UT2472" s="38"/>
      <c r="UU2472" s="38"/>
      <c r="UV2472" s="38"/>
      <c r="UW2472" s="38"/>
      <c r="UX2472" s="38"/>
      <c r="UY2472" s="38"/>
      <c r="UZ2472" s="38"/>
      <c r="VA2472" s="38"/>
      <c r="VB2472" s="38"/>
      <c r="VC2472" s="38"/>
      <c r="VD2472" s="38"/>
      <c r="VE2472" s="38"/>
      <c r="VF2472" s="38"/>
      <c r="VG2472" s="38"/>
      <c r="VH2472" s="38"/>
      <c r="VI2472" s="38"/>
      <c r="VJ2472" s="38"/>
      <c r="VK2472" s="38"/>
      <c r="VL2472" s="38"/>
      <c r="VM2472" s="38"/>
      <c r="VN2472" s="38"/>
      <c r="VO2472" s="38"/>
      <c r="VP2472" s="38"/>
      <c r="VQ2472" s="38"/>
      <c r="VR2472" s="38"/>
      <c r="VS2472" s="38"/>
      <c r="VT2472" s="38"/>
      <c r="VU2472" s="38"/>
      <c r="VV2472" s="38"/>
      <c r="VW2472" s="38"/>
      <c r="VX2472" s="38"/>
      <c r="VY2472" s="38"/>
      <c r="VZ2472" s="38"/>
      <c r="WA2472" s="38"/>
      <c r="WB2472" s="38"/>
      <c r="WC2472" s="38"/>
      <c r="WD2472" s="38"/>
      <c r="WE2472" s="38"/>
      <c r="WF2472" s="38"/>
      <c r="WG2472" s="38"/>
      <c r="WH2472" s="38"/>
      <c r="WI2472" s="38"/>
      <c r="WJ2472" s="38"/>
      <c r="WK2472" s="38"/>
      <c r="WL2472" s="38"/>
      <c r="WM2472" s="38"/>
      <c r="WN2472" s="38"/>
      <c r="WO2472" s="38"/>
      <c r="WP2472" s="38"/>
      <c r="WQ2472" s="38"/>
      <c r="WR2472" s="38"/>
      <c r="WS2472" s="38"/>
      <c r="WT2472" s="38"/>
      <c r="WU2472" s="38"/>
      <c r="WV2472" s="38"/>
      <c r="WW2472" s="38"/>
      <c r="WX2472" s="38"/>
      <c r="WY2472" s="38"/>
      <c r="WZ2472" s="38"/>
      <c r="XA2472" s="38"/>
      <c r="XB2472" s="38"/>
      <c r="XC2472" s="38"/>
      <c r="XD2472" s="38"/>
      <c r="XE2472" s="38"/>
      <c r="XF2472" s="38"/>
      <c r="XG2472" s="38"/>
      <c r="XH2472" s="38"/>
      <c r="XI2472" s="38"/>
      <c r="XJ2472" s="38"/>
      <c r="XK2472" s="38"/>
      <c r="XL2472" s="38"/>
      <c r="XM2472" s="38"/>
      <c r="XN2472" s="38"/>
      <c r="XO2472" s="38"/>
      <c r="XP2472" s="38"/>
      <c r="XQ2472" s="38"/>
      <c r="XR2472" s="38"/>
      <c r="XS2472" s="38"/>
      <c r="XT2472" s="38"/>
      <c r="XU2472" s="38"/>
      <c r="XV2472" s="38"/>
      <c r="XW2472" s="38"/>
      <c r="XX2472" s="38"/>
      <c r="XY2472" s="38"/>
      <c r="XZ2472" s="38"/>
      <c r="YA2472" s="38"/>
      <c r="YB2472" s="38"/>
      <c r="YC2472" s="38"/>
      <c r="YD2472" s="38"/>
      <c r="YE2472" s="38"/>
      <c r="YF2472" s="38"/>
      <c r="YG2472" s="38"/>
      <c r="YH2472" s="38"/>
      <c r="YI2472" s="38"/>
      <c r="YJ2472" s="38"/>
      <c r="YK2472" s="38"/>
      <c r="YL2472" s="38"/>
      <c r="YM2472" s="38"/>
      <c r="YN2472" s="38"/>
      <c r="YO2472" s="38"/>
      <c r="YP2472" s="38"/>
      <c r="YQ2472" s="38"/>
      <c r="YR2472" s="38"/>
      <c r="YS2472" s="38"/>
      <c r="YT2472" s="38"/>
      <c r="YU2472" s="38"/>
      <c r="YV2472" s="38"/>
      <c r="YW2472" s="38"/>
      <c r="YX2472" s="38"/>
      <c r="YY2472" s="38"/>
      <c r="YZ2472" s="38"/>
      <c r="ZA2472" s="38"/>
      <c r="ZB2472" s="38"/>
      <c r="ZC2472" s="38"/>
      <c r="ZD2472" s="38"/>
      <c r="ZE2472" s="38"/>
      <c r="ZF2472" s="38"/>
      <c r="ZG2472" s="38"/>
      <c r="ZH2472" s="38"/>
      <c r="ZI2472" s="38"/>
      <c r="ZJ2472" s="38"/>
      <c r="ZK2472" s="38"/>
      <c r="ZL2472" s="38"/>
      <c r="ZM2472" s="38"/>
      <c r="ZN2472" s="38"/>
      <c r="ZO2472" s="38"/>
      <c r="ZP2472" s="38"/>
      <c r="ZQ2472" s="38"/>
      <c r="ZR2472" s="38"/>
      <c r="ZS2472" s="38"/>
      <c r="ZT2472" s="38"/>
      <c r="ZU2472" s="38"/>
      <c r="ZV2472" s="38"/>
      <c r="ZW2472" s="38"/>
      <c r="ZX2472" s="38"/>
      <c r="ZY2472" s="38"/>
      <c r="ZZ2472" s="38"/>
      <c r="AAA2472" s="38"/>
      <c r="AAB2472" s="38"/>
      <c r="AAC2472" s="38"/>
      <c r="AAD2472" s="38"/>
      <c r="AAE2472" s="38"/>
      <c r="AAF2472" s="38"/>
      <c r="AAG2472" s="38"/>
      <c r="AAH2472" s="38"/>
      <c r="AAI2472" s="38"/>
      <c r="AAJ2472" s="38"/>
      <c r="AAK2472" s="38"/>
      <c r="AAL2472" s="38"/>
      <c r="AAM2472" s="38"/>
      <c r="AAN2472" s="38"/>
      <c r="AAO2472" s="38"/>
      <c r="AAP2472" s="38"/>
      <c r="AAQ2472" s="38"/>
      <c r="AAR2472" s="38"/>
      <c r="AAS2472" s="38"/>
      <c r="AAT2472" s="38"/>
      <c r="AAU2472" s="38"/>
      <c r="AAV2472" s="38"/>
      <c r="AAW2472" s="38"/>
      <c r="AAX2472" s="38"/>
      <c r="AAY2472" s="38"/>
      <c r="AAZ2472" s="38"/>
      <c r="ABA2472" s="38"/>
      <c r="ABB2472" s="38"/>
      <c r="ABC2472" s="38"/>
      <c r="ABD2472" s="38"/>
      <c r="ABE2472" s="38"/>
      <c r="ABF2472" s="38"/>
      <c r="ABG2472" s="38"/>
      <c r="ABH2472" s="38"/>
      <c r="ABI2472" s="38"/>
      <c r="ABJ2472" s="38"/>
      <c r="ABK2472" s="38"/>
      <c r="ABL2472" s="38"/>
      <c r="ABM2472" s="38"/>
      <c r="ABN2472" s="38"/>
      <c r="ABO2472" s="38"/>
      <c r="ABP2472" s="38"/>
      <c r="ABQ2472" s="38"/>
      <c r="ABR2472" s="38"/>
      <c r="ABS2472" s="38"/>
      <c r="ABT2472" s="38"/>
      <c r="ABU2472" s="38"/>
      <c r="ABV2472" s="38"/>
      <c r="ABW2472" s="38"/>
      <c r="ABX2472" s="38"/>
      <c r="ABY2472" s="38"/>
      <c r="ABZ2472" s="38"/>
      <c r="ACA2472" s="38"/>
      <c r="ACB2472" s="38"/>
      <c r="ACC2472" s="38"/>
      <c r="ACD2472" s="38"/>
      <c r="ACE2472" s="38"/>
      <c r="ACF2472" s="38"/>
      <c r="ACG2472" s="38"/>
      <c r="ACH2472" s="38"/>
      <c r="ACI2472" s="38"/>
      <c r="ACJ2472" s="38"/>
      <c r="ACK2472" s="38"/>
      <c r="ACL2472" s="38"/>
      <c r="ACM2472" s="38"/>
      <c r="ACN2472" s="38"/>
      <c r="ACO2472" s="38"/>
      <c r="ACP2472" s="38"/>
      <c r="ACQ2472" s="38"/>
      <c r="ACR2472" s="38"/>
      <c r="ACS2472" s="38"/>
      <c r="ACT2472" s="38"/>
      <c r="ACU2472" s="38"/>
      <c r="ACV2472" s="38"/>
      <c r="ACW2472" s="38"/>
      <c r="ACX2472" s="38"/>
      <c r="ACY2472" s="38"/>
      <c r="ACZ2472" s="38"/>
      <c r="ADA2472" s="38"/>
      <c r="ADB2472" s="38"/>
      <c r="ADC2472" s="38"/>
      <c r="ADD2472" s="38"/>
      <c r="ADE2472" s="38"/>
      <c r="ADF2472" s="38"/>
      <c r="ADG2472" s="38"/>
      <c r="ADH2472" s="38"/>
      <c r="ADI2472" s="38"/>
      <c r="ADJ2472" s="38"/>
      <c r="ADK2472" s="38"/>
      <c r="ADL2472" s="38"/>
      <c r="ADM2472" s="38"/>
      <c r="ADN2472" s="38"/>
      <c r="ADO2472" s="38"/>
      <c r="ADP2472" s="38"/>
      <c r="ADQ2472" s="38"/>
      <c r="ADR2472" s="38"/>
      <c r="ADS2472" s="38"/>
      <c r="ADT2472" s="38"/>
      <c r="ADU2472" s="38"/>
      <c r="ADV2472" s="38"/>
      <c r="ADW2472" s="38"/>
      <c r="ADX2472" s="38"/>
      <c r="ADY2472" s="38"/>
      <c r="ADZ2472" s="38"/>
      <c r="AEA2472" s="38"/>
      <c r="AEB2472" s="38"/>
      <c r="AEC2472" s="38"/>
      <c r="AED2472" s="38"/>
      <c r="AEE2472" s="38"/>
      <c r="AEF2472" s="38"/>
      <c r="AEG2472" s="38"/>
      <c r="AEH2472" s="38"/>
      <c r="AEI2472" s="38"/>
      <c r="AEJ2472" s="38"/>
      <c r="AEK2472" s="38"/>
      <c r="AEL2472" s="38"/>
      <c r="AEM2472" s="38"/>
      <c r="AEN2472" s="38"/>
      <c r="AEO2472" s="38"/>
      <c r="AEP2472" s="38"/>
      <c r="AEQ2472" s="38"/>
      <c r="AER2472" s="38"/>
      <c r="AES2472" s="38"/>
      <c r="AET2472" s="38"/>
      <c r="AEU2472" s="38"/>
      <c r="AEV2472" s="38"/>
      <c r="AEW2472" s="38"/>
      <c r="AEX2472" s="38"/>
      <c r="AEY2472" s="38"/>
      <c r="AEZ2472" s="38"/>
      <c r="AFA2472" s="38"/>
      <c r="AFB2472" s="38"/>
      <c r="AFC2472" s="38"/>
      <c r="AFD2472" s="38"/>
      <c r="AFE2472" s="38"/>
      <c r="AFF2472" s="38"/>
      <c r="AFG2472" s="38"/>
      <c r="AFH2472" s="38"/>
      <c r="AFI2472" s="38"/>
      <c r="AFJ2472" s="38"/>
      <c r="AFK2472" s="38"/>
      <c r="AFL2472" s="38"/>
      <c r="AFM2472" s="38"/>
      <c r="AFN2472" s="38"/>
      <c r="AFO2472" s="38"/>
      <c r="AFP2472" s="38"/>
      <c r="AFQ2472" s="38"/>
      <c r="AFR2472" s="38"/>
      <c r="AFS2472" s="38"/>
      <c r="AFT2472" s="38"/>
      <c r="AFU2472" s="38"/>
      <c r="AFV2472" s="38"/>
      <c r="AFW2472" s="38"/>
      <c r="AFX2472" s="38"/>
      <c r="AFY2472" s="38"/>
      <c r="AFZ2472" s="38"/>
      <c r="AGA2472" s="38"/>
      <c r="AGB2472" s="38"/>
      <c r="AGC2472" s="38"/>
      <c r="AGD2472" s="38"/>
      <c r="AGE2472" s="38"/>
      <c r="AGF2472" s="38"/>
      <c r="AGG2472" s="38"/>
      <c r="AGH2472" s="38"/>
      <c r="AGI2472" s="38"/>
      <c r="AGJ2472" s="38"/>
      <c r="AGK2472" s="38"/>
      <c r="AGL2472" s="38"/>
      <c r="AGM2472" s="38"/>
      <c r="AGN2472" s="38"/>
      <c r="AGO2472" s="38"/>
      <c r="AGP2472" s="38"/>
      <c r="AGQ2472" s="38"/>
      <c r="AGR2472" s="38"/>
      <c r="AGS2472" s="38"/>
      <c r="AGT2472" s="38"/>
      <c r="AGU2472" s="38"/>
      <c r="AGV2472" s="38"/>
      <c r="AGW2472" s="38"/>
      <c r="AGX2472" s="38"/>
      <c r="AGY2472" s="38"/>
      <c r="AGZ2472" s="38"/>
      <c r="AHA2472" s="38"/>
      <c r="AHB2472" s="38"/>
      <c r="AHC2472" s="38"/>
      <c r="AHD2472" s="38"/>
      <c r="AHE2472" s="38"/>
      <c r="AHF2472" s="38"/>
      <c r="AHG2472" s="38"/>
      <c r="AHH2472" s="38"/>
      <c r="AHI2472" s="38"/>
      <c r="AHJ2472" s="38"/>
      <c r="AHK2472" s="38"/>
      <c r="AHL2472" s="38"/>
      <c r="AHM2472" s="38"/>
      <c r="AHN2472" s="38"/>
      <c r="AHO2472" s="38"/>
      <c r="AHP2472" s="38"/>
      <c r="AHQ2472" s="38"/>
      <c r="AHR2472" s="38"/>
      <c r="AHS2472" s="38"/>
      <c r="AHT2472" s="38"/>
      <c r="AHU2472" s="38"/>
      <c r="AHV2472" s="38"/>
      <c r="AHW2472" s="38"/>
      <c r="AHX2472" s="38"/>
      <c r="AHY2472" s="38"/>
      <c r="AHZ2472" s="38"/>
      <c r="AIA2472" s="38"/>
      <c r="AIB2472" s="38"/>
      <c r="AIC2472" s="38"/>
      <c r="AID2472" s="38"/>
      <c r="AIE2472" s="38"/>
      <c r="AIF2472" s="38"/>
      <c r="AIG2472" s="38"/>
      <c r="AIH2472" s="38"/>
      <c r="AII2472" s="38"/>
      <c r="AIJ2472" s="38"/>
      <c r="AIK2472" s="38"/>
      <c r="AIL2472" s="38"/>
      <c r="AIM2472" s="38"/>
      <c r="AIN2472" s="38"/>
      <c r="AIO2472" s="38"/>
      <c r="AIP2472" s="38"/>
      <c r="AIQ2472" s="38"/>
      <c r="AIR2472" s="38"/>
      <c r="AIS2472" s="38"/>
      <c r="AIT2472" s="38"/>
      <c r="AIU2472" s="38"/>
      <c r="AIV2472" s="38"/>
      <c r="AIW2472" s="38"/>
      <c r="AIX2472" s="38"/>
      <c r="AIY2472" s="38"/>
      <c r="AIZ2472" s="38"/>
      <c r="AJA2472" s="38"/>
      <c r="AJB2472" s="38"/>
      <c r="AJC2472" s="38"/>
      <c r="AJD2472" s="38"/>
      <c r="AJE2472" s="38"/>
      <c r="AJF2472" s="38"/>
      <c r="AJG2472" s="38"/>
      <c r="AJH2472" s="38"/>
      <c r="AJI2472" s="38"/>
      <c r="AJJ2472" s="38"/>
      <c r="AJK2472" s="38"/>
      <c r="AJL2472" s="38"/>
      <c r="AJM2472" s="38"/>
      <c r="AJN2472" s="38"/>
      <c r="AJO2472" s="38"/>
      <c r="AJP2472" s="38"/>
      <c r="AJQ2472" s="38"/>
      <c r="AJR2472" s="38"/>
      <c r="AJS2472" s="38"/>
      <c r="AJT2472" s="38"/>
      <c r="AJU2472" s="38"/>
      <c r="AJV2472" s="38"/>
      <c r="AJW2472" s="38"/>
      <c r="AJX2472" s="38"/>
      <c r="AJY2472" s="38"/>
      <c r="AJZ2472" s="38"/>
      <c r="AKA2472" s="38"/>
      <c r="AKB2472" s="38"/>
      <c r="AKC2472" s="38"/>
      <c r="AKD2472" s="38"/>
      <c r="AKE2472" s="38"/>
      <c r="AKF2472" s="38"/>
      <c r="AKG2472" s="38"/>
      <c r="AKH2472" s="38"/>
      <c r="AKI2472" s="38"/>
      <c r="AKJ2472" s="38"/>
      <c r="AKK2472" s="38"/>
      <c r="AKL2472" s="38"/>
      <c r="AKM2472" s="38"/>
      <c r="AKN2472" s="38"/>
      <c r="AKO2472" s="38"/>
      <c r="AKP2472" s="38"/>
      <c r="AKQ2472" s="38"/>
      <c r="AKR2472" s="38"/>
      <c r="AKS2472" s="38"/>
      <c r="AKT2472" s="38"/>
      <c r="AKU2472" s="38"/>
      <c r="AKV2472" s="38"/>
      <c r="AKW2472" s="38"/>
      <c r="AKX2472" s="38"/>
      <c r="AKY2472" s="38"/>
      <c r="AKZ2472" s="38"/>
      <c r="ALA2472" s="38"/>
      <c r="ALB2472" s="38"/>
      <c r="ALC2472" s="38"/>
      <c r="ALD2472" s="38"/>
      <c r="ALE2472" s="38"/>
      <c r="ALF2472" s="38"/>
      <c r="ALG2472" s="38"/>
      <c r="ALH2472" s="38"/>
      <c r="ALI2472" s="38"/>
      <c r="ALJ2472" s="38"/>
      <c r="ALK2472" s="38"/>
      <c r="ALL2472" s="38"/>
      <c r="ALM2472" s="38"/>
      <c r="ALN2472" s="38"/>
      <c r="ALO2472" s="38"/>
      <c r="ALP2472" s="38"/>
      <c r="ALQ2472" s="38"/>
      <c r="ALR2472" s="38"/>
      <c r="ALS2472" s="38"/>
      <c r="ALT2472" s="38"/>
      <c r="ALU2472" s="38"/>
      <c r="ALV2472" s="38"/>
      <c r="ALW2472" s="38"/>
      <c r="ALX2472" s="38"/>
      <c r="ALY2472" s="38"/>
      <c r="ALZ2472" s="38"/>
      <c r="AMA2472" s="38"/>
      <c r="AMB2472" s="38"/>
      <c r="AMC2472" s="38"/>
      <c r="AMD2472" s="38"/>
      <c r="AME2472" s="38"/>
      <c r="AMF2472" s="38"/>
      <c r="AMG2472" s="38"/>
      <c r="AMH2472" s="38"/>
      <c r="AMI2472" s="38"/>
      <c r="AMJ2472" s="38"/>
      <c r="AMK2472" s="38"/>
      <c r="AML2472" s="38"/>
      <c r="AMM2472" s="38"/>
      <c r="AMN2472" s="38"/>
      <c r="AMO2472" s="38"/>
      <c r="AMP2472" s="38"/>
      <c r="AMQ2472" s="38"/>
      <c r="AMR2472" s="38"/>
      <c r="AMS2472" s="38"/>
      <c r="AMT2472" s="38"/>
      <c r="AMU2472" s="38"/>
      <c r="AMV2472" s="38"/>
      <c r="AMW2472" s="38"/>
      <c r="AMX2472" s="38"/>
      <c r="AMY2472" s="38"/>
      <c r="AMZ2472" s="38"/>
      <c r="ANA2472" s="38"/>
      <c r="ANB2472" s="38"/>
      <c r="ANC2472" s="38"/>
      <c r="AND2472" s="38"/>
      <c r="ANE2472" s="38"/>
      <c r="ANF2472" s="38"/>
      <c r="ANG2472" s="38"/>
      <c r="ANH2472" s="38"/>
      <c r="ANI2472" s="38"/>
      <c r="ANJ2472" s="38"/>
      <c r="ANK2472" s="38"/>
      <c r="ANL2472" s="38"/>
      <c r="ANM2472" s="38"/>
      <c r="ANN2472" s="38"/>
      <c r="ANO2472" s="38"/>
      <c r="ANP2472" s="38"/>
      <c r="ANQ2472" s="38"/>
      <c r="ANR2472" s="38"/>
      <c r="ANS2472" s="38"/>
      <c r="ANT2472" s="38"/>
      <c r="ANU2472" s="38"/>
      <c r="ANV2472" s="38"/>
      <c r="ANW2472" s="38"/>
      <c r="ANX2472" s="38"/>
      <c r="ANY2472" s="38"/>
      <c r="ANZ2472" s="38"/>
      <c r="AOA2472" s="38"/>
      <c r="AOB2472" s="38"/>
      <c r="AOC2472" s="38"/>
      <c r="AOD2472" s="38"/>
      <c r="AOE2472" s="38"/>
      <c r="AOF2472" s="38"/>
      <c r="AOG2472" s="38"/>
      <c r="AOH2472" s="38"/>
      <c r="AOI2472" s="38"/>
      <c r="AOJ2472" s="38"/>
      <c r="AOK2472" s="38"/>
      <c r="AOL2472" s="38"/>
      <c r="AOM2472" s="38"/>
      <c r="AON2472" s="38"/>
      <c r="AOO2472" s="38"/>
      <c r="AOP2472" s="38"/>
      <c r="AOQ2472" s="38"/>
      <c r="AOR2472" s="38"/>
      <c r="AOS2472" s="38"/>
      <c r="AOT2472" s="38"/>
      <c r="AOU2472" s="38"/>
      <c r="AOV2472" s="38"/>
      <c r="AOW2472" s="38"/>
      <c r="AOX2472" s="38"/>
      <c r="AOY2472" s="38"/>
      <c r="AOZ2472" s="38"/>
      <c r="APA2472" s="38"/>
      <c r="APB2472" s="38"/>
      <c r="APC2472" s="38"/>
    </row>
    <row r="2473" spans="1:1095" s="36" customFormat="1" ht="14.25" customHeight="1">
      <c r="A2473" s="3" t="s">
        <v>1722</v>
      </c>
      <c r="B2473" s="36" t="s">
        <v>3095</v>
      </c>
      <c r="C2473" s="10">
        <v>4058075762398</v>
      </c>
      <c r="D2473" s="224">
        <v>4058075762398</v>
      </c>
      <c r="E2473" s="245" t="s">
        <v>3096</v>
      </c>
      <c r="F2473" s="246"/>
      <c r="G2473" s="66" t="str">
        <f>HYPERLINK("https://ledvance.com/pt/product-datasheet/232856/216405","Ficha de Produto")</f>
        <v>Ficha de Produto</v>
      </c>
      <c r="H2473" s="217">
        <v>10</v>
      </c>
      <c r="I2473" s="34" t="s">
        <v>6432</v>
      </c>
      <c r="J2473" s="34" t="s">
        <v>6339</v>
      </c>
      <c r="K2473" s="34" t="s">
        <v>788</v>
      </c>
      <c r="L2473" s="34" t="s">
        <v>793</v>
      </c>
      <c r="M2473" s="247">
        <v>17.8</v>
      </c>
      <c r="N2473" s="288" t="s">
        <v>722</v>
      </c>
    </row>
    <row r="2474" spans="1:1095" s="36" customFormat="1" ht="14.25" customHeight="1">
      <c r="A2474" s="3" t="s">
        <v>1722</v>
      </c>
      <c r="B2474" s="36" t="s">
        <v>3097</v>
      </c>
      <c r="C2474" s="10">
        <v>4058075762374</v>
      </c>
      <c r="D2474" s="224">
        <v>4058075762374</v>
      </c>
      <c r="E2474" s="245" t="s">
        <v>3098</v>
      </c>
      <c r="F2474" s="246"/>
      <c r="G2474" s="66" t="str">
        <f>HYPERLINK("https://ledvance.com/pt/product-datasheet/232856/216408","Ficha de Produto")</f>
        <v>Ficha de Produto</v>
      </c>
      <c r="H2474" s="217">
        <v>10</v>
      </c>
      <c r="I2474" s="34" t="s">
        <v>6432</v>
      </c>
      <c r="J2474" s="34" t="s">
        <v>6339</v>
      </c>
      <c r="K2474" s="34" t="s">
        <v>788</v>
      </c>
      <c r="L2474" s="34" t="s">
        <v>793</v>
      </c>
      <c r="M2474" s="247">
        <v>19.399999999999999</v>
      </c>
      <c r="N2474" s="288" t="s">
        <v>722</v>
      </c>
    </row>
    <row r="2475" spans="1:1095" s="36" customFormat="1" ht="14.25" customHeight="1">
      <c r="A2475" s="3" t="s">
        <v>1722</v>
      </c>
      <c r="B2475" s="36" t="s">
        <v>3099</v>
      </c>
      <c r="C2475" s="10">
        <v>4058075762435</v>
      </c>
      <c r="D2475" s="224">
        <v>4058075762435</v>
      </c>
      <c r="E2475" s="245" t="s">
        <v>3099</v>
      </c>
      <c r="F2475" s="246"/>
      <c r="G2475" s="66" t="str">
        <f>HYPERLINK("https://ledvance.com/pt/product-datasheet/232856/216411","Ficha de Produto")</f>
        <v>Ficha de Produto</v>
      </c>
      <c r="H2475" s="217">
        <v>10</v>
      </c>
      <c r="I2475" s="34" t="s">
        <v>1745</v>
      </c>
      <c r="J2475" s="34" t="s">
        <v>795</v>
      </c>
      <c r="K2475" s="34" t="s">
        <v>788</v>
      </c>
      <c r="L2475" s="34" t="s">
        <v>793</v>
      </c>
      <c r="M2475" s="247">
        <v>22.6</v>
      </c>
      <c r="N2475" s="288" t="s">
        <v>722</v>
      </c>
    </row>
    <row r="2476" spans="1:1095" s="36" customFormat="1" ht="14.25" customHeight="1">
      <c r="A2476" s="3" t="s">
        <v>1722</v>
      </c>
      <c r="B2476" s="36" t="s">
        <v>3100</v>
      </c>
      <c r="C2476" s="10">
        <v>4058075762411</v>
      </c>
      <c r="D2476" s="224">
        <v>4058075762411</v>
      </c>
      <c r="E2476" s="245" t="s">
        <v>3100</v>
      </c>
      <c r="F2476" s="246"/>
      <c r="G2476" s="66" t="str">
        <f>HYPERLINK("https://ledvance.com/pt/product-datasheet/232856/216414","Ficha de Produto")</f>
        <v>Ficha de Produto</v>
      </c>
      <c r="H2476" s="217">
        <v>10</v>
      </c>
      <c r="I2476" s="34" t="s">
        <v>1745</v>
      </c>
      <c r="J2476" s="34" t="s">
        <v>795</v>
      </c>
      <c r="K2476" s="34" t="s">
        <v>788</v>
      </c>
      <c r="L2476" s="34" t="s">
        <v>793</v>
      </c>
      <c r="M2476" s="247">
        <v>23.8</v>
      </c>
      <c r="N2476" s="288" t="s">
        <v>722</v>
      </c>
    </row>
    <row r="2477" spans="1:1095" s="39" customFormat="1" ht="14.25" customHeight="1">
      <c r="A2477" s="8" t="s">
        <v>1722</v>
      </c>
      <c r="B2477" s="244" t="s">
        <v>1708</v>
      </c>
      <c r="C2477" s="8"/>
      <c r="D2477" s="8"/>
      <c r="E2477" s="230"/>
      <c r="F2477" s="7"/>
      <c r="G2477" s="68"/>
      <c r="H2477" s="230"/>
      <c r="I2477" s="230"/>
      <c r="J2477" s="230"/>
      <c r="K2477" s="230"/>
      <c r="L2477" s="230"/>
      <c r="M2477" s="248"/>
      <c r="N2477" s="284"/>
      <c r="O2477" s="38"/>
      <c r="P2477" s="38"/>
      <c r="Q2477" s="38"/>
      <c r="R2477" s="38"/>
      <c r="S2477" s="38"/>
      <c r="T2477" s="38"/>
      <c r="U2477" s="38"/>
      <c r="V2477" s="38"/>
      <c r="W2477" s="38"/>
      <c r="X2477" s="38"/>
      <c r="Y2477" s="38"/>
      <c r="Z2477" s="38"/>
      <c r="AA2477" s="38"/>
      <c r="AB2477" s="38"/>
      <c r="AC2477" s="38"/>
      <c r="AD2477" s="38"/>
      <c r="AE2477" s="38"/>
      <c r="AF2477" s="38"/>
      <c r="AG2477" s="38"/>
      <c r="AH2477" s="38"/>
      <c r="AI2477" s="38"/>
      <c r="AJ2477" s="38"/>
      <c r="AK2477" s="38"/>
      <c r="AL2477" s="38"/>
      <c r="AM2477" s="38"/>
      <c r="AN2477" s="38"/>
      <c r="AO2477" s="38"/>
      <c r="AP2477" s="38"/>
      <c r="AQ2477" s="38"/>
      <c r="AR2477" s="38"/>
      <c r="AS2477" s="38"/>
      <c r="AT2477" s="38"/>
      <c r="AU2477" s="38"/>
      <c r="AV2477" s="38"/>
      <c r="AW2477" s="38"/>
      <c r="AX2477" s="38"/>
      <c r="AY2477" s="38"/>
      <c r="AZ2477" s="38"/>
      <c r="BA2477" s="38"/>
      <c r="BB2477" s="38"/>
      <c r="BC2477" s="38"/>
      <c r="BD2477" s="38"/>
      <c r="BE2477" s="38"/>
      <c r="BF2477" s="38"/>
      <c r="BG2477" s="38"/>
      <c r="BH2477" s="38"/>
      <c r="BI2477" s="38"/>
      <c r="BJ2477" s="38"/>
      <c r="BK2477" s="38"/>
      <c r="BL2477" s="38"/>
      <c r="BM2477" s="38"/>
      <c r="BN2477" s="38"/>
      <c r="BO2477" s="38"/>
      <c r="BP2477" s="38"/>
      <c r="BQ2477" s="38"/>
      <c r="BR2477" s="38"/>
      <c r="BS2477" s="38"/>
      <c r="BT2477" s="38"/>
      <c r="BU2477" s="38"/>
      <c r="BV2477" s="38"/>
      <c r="BW2477" s="38"/>
      <c r="BX2477" s="38"/>
      <c r="BY2477" s="38"/>
      <c r="BZ2477" s="38"/>
      <c r="CA2477" s="38"/>
      <c r="CB2477" s="38"/>
      <c r="CC2477" s="38"/>
      <c r="CD2477" s="38"/>
      <c r="CE2477" s="38"/>
      <c r="CF2477" s="38"/>
      <c r="CG2477" s="38"/>
      <c r="CH2477" s="38"/>
      <c r="CI2477" s="38"/>
      <c r="CJ2477" s="38"/>
      <c r="CK2477" s="38"/>
      <c r="CL2477" s="38"/>
      <c r="CM2477" s="38"/>
      <c r="CN2477" s="38"/>
      <c r="CO2477" s="38"/>
      <c r="CP2477" s="38"/>
      <c r="CQ2477" s="38"/>
      <c r="CR2477" s="38"/>
      <c r="CS2477" s="38"/>
      <c r="CT2477" s="38"/>
      <c r="CU2477" s="38"/>
      <c r="CV2477" s="38"/>
      <c r="CW2477" s="38"/>
      <c r="CX2477" s="38"/>
      <c r="CY2477" s="38"/>
      <c r="CZ2477" s="38"/>
      <c r="DA2477" s="38"/>
      <c r="DB2477" s="38"/>
      <c r="DC2477" s="38"/>
      <c r="DD2477" s="38"/>
      <c r="DE2477" s="38"/>
      <c r="DF2477" s="38"/>
      <c r="DG2477" s="38"/>
      <c r="DH2477" s="38"/>
      <c r="DI2477" s="38"/>
      <c r="DJ2477" s="38"/>
      <c r="DK2477" s="38"/>
      <c r="DL2477" s="38"/>
      <c r="DM2477" s="38"/>
      <c r="DN2477" s="38"/>
      <c r="DO2477" s="38"/>
      <c r="DP2477" s="38"/>
      <c r="DQ2477" s="38"/>
      <c r="DR2477" s="38"/>
      <c r="DS2477" s="38"/>
      <c r="DT2477" s="38"/>
      <c r="DU2477" s="38"/>
      <c r="DV2477" s="38"/>
      <c r="DW2477" s="38"/>
      <c r="DX2477" s="38"/>
      <c r="DY2477" s="38"/>
      <c r="DZ2477" s="38"/>
      <c r="EA2477" s="38"/>
      <c r="EB2477" s="38"/>
      <c r="EC2477" s="38"/>
      <c r="ED2477" s="38"/>
      <c r="EE2477" s="38"/>
      <c r="EF2477" s="38"/>
      <c r="EG2477" s="38"/>
      <c r="EH2477" s="38"/>
      <c r="EI2477" s="38"/>
      <c r="EJ2477" s="38"/>
      <c r="EK2477" s="38"/>
      <c r="EL2477" s="38"/>
      <c r="EM2477" s="38"/>
      <c r="EN2477" s="38"/>
      <c r="EO2477" s="38"/>
      <c r="EP2477" s="38"/>
      <c r="EQ2477" s="38"/>
      <c r="ER2477" s="38"/>
      <c r="ES2477" s="38"/>
      <c r="ET2477" s="38"/>
      <c r="EU2477" s="38"/>
      <c r="EV2477" s="38"/>
      <c r="EW2477" s="38"/>
      <c r="EX2477" s="38"/>
      <c r="EY2477" s="38"/>
      <c r="EZ2477" s="38"/>
      <c r="FA2477" s="38"/>
      <c r="FB2477" s="38"/>
      <c r="FC2477" s="38"/>
      <c r="FD2477" s="38"/>
      <c r="FE2477" s="38"/>
      <c r="FF2477" s="38"/>
      <c r="FG2477" s="38"/>
      <c r="FH2477" s="38"/>
      <c r="FI2477" s="38"/>
      <c r="FJ2477" s="38"/>
      <c r="FK2477" s="38"/>
      <c r="FL2477" s="38"/>
      <c r="FM2477" s="38"/>
      <c r="FN2477" s="38"/>
      <c r="FO2477" s="38"/>
      <c r="FP2477" s="38"/>
      <c r="FQ2477" s="38"/>
      <c r="FR2477" s="38"/>
      <c r="FS2477" s="38"/>
      <c r="FT2477" s="38"/>
      <c r="FU2477" s="38"/>
      <c r="FV2477" s="38"/>
      <c r="FW2477" s="38"/>
      <c r="FX2477" s="38"/>
      <c r="FY2477" s="38"/>
      <c r="FZ2477" s="38"/>
      <c r="GA2477" s="38"/>
      <c r="GB2477" s="38"/>
      <c r="GC2477" s="38"/>
      <c r="GD2477" s="38"/>
      <c r="GE2477" s="38"/>
      <c r="GF2477" s="38"/>
      <c r="GG2477" s="38"/>
      <c r="GH2477" s="38"/>
      <c r="GI2477" s="38"/>
      <c r="GJ2477" s="38"/>
      <c r="GK2477" s="38"/>
      <c r="GL2477" s="38"/>
      <c r="GM2477" s="38"/>
      <c r="GN2477" s="38"/>
      <c r="GO2477" s="38"/>
      <c r="GP2477" s="38"/>
      <c r="GQ2477" s="38"/>
      <c r="GR2477" s="38"/>
      <c r="GS2477" s="38"/>
      <c r="GT2477" s="38"/>
      <c r="GU2477" s="38"/>
      <c r="GV2477" s="38"/>
      <c r="GW2477" s="38"/>
      <c r="GX2477" s="38"/>
      <c r="GY2477" s="38"/>
      <c r="GZ2477" s="38"/>
      <c r="HA2477" s="38"/>
      <c r="HB2477" s="38"/>
      <c r="HC2477" s="38"/>
      <c r="HD2477" s="38"/>
      <c r="HE2477" s="38"/>
      <c r="HF2477" s="38"/>
      <c r="HG2477" s="38"/>
      <c r="HH2477" s="38"/>
      <c r="HI2477" s="38"/>
      <c r="HJ2477" s="38"/>
      <c r="HK2477" s="38"/>
      <c r="HL2477" s="38"/>
      <c r="HM2477" s="38"/>
      <c r="HN2477" s="38"/>
      <c r="HO2477" s="38"/>
      <c r="HP2477" s="38"/>
      <c r="HQ2477" s="38"/>
      <c r="HR2477" s="38"/>
      <c r="HS2477" s="38"/>
      <c r="HT2477" s="38"/>
      <c r="HU2477" s="38"/>
      <c r="HV2477" s="38"/>
      <c r="HW2477" s="38"/>
      <c r="HX2477" s="38"/>
      <c r="HY2477" s="38"/>
      <c r="HZ2477" s="38"/>
      <c r="IA2477" s="38"/>
      <c r="IB2477" s="38"/>
      <c r="IC2477" s="38"/>
      <c r="ID2477" s="38"/>
      <c r="IE2477" s="38"/>
      <c r="IF2477" s="38"/>
      <c r="IG2477" s="38"/>
      <c r="IH2477" s="38"/>
      <c r="II2477" s="38"/>
      <c r="IJ2477" s="38"/>
      <c r="IK2477" s="38"/>
      <c r="IL2477" s="38"/>
      <c r="IM2477" s="38"/>
      <c r="IN2477" s="38"/>
      <c r="IO2477" s="38"/>
      <c r="IP2477" s="38"/>
      <c r="IQ2477" s="38"/>
      <c r="IR2477" s="38"/>
      <c r="IS2477" s="38"/>
      <c r="IT2477" s="38"/>
      <c r="IU2477" s="38"/>
      <c r="IV2477" s="38"/>
      <c r="IW2477" s="38"/>
      <c r="IX2477" s="38"/>
      <c r="IY2477" s="38"/>
      <c r="IZ2477" s="38"/>
      <c r="JA2477" s="38"/>
      <c r="JB2477" s="38"/>
      <c r="JC2477" s="38"/>
      <c r="JD2477" s="38"/>
      <c r="JE2477" s="38"/>
      <c r="JF2477" s="38"/>
      <c r="JG2477" s="38"/>
      <c r="JH2477" s="38"/>
      <c r="JI2477" s="38"/>
      <c r="JJ2477" s="38"/>
      <c r="JK2477" s="38"/>
      <c r="JL2477" s="38"/>
      <c r="JM2477" s="38"/>
      <c r="JN2477" s="38"/>
      <c r="JO2477" s="38"/>
      <c r="JP2477" s="38"/>
      <c r="JQ2477" s="38"/>
      <c r="JR2477" s="38"/>
      <c r="JS2477" s="38"/>
      <c r="JT2477" s="38"/>
      <c r="JU2477" s="38"/>
      <c r="JV2477" s="38"/>
      <c r="JW2477" s="38"/>
      <c r="JX2477" s="38"/>
      <c r="JY2477" s="38"/>
      <c r="JZ2477" s="38"/>
      <c r="KA2477" s="38"/>
      <c r="KB2477" s="38"/>
      <c r="KC2477" s="38"/>
      <c r="KD2477" s="38"/>
      <c r="KE2477" s="38"/>
      <c r="KF2477" s="38"/>
      <c r="KG2477" s="38"/>
      <c r="KH2477" s="38"/>
      <c r="KI2477" s="38"/>
      <c r="KJ2477" s="38"/>
      <c r="KK2477" s="38"/>
      <c r="KL2477" s="38"/>
      <c r="KM2477" s="38"/>
      <c r="KN2477" s="38"/>
      <c r="KO2477" s="38"/>
      <c r="KP2477" s="38"/>
      <c r="KQ2477" s="38"/>
      <c r="KR2477" s="38"/>
      <c r="KS2477" s="38"/>
      <c r="KT2477" s="38"/>
      <c r="KU2477" s="38"/>
      <c r="KV2477" s="38"/>
      <c r="KW2477" s="38"/>
      <c r="KX2477" s="38"/>
      <c r="KY2477" s="38"/>
      <c r="KZ2477" s="38"/>
      <c r="LA2477" s="38"/>
      <c r="LB2477" s="38"/>
      <c r="LC2477" s="38"/>
      <c r="LD2477" s="38"/>
      <c r="LE2477" s="38"/>
      <c r="LF2477" s="38"/>
      <c r="LG2477" s="38"/>
      <c r="LH2477" s="38"/>
      <c r="LI2477" s="38"/>
      <c r="LJ2477" s="38"/>
      <c r="LK2477" s="38"/>
      <c r="LL2477" s="38"/>
      <c r="LM2477" s="38"/>
      <c r="LN2477" s="38"/>
      <c r="LO2477" s="38"/>
      <c r="LP2477" s="38"/>
      <c r="LQ2477" s="38"/>
      <c r="LR2477" s="38"/>
      <c r="LS2477" s="38"/>
      <c r="LT2477" s="38"/>
      <c r="LU2477" s="38"/>
      <c r="LV2477" s="38"/>
      <c r="LW2477" s="38"/>
      <c r="LX2477" s="38"/>
      <c r="LY2477" s="38"/>
      <c r="LZ2477" s="38"/>
      <c r="MA2477" s="38"/>
      <c r="MB2477" s="38"/>
      <c r="MC2477" s="38"/>
      <c r="MD2477" s="38"/>
      <c r="ME2477" s="38"/>
      <c r="MF2477" s="38"/>
      <c r="MG2477" s="38"/>
      <c r="MH2477" s="38"/>
      <c r="MI2477" s="38"/>
      <c r="MJ2477" s="38"/>
      <c r="MK2477" s="38"/>
      <c r="ML2477" s="38"/>
      <c r="MM2477" s="38"/>
      <c r="MN2477" s="38"/>
      <c r="MO2477" s="38"/>
      <c r="MP2477" s="38"/>
      <c r="MQ2477" s="38"/>
      <c r="MR2477" s="38"/>
      <c r="MS2477" s="38"/>
      <c r="MT2477" s="38"/>
      <c r="MU2477" s="38"/>
      <c r="MV2477" s="38"/>
      <c r="MW2477" s="38"/>
      <c r="MX2477" s="38"/>
      <c r="MY2477" s="38"/>
      <c r="MZ2477" s="38"/>
      <c r="NA2477" s="38"/>
      <c r="NB2477" s="38"/>
      <c r="NC2477" s="38"/>
      <c r="ND2477" s="38"/>
      <c r="NE2477" s="38"/>
      <c r="NF2477" s="38"/>
      <c r="NG2477" s="38"/>
      <c r="NH2477" s="38"/>
      <c r="NI2477" s="38"/>
      <c r="NJ2477" s="38"/>
      <c r="NK2477" s="38"/>
      <c r="NL2477" s="38"/>
      <c r="NM2477" s="38"/>
      <c r="NN2477" s="38"/>
      <c r="NO2477" s="38"/>
      <c r="NP2477" s="38"/>
      <c r="NQ2477" s="38"/>
      <c r="NR2477" s="38"/>
      <c r="NS2477" s="38"/>
      <c r="NT2477" s="38"/>
      <c r="NU2477" s="38"/>
      <c r="NV2477" s="38"/>
      <c r="NW2477" s="38"/>
      <c r="NX2477" s="38"/>
      <c r="NY2477" s="38"/>
      <c r="NZ2477" s="38"/>
      <c r="OA2477" s="38"/>
      <c r="OB2477" s="38"/>
      <c r="OC2477" s="38"/>
      <c r="OD2477" s="38"/>
      <c r="OE2477" s="38"/>
      <c r="OF2477" s="38"/>
      <c r="OG2477" s="38"/>
      <c r="OH2477" s="38"/>
      <c r="OI2477" s="38"/>
      <c r="OJ2477" s="38"/>
      <c r="OK2477" s="38"/>
      <c r="OL2477" s="38"/>
      <c r="OM2477" s="38"/>
      <c r="ON2477" s="38"/>
      <c r="OO2477" s="38"/>
      <c r="OP2477" s="38"/>
      <c r="OQ2477" s="38"/>
      <c r="OR2477" s="38"/>
      <c r="OS2477" s="38"/>
      <c r="OT2477" s="38"/>
      <c r="OU2477" s="38"/>
      <c r="OV2477" s="38"/>
      <c r="OW2477" s="38"/>
      <c r="OX2477" s="38"/>
      <c r="OY2477" s="38"/>
      <c r="OZ2477" s="38"/>
      <c r="PA2477" s="38"/>
      <c r="PB2477" s="38"/>
      <c r="PC2477" s="38"/>
      <c r="PD2477" s="38"/>
      <c r="PE2477" s="38"/>
      <c r="PF2477" s="38"/>
      <c r="PG2477" s="38"/>
      <c r="PH2477" s="38"/>
      <c r="PI2477" s="38"/>
      <c r="PJ2477" s="38"/>
      <c r="PK2477" s="38"/>
      <c r="PL2477" s="38"/>
      <c r="PM2477" s="38"/>
      <c r="PN2477" s="38"/>
      <c r="PO2477" s="38"/>
      <c r="PP2477" s="38"/>
      <c r="PQ2477" s="38"/>
      <c r="PR2477" s="38"/>
      <c r="PS2477" s="38"/>
      <c r="PT2477" s="38"/>
      <c r="PU2477" s="38"/>
      <c r="PV2477" s="38"/>
      <c r="PW2477" s="38"/>
      <c r="PX2477" s="38"/>
      <c r="PY2477" s="38"/>
      <c r="PZ2477" s="38"/>
      <c r="QA2477" s="38"/>
      <c r="QB2477" s="38"/>
      <c r="QC2477" s="38"/>
      <c r="QD2477" s="38"/>
      <c r="QE2477" s="38"/>
      <c r="QF2477" s="38"/>
      <c r="QG2477" s="38"/>
      <c r="QH2477" s="38"/>
      <c r="QI2477" s="38"/>
      <c r="QJ2477" s="38"/>
      <c r="QK2477" s="38"/>
      <c r="QL2477" s="38"/>
      <c r="QM2477" s="38"/>
      <c r="QN2477" s="38"/>
      <c r="QO2477" s="38"/>
      <c r="QP2477" s="38"/>
      <c r="QQ2477" s="38"/>
      <c r="QR2477" s="38"/>
      <c r="QS2477" s="38"/>
      <c r="QT2477" s="38"/>
      <c r="QU2477" s="38"/>
      <c r="QV2477" s="38"/>
      <c r="QW2477" s="38"/>
      <c r="QX2477" s="38"/>
      <c r="QY2477" s="38"/>
      <c r="QZ2477" s="38"/>
      <c r="RA2477" s="38"/>
      <c r="RB2477" s="38"/>
      <c r="RC2477" s="38"/>
      <c r="RD2477" s="38"/>
      <c r="RE2477" s="38"/>
      <c r="RF2477" s="38"/>
      <c r="RG2477" s="38"/>
      <c r="RH2477" s="38"/>
      <c r="RI2477" s="38"/>
      <c r="RJ2477" s="38"/>
      <c r="RK2477" s="38"/>
      <c r="RL2477" s="38"/>
      <c r="RM2477" s="38"/>
      <c r="RN2477" s="38"/>
      <c r="RO2477" s="38"/>
      <c r="RP2477" s="38"/>
      <c r="RQ2477" s="38"/>
      <c r="RR2477" s="38"/>
      <c r="RS2477" s="38"/>
      <c r="RT2477" s="38"/>
      <c r="RU2477" s="38"/>
      <c r="RV2477" s="38"/>
      <c r="RW2477" s="38"/>
      <c r="RX2477" s="38"/>
      <c r="RY2477" s="38"/>
      <c r="RZ2477" s="38"/>
      <c r="SA2477" s="38"/>
      <c r="SB2477" s="38"/>
      <c r="SC2477" s="38"/>
      <c r="SD2477" s="38"/>
      <c r="SE2477" s="38"/>
      <c r="SF2477" s="38"/>
      <c r="SG2477" s="38"/>
      <c r="SH2477" s="38"/>
      <c r="SI2477" s="38"/>
      <c r="SJ2477" s="38"/>
      <c r="SK2477" s="38"/>
      <c r="SL2477" s="38"/>
      <c r="SM2477" s="38"/>
      <c r="SN2477" s="38"/>
      <c r="SO2477" s="38"/>
      <c r="SP2477" s="38"/>
      <c r="SQ2477" s="38"/>
      <c r="SR2477" s="38"/>
      <c r="SS2477" s="38"/>
      <c r="ST2477" s="38"/>
      <c r="SU2477" s="38"/>
      <c r="SV2477" s="38"/>
      <c r="SW2477" s="38"/>
      <c r="SX2477" s="38"/>
      <c r="SY2477" s="38"/>
      <c r="SZ2477" s="38"/>
      <c r="TA2477" s="38"/>
      <c r="TB2477" s="38"/>
      <c r="TC2477" s="38"/>
      <c r="TD2477" s="38"/>
      <c r="TE2477" s="38"/>
      <c r="TF2477" s="38"/>
      <c r="TG2477" s="38"/>
      <c r="TH2477" s="38"/>
      <c r="TI2477" s="38"/>
      <c r="TJ2477" s="38"/>
      <c r="TK2477" s="38"/>
      <c r="TL2477" s="38"/>
      <c r="TM2477" s="38"/>
      <c r="TN2477" s="38"/>
      <c r="TO2477" s="38"/>
      <c r="TP2477" s="38"/>
      <c r="TQ2477" s="38"/>
      <c r="TR2477" s="38"/>
      <c r="TS2477" s="38"/>
      <c r="TT2477" s="38"/>
      <c r="TU2477" s="38"/>
      <c r="TV2477" s="38"/>
      <c r="TW2477" s="38"/>
      <c r="TX2477" s="38"/>
      <c r="TY2477" s="38"/>
      <c r="TZ2477" s="38"/>
      <c r="UA2477" s="38"/>
      <c r="UB2477" s="38"/>
      <c r="UC2477" s="38"/>
      <c r="UD2477" s="38"/>
      <c r="UE2477" s="38"/>
      <c r="UF2477" s="38"/>
      <c r="UG2477" s="38"/>
      <c r="UH2477" s="38"/>
      <c r="UI2477" s="38"/>
      <c r="UJ2477" s="38"/>
      <c r="UK2477" s="38"/>
      <c r="UL2477" s="38"/>
      <c r="UM2477" s="38"/>
      <c r="UN2477" s="38"/>
      <c r="UO2477" s="38"/>
      <c r="UP2477" s="38"/>
      <c r="UQ2477" s="38"/>
      <c r="UR2477" s="38"/>
      <c r="US2477" s="38"/>
      <c r="UT2477" s="38"/>
      <c r="UU2477" s="38"/>
      <c r="UV2477" s="38"/>
      <c r="UW2477" s="38"/>
      <c r="UX2477" s="38"/>
      <c r="UY2477" s="38"/>
      <c r="UZ2477" s="38"/>
      <c r="VA2477" s="38"/>
      <c r="VB2477" s="38"/>
      <c r="VC2477" s="38"/>
      <c r="VD2477" s="38"/>
      <c r="VE2477" s="38"/>
      <c r="VF2477" s="38"/>
      <c r="VG2477" s="38"/>
      <c r="VH2477" s="38"/>
      <c r="VI2477" s="38"/>
      <c r="VJ2477" s="38"/>
      <c r="VK2477" s="38"/>
      <c r="VL2477" s="38"/>
      <c r="VM2477" s="38"/>
      <c r="VN2477" s="38"/>
      <c r="VO2477" s="38"/>
      <c r="VP2477" s="38"/>
      <c r="VQ2477" s="38"/>
      <c r="VR2477" s="38"/>
      <c r="VS2477" s="38"/>
      <c r="VT2477" s="38"/>
      <c r="VU2477" s="38"/>
      <c r="VV2477" s="38"/>
      <c r="VW2477" s="38"/>
      <c r="VX2477" s="38"/>
      <c r="VY2477" s="38"/>
      <c r="VZ2477" s="38"/>
      <c r="WA2477" s="38"/>
      <c r="WB2477" s="38"/>
      <c r="WC2477" s="38"/>
      <c r="WD2477" s="38"/>
      <c r="WE2477" s="38"/>
      <c r="WF2477" s="38"/>
      <c r="WG2477" s="38"/>
      <c r="WH2477" s="38"/>
      <c r="WI2477" s="38"/>
      <c r="WJ2477" s="38"/>
      <c r="WK2477" s="38"/>
      <c r="WL2477" s="38"/>
      <c r="WM2477" s="38"/>
      <c r="WN2477" s="38"/>
      <c r="WO2477" s="38"/>
      <c r="WP2477" s="38"/>
      <c r="WQ2477" s="38"/>
      <c r="WR2477" s="38"/>
      <c r="WS2477" s="38"/>
      <c r="WT2477" s="38"/>
      <c r="WU2477" s="38"/>
      <c r="WV2477" s="38"/>
      <c r="WW2477" s="38"/>
      <c r="WX2477" s="38"/>
      <c r="WY2477" s="38"/>
      <c r="WZ2477" s="38"/>
      <c r="XA2477" s="38"/>
      <c r="XB2477" s="38"/>
      <c r="XC2477" s="38"/>
      <c r="XD2477" s="38"/>
      <c r="XE2477" s="38"/>
      <c r="XF2477" s="38"/>
      <c r="XG2477" s="38"/>
      <c r="XH2477" s="38"/>
      <c r="XI2477" s="38"/>
      <c r="XJ2477" s="38"/>
      <c r="XK2477" s="38"/>
      <c r="XL2477" s="38"/>
      <c r="XM2477" s="38"/>
      <c r="XN2477" s="38"/>
      <c r="XO2477" s="38"/>
      <c r="XP2477" s="38"/>
      <c r="XQ2477" s="38"/>
      <c r="XR2477" s="38"/>
      <c r="XS2477" s="38"/>
      <c r="XT2477" s="38"/>
      <c r="XU2477" s="38"/>
      <c r="XV2477" s="38"/>
      <c r="XW2477" s="38"/>
      <c r="XX2477" s="38"/>
      <c r="XY2477" s="38"/>
      <c r="XZ2477" s="38"/>
      <c r="YA2477" s="38"/>
      <c r="YB2477" s="38"/>
      <c r="YC2477" s="38"/>
      <c r="YD2477" s="38"/>
      <c r="YE2477" s="38"/>
      <c r="YF2477" s="38"/>
      <c r="YG2477" s="38"/>
      <c r="YH2477" s="38"/>
      <c r="YI2477" s="38"/>
      <c r="YJ2477" s="38"/>
      <c r="YK2477" s="38"/>
      <c r="YL2477" s="38"/>
      <c r="YM2477" s="38"/>
      <c r="YN2477" s="38"/>
      <c r="YO2477" s="38"/>
      <c r="YP2477" s="38"/>
      <c r="YQ2477" s="38"/>
      <c r="YR2477" s="38"/>
      <c r="YS2477" s="38"/>
      <c r="YT2477" s="38"/>
      <c r="YU2477" s="38"/>
      <c r="YV2477" s="38"/>
      <c r="YW2477" s="38"/>
      <c r="YX2477" s="38"/>
      <c r="YY2477" s="38"/>
      <c r="YZ2477" s="38"/>
      <c r="ZA2477" s="38"/>
      <c r="ZB2477" s="38"/>
      <c r="ZC2477" s="38"/>
      <c r="ZD2477" s="38"/>
      <c r="ZE2477" s="38"/>
      <c r="ZF2477" s="38"/>
      <c r="ZG2477" s="38"/>
      <c r="ZH2477" s="38"/>
      <c r="ZI2477" s="38"/>
      <c r="ZJ2477" s="38"/>
      <c r="ZK2477" s="38"/>
      <c r="ZL2477" s="38"/>
      <c r="ZM2477" s="38"/>
      <c r="ZN2477" s="38"/>
      <c r="ZO2477" s="38"/>
      <c r="ZP2477" s="38"/>
      <c r="ZQ2477" s="38"/>
      <c r="ZR2477" s="38"/>
      <c r="ZS2477" s="38"/>
      <c r="ZT2477" s="38"/>
      <c r="ZU2477" s="38"/>
      <c r="ZV2477" s="38"/>
      <c r="ZW2477" s="38"/>
      <c r="ZX2477" s="38"/>
      <c r="ZY2477" s="38"/>
      <c r="ZZ2477" s="38"/>
      <c r="AAA2477" s="38"/>
      <c r="AAB2477" s="38"/>
      <c r="AAC2477" s="38"/>
      <c r="AAD2477" s="38"/>
      <c r="AAE2477" s="38"/>
      <c r="AAF2477" s="38"/>
      <c r="AAG2477" s="38"/>
      <c r="AAH2477" s="38"/>
      <c r="AAI2477" s="38"/>
      <c r="AAJ2477" s="38"/>
      <c r="AAK2477" s="38"/>
      <c r="AAL2477" s="38"/>
      <c r="AAM2477" s="38"/>
      <c r="AAN2477" s="38"/>
      <c r="AAO2477" s="38"/>
      <c r="AAP2477" s="38"/>
      <c r="AAQ2477" s="38"/>
      <c r="AAR2477" s="38"/>
      <c r="AAS2477" s="38"/>
      <c r="AAT2477" s="38"/>
      <c r="AAU2477" s="38"/>
      <c r="AAV2477" s="38"/>
      <c r="AAW2477" s="38"/>
      <c r="AAX2477" s="38"/>
      <c r="AAY2477" s="38"/>
      <c r="AAZ2477" s="38"/>
      <c r="ABA2477" s="38"/>
      <c r="ABB2477" s="38"/>
      <c r="ABC2477" s="38"/>
      <c r="ABD2477" s="38"/>
      <c r="ABE2477" s="38"/>
      <c r="ABF2477" s="38"/>
      <c r="ABG2477" s="38"/>
      <c r="ABH2477" s="38"/>
      <c r="ABI2477" s="38"/>
      <c r="ABJ2477" s="38"/>
      <c r="ABK2477" s="38"/>
      <c r="ABL2477" s="38"/>
      <c r="ABM2477" s="38"/>
      <c r="ABN2477" s="38"/>
      <c r="ABO2477" s="38"/>
      <c r="ABP2477" s="38"/>
      <c r="ABQ2477" s="38"/>
      <c r="ABR2477" s="38"/>
      <c r="ABS2477" s="38"/>
      <c r="ABT2477" s="38"/>
      <c r="ABU2477" s="38"/>
      <c r="ABV2477" s="38"/>
      <c r="ABW2477" s="38"/>
      <c r="ABX2477" s="38"/>
      <c r="ABY2477" s="38"/>
      <c r="ABZ2477" s="38"/>
      <c r="ACA2477" s="38"/>
      <c r="ACB2477" s="38"/>
      <c r="ACC2477" s="38"/>
      <c r="ACD2477" s="38"/>
      <c r="ACE2477" s="38"/>
      <c r="ACF2477" s="38"/>
      <c r="ACG2477" s="38"/>
      <c r="ACH2477" s="38"/>
      <c r="ACI2477" s="38"/>
      <c r="ACJ2477" s="38"/>
      <c r="ACK2477" s="38"/>
      <c r="ACL2477" s="38"/>
      <c r="ACM2477" s="38"/>
      <c r="ACN2477" s="38"/>
      <c r="ACO2477" s="38"/>
      <c r="ACP2477" s="38"/>
      <c r="ACQ2477" s="38"/>
      <c r="ACR2477" s="38"/>
      <c r="ACS2477" s="38"/>
      <c r="ACT2477" s="38"/>
      <c r="ACU2477" s="38"/>
      <c r="ACV2477" s="38"/>
      <c r="ACW2477" s="38"/>
      <c r="ACX2477" s="38"/>
      <c r="ACY2477" s="38"/>
      <c r="ACZ2477" s="38"/>
      <c r="ADA2477" s="38"/>
      <c r="ADB2477" s="38"/>
      <c r="ADC2477" s="38"/>
      <c r="ADD2477" s="38"/>
      <c r="ADE2477" s="38"/>
      <c r="ADF2477" s="38"/>
      <c r="ADG2477" s="38"/>
      <c r="ADH2477" s="38"/>
      <c r="ADI2477" s="38"/>
      <c r="ADJ2477" s="38"/>
      <c r="ADK2477" s="38"/>
      <c r="ADL2477" s="38"/>
      <c r="ADM2477" s="38"/>
      <c r="ADN2477" s="38"/>
      <c r="ADO2477" s="38"/>
      <c r="ADP2477" s="38"/>
      <c r="ADQ2477" s="38"/>
      <c r="ADR2477" s="38"/>
      <c r="ADS2477" s="38"/>
      <c r="ADT2477" s="38"/>
      <c r="ADU2477" s="38"/>
      <c r="ADV2477" s="38"/>
      <c r="ADW2477" s="38"/>
      <c r="ADX2477" s="38"/>
      <c r="ADY2477" s="38"/>
      <c r="ADZ2477" s="38"/>
      <c r="AEA2477" s="38"/>
      <c r="AEB2477" s="38"/>
      <c r="AEC2477" s="38"/>
      <c r="AED2477" s="38"/>
      <c r="AEE2477" s="38"/>
      <c r="AEF2477" s="38"/>
      <c r="AEG2477" s="38"/>
      <c r="AEH2477" s="38"/>
      <c r="AEI2477" s="38"/>
      <c r="AEJ2477" s="38"/>
      <c r="AEK2477" s="38"/>
      <c r="AEL2477" s="38"/>
      <c r="AEM2477" s="38"/>
      <c r="AEN2477" s="38"/>
      <c r="AEO2477" s="38"/>
      <c r="AEP2477" s="38"/>
      <c r="AEQ2477" s="38"/>
      <c r="AER2477" s="38"/>
      <c r="AES2477" s="38"/>
      <c r="AET2477" s="38"/>
      <c r="AEU2477" s="38"/>
      <c r="AEV2477" s="38"/>
      <c r="AEW2477" s="38"/>
      <c r="AEX2477" s="38"/>
      <c r="AEY2477" s="38"/>
      <c r="AEZ2477" s="38"/>
      <c r="AFA2477" s="38"/>
      <c r="AFB2477" s="38"/>
      <c r="AFC2477" s="38"/>
      <c r="AFD2477" s="38"/>
      <c r="AFE2477" s="38"/>
      <c r="AFF2477" s="38"/>
      <c r="AFG2477" s="38"/>
      <c r="AFH2477" s="38"/>
      <c r="AFI2477" s="38"/>
      <c r="AFJ2477" s="38"/>
      <c r="AFK2477" s="38"/>
      <c r="AFL2477" s="38"/>
      <c r="AFM2477" s="38"/>
      <c r="AFN2477" s="38"/>
      <c r="AFO2477" s="38"/>
      <c r="AFP2477" s="38"/>
      <c r="AFQ2477" s="38"/>
      <c r="AFR2477" s="38"/>
      <c r="AFS2477" s="38"/>
      <c r="AFT2477" s="38"/>
      <c r="AFU2477" s="38"/>
      <c r="AFV2477" s="38"/>
      <c r="AFW2477" s="38"/>
      <c r="AFX2477" s="38"/>
      <c r="AFY2477" s="38"/>
      <c r="AFZ2477" s="38"/>
      <c r="AGA2477" s="38"/>
      <c r="AGB2477" s="38"/>
      <c r="AGC2477" s="38"/>
      <c r="AGD2477" s="38"/>
      <c r="AGE2477" s="38"/>
      <c r="AGF2477" s="38"/>
      <c r="AGG2477" s="38"/>
      <c r="AGH2477" s="38"/>
      <c r="AGI2477" s="38"/>
      <c r="AGJ2477" s="38"/>
      <c r="AGK2477" s="38"/>
      <c r="AGL2477" s="38"/>
      <c r="AGM2477" s="38"/>
      <c r="AGN2477" s="38"/>
      <c r="AGO2477" s="38"/>
      <c r="AGP2477" s="38"/>
      <c r="AGQ2477" s="38"/>
      <c r="AGR2477" s="38"/>
      <c r="AGS2477" s="38"/>
      <c r="AGT2477" s="38"/>
      <c r="AGU2477" s="38"/>
      <c r="AGV2477" s="38"/>
      <c r="AGW2477" s="38"/>
      <c r="AGX2477" s="38"/>
      <c r="AGY2477" s="38"/>
      <c r="AGZ2477" s="38"/>
      <c r="AHA2477" s="38"/>
      <c r="AHB2477" s="38"/>
      <c r="AHC2477" s="38"/>
      <c r="AHD2477" s="38"/>
      <c r="AHE2477" s="38"/>
      <c r="AHF2477" s="38"/>
      <c r="AHG2477" s="38"/>
      <c r="AHH2477" s="38"/>
      <c r="AHI2477" s="38"/>
      <c r="AHJ2477" s="38"/>
      <c r="AHK2477" s="38"/>
      <c r="AHL2477" s="38"/>
      <c r="AHM2477" s="38"/>
      <c r="AHN2477" s="38"/>
      <c r="AHO2477" s="38"/>
      <c r="AHP2477" s="38"/>
      <c r="AHQ2477" s="38"/>
      <c r="AHR2477" s="38"/>
      <c r="AHS2477" s="38"/>
      <c r="AHT2477" s="38"/>
      <c r="AHU2477" s="38"/>
      <c r="AHV2477" s="38"/>
      <c r="AHW2477" s="38"/>
      <c r="AHX2477" s="38"/>
      <c r="AHY2477" s="38"/>
      <c r="AHZ2477" s="38"/>
      <c r="AIA2477" s="38"/>
      <c r="AIB2477" s="38"/>
      <c r="AIC2477" s="38"/>
      <c r="AID2477" s="38"/>
      <c r="AIE2477" s="38"/>
      <c r="AIF2477" s="38"/>
      <c r="AIG2477" s="38"/>
      <c r="AIH2477" s="38"/>
      <c r="AII2477" s="38"/>
      <c r="AIJ2477" s="38"/>
      <c r="AIK2477" s="38"/>
      <c r="AIL2477" s="38"/>
      <c r="AIM2477" s="38"/>
      <c r="AIN2477" s="38"/>
      <c r="AIO2477" s="38"/>
      <c r="AIP2477" s="38"/>
      <c r="AIQ2477" s="38"/>
      <c r="AIR2477" s="38"/>
      <c r="AIS2477" s="38"/>
      <c r="AIT2477" s="38"/>
      <c r="AIU2477" s="38"/>
      <c r="AIV2477" s="38"/>
      <c r="AIW2477" s="38"/>
      <c r="AIX2477" s="38"/>
      <c r="AIY2477" s="38"/>
      <c r="AIZ2477" s="38"/>
      <c r="AJA2477" s="38"/>
      <c r="AJB2477" s="38"/>
      <c r="AJC2477" s="38"/>
      <c r="AJD2477" s="38"/>
      <c r="AJE2477" s="38"/>
      <c r="AJF2477" s="38"/>
      <c r="AJG2477" s="38"/>
      <c r="AJH2477" s="38"/>
      <c r="AJI2477" s="38"/>
      <c r="AJJ2477" s="38"/>
      <c r="AJK2477" s="38"/>
      <c r="AJL2477" s="38"/>
      <c r="AJM2477" s="38"/>
      <c r="AJN2477" s="38"/>
      <c r="AJO2477" s="38"/>
      <c r="AJP2477" s="38"/>
      <c r="AJQ2477" s="38"/>
      <c r="AJR2477" s="38"/>
      <c r="AJS2477" s="38"/>
      <c r="AJT2477" s="38"/>
      <c r="AJU2477" s="38"/>
      <c r="AJV2477" s="38"/>
      <c r="AJW2477" s="38"/>
      <c r="AJX2477" s="38"/>
      <c r="AJY2477" s="38"/>
      <c r="AJZ2477" s="38"/>
      <c r="AKA2477" s="38"/>
      <c r="AKB2477" s="38"/>
      <c r="AKC2477" s="38"/>
      <c r="AKD2477" s="38"/>
      <c r="AKE2477" s="38"/>
      <c r="AKF2477" s="38"/>
      <c r="AKG2477" s="38"/>
      <c r="AKH2477" s="38"/>
      <c r="AKI2477" s="38"/>
      <c r="AKJ2477" s="38"/>
      <c r="AKK2477" s="38"/>
      <c r="AKL2477" s="38"/>
      <c r="AKM2477" s="38"/>
      <c r="AKN2477" s="38"/>
      <c r="AKO2477" s="38"/>
      <c r="AKP2477" s="38"/>
      <c r="AKQ2477" s="38"/>
      <c r="AKR2477" s="38"/>
      <c r="AKS2477" s="38"/>
      <c r="AKT2477" s="38"/>
      <c r="AKU2477" s="38"/>
      <c r="AKV2477" s="38"/>
      <c r="AKW2477" s="38"/>
      <c r="AKX2477" s="38"/>
      <c r="AKY2477" s="38"/>
      <c r="AKZ2477" s="38"/>
      <c r="ALA2477" s="38"/>
      <c r="ALB2477" s="38"/>
      <c r="ALC2477" s="38"/>
      <c r="ALD2477" s="38"/>
      <c r="ALE2477" s="38"/>
      <c r="ALF2477" s="38"/>
      <c r="ALG2477" s="38"/>
      <c r="ALH2477" s="38"/>
      <c r="ALI2477" s="38"/>
      <c r="ALJ2477" s="38"/>
      <c r="ALK2477" s="38"/>
      <c r="ALL2477" s="38"/>
      <c r="ALM2477" s="38"/>
      <c r="ALN2477" s="38"/>
      <c r="ALO2477" s="38"/>
      <c r="ALP2477" s="38"/>
      <c r="ALQ2477" s="38"/>
      <c r="ALR2477" s="38"/>
      <c r="ALS2477" s="38"/>
      <c r="ALT2477" s="38"/>
      <c r="ALU2477" s="38"/>
      <c r="ALV2477" s="38"/>
      <c r="ALW2477" s="38"/>
      <c r="ALX2477" s="38"/>
      <c r="ALY2477" s="38"/>
      <c r="ALZ2477" s="38"/>
      <c r="AMA2477" s="38"/>
      <c r="AMB2477" s="38"/>
      <c r="AMC2477" s="38"/>
      <c r="AMD2477" s="38"/>
      <c r="AME2477" s="38"/>
      <c r="AMF2477" s="38"/>
      <c r="AMG2477" s="38"/>
      <c r="AMH2477" s="38"/>
      <c r="AMI2477" s="38"/>
      <c r="AMJ2477" s="38"/>
      <c r="AMK2477" s="38"/>
      <c r="AML2477" s="38"/>
      <c r="AMM2477" s="38"/>
      <c r="AMN2477" s="38"/>
      <c r="AMO2477" s="38"/>
      <c r="AMP2477" s="38"/>
      <c r="AMQ2477" s="38"/>
      <c r="AMR2477" s="38"/>
      <c r="AMS2477" s="38"/>
      <c r="AMT2477" s="38"/>
      <c r="AMU2477" s="38"/>
      <c r="AMV2477" s="38"/>
      <c r="AMW2477" s="38"/>
      <c r="AMX2477" s="38"/>
      <c r="AMY2477" s="38"/>
      <c r="AMZ2477" s="38"/>
      <c r="ANA2477" s="38"/>
      <c r="ANB2477" s="38"/>
      <c r="ANC2477" s="38"/>
      <c r="AND2477" s="38"/>
      <c r="ANE2477" s="38"/>
      <c r="ANF2477" s="38"/>
      <c r="ANG2477" s="38"/>
      <c r="ANH2477" s="38"/>
      <c r="ANI2477" s="38"/>
      <c r="ANJ2477" s="38"/>
      <c r="ANK2477" s="38"/>
      <c r="ANL2477" s="38"/>
      <c r="ANM2477" s="38"/>
      <c r="ANN2477" s="38"/>
      <c r="ANO2477" s="38"/>
      <c r="ANP2477" s="38"/>
      <c r="ANQ2477" s="38"/>
      <c r="ANR2477" s="38"/>
      <c r="ANS2477" s="38"/>
      <c r="ANT2477" s="38"/>
      <c r="ANU2477" s="38"/>
      <c r="ANV2477" s="38"/>
      <c r="ANW2477" s="38"/>
      <c r="ANX2477" s="38"/>
      <c r="ANY2477" s="38"/>
      <c r="ANZ2477" s="38"/>
      <c r="AOA2477" s="38"/>
      <c r="AOB2477" s="38"/>
      <c r="AOC2477" s="38"/>
      <c r="AOD2477" s="38"/>
      <c r="AOE2477" s="38"/>
      <c r="AOF2477" s="38"/>
      <c r="AOG2477" s="38"/>
      <c r="AOH2477" s="38"/>
      <c r="AOI2477" s="38"/>
      <c r="AOJ2477" s="38"/>
      <c r="AOK2477" s="38"/>
      <c r="AOL2477" s="38"/>
      <c r="AOM2477" s="38"/>
      <c r="AON2477" s="38"/>
      <c r="AOO2477" s="38"/>
      <c r="AOP2477" s="38"/>
      <c r="AOQ2477" s="38"/>
      <c r="AOR2477" s="38"/>
      <c r="AOS2477" s="38"/>
      <c r="AOT2477" s="38"/>
      <c r="AOU2477" s="38"/>
      <c r="AOV2477" s="38"/>
      <c r="AOW2477" s="38"/>
      <c r="AOX2477" s="38"/>
      <c r="AOY2477" s="38"/>
      <c r="AOZ2477" s="38"/>
      <c r="APA2477" s="38"/>
      <c r="APB2477" s="38"/>
      <c r="APC2477" s="38"/>
    </row>
    <row r="2478" spans="1:1095" s="36" customFormat="1" ht="14.25" customHeight="1">
      <c r="A2478" s="3" t="s">
        <v>1722</v>
      </c>
      <c r="B2478" s="36" t="s">
        <v>3179</v>
      </c>
      <c r="C2478" s="10">
        <v>4058075606999</v>
      </c>
      <c r="D2478" s="224">
        <v>4058075606999</v>
      </c>
      <c r="E2478" s="245" t="s">
        <v>3101</v>
      </c>
      <c r="F2478" s="246"/>
      <c r="G2478" s="66" t="str">
        <f>HYPERLINK("https://ledvance.com/pt/product-datasheet/6780/163212","Ficha de Produto")</f>
        <v>Ficha de Produto</v>
      </c>
      <c r="H2478" s="217">
        <v>4</v>
      </c>
      <c r="I2478" s="34" t="s">
        <v>6352</v>
      </c>
      <c r="J2478" s="34" t="s">
        <v>6344</v>
      </c>
      <c r="K2478" s="34" t="s">
        <v>788</v>
      </c>
      <c r="L2478" s="34" t="s">
        <v>793</v>
      </c>
      <c r="M2478" s="247">
        <v>27.400000000000002</v>
      </c>
      <c r="N2478" s="288" t="s">
        <v>722</v>
      </c>
    </row>
    <row r="2479" spans="1:1095" s="39" customFormat="1" ht="14.25" customHeight="1">
      <c r="A2479" s="8" t="s">
        <v>1722</v>
      </c>
      <c r="B2479" s="244" t="s">
        <v>1709</v>
      </c>
      <c r="C2479" s="8"/>
      <c r="D2479" s="244"/>
      <c r="E2479" s="230"/>
      <c r="F2479" s="7"/>
      <c r="G2479" s="68"/>
      <c r="H2479" s="230"/>
      <c r="I2479" s="230"/>
      <c r="J2479" s="230"/>
      <c r="K2479" s="230"/>
      <c r="L2479" s="230"/>
      <c r="M2479" s="248"/>
      <c r="N2479" s="289"/>
      <c r="O2479" s="38"/>
      <c r="P2479" s="38"/>
      <c r="Q2479" s="38"/>
      <c r="R2479" s="38"/>
      <c r="S2479" s="38"/>
      <c r="T2479" s="38"/>
      <c r="U2479" s="38"/>
      <c r="V2479" s="38"/>
      <c r="W2479" s="38"/>
      <c r="X2479" s="38"/>
      <c r="Y2479" s="38"/>
      <c r="Z2479" s="38"/>
      <c r="AA2479" s="38"/>
      <c r="AB2479" s="38"/>
      <c r="AC2479" s="38"/>
      <c r="AD2479" s="38"/>
      <c r="AE2479" s="38"/>
      <c r="AF2479" s="38"/>
      <c r="AG2479" s="38"/>
      <c r="AH2479" s="38"/>
      <c r="AI2479" s="38"/>
      <c r="AJ2479" s="38"/>
      <c r="AK2479" s="38"/>
      <c r="AL2479" s="38"/>
      <c r="AM2479" s="38"/>
      <c r="AN2479" s="38"/>
      <c r="AO2479" s="38"/>
      <c r="AP2479" s="38"/>
      <c r="AQ2479" s="38"/>
      <c r="AR2479" s="38"/>
      <c r="AS2479" s="38"/>
      <c r="AT2479" s="38"/>
      <c r="AU2479" s="38"/>
      <c r="AV2479" s="38"/>
      <c r="AW2479" s="38"/>
      <c r="AX2479" s="38"/>
      <c r="AY2479" s="38"/>
      <c r="AZ2479" s="38"/>
      <c r="BA2479" s="38"/>
      <c r="BB2479" s="38"/>
      <c r="BC2479" s="38"/>
      <c r="BD2479" s="38"/>
      <c r="BE2479" s="38"/>
      <c r="BF2479" s="38"/>
      <c r="BG2479" s="38"/>
      <c r="BH2479" s="38"/>
      <c r="BI2479" s="38"/>
      <c r="BJ2479" s="38"/>
      <c r="BK2479" s="38"/>
      <c r="BL2479" s="38"/>
      <c r="BM2479" s="38"/>
      <c r="BN2479" s="38"/>
      <c r="BO2479" s="38"/>
      <c r="BP2479" s="38"/>
      <c r="BQ2479" s="38"/>
      <c r="BR2479" s="38"/>
      <c r="BS2479" s="38"/>
      <c r="BT2479" s="38"/>
      <c r="BU2479" s="38"/>
      <c r="BV2479" s="38"/>
      <c r="BW2479" s="38"/>
      <c r="BX2479" s="38"/>
      <c r="BY2479" s="38"/>
      <c r="BZ2479" s="38"/>
      <c r="CA2479" s="38"/>
      <c r="CB2479" s="38"/>
      <c r="CC2479" s="38"/>
      <c r="CD2479" s="38"/>
      <c r="CE2479" s="38"/>
      <c r="CF2479" s="38"/>
      <c r="CG2479" s="38"/>
      <c r="CH2479" s="38"/>
      <c r="CI2479" s="38"/>
      <c r="CJ2479" s="38"/>
      <c r="CK2479" s="38"/>
      <c r="CL2479" s="38"/>
      <c r="CM2479" s="38"/>
      <c r="CN2479" s="38"/>
      <c r="CO2479" s="38"/>
      <c r="CP2479" s="38"/>
      <c r="CQ2479" s="38"/>
      <c r="CR2479" s="38"/>
      <c r="CS2479" s="38"/>
      <c r="CT2479" s="38"/>
      <c r="CU2479" s="38"/>
      <c r="CV2479" s="38"/>
      <c r="CW2479" s="38"/>
      <c r="CX2479" s="38"/>
      <c r="CY2479" s="38"/>
      <c r="CZ2479" s="38"/>
      <c r="DA2479" s="38"/>
      <c r="DB2479" s="38"/>
      <c r="DC2479" s="38"/>
      <c r="DD2479" s="38"/>
      <c r="DE2479" s="38"/>
      <c r="DF2479" s="38"/>
      <c r="DG2479" s="38"/>
      <c r="DH2479" s="38"/>
      <c r="DI2479" s="38"/>
      <c r="DJ2479" s="38"/>
      <c r="DK2479" s="38"/>
      <c r="DL2479" s="38"/>
      <c r="DM2479" s="38"/>
      <c r="DN2479" s="38"/>
      <c r="DO2479" s="38"/>
      <c r="DP2479" s="38"/>
      <c r="DQ2479" s="38"/>
      <c r="DR2479" s="38"/>
      <c r="DS2479" s="38"/>
      <c r="DT2479" s="38"/>
      <c r="DU2479" s="38"/>
      <c r="DV2479" s="38"/>
      <c r="DW2479" s="38"/>
      <c r="DX2479" s="38"/>
      <c r="DY2479" s="38"/>
      <c r="DZ2479" s="38"/>
      <c r="EA2479" s="38"/>
      <c r="EB2479" s="38"/>
      <c r="EC2479" s="38"/>
      <c r="ED2479" s="38"/>
      <c r="EE2479" s="38"/>
      <c r="EF2479" s="38"/>
      <c r="EG2479" s="38"/>
      <c r="EH2479" s="38"/>
      <c r="EI2479" s="38"/>
      <c r="EJ2479" s="38"/>
      <c r="EK2479" s="38"/>
      <c r="EL2479" s="38"/>
      <c r="EM2479" s="38"/>
      <c r="EN2479" s="38"/>
      <c r="EO2479" s="38"/>
      <c r="EP2479" s="38"/>
      <c r="EQ2479" s="38"/>
      <c r="ER2479" s="38"/>
      <c r="ES2479" s="38"/>
      <c r="ET2479" s="38"/>
      <c r="EU2479" s="38"/>
      <c r="EV2479" s="38"/>
      <c r="EW2479" s="38"/>
      <c r="EX2479" s="38"/>
      <c r="EY2479" s="38"/>
      <c r="EZ2479" s="38"/>
      <c r="FA2479" s="38"/>
      <c r="FB2479" s="38"/>
      <c r="FC2479" s="38"/>
      <c r="FD2479" s="38"/>
      <c r="FE2479" s="38"/>
      <c r="FF2479" s="38"/>
      <c r="FG2479" s="38"/>
      <c r="FH2479" s="38"/>
      <c r="FI2479" s="38"/>
      <c r="FJ2479" s="38"/>
      <c r="FK2479" s="38"/>
      <c r="FL2479" s="38"/>
      <c r="FM2479" s="38"/>
      <c r="FN2479" s="38"/>
      <c r="FO2479" s="38"/>
      <c r="FP2479" s="38"/>
      <c r="FQ2479" s="38"/>
      <c r="FR2479" s="38"/>
      <c r="FS2479" s="38"/>
      <c r="FT2479" s="38"/>
      <c r="FU2479" s="38"/>
      <c r="FV2479" s="38"/>
      <c r="FW2479" s="38"/>
      <c r="FX2479" s="38"/>
      <c r="FY2479" s="38"/>
      <c r="FZ2479" s="38"/>
      <c r="GA2479" s="38"/>
      <c r="GB2479" s="38"/>
      <c r="GC2479" s="38"/>
      <c r="GD2479" s="38"/>
      <c r="GE2479" s="38"/>
      <c r="GF2479" s="38"/>
      <c r="GG2479" s="38"/>
      <c r="GH2479" s="38"/>
      <c r="GI2479" s="38"/>
      <c r="GJ2479" s="38"/>
      <c r="GK2479" s="38"/>
      <c r="GL2479" s="38"/>
      <c r="GM2479" s="38"/>
      <c r="GN2479" s="38"/>
      <c r="GO2479" s="38"/>
      <c r="GP2479" s="38"/>
      <c r="GQ2479" s="38"/>
      <c r="GR2479" s="38"/>
      <c r="GS2479" s="38"/>
      <c r="GT2479" s="38"/>
      <c r="GU2479" s="38"/>
      <c r="GV2479" s="38"/>
      <c r="GW2479" s="38"/>
      <c r="GX2479" s="38"/>
      <c r="GY2479" s="38"/>
      <c r="GZ2479" s="38"/>
      <c r="HA2479" s="38"/>
      <c r="HB2479" s="38"/>
      <c r="HC2479" s="38"/>
      <c r="HD2479" s="38"/>
      <c r="HE2479" s="38"/>
      <c r="HF2479" s="38"/>
      <c r="HG2479" s="38"/>
      <c r="HH2479" s="38"/>
      <c r="HI2479" s="38"/>
      <c r="HJ2479" s="38"/>
      <c r="HK2479" s="38"/>
      <c r="HL2479" s="38"/>
      <c r="HM2479" s="38"/>
      <c r="HN2479" s="38"/>
      <c r="HO2479" s="38"/>
      <c r="HP2479" s="38"/>
      <c r="HQ2479" s="38"/>
      <c r="HR2479" s="38"/>
      <c r="HS2479" s="38"/>
      <c r="HT2479" s="38"/>
      <c r="HU2479" s="38"/>
      <c r="HV2479" s="38"/>
      <c r="HW2479" s="38"/>
      <c r="HX2479" s="38"/>
      <c r="HY2479" s="38"/>
      <c r="HZ2479" s="38"/>
      <c r="IA2479" s="38"/>
      <c r="IB2479" s="38"/>
      <c r="IC2479" s="38"/>
      <c r="ID2479" s="38"/>
      <c r="IE2479" s="38"/>
      <c r="IF2479" s="38"/>
      <c r="IG2479" s="38"/>
      <c r="IH2479" s="38"/>
      <c r="II2479" s="38"/>
      <c r="IJ2479" s="38"/>
      <c r="IK2479" s="38"/>
      <c r="IL2479" s="38"/>
      <c r="IM2479" s="38"/>
      <c r="IN2479" s="38"/>
      <c r="IO2479" s="38"/>
      <c r="IP2479" s="38"/>
      <c r="IQ2479" s="38"/>
      <c r="IR2479" s="38"/>
      <c r="IS2479" s="38"/>
      <c r="IT2479" s="38"/>
      <c r="IU2479" s="38"/>
      <c r="IV2479" s="38"/>
      <c r="IW2479" s="38"/>
      <c r="IX2479" s="38"/>
      <c r="IY2479" s="38"/>
      <c r="IZ2479" s="38"/>
      <c r="JA2479" s="38"/>
      <c r="JB2479" s="38"/>
      <c r="JC2479" s="38"/>
      <c r="JD2479" s="38"/>
      <c r="JE2479" s="38"/>
      <c r="JF2479" s="38"/>
      <c r="JG2479" s="38"/>
      <c r="JH2479" s="38"/>
      <c r="JI2479" s="38"/>
      <c r="JJ2479" s="38"/>
      <c r="JK2479" s="38"/>
      <c r="JL2479" s="38"/>
      <c r="JM2479" s="38"/>
      <c r="JN2479" s="38"/>
      <c r="JO2479" s="38"/>
      <c r="JP2479" s="38"/>
      <c r="JQ2479" s="38"/>
      <c r="JR2479" s="38"/>
      <c r="JS2479" s="38"/>
      <c r="JT2479" s="38"/>
      <c r="JU2479" s="38"/>
      <c r="JV2479" s="38"/>
      <c r="JW2479" s="38"/>
      <c r="JX2479" s="38"/>
      <c r="JY2479" s="38"/>
      <c r="JZ2479" s="38"/>
      <c r="KA2479" s="38"/>
      <c r="KB2479" s="38"/>
      <c r="KC2479" s="38"/>
      <c r="KD2479" s="38"/>
      <c r="KE2479" s="38"/>
      <c r="KF2479" s="38"/>
      <c r="KG2479" s="38"/>
      <c r="KH2479" s="38"/>
      <c r="KI2479" s="38"/>
      <c r="KJ2479" s="38"/>
      <c r="KK2479" s="38"/>
      <c r="KL2479" s="38"/>
      <c r="KM2479" s="38"/>
      <c r="KN2479" s="38"/>
      <c r="KO2479" s="38"/>
      <c r="KP2479" s="38"/>
      <c r="KQ2479" s="38"/>
      <c r="KR2479" s="38"/>
      <c r="KS2479" s="38"/>
      <c r="KT2479" s="38"/>
      <c r="KU2479" s="38"/>
      <c r="KV2479" s="38"/>
      <c r="KW2479" s="38"/>
      <c r="KX2479" s="38"/>
      <c r="KY2479" s="38"/>
      <c r="KZ2479" s="38"/>
      <c r="LA2479" s="38"/>
      <c r="LB2479" s="38"/>
      <c r="LC2479" s="38"/>
      <c r="LD2479" s="38"/>
      <c r="LE2479" s="38"/>
      <c r="LF2479" s="38"/>
      <c r="LG2479" s="38"/>
      <c r="LH2479" s="38"/>
      <c r="LI2479" s="38"/>
      <c r="LJ2479" s="38"/>
      <c r="LK2479" s="38"/>
      <c r="LL2479" s="38"/>
      <c r="LM2479" s="38"/>
      <c r="LN2479" s="38"/>
      <c r="LO2479" s="38"/>
      <c r="LP2479" s="38"/>
      <c r="LQ2479" s="38"/>
      <c r="LR2479" s="38"/>
      <c r="LS2479" s="38"/>
      <c r="LT2479" s="38"/>
      <c r="LU2479" s="38"/>
      <c r="LV2479" s="38"/>
      <c r="LW2479" s="38"/>
      <c r="LX2479" s="38"/>
      <c r="LY2479" s="38"/>
      <c r="LZ2479" s="38"/>
      <c r="MA2479" s="38"/>
      <c r="MB2479" s="38"/>
      <c r="MC2479" s="38"/>
      <c r="MD2479" s="38"/>
      <c r="ME2479" s="38"/>
      <c r="MF2479" s="38"/>
      <c r="MG2479" s="38"/>
      <c r="MH2479" s="38"/>
      <c r="MI2479" s="38"/>
      <c r="MJ2479" s="38"/>
      <c r="MK2479" s="38"/>
      <c r="ML2479" s="38"/>
      <c r="MM2479" s="38"/>
      <c r="MN2479" s="38"/>
      <c r="MO2479" s="38"/>
      <c r="MP2479" s="38"/>
      <c r="MQ2479" s="38"/>
      <c r="MR2479" s="38"/>
      <c r="MS2479" s="38"/>
      <c r="MT2479" s="38"/>
      <c r="MU2479" s="38"/>
      <c r="MV2479" s="38"/>
      <c r="MW2479" s="38"/>
      <c r="MX2479" s="38"/>
      <c r="MY2479" s="38"/>
      <c r="MZ2479" s="38"/>
      <c r="NA2479" s="38"/>
      <c r="NB2479" s="38"/>
      <c r="NC2479" s="38"/>
      <c r="ND2479" s="38"/>
      <c r="NE2479" s="38"/>
      <c r="NF2479" s="38"/>
      <c r="NG2479" s="38"/>
      <c r="NH2479" s="38"/>
      <c r="NI2479" s="38"/>
      <c r="NJ2479" s="38"/>
      <c r="NK2479" s="38"/>
      <c r="NL2479" s="38"/>
      <c r="NM2479" s="38"/>
      <c r="NN2479" s="38"/>
      <c r="NO2479" s="38"/>
      <c r="NP2479" s="38"/>
      <c r="NQ2479" s="38"/>
      <c r="NR2479" s="38"/>
      <c r="NS2479" s="38"/>
      <c r="NT2479" s="38"/>
      <c r="NU2479" s="38"/>
      <c r="NV2479" s="38"/>
      <c r="NW2479" s="38"/>
      <c r="NX2479" s="38"/>
      <c r="NY2479" s="38"/>
      <c r="NZ2479" s="38"/>
      <c r="OA2479" s="38"/>
      <c r="OB2479" s="38"/>
      <c r="OC2479" s="38"/>
      <c r="OD2479" s="38"/>
      <c r="OE2479" s="38"/>
      <c r="OF2479" s="38"/>
      <c r="OG2479" s="38"/>
      <c r="OH2479" s="38"/>
      <c r="OI2479" s="38"/>
      <c r="OJ2479" s="38"/>
      <c r="OK2479" s="38"/>
      <c r="OL2479" s="38"/>
      <c r="OM2479" s="38"/>
      <c r="ON2479" s="38"/>
      <c r="OO2479" s="38"/>
      <c r="OP2479" s="38"/>
      <c r="OQ2479" s="38"/>
      <c r="OR2479" s="38"/>
      <c r="OS2479" s="38"/>
      <c r="OT2479" s="38"/>
      <c r="OU2479" s="38"/>
      <c r="OV2479" s="38"/>
      <c r="OW2479" s="38"/>
      <c r="OX2479" s="38"/>
      <c r="OY2479" s="38"/>
      <c r="OZ2479" s="38"/>
      <c r="PA2479" s="38"/>
      <c r="PB2479" s="38"/>
      <c r="PC2479" s="38"/>
      <c r="PD2479" s="38"/>
      <c r="PE2479" s="38"/>
      <c r="PF2479" s="38"/>
      <c r="PG2479" s="38"/>
      <c r="PH2479" s="38"/>
      <c r="PI2479" s="38"/>
      <c r="PJ2479" s="38"/>
      <c r="PK2479" s="38"/>
      <c r="PL2479" s="38"/>
      <c r="PM2479" s="38"/>
      <c r="PN2479" s="38"/>
      <c r="PO2479" s="38"/>
      <c r="PP2479" s="38"/>
      <c r="PQ2479" s="38"/>
      <c r="PR2479" s="38"/>
      <c r="PS2479" s="38"/>
      <c r="PT2479" s="38"/>
      <c r="PU2479" s="38"/>
      <c r="PV2479" s="38"/>
      <c r="PW2479" s="38"/>
      <c r="PX2479" s="38"/>
      <c r="PY2479" s="38"/>
      <c r="PZ2479" s="38"/>
      <c r="QA2479" s="38"/>
      <c r="QB2479" s="38"/>
      <c r="QC2479" s="38"/>
      <c r="QD2479" s="38"/>
      <c r="QE2479" s="38"/>
      <c r="QF2479" s="38"/>
      <c r="QG2479" s="38"/>
      <c r="QH2479" s="38"/>
      <c r="QI2479" s="38"/>
      <c r="QJ2479" s="38"/>
      <c r="QK2479" s="38"/>
      <c r="QL2479" s="38"/>
      <c r="QM2479" s="38"/>
      <c r="QN2479" s="38"/>
      <c r="QO2479" s="38"/>
      <c r="QP2479" s="38"/>
      <c r="QQ2479" s="38"/>
      <c r="QR2479" s="38"/>
      <c r="QS2479" s="38"/>
      <c r="QT2479" s="38"/>
      <c r="QU2479" s="38"/>
      <c r="QV2479" s="38"/>
      <c r="QW2479" s="38"/>
      <c r="QX2479" s="38"/>
      <c r="QY2479" s="38"/>
      <c r="QZ2479" s="38"/>
      <c r="RA2479" s="38"/>
      <c r="RB2479" s="38"/>
      <c r="RC2479" s="38"/>
      <c r="RD2479" s="38"/>
      <c r="RE2479" s="38"/>
      <c r="RF2479" s="38"/>
      <c r="RG2479" s="38"/>
      <c r="RH2479" s="38"/>
      <c r="RI2479" s="38"/>
      <c r="RJ2479" s="38"/>
      <c r="RK2479" s="38"/>
      <c r="RL2479" s="38"/>
      <c r="RM2479" s="38"/>
      <c r="RN2479" s="38"/>
      <c r="RO2479" s="38"/>
      <c r="RP2479" s="38"/>
      <c r="RQ2479" s="38"/>
      <c r="RR2479" s="38"/>
      <c r="RS2479" s="38"/>
      <c r="RT2479" s="38"/>
      <c r="RU2479" s="38"/>
      <c r="RV2479" s="38"/>
      <c r="RW2479" s="38"/>
      <c r="RX2479" s="38"/>
      <c r="RY2479" s="38"/>
      <c r="RZ2479" s="38"/>
      <c r="SA2479" s="38"/>
      <c r="SB2479" s="38"/>
      <c r="SC2479" s="38"/>
      <c r="SD2479" s="38"/>
      <c r="SE2479" s="38"/>
      <c r="SF2479" s="38"/>
      <c r="SG2479" s="38"/>
      <c r="SH2479" s="38"/>
      <c r="SI2479" s="38"/>
      <c r="SJ2479" s="38"/>
      <c r="SK2479" s="38"/>
      <c r="SL2479" s="38"/>
      <c r="SM2479" s="38"/>
      <c r="SN2479" s="38"/>
      <c r="SO2479" s="38"/>
      <c r="SP2479" s="38"/>
      <c r="SQ2479" s="38"/>
      <c r="SR2479" s="38"/>
      <c r="SS2479" s="38"/>
      <c r="ST2479" s="38"/>
      <c r="SU2479" s="38"/>
      <c r="SV2479" s="38"/>
      <c r="SW2479" s="38"/>
      <c r="SX2479" s="38"/>
      <c r="SY2479" s="38"/>
      <c r="SZ2479" s="38"/>
      <c r="TA2479" s="38"/>
      <c r="TB2479" s="38"/>
      <c r="TC2479" s="38"/>
      <c r="TD2479" s="38"/>
      <c r="TE2479" s="38"/>
      <c r="TF2479" s="38"/>
      <c r="TG2479" s="38"/>
      <c r="TH2479" s="38"/>
      <c r="TI2479" s="38"/>
      <c r="TJ2479" s="38"/>
      <c r="TK2479" s="38"/>
      <c r="TL2479" s="38"/>
      <c r="TM2479" s="38"/>
      <c r="TN2479" s="38"/>
      <c r="TO2479" s="38"/>
      <c r="TP2479" s="38"/>
      <c r="TQ2479" s="38"/>
      <c r="TR2479" s="38"/>
      <c r="TS2479" s="38"/>
      <c r="TT2479" s="38"/>
      <c r="TU2479" s="38"/>
      <c r="TV2479" s="38"/>
      <c r="TW2479" s="38"/>
      <c r="TX2479" s="38"/>
      <c r="TY2479" s="38"/>
      <c r="TZ2479" s="38"/>
      <c r="UA2479" s="38"/>
      <c r="UB2479" s="38"/>
      <c r="UC2479" s="38"/>
      <c r="UD2479" s="38"/>
      <c r="UE2479" s="38"/>
      <c r="UF2479" s="38"/>
      <c r="UG2479" s="38"/>
      <c r="UH2479" s="38"/>
      <c r="UI2479" s="38"/>
      <c r="UJ2479" s="38"/>
      <c r="UK2479" s="38"/>
      <c r="UL2479" s="38"/>
      <c r="UM2479" s="38"/>
      <c r="UN2479" s="38"/>
      <c r="UO2479" s="38"/>
      <c r="UP2479" s="38"/>
      <c r="UQ2479" s="38"/>
      <c r="UR2479" s="38"/>
      <c r="US2479" s="38"/>
      <c r="UT2479" s="38"/>
      <c r="UU2479" s="38"/>
      <c r="UV2479" s="38"/>
      <c r="UW2479" s="38"/>
      <c r="UX2479" s="38"/>
      <c r="UY2479" s="38"/>
      <c r="UZ2479" s="38"/>
      <c r="VA2479" s="38"/>
      <c r="VB2479" s="38"/>
      <c r="VC2479" s="38"/>
      <c r="VD2479" s="38"/>
      <c r="VE2479" s="38"/>
      <c r="VF2479" s="38"/>
      <c r="VG2479" s="38"/>
      <c r="VH2479" s="38"/>
      <c r="VI2479" s="38"/>
      <c r="VJ2479" s="38"/>
      <c r="VK2479" s="38"/>
      <c r="VL2479" s="38"/>
      <c r="VM2479" s="38"/>
      <c r="VN2479" s="38"/>
      <c r="VO2479" s="38"/>
      <c r="VP2479" s="38"/>
      <c r="VQ2479" s="38"/>
      <c r="VR2479" s="38"/>
      <c r="VS2479" s="38"/>
      <c r="VT2479" s="38"/>
      <c r="VU2479" s="38"/>
      <c r="VV2479" s="38"/>
      <c r="VW2479" s="38"/>
      <c r="VX2479" s="38"/>
      <c r="VY2479" s="38"/>
      <c r="VZ2479" s="38"/>
      <c r="WA2479" s="38"/>
      <c r="WB2479" s="38"/>
      <c r="WC2479" s="38"/>
      <c r="WD2479" s="38"/>
      <c r="WE2479" s="38"/>
      <c r="WF2479" s="38"/>
      <c r="WG2479" s="38"/>
      <c r="WH2479" s="38"/>
      <c r="WI2479" s="38"/>
      <c r="WJ2479" s="38"/>
      <c r="WK2479" s="38"/>
      <c r="WL2479" s="38"/>
      <c r="WM2479" s="38"/>
      <c r="WN2479" s="38"/>
      <c r="WO2479" s="38"/>
      <c r="WP2479" s="38"/>
      <c r="WQ2479" s="38"/>
      <c r="WR2479" s="38"/>
      <c r="WS2479" s="38"/>
      <c r="WT2479" s="38"/>
      <c r="WU2479" s="38"/>
      <c r="WV2479" s="38"/>
      <c r="WW2479" s="38"/>
      <c r="WX2479" s="38"/>
      <c r="WY2479" s="38"/>
      <c r="WZ2479" s="38"/>
      <c r="XA2479" s="38"/>
      <c r="XB2479" s="38"/>
      <c r="XC2479" s="38"/>
      <c r="XD2479" s="38"/>
      <c r="XE2479" s="38"/>
      <c r="XF2479" s="38"/>
      <c r="XG2479" s="38"/>
      <c r="XH2479" s="38"/>
      <c r="XI2479" s="38"/>
      <c r="XJ2479" s="38"/>
      <c r="XK2479" s="38"/>
      <c r="XL2479" s="38"/>
      <c r="XM2479" s="38"/>
      <c r="XN2479" s="38"/>
      <c r="XO2479" s="38"/>
      <c r="XP2479" s="38"/>
      <c r="XQ2479" s="38"/>
      <c r="XR2479" s="38"/>
      <c r="XS2479" s="38"/>
      <c r="XT2479" s="38"/>
      <c r="XU2479" s="38"/>
      <c r="XV2479" s="38"/>
      <c r="XW2479" s="38"/>
      <c r="XX2479" s="38"/>
      <c r="XY2479" s="38"/>
      <c r="XZ2479" s="38"/>
      <c r="YA2479" s="38"/>
      <c r="YB2479" s="38"/>
      <c r="YC2479" s="38"/>
      <c r="YD2479" s="38"/>
      <c r="YE2479" s="38"/>
      <c r="YF2479" s="38"/>
      <c r="YG2479" s="38"/>
      <c r="YH2479" s="38"/>
      <c r="YI2479" s="38"/>
      <c r="YJ2479" s="38"/>
      <c r="YK2479" s="38"/>
      <c r="YL2479" s="38"/>
      <c r="YM2479" s="38"/>
      <c r="YN2479" s="38"/>
      <c r="YO2479" s="38"/>
      <c r="YP2479" s="38"/>
      <c r="YQ2479" s="38"/>
      <c r="YR2479" s="38"/>
      <c r="YS2479" s="38"/>
      <c r="YT2479" s="38"/>
      <c r="YU2479" s="38"/>
      <c r="YV2479" s="38"/>
      <c r="YW2479" s="38"/>
      <c r="YX2479" s="38"/>
      <c r="YY2479" s="38"/>
      <c r="YZ2479" s="38"/>
      <c r="ZA2479" s="38"/>
      <c r="ZB2479" s="38"/>
      <c r="ZC2479" s="38"/>
      <c r="ZD2479" s="38"/>
      <c r="ZE2479" s="38"/>
      <c r="ZF2479" s="38"/>
      <c r="ZG2479" s="38"/>
      <c r="ZH2479" s="38"/>
      <c r="ZI2479" s="38"/>
      <c r="ZJ2479" s="38"/>
      <c r="ZK2479" s="38"/>
      <c r="ZL2479" s="38"/>
      <c r="ZM2479" s="38"/>
      <c r="ZN2479" s="38"/>
      <c r="ZO2479" s="38"/>
      <c r="ZP2479" s="38"/>
      <c r="ZQ2479" s="38"/>
      <c r="ZR2479" s="38"/>
      <c r="ZS2479" s="38"/>
      <c r="ZT2479" s="38"/>
      <c r="ZU2479" s="38"/>
      <c r="ZV2479" s="38"/>
      <c r="ZW2479" s="38"/>
      <c r="ZX2479" s="38"/>
      <c r="ZY2479" s="38"/>
      <c r="ZZ2479" s="38"/>
      <c r="AAA2479" s="38"/>
      <c r="AAB2479" s="38"/>
      <c r="AAC2479" s="38"/>
      <c r="AAD2479" s="38"/>
      <c r="AAE2479" s="38"/>
      <c r="AAF2479" s="38"/>
      <c r="AAG2479" s="38"/>
      <c r="AAH2479" s="38"/>
      <c r="AAI2479" s="38"/>
      <c r="AAJ2479" s="38"/>
      <c r="AAK2479" s="38"/>
      <c r="AAL2479" s="38"/>
      <c r="AAM2479" s="38"/>
      <c r="AAN2479" s="38"/>
      <c r="AAO2479" s="38"/>
      <c r="AAP2479" s="38"/>
      <c r="AAQ2479" s="38"/>
      <c r="AAR2479" s="38"/>
      <c r="AAS2479" s="38"/>
      <c r="AAT2479" s="38"/>
      <c r="AAU2479" s="38"/>
      <c r="AAV2479" s="38"/>
      <c r="AAW2479" s="38"/>
      <c r="AAX2479" s="38"/>
      <c r="AAY2479" s="38"/>
      <c r="AAZ2479" s="38"/>
      <c r="ABA2479" s="38"/>
      <c r="ABB2479" s="38"/>
      <c r="ABC2479" s="38"/>
      <c r="ABD2479" s="38"/>
      <c r="ABE2479" s="38"/>
      <c r="ABF2479" s="38"/>
      <c r="ABG2479" s="38"/>
      <c r="ABH2479" s="38"/>
      <c r="ABI2479" s="38"/>
      <c r="ABJ2479" s="38"/>
      <c r="ABK2479" s="38"/>
      <c r="ABL2479" s="38"/>
      <c r="ABM2479" s="38"/>
      <c r="ABN2479" s="38"/>
      <c r="ABO2479" s="38"/>
      <c r="ABP2479" s="38"/>
      <c r="ABQ2479" s="38"/>
      <c r="ABR2479" s="38"/>
      <c r="ABS2479" s="38"/>
      <c r="ABT2479" s="38"/>
      <c r="ABU2479" s="38"/>
      <c r="ABV2479" s="38"/>
      <c r="ABW2479" s="38"/>
      <c r="ABX2479" s="38"/>
      <c r="ABY2479" s="38"/>
      <c r="ABZ2479" s="38"/>
      <c r="ACA2479" s="38"/>
      <c r="ACB2479" s="38"/>
      <c r="ACC2479" s="38"/>
      <c r="ACD2479" s="38"/>
      <c r="ACE2479" s="38"/>
      <c r="ACF2479" s="38"/>
      <c r="ACG2479" s="38"/>
      <c r="ACH2479" s="38"/>
      <c r="ACI2479" s="38"/>
      <c r="ACJ2479" s="38"/>
      <c r="ACK2479" s="38"/>
      <c r="ACL2479" s="38"/>
      <c r="ACM2479" s="38"/>
      <c r="ACN2479" s="38"/>
      <c r="ACO2479" s="38"/>
      <c r="ACP2479" s="38"/>
      <c r="ACQ2479" s="38"/>
      <c r="ACR2479" s="38"/>
      <c r="ACS2479" s="38"/>
      <c r="ACT2479" s="38"/>
      <c r="ACU2479" s="38"/>
      <c r="ACV2479" s="38"/>
      <c r="ACW2479" s="38"/>
      <c r="ACX2479" s="38"/>
      <c r="ACY2479" s="38"/>
      <c r="ACZ2479" s="38"/>
      <c r="ADA2479" s="38"/>
      <c r="ADB2479" s="38"/>
      <c r="ADC2479" s="38"/>
      <c r="ADD2479" s="38"/>
      <c r="ADE2479" s="38"/>
      <c r="ADF2479" s="38"/>
      <c r="ADG2479" s="38"/>
      <c r="ADH2479" s="38"/>
      <c r="ADI2479" s="38"/>
      <c r="ADJ2479" s="38"/>
      <c r="ADK2479" s="38"/>
      <c r="ADL2479" s="38"/>
      <c r="ADM2479" s="38"/>
      <c r="ADN2479" s="38"/>
      <c r="ADO2479" s="38"/>
      <c r="ADP2479" s="38"/>
      <c r="ADQ2479" s="38"/>
      <c r="ADR2479" s="38"/>
      <c r="ADS2479" s="38"/>
      <c r="ADT2479" s="38"/>
      <c r="ADU2479" s="38"/>
      <c r="ADV2479" s="38"/>
      <c r="ADW2479" s="38"/>
      <c r="ADX2479" s="38"/>
      <c r="ADY2479" s="38"/>
      <c r="ADZ2479" s="38"/>
      <c r="AEA2479" s="38"/>
      <c r="AEB2479" s="38"/>
      <c r="AEC2479" s="38"/>
      <c r="AED2479" s="38"/>
      <c r="AEE2479" s="38"/>
      <c r="AEF2479" s="38"/>
      <c r="AEG2479" s="38"/>
      <c r="AEH2479" s="38"/>
      <c r="AEI2479" s="38"/>
      <c r="AEJ2479" s="38"/>
      <c r="AEK2479" s="38"/>
      <c r="AEL2479" s="38"/>
      <c r="AEM2479" s="38"/>
      <c r="AEN2479" s="38"/>
      <c r="AEO2479" s="38"/>
      <c r="AEP2479" s="38"/>
      <c r="AEQ2479" s="38"/>
      <c r="AER2479" s="38"/>
      <c r="AES2479" s="38"/>
      <c r="AET2479" s="38"/>
      <c r="AEU2479" s="38"/>
      <c r="AEV2479" s="38"/>
      <c r="AEW2479" s="38"/>
      <c r="AEX2479" s="38"/>
      <c r="AEY2479" s="38"/>
      <c r="AEZ2479" s="38"/>
      <c r="AFA2479" s="38"/>
      <c r="AFB2479" s="38"/>
      <c r="AFC2479" s="38"/>
      <c r="AFD2479" s="38"/>
      <c r="AFE2479" s="38"/>
      <c r="AFF2479" s="38"/>
      <c r="AFG2479" s="38"/>
      <c r="AFH2479" s="38"/>
      <c r="AFI2479" s="38"/>
      <c r="AFJ2479" s="38"/>
      <c r="AFK2479" s="38"/>
      <c r="AFL2479" s="38"/>
      <c r="AFM2479" s="38"/>
      <c r="AFN2479" s="38"/>
      <c r="AFO2479" s="38"/>
      <c r="AFP2479" s="38"/>
      <c r="AFQ2479" s="38"/>
      <c r="AFR2479" s="38"/>
      <c r="AFS2479" s="38"/>
      <c r="AFT2479" s="38"/>
      <c r="AFU2479" s="38"/>
      <c r="AFV2479" s="38"/>
      <c r="AFW2479" s="38"/>
      <c r="AFX2479" s="38"/>
      <c r="AFY2479" s="38"/>
      <c r="AFZ2479" s="38"/>
      <c r="AGA2479" s="38"/>
      <c r="AGB2479" s="38"/>
      <c r="AGC2479" s="38"/>
      <c r="AGD2479" s="38"/>
      <c r="AGE2479" s="38"/>
      <c r="AGF2479" s="38"/>
      <c r="AGG2479" s="38"/>
      <c r="AGH2479" s="38"/>
      <c r="AGI2479" s="38"/>
      <c r="AGJ2479" s="38"/>
      <c r="AGK2479" s="38"/>
      <c r="AGL2479" s="38"/>
      <c r="AGM2479" s="38"/>
      <c r="AGN2479" s="38"/>
      <c r="AGO2479" s="38"/>
      <c r="AGP2479" s="38"/>
      <c r="AGQ2479" s="38"/>
      <c r="AGR2479" s="38"/>
      <c r="AGS2479" s="38"/>
      <c r="AGT2479" s="38"/>
      <c r="AGU2479" s="38"/>
      <c r="AGV2479" s="38"/>
      <c r="AGW2479" s="38"/>
      <c r="AGX2479" s="38"/>
      <c r="AGY2479" s="38"/>
      <c r="AGZ2479" s="38"/>
      <c r="AHA2479" s="38"/>
      <c r="AHB2479" s="38"/>
      <c r="AHC2479" s="38"/>
      <c r="AHD2479" s="38"/>
      <c r="AHE2479" s="38"/>
      <c r="AHF2479" s="38"/>
      <c r="AHG2479" s="38"/>
      <c r="AHH2479" s="38"/>
      <c r="AHI2479" s="38"/>
      <c r="AHJ2479" s="38"/>
      <c r="AHK2479" s="38"/>
      <c r="AHL2479" s="38"/>
      <c r="AHM2479" s="38"/>
      <c r="AHN2479" s="38"/>
      <c r="AHO2479" s="38"/>
      <c r="AHP2479" s="38"/>
      <c r="AHQ2479" s="38"/>
      <c r="AHR2479" s="38"/>
      <c r="AHS2479" s="38"/>
      <c r="AHT2479" s="38"/>
      <c r="AHU2479" s="38"/>
      <c r="AHV2479" s="38"/>
      <c r="AHW2479" s="38"/>
      <c r="AHX2479" s="38"/>
      <c r="AHY2479" s="38"/>
      <c r="AHZ2479" s="38"/>
      <c r="AIA2479" s="38"/>
      <c r="AIB2479" s="38"/>
      <c r="AIC2479" s="38"/>
      <c r="AID2479" s="38"/>
      <c r="AIE2479" s="38"/>
      <c r="AIF2479" s="38"/>
      <c r="AIG2479" s="38"/>
      <c r="AIH2479" s="38"/>
      <c r="AII2479" s="38"/>
      <c r="AIJ2479" s="38"/>
      <c r="AIK2479" s="38"/>
      <c r="AIL2479" s="38"/>
      <c r="AIM2479" s="38"/>
      <c r="AIN2479" s="38"/>
      <c r="AIO2479" s="38"/>
      <c r="AIP2479" s="38"/>
      <c r="AIQ2479" s="38"/>
      <c r="AIR2479" s="38"/>
      <c r="AIS2479" s="38"/>
      <c r="AIT2479" s="38"/>
      <c r="AIU2479" s="38"/>
      <c r="AIV2479" s="38"/>
      <c r="AIW2479" s="38"/>
      <c r="AIX2479" s="38"/>
      <c r="AIY2479" s="38"/>
      <c r="AIZ2479" s="38"/>
      <c r="AJA2479" s="38"/>
      <c r="AJB2479" s="38"/>
      <c r="AJC2479" s="38"/>
      <c r="AJD2479" s="38"/>
      <c r="AJE2479" s="38"/>
      <c r="AJF2479" s="38"/>
      <c r="AJG2479" s="38"/>
      <c r="AJH2479" s="38"/>
      <c r="AJI2479" s="38"/>
      <c r="AJJ2479" s="38"/>
      <c r="AJK2479" s="38"/>
      <c r="AJL2479" s="38"/>
      <c r="AJM2479" s="38"/>
      <c r="AJN2479" s="38"/>
      <c r="AJO2479" s="38"/>
      <c r="AJP2479" s="38"/>
      <c r="AJQ2479" s="38"/>
      <c r="AJR2479" s="38"/>
      <c r="AJS2479" s="38"/>
      <c r="AJT2479" s="38"/>
      <c r="AJU2479" s="38"/>
      <c r="AJV2479" s="38"/>
      <c r="AJW2479" s="38"/>
      <c r="AJX2479" s="38"/>
      <c r="AJY2479" s="38"/>
      <c r="AJZ2479" s="38"/>
      <c r="AKA2479" s="38"/>
      <c r="AKB2479" s="38"/>
      <c r="AKC2479" s="38"/>
      <c r="AKD2479" s="38"/>
      <c r="AKE2479" s="38"/>
      <c r="AKF2479" s="38"/>
      <c r="AKG2479" s="38"/>
      <c r="AKH2479" s="38"/>
      <c r="AKI2479" s="38"/>
      <c r="AKJ2479" s="38"/>
      <c r="AKK2479" s="38"/>
      <c r="AKL2479" s="38"/>
      <c r="AKM2479" s="38"/>
      <c r="AKN2479" s="38"/>
      <c r="AKO2479" s="38"/>
      <c r="AKP2479" s="38"/>
      <c r="AKQ2479" s="38"/>
      <c r="AKR2479" s="38"/>
      <c r="AKS2479" s="38"/>
      <c r="AKT2479" s="38"/>
      <c r="AKU2479" s="38"/>
      <c r="AKV2479" s="38"/>
      <c r="AKW2479" s="38"/>
      <c r="AKX2479" s="38"/>
      <c r="AKY2479" s="38"/>
      <c r="AKZ2479" s="38"/>
      <c r="ALA2479" s="38"/>
      <c r="ALB2479" s="38"/>
      <c r="ALC2479" s="38"/>
      <c r="ALD2479" s="38"/>
      <c r="ALE2479" s="38"/>
      <c r="ALF2479" s="38"/>
      <c r="ALG2479" s="38"/>
      <c r="ALH2479" s="38"/>
      <c r="ALI2479" s="38"/>
      <c r="ALJ2479" s="38"/>
      <c r="ALK2479" s="38"/>
      <c r="ALL2479" s="38"/>
      <c r="ALM2479" s="38"/>
      <c r="ALN2479" s="38"/>
      <c r="ALO2479" s="38"/>
      <c r="ALP2479" s="38"/>
      <c r="ALQ2479" s="38"/>
      <c r="ALR2479" s="38"/>
      <c r="ALS2479" s="38"/>
      <c r="ALT2479" s="38"/>
      <c r="ALU2479" s="38"/>
      <c r="ALV2479" s="38"/>
      <c r="ALW2479" s="38"/>
      <c r="ALX2479" s="38"/>
      <c r="ALY2479" s="38"/>
      <c r="ALZ2479" s="38"/>
      <c r="AMA2479" s="38"/>
      <c r="AMB2479" s="38"/>
      <c r="AMC2479" s="38"/>
      <c r="AMD2479" s="38"/>
      <c r="AME2479" s="38"/>
      <c r="AMF2479" s="38"/>
      <c r="AMG2479" s="38"/>
      <c r="AMH2479" s="38"/>
      <c r="AMI2479" s="38"/>
      <c r="AMJ2479" s="38"/>
      <c r="AMK2479" s="38"/>
      <c r="AML2479" s="38"/>
      <c r="AMM2479" s="38"/>
      <c r="AMN2479" s="38"/>
      <c r="AMO2479" s="38"/>
      <c r="AMP2479" s="38"/>
      <c r="AMQ2479" s="38"/>
      <c r="AMR2479" s="38"/>
      <c r="AMS2479" s="38"/>
      <c r="AMT2479" s="38"/>
      <c r="AMU2479" s="38"/>
      <c r="AMV2479" s="38"/>
      <c r="AMW2479" s="38"/>
      <c r="AMX2479" s="38"/>
      <c r="AMY2479" s="38"/>
      <c r="AMZ2479" s="38"/>
      <c r="ANA2479" s="38"/>
      <c r="ANB2479" s="38"/>
      <c r="ANC2479" s="38"/>
      <c r="AND2479" s="38"/>
      <c r="ANE2479" s="38"/>
      <c r="ANF2479" s="38"/>
      <c r="ANG2479" s="38"/>
      <c r="ANH2479" s="38"/>
      <c r="ANI2479" s="38"/>
      <c r="ANJ2479" s="38"/>
      <c r="ANK2479" s="38"/>
      <c r="ANL2479" s="38"/>
      <c r="ANM2479" s="38"/>
      <c r="ANN2479" s="38"/>
      <c r="ANO2479" s="38"/>
      <c r="ANP2479" s="38"/>
      <c r="ANQ2479" s="38"/>
      <c r="ANR2479" s="38"/>
      <c r="ANS2479" s="38"/>
      <c r="ANT2479" s="38"/>
      <c r="ANU2479" s="38"/>
      <c r="ANV2479" s="38"/>
      <c r="ANW2479" s="38"/>
      <c r="ANX2479" s="38"/>
      <c r="ANY2479" s="38"/>
      <c r="ANZ2479" s="38"/>
      <c r="AOA2479" s="38"/>
      <c r="AOB2479" s="38"/>
      <c r="AOC2479" s="38"/>
      <c r="AOD2479" s="38"/>
      <c r="AOE2479" s="38"/>
      <c r="AOF2479" s="38"/>
      <c r="AOG2479" s="38"/>
      <c r="AOH2479" s="38"/>
      <c r="AOI2479" s="38"/>
      <c r="AOJ2479" s="38"/>
      <c r="AOK2479" s="38"/>
      <c r="AOL2479" s="38"/>
      <c r="AOM2479" s="38"/>
      <c r="AON2479" s="38"/>
      <c r="AOO2479" s="38"/>
      <c r="AOP2479" s="38"/>
      <c r="AOQ2479" s="38"/>
      <c r="AOR2479" s="38"/>
      <c r="AOS2479" s="38"/>
      <c r="AOT2479" s="38"/>
      <c r="AOU2479" s="38"/>
      <c r="AOV2479" s="38"/>
      <c r="AOW2479" s="38"/>
      <c r="AOX2479" s="38"/>
      <c r="AOY2479" s="38"/>
      <c r="AOZ2479" s="38"/>
      <c r="APA2479" s="38"/>
      <c r="APB2479" s="38"/>
      <c r="APC2479" s="38"/>
    </row>
    <row r="2480" spans="1:1095" s="36" customFormat="1" ht="14.25" customHeight="1">
      <c r="A2480" s="3" t="s">
        <v>1722</v>
      </c>
      <c r="B2480" s="36" t="s">
        <v>3102</v>
      </c>
      <c r="C2480" s="10">
        <v>4058075435568</v>
      </c>
      <c r="D2480" s="224">
        <v>4058075435568</v>
      </c>
      <c r="E2480" s="245" t="s">
        <v>3102</v>
      </c>
      <c r="F2480" s="246"/>
      <c r="G2480" s="66" t="str">
        <f>HYPERLINK("https://ledvance.com/pt/product-datasheet/6930/83281","Ficha de Produto")</f>
        <v>Ficha de Produto</v>
      </c>
      <c r="H2480" s="217">
        <v>4</v>
      </c>
      <c r="I2480" s="34" t="s">
        <v>6354</v>
      </c>
      <c r="J2480" s="34" t="s">
        <v>855</v>
      </c>
      <c r="K2480" s="34" t="s">
        <v>788</v>
      </c>
      <c r="L2480" s="34" t="s">
        <v>6506</v>
      </c>
      <c r="M2480" s="247">
        <v>19.700000000000003</v>
      </c>
      <c r="N2480" s="288" t="s">
        <v>722</v>
      </c>
    </row>
    <row r="2481" spans="1:1095" s="36" customFormat="1" ht="14.25" customHeight="1">
      <c r="A2481" s="3" t="s">
        <v>1722</v>
      </c>
      <c r="B2481" s="36" t="s">
        <v>3103</v>
      </c>
      <c r="C2481" s="10">
        <v>4058075435537</v>
      </c>
      <c r="D2481" s="224">
        <v>4058075435537</v>
      </c>
      <c r="E2481" s="245" t="s">
        <v>3104</v>
      </c>
      <c r="F2481" s="246"/>
      <c r="G2481" s="66" t="str">
        <f>HYPERLINK("https://ledvance.com/pt/product-datasheet/6930/83291","Ficha de Produto")</f>
        <v>Ficha de Produto</v>
      </c>
      <c r="H2481" s="217">
        <v>4</v>
      </c>
      <c r="I2481" s="34" t="s">
        <v>6349</v>
      </c>
      <c r="J2481" s="34" t="s">
        <v>809</v>
      </c>
      <c r="K2481" s="34" t="s">
        <v>788</v>
      </c>
      <c r="L2481" s="34" t="s">
        <v>6506</v>
      </c>
      <c r="M2481" s="247">
        <v>11.5</v>
      </c>
      <c r="N2481" s="288" t="s">
        <v>722</v>
      </c>
    </row>
    <row r="2482" spans="1:1095" s="36" customFormat="1" ht="14.25" customHeight="1">
      <c r="A2482" s="3" t="s">
        <v>1722</v>
      </c>
      <c r="B2482" s="36" t="s">
        <v>3105</v>
      </c>
      <c r="C2482" s="10">
        <v>4058075435490</v>
      </c>
      <c r="D2482" s="224">
        <v>4058075435490</v>
      </c>
      <c r="E2482" s="245" t="s">
        <v>3105</v>
      </c>
      <c r="F2482" s="246"/>
      <c r="G2482" s="66" t="str">
        <f>HYPERLINK("https://ledvance.com/pt/product-datasheet/6932/60755","Ficha de Produto")</f>
        <v>Ficha de Produto</v>
      </c>
      <c r="H2482" s="217">
        <v>4</v>
      </c>
      <c r="I2482" s="34" t="s">
        <v>6354</v>
      </c>
      <c r="J2482" s="34" t="s">
        <v>855</v>
      </c>
      <c r="K2482" s="34" t="s">
        <v>788</v>
      </c>
      <c r="L2482" s="34" t="s">
        <v>6506</v>
      </c>
      <c r="M2482" s="247">
        <v>11.5</v>
      </c>
      <c r="N2482" s="288" t="s">
        <v>722</v>
      </c>
    </row>
    <row r="2483" spans="1:1095" s="36" customFormat="1" ht="14.25" customHeight="1">
      <c r="A2483" s="3" t="s">
        <v>1722</v>
      </c>
      <c r="B2483" s="36" t="s">
        <v>3106</v>
      </c>
      <c r="C2483" s="10">
        <v>4058075808942</v>
      </c>
      <c r="D2483" s="224">
        <v>4058075808942</v>
      </c>
      <c r="E2483" s="245" t="s">
        <v>3107</v>
      </c>
      <c r="F2483" s="246"/>
      <c r="G2483" s="66" t="str">
        <f>HYPERLINK("https://ledvance.com/pt/product-datasheet/6936/60767","Ficha de Produto")</f>
        <v>Ficha de Produto</v>
      </c>
      <c r="H2483" s="217">
        <v>4</v>
      </c>
      <c r="I2483" s="34" t="s">
        <v>6349</v>
      </c>
      <c r="J2483" s="34" t="s">
        <v>809</v>
      </c>
      <c r="K2483" s="34" t="s">
        <v>788</v>
      </c>
      <c r="L2483" s="34" t="s">
        <v>6506</v>
      </c>
      <c r="M2483" s="247">
        <v>19.900000000000002</v>
      </c>
      <c r="N2483" s="288" t="s">
        <v>722</v>
      </c>
    </row>
    <row r="2484" spans="1:1095" s="36" customFormat="1" ht="14.25" customHeight="1">
      <c r="A2484" s="3" t="s">
        <v>1722</v>
      </c>
      <c r="B2484" s="36" t="s">
        <v>3108</v>
      </c>
      <c r="C2484" s="10">
        <v>4058075435476</v>
      </c>
      <c r="D2484" s="224">
        <v>4058075435476</v>
      </c>
      <c r="E2484" s="245" t="s">
        <v>3108</v>
      </c>
      <c r="F2484" s="246"/>
      <c r="G2484" s="66" t="str">
        <f>HYPERLINK("https://ledvance.com/pt/product-datasheet/6934/60779","Ficha de Produto")</f>
        <v>Ficha de Produto</v>
      </c>
      <c r="H2484" s="217">
        <v>4</v>
      </c>
      <c r="I2484" s="34" t="s">
        <v>6354</v>
      </c>
      <c r="J2484" s="34" t="s">
        <v>855</v>
      </c>
      <c r="K2484" s="34" t="s">
        <v>788</v>
      </c>
      <c r="L2484" s="34" t="s">
        <v>6506</v>
      </c>
      <c r="M2484" s="247">
        <v>16.400000000000002</v>
      </c>
      <c r="N2484" s="288" t="s">
        <v>722</v>
      </c>
    </row>
    <row r="2485" spans="1:1095" s="39" customFormat="1" ht="14.25" customHeight="1">
      <c r="A2485" s="8" t="s">
        <v>1722</v>
      </c>
      <c r="B2485" s="244" t="s">
        <v>1710</v>
      </c>
      <c r="C2485" s="8"/>
      <c r="D2485" s="7"/>
      <c r="E2485" s="230"/>
      <c r="F2485" s="7"/>
      <c r="G2485" s="68"/>
      <c r="H2485" s="230"/>
      <c r="I2485" s="230"/>
      <c r="J2485" s="230"/>
      <c r="K2485" s="230"/>
      <c r="L2485" s="230"/>
      <c r="M2485" s="248"/>
      <c r="N2485" s="284"/>
      <c r="O2485" s="38"/>
      <c r="P2485" s="38"/>
      <c r="Q2485" s="38"/>
      <c r="R2485" s="38"/>
      <c r="S2485" s="38"/>
      <c r="T2485" s="38"/>
      <c r="U2485" s="38"/>
      <c r="V2485" s="38"/>
      <c r="W2485" s="38"/>
      <c r="X2485" s="38"/>
      <c r="Y2485" s="38"/>
      <c r="Z2485" s="38"/>
      <c r="AA2485" s="38"/>
      <c r="AB2485" s="38"/>
      <c r="AC2485" s="38"/>
      <c r="AD2485" s="38"/>
      <c r="AE2485" s="38"/>
      <c r="AF2485" s="38"/>
      <c r="AG2485" s="38"/>
      <c r="AH2485" s="38"/>
      <c r="AI2485" s="38"/>
      <c r="AJ2485" s="38"/>
      <c r="AK2485" s="38"/>
      <c r="AL2485" s="38"/>
      <c r="AM2485" s="38"/>
      <c r="AN2485" s="38"/>
      <c r="AO2485" s="38"/>
      <c r="AP2485" s="38"/>
      <c r="AQ2485" s="38"/>
      <c r="AR2485" s="38"/>
      <c r="AS2485" s="38"/>
      <c r="AT2485" s="38"/>
      <c r="AU2485" s="38"/>
      <c r="AV2485" s="38"/>
      <c r="AW2485" s="38"/>
      <c r="AX2485" s="38"/>
      <c r="AY2485" s="38"/>
      <c r="AZ2485" s="38"/>
      <c r="BA2485" s="38"/>
      <c r="BB2485" s="38"/>
      <c r="BC2485" s="38"/>
      <c r="BD2485" s="38"/>
      <c r="BE2485" s="38"/>
      <c r="BF2485" s="38"/>
      <c r="BG2485" s="38"/>
      <c r="BH2485" s="38"/>
      <c r="BI2485" s="38"/>
      <c r="BJ2485" s="38"/>
      <c r="BK2485" s="38"/>
      <c r="BL2485" s="38"/>
      <c r="BM2485" s="38"/>
      <c r="BN2485" s="38"/>
      <c r="BO2485" s="38"/>
      <c r="BP2485" s="38"/>
      <c r="BQ2485" s="38"/>
      <c r="BR2485" s="38"/>
      <c r="BS2485" s="38"/>
      <c r="BT2485" s="38"/>
      <c r="BU2485" s="38"/>
      <c r="BV2485" s="38"/>
      <c r="BW2485" s="38"/>
      <c r="BX2485" s="38"/>
      <c r="BY2485" s="38"/>
      <c r="BZ2485" s="38"/>
      <c r="CA2485" s="38"/>
      <c r="CB2485" s="38"/>
      <c r="CC2485" s="38"/>
      <c r="CD2485" s="38"/>
      <c r="CE2485" s="38"/>
      <c r="CF2485" s="38"/>
      <c r="CG2485" s="38"/>
      <c r="CH2485" s="38"/>
      <c r="CI2485" s="38"/>
      <c r="CJ2485" s="38"/>
      <c r="CK2485" s="38"/>
      <c r="CL2485" s="38"/>
      <c r="CM2485" s="38"/>
      <c r="CN2485" s="38"/>
      <c r="CO2485" s="38"/>
      <c r="CP2485" s="38"/>
      <c r="CQ2485" s="38"/>
      <c r="CR2485" s="38"/>
      <c r="CS2485" s="38"/>
      <c r="CT2485" s="38"/>
      <c r="CU2485" s="38"/>
      <c r="CV2485" s="38"/>
      <c r="CW2485" s="38"/>
      <c r="CX2485" s="38"/>
      <c r="CY2485" s="38"/>
      <c r="CZ2485" s="38"/>
      <c r="DA2485" s="38"/>
      <c r="DB2485" s="38"/>
      <c r="DC2485" s="38"/>
      <c r="DD2485" s="38"/>
      <c r="DE2485" s="38"/>
      <c r="DF2485" s="38"/>
      <c r="DG2485" s="38"/>
      <c r="DH2485" s="38"/>
      <c r="DI2485" s="38"/>
      <c r="DJ2485" s="38"/>
      <c r="DK2485" s="38"/>
      <c r="DL2485" s="38"/>
      <c r="DM2485" s="38"/>
      <c r="DN2485" s="38"/>
      <c r="DO2485" s="38"/>
      <c r="DP2485" s="38"/>
      <c r="DQ2485" s="38"/>
      <c r="DR2485" s="38"/>
      <c r="DS2485" s="38"/>
      <c r="DT2485" s="38"/>
      <c r="DU2485" s="38"/>
      <c r="DV2485" s="38"/>
      <c r="DW2485" s="38"/>
      <c r="DX2485" s="38"/>
      <c r="DY2485" s="38"/>
      <c r="DZ2485" s="38"/>
      <c r="EA2485" s="38"/>
      <c r="EB2485" s="38"/>
      <c r="EC2485" s="38"/>
      <c r="ED2485" s="38"/>
      <c r="EE2485" s="38"/>
      <c r="EF2485" s="38"/>
      <c r="EG2485" s="38"/>
      <c r="EH2485" s="38"/>
      <c r="EI2485" s="38"/>
      <c r="EJ2485" s="38"/>
      <c r="EK2485" s="38"/>
      <c r="EL2485" s="38"/>
      <c r="EM2485" s="38"/>
      <c r="EN2485" s="38"/>
      <c r="EO2485" s="38"/>
      <c r="EP2485" s="38"/>
      <c r="EQ2485" s="38"/>
      <c r="ER2485" s="38"/>
      <c r="ES2485" s="38"/>
      <c r="ET2485" s="38"/>
      <c r="EU2485" s="38"/>
      <c r="EV2485" s="38"/>
      <c r="EW2485" s="38"/>
      <c r="EX2485" s="38"/>
      <c r="EY2485" s="38"/>
      <c r="EZ2485" s="38"/>
      <c r="FA2485" s="38"/>
      <c r="FB2485" s="38"/>
      <c r="FC2485" s="38"/>
      <c r="FD2485" s="38"/>
      <c r="FE2485" s="38"/>
      <c r="FF2485" s="38"/>
      <c r="FG2485" s="38"/>
      <c r="FH2485" s="38"/>
      <c r="FI2485" s="38"/>
      <c r="FJ2485" s="38"/>
      <c r="FK2485" s="38"/>
      <c r="FL2485" s="38"/>
      <c r="FM2485" s="38"/>
      <c r="FN2485" s="38"/>
      <c r="FO2485" s="38"/>
      <c r="FP2485" s="38"/>
      <c r="FQ2485" s="38"/>
      <c r="FR2485" s="38"/>
      <c r="FS2485" s="38"/>
      <c r="FT2485" s="38"/>
      <c r="FU2485" s="38"/>
      <c r="FV2485" s="38"/>
      <c r="FW2485" s="38"/>
      <c r="FX2485" s="38"/>
      <c r="FY2485" s="38"/>
      <c r="FZ2485" s="38"/>
      <c r="GA2485" s="38"/>
      <c r="GB2485" s="38"/>
      <c r="GC2485" s="38"/>
      <c r="GD2485" s="38"/>
      <c r="GE2485" s="38"/>
      <c r="GF2485" s="38"/>
      <c r="GG2485" s="38"/>
      <c r="GH2485" s="38"/>
      <c r="GI2485" s="38"/>
      <c r="GJ2485" s="38"/>
      <c r="GK2485" s="38"/>
      <c r="GL2485" s="38"/>
      <c r="GM2485" s="38"/>
      <c r="GN2485" s="38"/>
      <c r="GO2485" s="38"/>
      <c r="GP2485" s="38"/>
      <c r="GQ2485" s="38"/>
      <c r="GR2485" s="38"/>
      <c r="GS2485" s="38"/>
      <c r="GT2485" s="38"/>
      <c r="GU2485" s="38"/>
      <c r="GV2485" s="38"/>
      <c r="GW2485" s="38"/>
      <c r="GX2485" s="38"/>
      <c r="GY2485" s="38"/>
      <c r="GZ2485" s="38"/>
      <c r="HA2485" s="38"/>
      <c r="HB2485" s="38"/>
      <c r="HC2485" s="38"/>
      <c r="HD2485" s="38"/>
      <c r="HE2485" s="38"/>
      <c r="HF2485" s="38"/>
      <c r="HG2485" s="38"/>
      <c r="HH2485" s="38"/>
      <c r="HI2485" s="38"/>
      <c r="HJ2485" s="38"/>
      <c r="HK2485" s="38"/>
      <c r="HL2485" s="38"/>
      <c r="HM2485" s="38"/>
      <c r="HN2485" s="38"/>
      <c r="HO2485" s="38"/>
      <c r="HP2485" s="38"/>
      <c r="HQ2485" s="38"/>
      <c r="HR2485" s="38"/>
      <c r="HS2485" s="38"/>
      <c r="HT2485" s="38"/>
      <c r="HU2485" s="38"/>
      <c r="HV2485" s="38"/>
      <c r="HW2485" s="38"/>
      <c r="HX2485" s="38"/>
      <c r="HY2485" s="38"/>
      <c r="HZ2485" s="38"/>
      <c r="IA2485" s="38"/>
      <c r="IB2485" s="38"/>
      <c r="IC2485" s="38"/>
      <c r="ID2485" s="38"/>
      <c r="IE2485" s="38"/>
      <c r="IF2485" s="38"/>
      <c r="IG2485" s="38"/>
      <c r="IH2485" s="38"/>
      <c r="II2485" s="38"/>
      <c r="IJ2485" s="38"/>
      <c r="IK2485" s="38"/>
      <c r="IL2485" s="38"/>
      <c r="IM2485" s="38"/>
      <c r="IN2485" s="38"/>
      <c r="IO2485" s="38"/>
      <c r="IP2485" s="38"/>
      <c r="IQ2485" s="38"/>
      <c r="IR2485" s="38"/>
      <c r="IS2485" s="38"/>
      <c r="IT2485" s="38"/>
      <c r="IU2485" s="38"/>
      <c r="IV2485" s="38"/>
      <c r="IW2485" s="38"/>
      <c r="IX2485" s="38"/>
      <c r="IY2485" s="38"/>
      <c r="IZ2485" s="38"/>
      <c r="JA2485" s="38"/>
      <c r="JB2485" s="38"/>
      <c r="JC2485" s="38"/>
      <c r="JD2485" s="38"/>
      <c r="JE2485" s="38"/>
      <c r="JF2485" s="38"/>
      <c r="JG2485" s="38"/>
      <c r="JH2485" s="38"/>
      <c r="JI2485" s="38"/>
      <c r="JJ2485" s="38"/>
      <c r="JK2485" s="38"/>
      <c r="JL2485" s="38"/>
      <c r="JM2485" s="38"/>
      <c r="JN2485" s="38"/>
      <c r="JO2485" s="38"/>
      <c r="JP2485" s="38"/>
      <c r="JQ2485" s="38"/>
      <c r="JR2485" s="38"/>
      <c r="JS2485" s="38"/>
      <c r="JT2485" s="38"/>
      <c r="JU2485" s="38"/>
      <c r="JV2485" s="38"/>
      <c r="JW2485" s="38"/>
      <c r="JX2485" s="38"/>
      <c r="JY2485" s="38"/>
      <c r="JZ2485" s="38"/>
      <c r="KA2485" s="38"/>
      <c r="KB2485" s="38"/>
      <c r="KC2485" s="38"/>
      <c r="KD2485" s="38"/>
      <c r="KE2485" s="38"/>
      <c r="KF2485" s="38"/>
      <c r="KG2485" s="38"/>
      <c r="KH2485" s="38"/>
      <c r="KI2485" s="38"/>
      <c r="KJ2485" s="38"/>
      <c r="KK2485" s="38"/>
      <c r="KL2485" s="38"/>
      <c r="KM2485" s="38"/>
      <c r="KN2485" s="38"/>
      <c r="KO2485" s="38"/>
      <c r="KP2485" s="38"/>
      <c r="KQ2485" s="38"/>
      <c r="KR2485" s="38"/>
      <c r="KS2485" s="38"/>
      <c r="KT2485" s="38"/>
      <c r="KU2485" s="38"/>
      <c r="KV2485" s="38"/>
      <c r="KW2485" s="38"/>
      <c r="KX2485" s="38"/>
      <c r="KY2485" s="38"/>
      <c r="KZ2485" s="38"/>
      <c r="LA2485" s="38"/>
      <c r="LB2485" s="38"/>
      <c r="LC2485" s="38"/>
      <c r="LD2485" s="38"/>
      <c r="LE2485" s="38"/>
      <c r="LF2485" s="38"/>
      <c r="LG2485" s="38"/>
      <c r="LH2485" s="38"/>
      <c r="LI2485" s="38"/>
      <c r="LJ2485" s="38"/>
      <c r="LK2485" s="38"/>
      <c r="LL2485" s="38"/>
      <c r="LM2485" s="38"/>
      <c r="LN2485" s="38"/>
      <c r="LO2485" s="38"/>
      <c r="LP2485" s="38"/>
      <c r="LQ2485" s="38"/>
      <c r="LR2485" s="38"/>
      <c r="LS2485" s="38"/>
      <c r="LT2485" s="38"/>
      <c r="LU2485" s="38"/>
      <c r="LV2485" s="38"/>
      <c r="LW2485" s="38"/>
      <c r="LX2485" s="38"/>
      <c r="LY2485" s="38"/>
      <c r="LZ2485" s="38"/>
      <c r="MA2485" s="38"/>
      <c r="MB2485" s="38"/>
      <c r="MC2485" s="38"/>
      <c r="MD2485" s="38"/>
      <c r="ME2485" s="38"/>
      <c r="MF2485" s="38"/>
      <c r="MG2485" s="38"/>
      <c r="MH2485" s="38"/>
      <c r="MI2485" s="38"/>
      <c r="MJ2485" s="38"/>
      <c r="MK2485" s="38"/>
      <c r="ML2485" s="38"/>
      <c r="MM2485" s="38"/>
      <c r="MN2485" s="38"/>
      <c r="MO2485" s="38"/>
      <c r="MP2485" s="38"/>
      <c r="MQ2485" s="38"/>
      <c r="MR2485" s="38"/>
      <c r="MS2485" s="38"/>
      <c r="MT2485" s="38"/>
      <c r="MU2485" s="38"/>
      <c r="MV2485" s="38"/>
      <c r="MW2485" s="38"/>
      <c r="MX2485" s="38"/>
      <c r="MY2485" s="38"/>
      <c r="MZ2485" s="38"/>
      <c r="NA2485" s="38"/>
      <c r="NB2485" s="38"/>
      <c r="NC2485" s="38"/>
      <c r="ND2485" s="38"/>
      <c r="NE2485" s="38"/>
      <c r="NF2485" s="38"/>
      <c r="NG2485" s="38"/>
      <c r="NH2485" s="38"/>
      <c r="NI2485" s="38"/>
      <c r="NJ2485" s="38"/>
      <c r="NK2485" s="38"/>
      <c r="NL2485" s="38"/>
      <c r="NM2485" s="38"/>
      <c r="NN2485" s="38"/>
      <c r="NO2485" s="38"/>
      <c r="NP2485" s="38"/>
      <c r="NQ2485" s="38"/>
      <c r="NR2485" s="38"/>
      <c r="NS2485" s="38"/>
      <c r="NT2485" s="38"/>
      <c r="NU2485" s="38"/>
      <c r="NV2485" s="38"/>
      <c r="NW2485" s="38"/>
      <c r="NX2485" s="38"/>
      <c r="NY2485" s="38"/>
      <c r="NZ2485" s="38"/>
      <c r="OA2485" s="38"/>
      <c r="OB2485" s="38"/>
      <c r="OC2485" s="38"/>
      <c r="OD2485" s="38"/>
      <c r="OE2485" s="38"/>
      <c r="OF2485" s="38"/>
      <c r="OG2485" s="38"/>
      <c r="OH2485" s="38"/>
      <c r="OI2485" s="38"/>
      <c r="OJ2485" s="38"/>
      <c r="OK2485" s="38"/>
      <c r="OL2485" s="38"/>
      <c r="OM2485" s="38"/>
      <c r="ON2485" s="38"/>
      <c r="OO2485" s="38"/>
      <c r="OP2485" s="38"/>
      <c r="OQ2485" s="38"/>
      <c r="OR2485" s="38"/>
      <c r="OS2485" s="38"/>
      <c r="OT2485" s="38"/>
      <c r="OU2485" s="38"/>
      <c r="OV2485" s="38"/>
      <c r="OW2485" s="38"/>
      <c r="OX2485" s="38"/>
      <c r="OY2485" s="38"/>
      <c r="OZ2485" s="38"/>
      <c r="PA2485" s="38"/>
      <c r="PB2485" s="38"/>
      <c r="PC2485" s="38"/>
      <c r="PD2485" s="38"/>
      <c r="PE2485" s="38"/>
      <c r="PF2485" s="38"/>
      <c r="PG2485" s="38"/>
      <c r="PH2485" s="38"/>
      <c r="PI2485" s="38"/>
      <c r="PJ2485" s="38"/>
      <c r="PK2485" s="38"/>
      <c r="PL2485" s="38"/>
      <c r="PM2485" s="38"/>
      <c r="PN2485" s="38"/>
      <c r="PO2485" s="38"/>
      <c r="PP2485" s="38"/>
      <c r="PQ2485" s="38"/>
      <c r="PR2485" s="38"/>
      <c r="PS2485" s="38"/>
      <c r="PT2485" s="38"/>
      <c r="PU2485" s="38"/>
      <c r="PV2485" s="38"/>
      <c r="PW2485" s="38"/>
      <c r="PX2485" s="38"/>
      <c r="PY2485" s="38"/>
      <c r="PZ2485" s="38"/>
      <c r="QA2485" s="38"/>
      <c r="QB2485" s="38"/>
      <c r="QC2485" s="38"/>
      <c r="QD2485" s="38"/>
      <c r="QE2485" s="38"/>
      <c r="QF2485" s="38"/>
      <c r="QG2485" s="38"/>
      <c r="QH2485" s="38"/>
      <c r="QI2485" s="38"/>
      <c r="QJ2485" s="38"/>
      <c r="QK2485" s="38"/>
      <c r="QL2485" s="38"/>
      <c r="QM2485" s="38"/>
      <c r="QN2485" s="38"/>
      <c r="QO2485" s="38"/>
      <c r="QP2485" s="38"/>
      <c r="QQ2485" s="38"/>
      <c r="QR2485" s="38"/>
      <c r="QS2485" s="38"/>
      <c r="QT2485" s="38"/>
      <c r="QU2485" s="38"/>
      <c r="QV2485" s="38"/>
      <c r="QW2485" s="38"/>
      <c r="QX2485" s="38"/>
      <c r="QY2485" s="38"/>
      <c r="QZ2485" s="38"/>
      <c r="RA2485" s="38"/>
      <c r="RB2485" s="38"/>
      <c r="RC2485" s="38"/>
      <c r="RD2485" s="38"/>
      <c r="RE2485" s="38"/>
      <c r="RF2485" s="38"/>
      <c r="RG2485" s="38"/>
      <c r="RH2485" s="38"/>
      <c r="RI2485" s="38"/>
      <c r="RJ2485" s="38"/>
      <c r="RK2485" s="38"/>
      <c r="RL2485" s="38"/>
      <c r="RM2485" s="38"/>
      <c r="RN2485" s="38"/>
      <c r="RO2485" s="38"/>
      <c r="RP2485" s="38"/>
      <c r="RQ2485" s="38"/>
      <c r="RR2485" s="38"/>
      <c r="RS2485" s="38"/>
      <c r="RT2485" s="38"/>
      <c r="RU2485" s="38"/>
      <c r="RV2485" s="38"/>
      <c r="RW2485" s="38"/>
      <c r="RX2485" s="38"/>
      <c r="RY2485" s="38"/>
      <c r="RZ2485" s="38"/>
      <c r="SA2485" s="38"/>
      <c r="SB2485" s="38"/>
      <c r="SC2485" s="38"/>
      <c r="SD2485" s="38"/>
      <c r="SE2485" s="38"/>
      <c r="SF2485" s="38"/>
      <c r="SG2485" s="38"/>
      <c r="SH2485" s="38"/>
      <c r="SI2485" s="38"/>
      <c r="SJ2485" s="38"/>
      <c r="SK2485" s="38"/>
      <c r="SL2485" s="38"/>
      <c r="SM2485" s="38"/>
      <c r="SN2485" s="38"/>
      <c r="SO2485" s="38"/>
      <c r="SP2485" s="38"/>
      <c r="SQ2485" s="38"/>
      <c r="SR2485" s="38"/>
      <c r="SS2485" s="38"/>
      <c r="ST2485" s="38"/>
      <c r="SU2485" s="38"/>
      <c r="SV2485" s="38"/>
      <c r="SW2485" s="38"/>
      <c r="SX2485" s="38"/>
      <c r="SY2485" s="38"/>
      <c r="SZ2485" s="38"/>
      <c r="TA2485" s="38"/>
      <c r="TB2485" s="38"/>
      <c r="TC2485" s="38"/>
      <c r="TD2485" s="38"/>
      <c r="TE2485" s="38"/>
      <c r="TF2485" s="38"/>
      <c r="TG2485" s="38"/>
      <c r="TH2485" s="38"/>
      <c r="TI2485" s="38"/>
      <c r="TJ2485" s="38"/>
      <c r="TK2485" s="38"/>
      <c r="TL2485" s="38"/>
      <c r="TM2485" s="38"/>
      <c r="TN2485" s="38"/>
      <c r="TO2485" s="38"/>
      <c r="TP2485" s="38"/>
      <c r="TQ2485" s="38"/>
      <c r="TR2485" s="38"/>
      <c r="TS2485" s="38"/>
      <c r="TT2485" s="38"/>
      <c r="TU2485" s="38"/>
      <c r="TV2485" s="38"/>
      <c r="TW2485" s="38"/>
      <c r="TX2485" s="38"/>
      <c r="TY2485" s="38"/>
      <c r="TZ2485" s="38"/>
      <c r="UA2485" s="38"/>
      <c r="UB2485" s="38"/>
      <c r="UC2485" s="38"/>
      <c r="UD2485" s="38"/>
      <c r="UE2485" s="38"/>
      <c r="UF2485" s="38"/>
      <c r="UG2485" s="38"/>
      <c r="UH2485" s="38"/>
      <c r="UI2485" s="38"/>
      <c r="UJ2485" s="38"/>
      <c r="UK2485" s="38"/>
      <c r="UL2485" s="38"/>
      <c r="UM2485" s="38"/>
      <c r="UN2485" s="38"/>
      <c r="UO2485" s="38"/>
      <c r="UP2485" s="38"/>
      <c r="UQ2485" s="38"/>
      <c r="UR2485" s="38"/>
      <c r="US2485" s="38"/>
      <c r="UT2485" s="38"/>
      <c r="UU2485" s="38"/>
      <c r="UV2485" s="38"/>
      <c r="UW2485" s="38"/>
      <c r="UX2485" s="38"/>
      <c r="UY2485" s="38"/>
      <c r="UZ2485" s="38"/>
      <c r="VA2485" s="38"/>
      <c r="VB2485" s="38"/>
      <c r="VC2485" s="38"/>
      <c r="VD2485" s="38"/>
      <c r="VE2485" s="38"/>
      <c r="VF2485" s="38"/>
      <c r="VG2485" s="38"/>
      <c r="VH2485" s="38"/>
      <c r="VI2485" s="38"/>
      <c r="VJ2485" s="38"/>
      <c r="VK2485" s="38"/>
      <c r="VL2485" s="38"/>
      <c r="VM2485" s="38"/>
      <c r="VN2485" s="38"/>
      <c r="VO2485" s="38"/>
      <c r="VP2485" s="38"/>
      <c r="VQ2485" s="38"/>
      <c r="VR2485" s="38"/>
      <c r="VS2485" s="38"/>
      <c r="VT2485" s="38"/>
      <c r="VU2485" s="38"/>
      <c r="VV2485" s="38"/>
      <c r="VW2485" s="38"/>
      <c r="VX2485" s="38"/>
      <c r="VY2485" s="38"/>
      <c r="VZ2485" s="38"/>
      <c r="WA2485" s="38"/>
      <c r="WB2485" s="38"/>
      <c r="WC2485" s="38"/>
      <c r="WD2485" s="38"/>
      <c r="WE2485" s="38"/>
      <c r="WF2485" s="38"/>
      <c r="WG2485" s="38"/>
      <c r="WH2485" s="38"/>
      <c r="WI2485" s="38"/>
      <c r="WJ2485" s="38"/>
      <c r="WK2485" s="38"/>
      <c r="WL2485" s="38"/>
      <c r="WM2485" s="38"/>
      <c r="WN2485" s="38"/>
      <c r="WO2485" s="38"/>
      <c r="WP2485" s="38"/>
      <c r="WQ2485" s="38"/>
      <c r="WR2485" s="38"/>
      <c r="WS2485" s="38"/>
      <c r="WT2485" s="38"/>
      <c r="WU2485" s="38"/>
      <c r="WV2485" s="38"/>
      <c r="WW2485" s="38"/>
      <c r="WX2485" s="38"/>
      <c r="WY2485" s="38"/>
      <c r="WZ2485" s="38"/>
      <c r="XA2485" s="38"/>
      <c r="XB2485" s="38"/>
      <c r="XC2485" s="38"/>
      <c r="XD2485" s="38"/>
      <c r="XE2485" s="38"/>
      <c r="XF2485" s="38"/>
      <c r="XG2485" s="38"/>
      <c r="XH2485" s="38"/>
      <c r="XI2485" s="38"/>
      <c r="XJ2485" s="38"/>
      <c r="XK2485" s="38"/>
      <c r="XL2485" s="38"/>
      <c r="XM2485" s="38"/>
      <c r="XN2485" s="38"/>
      <c r="XO2485" s="38"/>
      <c r="XP2485" s="38"/>
      <c r="XQ2485" s="38"/>
      <c r="XR2485" s="38"/>
      <c r="XS2485" s="38"/>
      <c r="XT2485" s="38"/>
      <c r="XU2485" s="38"/>
      <c r="XV2485" s="38"/>
      <c r="XW2485" s="38"/>
      <c r="XX2485" s="38"/>
      <c r="XY2485" s="38"/>
      <c r="XZ2485" s="38"/>
      <c r="YA2485" s="38"/>
      <c r="YB2485" s="38"/>
      <c r="YC2485" s="38"/>
      <c r="YD2485" s="38"/>
      <c r="YE2485" s="38"/>
      <c r="YF2485" s="38"/>
      <c r="YG2485" s="38"/>
      <c r="YH2485" s="38"/>
      <c r="YI2485" s="38"/>
      <c r="YJ2485" s="38"/>
      <c r="YK2485" s="38"/>
      <c r="YL2485" s="38"/>
      <c r="YM2485" s="38"/>
      <c r="YN2485" s="38"/>
      <c r="YO2485" s="38"/>
      <c r="YP2485" s="38"/>
      <c r="YQ2485" s="38"/>
      <c r="YR2485" s="38"/>
      <c r="YS2485" s="38"/>
      <c r="YT2485" s="38"/>
      <c r="YU2485" s="38"/>
      <c r="YV2485" s="38"/>
      <c r="YW2485" s="38"/>
      <c r="YX2485" s="38"/>
      <c r="YY2485" s="38"/>
      <c r="YZ2485" s="38"/>
      <c r="ZA2485" s="38"/>
      <c r="ZB2485" s="38"/>
      <c r="ZC2485" s="38"/>
      <c r="ZD2485" s="38"/>
      <c r="ZE2485" s="38"/>
      <c r="ZF2485" s="38"/>
      <c r="ZG2485" s="38"/>
      <c r="ZH2485" s="38"/>
      <c r="ZI2485" s="38"/>
      <c r="ZJ2485" s="38"/>
      <c r="ZK2485" s="38"/>
      <c r="ZL2485" s="38"/>
      <c r="ZM2485" s="38"/>
      <c r="ZN2485" s="38"/>
      <c r="ZO2485" s="38"/>
      <c r="ZP2485" s="38"/>
      <c r="ZQ2485" s="38"/>
      <c r="ZR2485" s="38"/>
      <c r="ZS2485" s="38"/>
      <c r="ZT2485" s="38"/>
      <c r="ZU2485" s="38"/>
      <c r="ZV2485" s="38"/>
      <c r="ZW2485" s="38"/>
      <c r="ZX2485" s="38"/>
      <c r="ZY2485" s="38"/>
      <c r="ZZ2485" s="38"/>
      <c r="AAA2485" s="38"/>
      <c r="AAB2485" s="38"/>
      <c r="AAC2485" s="38"/>
      <c r="AAD2485" s="38"/>
      <c r="AAE2485" s="38"/>
      <c r="AAF2485" s="38"/>
      <c r="AAG2485" s="38"/>
      <c r="AAH2485" s="38"/>
      <c r="AAI2485" s="38"/>
      <c r="AAJ2485" s="38"/>
      <c r="AAK2485" s="38"/>
      <c r="AAL2485" s="38"/>
      <c r="AAM2485" s="38"/>
      <c r="AAN2485" s="38"/>
      <c r="AAO2485" s="38"/>
      <c r="AAP2485" s="38"/>
      <c r="AAQ2485" s="38"/>
      <c r="AAR2485" s="38"/>
      <c r="AAS2485" s="38"/>
      <c r="AAT2485" s="38"/>
      <c r="AAU2485" s="38"/>
      <c r="AAV2485" s="38"/>
      <c r="AAW2485" s="38"/>
      <c r="AAX2485" s="38"/>
      <c r="AAY2485" s="38"/>
      <c r="AAZ2485" s="38"/>
      <c r="ABA2485" s="38"/>
      <c r="ABB2485" s="38"/>
      <c r="ABC2485" s="38"/>
      <c r="ABD2485" s="38"/>
      <c r="ABE2485" s="38"/>
      <c r="ABF2485" s="38"/>
      <c r="ABG2485" s="38"/>
      <c r="ABH2485" s="38"/>
      <c r="ABI2485" s="38"/>
      <c r="ABJ2485" s="38"/>
      <c r="ABK2485" s="38"/>
      <c r="ABL2485" s="38"/>
      <c r="ABM2485" s="38"/>
      <c r="ABN2485" s="38"/>
      <c r="ABO2485" s="38"/>
      <c r="ABP2485" s="38"/>
      <c r="ABQ2485" s="38"/>
      <c r="ABR2485" s="38"/>
      <c r="ABS2485" s="38"/>
      <c r="ABT2485" s="38"/>
      <c r="ABU2485" s="38"/>
      <c r="ABV2485" s="38"/>
      <c r="ABW2485" s="38"/>
      <c r="ABX2485" s="38"/>
      <c r="ABY2485" s="38"/>
      <c r="ABZ2485" s="38"/>
      <c r="ACA2485" s="38"/>
      <c r="ACB2485" s="38"/>
      <c r="ACC2485" s="38"/>
      <c r="ACD2485" s="38"/>
      <c r="ACE2485" s="38"/>
      <c r="ACF2485" s="38"/>
      <c r="ACG2485" s="38"/>
      <c r="ACH2485" s="38"/>
      <c r="ACI2485" s="38"/>
      <c r="ACJ2485" s="38"/>
      <c r="ACK2485" s="38"/>
      <c r="ACL2485" s="38"/>
      <c r="ACM2485" s="38"/>
      <c r="ACN2485" s="38"/>
      <c r="ACO2485" s="38"/>
      <c r="ACP2485" s="38"/>
      <c r="ACQ2485" s="38"/>
      <c r="ACR2485" s="38"/>
      <c r="ACS2485" s="38"/>
      <c r="ACT2485" s="38"/>
      <c r="ACU2485" s="38"/>
      <c r="ACV2485" s="38"/>
      <c r="ACW2485" s="38"/>
      <c r="ACX2485" s="38"/>
      <c r="ACY2485" s="38"/>
      <c r="ACZ2485" s="38"/>
      <c r="ADA2485" s="38"/>
      <c r="ADB2485" s="38"/>
      <c r="ADC2485" s="38"/>
      <c r="ADD2485" s="38"/>
      <c r="ADE2485" s="38"/>
      <c r="ADF2485" s="38"/>
      <c r="ADG2485" s="38"/>
      <c r="ADH2485" s="38"/>
      <c r="ADI2485" s="38"/>
      <c r="ADJ2485" s="38"/>
      <c r="ADK2485" s="38"/>
      <c r="ADL2485" s="38"/>
      <c r="ADM2485" s="38"/>
      <c r="ADN2485" s="38"/>
      <c r="ADO2485" s="38"/>
      <c r="ADP2485" s="38"/>
      <c r="ADQ2485" s="38"/>
      <c r="ADR2485" s="38"/>
      <c r="ADS2485" s="38"/>
      <c r="ADT2485" s="38"/>
      <c r="ADU2485" s="38"/>
      <c r="ADV2485" s="38"/>
      <c r="ADW2485" s="38"/>
      <c r="ADX2485" s="38"/>
      <c r="ADY2485" s="38"/>
      <c r="ADZ2485" s="38"/>
      <c r="AEA2485" s="38"/>
      <c r="AEB2485" s="38"/>
      <c r="AEC2485" s="38"/>
      <c r="AED2485" s="38"/>
      <c r="AEE2485" s="38"/>
      <c r="AEF2485" s="38"/>
      <c r="AEG2485" s="38"/>
      <c r="AEH2485" s="38"/>
      <c r="AEI2485" s="38"/>
      <c r="AEJ2485" s="38"/>
      <c r="AEK2485" s="38"/>
      <c r="AEL2485" s="38"/>
      <c r="AEM2485" s="38"/>
      <c r="AEN2485" s="38"/>
      <c r="AEO2485" s="38"/>
      <c r="AEP2485" s="38"/>
      <c r="AEQ2485" s="38"/>
      <c r="AER2485" s="38"/>
      <c r="AES2485" s="38"/>
      <c r="AET2485" s="38"/>
      <c r="AEU2485" s="38"/>
      <c r="AEV2485" s="38"/>
      <c r="AEW2485" s="38"/>
      <c r="AEX2485" s="38"/>
      <c r="AEY2485" s="38"/>
      <c r="AEZ2485" s="38"/>
      <c r="AFA2485" s="38"/>
      <c r="AFB2485" s="38"/>
      <c r="AFC2485" s="38"/>
      <c r="AFD2485" s="38"/>
      <c r="AFE2485" s="38"/>
      <c r="AFF2485" s="38"/>
      <c r="AFG2485" s="38"/>
      <c r="AFH2485" s="38"/>
      <c r="AFI2485" s="38"/>
      <c r="AFJ2485" s="38"/>
      <c r="AFK2485" s="38"/>
      <c r="AFL2485" s="38"/>
      <c r="AFM2485" s="38"/>
      <c r="AFN2485" s="38"/>
      <c r="AFO2485" s="38"/>
      <c r="AFP2485" s="38"/>
      <c r="AFQ2485" s="38"/>
      <c r="AFR2485" s="38"/>
      <c r="AFS2485" s="38"/>
      <c r="AFT2485" s="38"/>
      <c r="AFU2485" s="38"/>
      <c r="AFV2485" s="38"/>
      <c r="AFW2485" s="38"/>
      <c r="AFX2485" s="38"/>
      <c r="AFY2485" s="38"/>
      <c r="AFZ2485" s="38"/>
      <c r="AGA2485" s="38"/>
      <c r="AGB2485" s="38"/>
      <c r="AGC2485" s="38"/>
      <c r="AGD2485" s="38"/>
      <c r="AGE2485" s="38"/>
      <c r="AGF2485" s="38"/>
      <c r="AGG2485" s="38"/>
      <c r="AGH2485" s="38"/>
      <c r="AGI2485" s="38"/>
      <c r="AGJ2485" s="38"/>
      <c r="AGK2485" s="38"/>
      <c r="AGL2485" s="38"/>
      <c r="AGM2485" s="38"/>
      <c r="AGN2485" s="38"/>
      <c r="AGO2485" s="38"/>
      <c r="AGP2485" s="38"/>
      <c r="AGQ2485" s="38"/>
      <c r="AGR2485" s="38"/>
      <c r="AGS2485" s="38"/>
      <c r="AGT2485" s="38"/>
      <c r="AGU2485" s="38"/>
      <c r="AGV2485" s="38"/>
      <c r="AGW2485" s="38"/>
      <c r="AGX2485" s="38"/>
      <c r="AGY2485" s="38"/>
      <c r="AGZ2485" s="38"/>
      <c r="AHA2485" s="38"/>
      <c r="AHB2485" s="38"/>
      <c r="AHC2485" s="38"/>
      <c r="AHD2485" s="38"/>
      <c r="AHE2485" s="38"/>
      <c r="AHF2485" s="38"/>
      <c r="AHG2485" s="38"/>
      <c r="AHH2485" s="38"/>
      <c r="AHI2485" s="38"/>
      <c r="AHJ2485" s="38"/>
      <c r="AHK2485" s="38"/>
      <c r="AHL2485" s="38"/>
      <c r="AHM2485" s="38"/>
      <c r="AHN2485" s="38"/>
      <c r="AHO2485" s="38"/>
      <c r="AHP2485" s="38"/>
      <c r="AHQ2485" s="38"/>
      <c r="AHR2485" s="38"/>
      <c r="AHS2485" s="38"/>
      <c r="AHT2485" s="38"/>
      <c r="AHU2485" s="38"/>
      <c r="AHV2485" s="38"/>
      <c r="AHW2485" s="38"/>
      <c r="AHX2485" s="38"/>
      <c r="AHY2485" s="38"/>
      <c r="AHZ2485" s="38"/>
      <c r="AIA2485" s="38"/>
      <c r="AIB2485" s="38"/>
      <c r="AIC2485" s="38"/>
      <c r="AID2485" s="38"/>
      <c r="AIE2485" s="38"/>
      <c r="AIF2485" s="38"/>
      <c r="AIG2485" s="38"/>
      <c r="AIH2485" s="38"/>
      <c r="AII2485" s="38"/>
      <c r="AIJ2485" s="38"/>
      <c r="AIK2485" s="38"/>
      <c r="AIL2485" s="38"/>
      <c r="AIM2485" s="38"/>
      <c r="AIN2485" s="38"/>
      <c r="AIO2485" s="38"/>
      <c r="AIP2485" s="38"/>
      <c r="AIQ2485" s="38"/>
      <c r="AIR2485" s="38"/>
      <c r="AIS2485" s="38"/>
      <c r="AIT2485" s="38"/>
      <c r="AIU2485" s="38"/>
      <c r="AIV2485" s="38"/>
      <c r="AIW2485" s="38"/>
      <c r="AIX2485" s="38"/>
      <c r="AIY2485" s="38"/>
      <c r="AIZ2485" s="38"/>
      <c r="AJA2485" s="38"/>
      <c r="AJB2485" s="38"/>
      <c r="AJC2485" s="38"/>
      <c r="AJD2485" s="38"/>
      <c r="AJE2485" s="38"/>
      <c r="AJF2485" s="38"/>
      <c r="AJG2485" s="38"/>
      <c r="AJH2485" s="38"/>
      <c r="AJI2485" s="38"/>
      <c r="AJJ2485" s="38"/>
      <c r="AJK2485" s="38"/>
      <c r="AJL2485" s="38"/>
      <c r="AJM2485" s="38"/>
      <c r="AJN2485" s="38"/>
      <c r="AJO2485" s="38"/>
      <c r="AJP2485" s="38"/>
      <c r="AJQ2485" s="38"/>
      <c r="AJR2485" s="38"/>
      <c r="AJS2485" s="38"/>
      <c r="AJT2485" s="38"/>
      <c r="AJU2485" s="38"/>
      <c r="AJV2485" s="38"/>
      <c r="AJW2485" s="38"/>
      <c r="AJX2485" s="38"/>
      <c r="AJY2485" s="38"/>
      <c r="AJZ2485" s="38"/>
      <c r="AKA2485" s="38"/>
      <c r="AKB2485" s="38"/>
      <c r="AKC2485" s="38"/>
      <c r="AKD2485" s="38"/>
      <c r="AKE2485" s="38"/>
      <c r="AKF2485" s="38"/>
      <c r="AKG2485" s="38"/>
      <c r="AKH2485" s="38"/>
      <c r="AKI2485" s="38"/>
      <c r="AKJ2485" s="38"/>
      <c r="AKK2485" s="38"/>
      <c r="AKL2485" s="38"/>
      <c r="AKM2485" s="38"/>
      <c r="AKN2485" s="38"/>
      <c r="AKO2485" s="38"/>
      <c r="AKP2485" s="38"/>
      <c r="AKQ2485" s="38"/>
      <c r="AKR2485" s="38"/>
      <c r="AKS2485" s="38"/>
      <c r="AKT2485" s="38"/>
      <c r="AKU2485" s="38"/>
      <c r="AKV2485" s="38"/>
      <c r="AKW2485" s="38"/>
      <c r="AKX2485" s="38"/>
      <c r="AKY2485" s="38"/>
      <c r="AKZ2485" s="38"/>
      <c r="ALA2485" s="38"/>
      <c r="ALB2485" s="38"/>
      <c r="ALC2485" s="38"/>
      <c r="ALD2485" s="38"/>
      <c r="ALE2485" s="38"/>
      <c r="ALF2485" s="38"/>
      <c r="ALG2485" s="38"/>
      <c r="ALH2485" s="38"/>
      <c r="ALI2485" s="38"/>
      <c r="ALJ2485" s="38"/>
      <c r="ALK2485" s="38"/>
      <c r="ALL2485" s="38"/>
      <c r="ALM2485" s="38"/>
      <c r="ALN2485" s="38"/>
      <c r="ALO2485" s="38"/>
      <c r="ALP2485" s="38"/>
      <c r="ALQ2485" s="38"/>
      <c r="ALR2485" s="38"/>
      <c r="ALS2485" s="38"/>
      <c r="ALT2485" s="38"/>
      <c r="ALU2485" s="38"/>
      <c r="ALV2485" s="38"/>
      <c r="ALW2485" s="38"/>
      <c r="ALX2485" s="38"/>
      <c r="ALY2485" s="38"/>
      <c r="ALZ2485" s="38"/>
      <c r="AMA2485" s="38"/>
      <c r="AMB2485" s="38"/>
      <c r="AMC2485" s="38"/>
      <c r="AMD2485" s="38"/>
      <c r="AME2485" s="38"/>
      <c r="AMF2485" s="38"/>
      <c r="AMG2485" s="38"/>
      <c r="AMH2485" s="38"/>
      <c r="AMI2485" s="38"/>
      <c r="AMJ2485" s="38"/>
      <c r="AMK2485" s="38"/>
      <c r="AML2485" s="38"/>
      <c r="AMM2485" s="38"/>
      <c r="AMN2485" s="38"/>
      <c r="AMO2485" s="38"/>
      <c r="AMP2485" s="38"/>
      <c r="AMQ2485" s="38"/>
      <c r="AMR2485" s="38"/>
      <c r="AMS2485" s="38"/>
      <c r="AMT2485" s="38"/>
      <c r="AMU2485" s="38"/>
      <c r="AMV2485" s="38"/>
      <c r="AMW2485" s="38"/>
      <c r="AMX2485" s="38"/>
      <c r="AMY2485" s="38"/>
      <c r="AMZ2485" s="38"/>
      <c r="ANA2485" s="38"/>
      <c r="ANB2485" s="38"/>
      <c r="ANC2485" s="38"/>
      <c r="AND2485" s="38"/>
      <c r="ANE2485" s="38"/>
      <c r="ANF2485" s="38"/>
      <c r="ANG2485" s="38"/>
      <c r="ANH2485" s="38"/>
      <c r="ANI2485" s="38"/>
      <c r="ANJ2485" s="38"/>
      <c r="ANK2485" s="38"/>
      <c r="ANL2485" s="38"/>
      <c r="ANM2485" s="38"/>
      <c r="ANN2485" s="38"/>
      <c r="ANO2485" s="38"/>
      <c r="ANP2485" s="38"/>
      <c r="ANQ2485" s="38"/>
      <c r="ANR2485" s="38"/>
      <c r="ANS2485" s="38"/>
      <c r="ANT2485" s="38"/>
      <c r="ANU2485" s="38"/>
      <c r="ANV2485" s="38"/>
      <c r="ANW2485" s="38"/>
      <c r="ANX2485" s="38"/>
      <c r="ANY2485" s="38"/>
      <c r="ANZ2485" s="38"/>
      <c r="AOA2485" s="38"/>
      <c r="AOB2485" s="38"/>
      <c r="AOC2485" s="38"/>
      <c r="AOD2485" s="38"/>
      <c r="AOE2485" s="38"/>
      <c r="AOF2485" s="38"/>
      <c r="AOG2485" s="38"/>
      <c r="AOH2485" s="38"/>
      <c r="AOI2485" s="38"/>
      <c r="AOJ2485" s="38"/>
      <c r="AOK2485" s="38"/>
      <c r="AOL2485" s="38"/>
      <c r="AOM2485" s="38"/>
      <c r="AON2485" s="38"/>
      <c r="AOO2485" s="38"/>
      <c r="AOP2485" s="38"/>
      <c r="AOQ2485" s="38"/>
      <c r="AOR2485" s="38"/>
      <c r="AOS2485" s="38"/>
      <c r="AOT2485" s="38"/>
      <c r="AOU2485" s="38"/>
      <c r="AOV2485" s="38"/>
      <c r="AOW2485" s="38"/>
      <c r="AOX2485" s="38"/>
      <c r="AOY2485" s="38"/>
      <c r="AOZ2485" s="38"/>
      <c r="APA2485" s="38"/>
      <c r="APB2485" s="38"/>
      <c r="APC2485" s="38"/>
    </row>
    <row r="2486" spans="1:1095" s="36" customFormat="1" ht="14.25" customHeight="1">
      <c r="A2486" s="3" t="s">
        <v>1722</v>
      </c>
      <c r="B2486" s="36" t="s">
        <v>3109</v>
      </c>
      <c r="C2486" s="10">
        <v>4099854071430</v>
      </c>
      <c r="D2486" s="224">
        <v>4058075608498</v>
      </c>
      <c r="E2486" s="245" t="s">
        <v>3110</v>
      </c>
      <c r="F2486" s="246"/>
      <c r="G2486" s="66" t="str">
        <f>HYPERLINK("https://ledvance.com/pt/product-datasheet/251078/239216","Ficha de Produto")</f>
        <v>Ficha de Produto</v>
      </c>
      <c r="H2486" s="217">
        <v>10</v>
      </c>
      <c r="I2486" s="34" t="s">
        <v>6390</v>
      </c>
      <c r="J2486" s="34" t="s">
        <v>6383</v>
      </c>
      <c r="K2486" s="34" t="s">
        <v>788</v>
      </c>
      <c r="L2486" s="34" t="s">
        <v>765</v>
      </c>
      <c r="M2486" s="247">
        <v>11.8</v>
      </c>
      <c r="N2486" s="288" t="s">
        <v>722</v>
      </c>
    </row>
    <row r="2487" spans="1:1095" s="36" customFormat="1" ht="14.25" customHeight="1">
      <c r="A2487" s="3" t="s">
        <v>1722</v>
      </c>
      <c r="B2487" s="36" t="s">
        <v>3111</v>
      </c>
      <c r="C2487" s="10">
        <v>4099854048562</v>
      </c>
      <c r="D2487" s="224">
        <v>4058075608634</v>
      </c>
      <c r="E2487" s="245" t="s">
        <v>3112</v>
      </c>
      <c r="F2487" s="246"/>
      <c r="G2487" s="66" t="str">
        <f>HYPERLINK("https://ledvance.com/pt/product-datasheet/250933/235981","Ficha de Produto")</f>
        <v>Ficha de Produto</v>
      </c>
      <c r="H2487" s="217">
        <v>6</v>
      </c>
      <c r="I2487" s="34" t="s">
        <v>856</v>
      </c>
      <c r="J2487" s="34" t="s">
        <v>6350</v>
      </c>
      <c r="K2487" s="34" t="s">
        <v>788</v>
      </c>
      <c r="L2487" s="34" t="s">
        <v>765</v>
      </c>
      <c r="M2487" s="247">
        <v>40.5</v>
      </c>
      <c r="N2487" s="288" t="s">
        <v>722</v>
      </c>
    </row>
    <row r="2488" spans="1:1095" s="36" customFormat="1" ht="14.25" customHeight="1">
      <c r="A2488" s="3" t="s">
        <v>1722</v>
      </c>
      <c r="B2488" s="36" t="s">
        <v>3111</v>
      </c>
      <c r="C2488" s="10">
        <v>4099854048920</v>
      </c>
      <c r="D2488" s="224">
        <v>4058075608610</v>
      </c>
      <c r="E2488" s="245" t="s">
        <v>3112</v>
      </c>
      <c r="F2488" s="246"/>
      <c r="G2488" s="66" t="str">
        <f>HYPERLINK("https://ledvance.com/pt/product-datasheet/250933/235984","Ficha de Produto")</f>
        <v>Ficha de Produto</v>
      </c>
      <c r="H2488" s="217">
        <v>6</v>
      </c>
      <c r="I2488" s="34" t="s">
        <v>856</v>
      </c>
      <c r="J2488" s="34" t="s">
        <v>6350</v>
      </c>
      <c r="K2488" s="34" t="s">
        <v>788</v>
      </c>
      <c r="L2488" s="34" t="s">
        <v>765</v>
      </c>
      <c r="M2488" s="247">
        <v>40.5</v>
      </c>
      <c r="N2488" s="288" t="s">
        <v>722</v>
      </c>
    </row>
    <row r="2489" spans="1:1095" s="39" customFormat="1" ht="14.25" customHeight="1">
      <c r="A2489" s="8" t="s">
        <v>1722</v>
      </c>
      <c r="B2489" s="244" t="s">
        <v>1711</v>
      </c>
      <c r="C2489" s="8"/>
      <c r="D2489" s="7"/>
      <c r="E2489" s="230"/>
      <c r="F2489" s="7"/>
      <c r="G2489" s="68"/>
      <c r="H2489" s="230"/>
      <c r="I2489" s="230"/>
      <c r="J2489" s="230"/>
      <c r="K2489" s="230"/>
      <c r="L2489" s="230"/>
      <c r="M2489" s="248"/>
      <c r="N2489" s="284"/>
      <c r="O2489" s="38"/>
      <c r="P2489" s="38"/>
      <c r="Q2489" s="38"/>
      <c r="R2489" s="38"/>
      <c r="S2489" s="38"/>
      <c r="T2489" s="38"/>
      <c r="U2489" s="38"/>
      <c r="V2489" s="38"/>
      <c r="W2489" s="38"/>
      <c r="X2489" s="38"/>
      <c r="Y2489" s="38"/>
      <c r="Z2489" s="38"/>
      <c r="AA2489" s="38"/>
      <c r="AB2489" s="38"/>
      <c r="AC2489" s="38"/>
      <c r="AD2489" s="38"/>
      <c r="AE2489" s="38"/>
      <c r="AF2489" s="38"/>
      <c r="AG2489" s="38"/>
      <c r="AH2489" s="38"/>
      <c r="AI2489" s="38"/>
      <c r="AJ2489" s="38"/>
      <c r="AK2489" s="38"/>
      <c r="AL2489" s="38"/>
      <c r="AM2489" s="38"/>
      <c r="AN2489" s="38"/>
      <c r="AO2489" s="38"/>
      <c r="AP2489" s="38"/>
      <c r="AQ2489" s="38"/>
      <c r="AR2489" s="38"/>
      <c r="AS2489" s="38"/>
      <c r="AT2489" s="38"/>
      <c r="AU2489" s="38"/>
      <c r="AV2489" s="38"/>
      <c r="AW2489" s="38"/>
      <c r="AX2489" s="38"/>
      <c r="AY2489" s="38"/>
      <c r="AZ2489" s="38"/>
      <c r="BA2489" s="38"/>
      <c r="BB2489" s="38"/>
      <c r="BC2489" s="38"/>
      <c r="BD2489" s="38"/>
      <c r="BE2489" s="38"/>
      <c r="BF2489" s="38"/>
      <c r="BG2489" s="38"/>
      <c r="BH2489" s="38"/>
      <c r="BI2489" s="38"/>
      <c r="BJ2489" s="38"/>
      <c r="BK2489" s="38"/>
      <c r="BL2489" s="38"/>
      <c r="BM2489" s="38"/>
      <c r="BN2489" s="38"/>
      <c r="BO2489" s="38"/>
      <c r="BP2489" s="38"/>
      <c r="BQ2489" s="38"/>
      <c r="BR2489" s="38"/>
      <c r="BS2489" s="38"/>
      <c r="BT2489" s="38"/>
      <c r="BU2489" s="38"/>
      <c r="BV2489" s="38"/>
      <c r="BW2489" s="38"/>
      <c r="BX2489" s="38"/>
      <c r="BY2489" s="38"/>
      <c r="BZ2489" s="38"/>
      <c r="CA2489" s="38"/>
      <c r="CB2489" s="38"/>
      <c r="CC2489" s="38"/>
      <c r="CD2489" s="38"/>
      <c r="CE2489" s="38"/>
      <c r="CF2489" s="38"/>
      <c r="CG2489" s="38"/>
      <c r="CH2489" s="38"/>
      <c r="CI2489" s="38"/>
      <c r="CJ2489" s="38"/>
      <c r="CK2489" s="38"/>
      <c r="CL2489" s="38"/>
      <c r="CM2489" s="38"/>
      <c r="CN2489" s="38"/>
      <c r="CO2489" s="38"/>
      <c r="CP2489" s="38"/>
      <c r="CQ2489" s="38"/>
      <c r="CR2489" s="38"/>
      <c r="CS2489" s="38"/>
      <c r="CT2489" s="38"/>
      <c r="CU2489" s="38"/>
      <c r="CV2489" s="38"/>
      <c r="CW2489" s="38"/>
      <c r="CX2489" s="38"/>
      <c r="CY2489" s="38"/>
      <c r="CZ2489" s="38"/>
      <c r="DA2489" s="38"/>
      <c r="DB2489" s="38"/>
      <c r="DC2489" s="38"/>
      <c r="DD2489" s="38"/>
      <c r="DE2489" s="38"/>
      <c r="DF2489" s="38"/>
      <c r="DG2489" s="38"/>
      <c r="DH2489" s="38"/>
      <c r="DI2489" s="38"/>
      <c r="DJ2489" s="38"/>
      <c r="DK2489" s="38"/>
      <c r="DL2489" s="38"/>
      <c r="DM2489" s="38"/>
      <c r="DN2489" s="38"/>
      <c r="DO2489" s="38"/>
      <c r="DP2489" s="38"/>
      <c r="DQ2489" s="38"/>
      <c r="DR2489" s="38"/>
      <c r="DS2489" s="38"/>
      <c r="DT2489" s="38"/>
      <c r="DU2489" s="38"/>
      <c r="DV2489" s="38"/>
      <c r="DW2489" s="38"/>
      <c r="DX2489" s="38"/>
      <c r="DY2489" s="38"/>
      <c r="DZ2489" s="38"/>
      <c r="EA2489" s="38"/>
      <c r="EB2489" s="38"/>
      <c r="EC2489" s="38"/>
      <c r="ED2489" s="38"/>
      <c r="EE2489" s="38"/>
      <c r="EF2489" s="38"/>
      <c r="EG2489" s="38"/>
      <c r="EH2489" s="38"/>
      <c r="EI2489" s="38"/>
      <c r="EJ2489" s="38"/>
      <c r="EK2489" s="38"/>
      <c r="EL2489" s="38"/>
      <c r="EM2489" s="38"/>
      <c r="EN2489" s="38"/>
      <c r="EO2489" s="38"/>
      <c r="EP2489" s="38"/>
      <c r="EQ2489" s="38"/>
      <c r="ER2489" s="38"/>
      <c r="ES2489" s="38"/>
      <c r="ET2489" s="38"/>
      <c r="EU2489" s="38"/>
      <c r="EV2489" s="38"/>
      <c r="EW2489" s="38"/>
      <c r="EX2489" s="38"/>
      <c r="EY2489" s="38"/>
      <c r="EZ2489" s="38"/>
      <c r="FA2489" s="38"/>
      <c r="FB2489" s="38"/>
      <c r="FC2489" s="38"/>
      <c r="FD2489" s="38"/>
      <c r="FE2489" s="38"/>
      <c r="FF2489" s="38"/>
      <c r="FG2489" s="38"/>
      <c r="FH2489" s="38"/>
      <c r="FI2489" s="38"/>
      <c r="FJ2489" s="38"/>
      <c r="FK2489" s="38"/>
      <c r="FL2489" s="38"/>
      <c r="FM2489" s="38"/>
      <c r="FN2489" s="38"/>
      <c r="FO2489" s="38"/>
      <c r="FP2489" s="38"/>
      <c r="FQ2489" s="38"/>
      <c r="FR2489" s="38"/>
      <c r="FS2489" s="38"/>
      <c r="FT2489" s="38"/>
      <c r="FU2489" s="38"/>
      <c r="FV2489" s="38"/>
      <c r="FW2489" s="38"/>
      <c r="FX2489" s="38"/>
      <c r="FY2489" s="38"/>
      <c r="FZ2489" s="38"/>
      <c r="GA2489" s="38"/>
      <c r="GB2489" s="38"/>
      <c r="GC2489" s="38"/>
      <c r="GD2489" s="38"/>
      <c r="GE2489" s="38"/>
      <c r="GF2489" s="38"/>
      <c r="GG2489" s="38"/>
      <c r="GH2489" s="38"/>
      <c r="GI2489" s="38"/>
      <c r="GJ2489" s="38"/>
      <c r="GK2489" s="38"/>
      <c r="GL2489" s="38"/>
      <c r="GM2489" s="38"/>
      <c r="GN2489" s="38"/>
      <c r="GO2489" s="38"/>
      <c r="GP2489" s="38"/>
      <c r="GQ2489" s="38"/>
      <c r="GR2489" s="38"/>
      <c r="GS2489" s="38"/>
      <c r="GT2489" s="38"/>
      <c r="GU2489" s="38"/>
      <c r="GV2489" s="38"/>
      <c r="GW2489" s="38"/>
      <c r="GX2489" s="38"/>
      <c r="GY2489" s="38"/>
      <c r="GZ2489" s="38"/>
      <c r="HA2489" s="38"/>
      <c r="HB2489" s="38"/>
      <c r="HC2489" s="38"/>
      <c r="HD2489" s="38"/>
      <c r="HE2489" s="38"/>
      <c r="HF2489" s="38"/>
      <c r="HG2489" s="38"/>
      <c r="HH2489" s="38"/>
      <c r="HI2489" s="38"/>
      <c r="HJ2489" s="38"/>
      <c r="HK2489" s="38"/>
      <c r="HL2489" s="38"/>
      <c r="HM2489" s="38"/>
      <c r="HN2489" s="38"/>
      <c r="HO2489" s="38"/>
      <c r="HP2489" s="38"/>
      <c r="HQ2489" s="38"/>
      <c r="HR2489" s="38"/>
      <c r="HS2489" s="38"/>
      <c r="HT2489" s="38"/>
      <c r="HU2489" s="38"/>
      <c r="HV2489" s="38"/>
      <c r="HW2489" s="38"/>
      <c r="HX2489" s="38"/>
      <c r="HY2489" s="38"/>
      <c r="HZ2489" s="38"/>
      <c r="IA2489" s="38"/>
      <c r="IB2489" s="38"/>
      <c r="IC2489" s="38"/>
      <c r="ID2489" s="38"/>
      <c r="IE2489" s="38"/>
      <c r="IF2489" s="38"/>
      <c r="IG2489" s="38"/>
      <c r="IH2489" s="38"/>
      <c r="II2489" s="38"/>
      <c r="IJ2489" s="38"/>
      <c r="IK2489" s="38"/>
      <c r="IL2489" s="38"/>
      <c r="IM2489" s="38"/>
      <c r="IN2489" s="38"/>
      <c r="IO2489" s="38"/>
      <c r="IP2489" s="38"/>
      <c r="IQ2489" s="38"/>
      <c r="IR2489" s="38"/>
      <c r="IS2489" s="38"/>
      <c r="IT2489" s="38"/>
      <c r="IU2489" s="38"/>
      <c r="IV2489" s="38"/>
      <c r="IW2489" s="38"/>
      <c r="IX2489" s="38"/>
      <c r="IY2489" s="38"/>
      <c r="IZ2489" s="38"/>
      <c r="JA2489" s="38"/>
      <c r="JB2489" s="38"/>
      <c r="JC2489" s="38"/>
      <c r="JD2489" s="38"/>
      <c r="JE2489" s="38"/>
      <c r="JF2489" s="38"/>
      <c r="JG2489" s="38"/>
      <c r="JH2489" s="38"/>
      <c r="JI2489" s="38"/>
      <c r="JJ2489" s="38"/>
      <c r="JK2489" s="38"/>
      <c r="JL2489" s="38"/>
      <c r="JM2489" s="38"/>
      <c r="JN2489" s="38"/>
      <c r="JO2489" s="38"/>
      <c r="JP2489" s="38"/>
      <c r="JQ2489" s="38"/>
      <c r="JR2489" s="38"/>
      <c r="JS2489" s="38"/>
      <c r="JT2489" s="38"/>
      <c r="JU2489" s="38"/>
      <c r="JV2489" s="38"/>
      <c r="JW2489" s="38"/>
      <c r="JX2489" s="38"/>
      <c r="JY2489" s="38"/>
      <c r="JZ2489" s="38"/>
      <c r="KA2489" s="38"/>
      <c r="KB2489" s="38"/>
      <c r="KC2489" s="38"/>
      <c r="KD2489" s="38"/>
      <c r="KE2489" s="38"/>
      <c r="KF2489" s="38"/>
      <c r="KG2489" s="38"/>
      <c r="KH2489" s="38"/>
      <c r="KI2489" s="38"/>
      <c r="KJ2489" s="38"/>
      <c r="KK2489" s="38"/>
      <c r="KL2489" s="38"/>
      <c r="KM2489" s="38"/>
      <c r="KN2489" s="38"/>
      <c r="KO2489" s="38"/>
      <c r="KP2489" s="38"/>
      <c r="KQ2489" s="38"/>
      <c r="KR2489" s="38"/>
      <c r="KS2489" s="38"/>
      <c r="KT2489" s="38"/>
      <c r="KU2489" s="38"/>
      <c r="KV2489" s="38"/>
      <c r="KW2489" s="38"/>
      <c r="KX2489" s="38"/>
      <c r="KY2489" s="38"/>
      <c r="KZ2489" s="38"/>
      <c r="LA2489" s="38"/>
      <c r="LB2489" s="38"/>
      <c r="LC2489" s="38"/>
      <c r="LD2489" s="38"/>
      <c r="LE2489" s="38"/>
      <c r="LF2489" s="38"/>
      <c r="LG2489" s="38"/>
      <c r="LH2489" s="38"/>
      <c r="LI2489" s="38"/>
      <c r="LJ2489" s="38"/>
      <c r="LK2489" s="38"/>
      <c r="LL2489" s="38"/>
      <c r="LM2489" s="38"/>
      <c r="LN2489" s="38"/>
      <c r="LO2489" s="38"/>
      <c r="LP2489" s="38"/>
      <c r="LQ2489" s="38"/>
      <c r="LR2489" s="38"/>
      <c r="LS2489" s="38"/>
      <c r="LT2489" s="38"/>
      <c r="LU2489" s="38"/>
      <c r="LV2489" s="38"/>
      <c r="LW2489" s="38"/>
      <c r="LX2489" s="38"/>
      <c r="LY2489" s="38"/>
      <c r="LZ2489" s="38"/>
      <c r="MA2489" s="38"/>
      <c r="MB2489" s="38"/>
      <c r="MC2489" s="38"/>
      <c r="MD2489" s="38"/>
      <c r="ME2489" s="38"/>
      <c r="MF2489" s="38"/>
      <c r="MG2489" s="38"/>
      <c r="MH2489" s="38"/>
      <c r="MI2489" s="38"/>
      <c r="MJ2489" s="38"/>
      <c r="MK2489" s="38"/>
      <c r="ML2489" s="38"/>
      <c r="MM2489" s="38"/>
      <c r="MN2489" s="38"/>
      <c r="MO2489" s="38"/>
      <c r="MP2489" s="38"/>
      <c r="MQ2489" s="38"/>
      <c r="MR2489" s="38"/>
      <c r="MS2489" s="38"/>
      <c r="MT2489" s="38"/>
      <c r="MU2489" s="38"/>
      <c r="MV2489" s="38"/>
      <c r="MW2489" s="38"/>
      <c r="MX2489" s="38"/>
      <c r="MY2489" s="38"/>
      <c r="MZ2489" s="38"/>
      <c r="NA2489" s="38"/>
      <c r="NB2489" s="38"/>
      <c r="NC2489" s="38"/>
      <c r="ND2489" s="38"/>
      <c r="NE2489" s="38"/>
      <c r="NF2489" s="38"/>
      <c r="NG2489" s="38"/>
      <c r="NH2489" s="38"/>
      <c r="NI2489" s="38"/>
      <c r="NJ2489" s="38"/>
      <c r="NK2489" s="38"/>
      <c r="NL2489" s="38"/>
      <c r="NM2489" s="38"/>
      <c r="NN2489" s="38"/>
      <c r="NO2489" s="38"/>
      <c r="NP2489" s="38"/>
      <c r="NQ2489" s="38"/>
      <c r="NR2489" s="38"/>
      <c r="NS2489" s="38"/>
      <c r="NT2489" s="38"/>
      <c r="NU2489" s="38"/>
      <c r="NV2489" s="38"/>
      <c r="NW2489" s="38"/>
      <c r="NX2489" s="38"/>
      <c r="NY2489" s="38"/>
      <c r="NZ2489" s="38"/>
      <c r="OA2489" s="38"/>
      <c r="OB2489" s="38"/>
      <c r="OC2489" s="38"/>
      <c r="OD2489" s="38"/>
      <c r="OE2489" s="38"/>
      <c r="OF2489" s="38"/>
      <c r="OG2489" s="38"/>
      <c r="OH2489" s="38"/>
      <c r="OI2489" s="38"/>
      <c r="OJ2489" s="38"/>
      <c r="OK2489" s="38"/>
      <c r="OL2489" s="38"/>
      <c r="OM2489" s="38"/>
      <c r="ON2489" s="38"/>
      <c r="OO2489" s="38"/>
      <c r="OP2489" s="38"/>
      <c r="OQ2489" s="38"/>
      <c r="OR2489" s="38"/>
      <c r="OS2489" s="38"/>
      <c r="OT2489" s="38"/>
      <c r="OU2489" s="38"/>
      <c r="OV2489" s="38"/>
      <c r="OW2489" s="38"/>
      <c r="OX2489" s="38"/>
      <c r="OY2489" s="38"/>
      <c r="OZ2489" s="38"/>
      <c r="PA2489" s="38"/>
      <c r="PB2489" s="38"/>
      <c r="PC2489" s="38"/>
      <c r="PD2489" s="38"/>
      <c r="PE2489" s="38"/>
      <c r="PF2489" s="38"/>
      <c r="PG2489" s="38"/>
      <c r="PH2489" s="38"/>
      <c r="PI2489" s="38"/>
      <c r="PJ2489" s="38"/>
      <c r="PK2489" s="38"/>
      <c r="PL2489" s="38"/>
      <c r="PM2489" s="38"/>
      <c r="PN2489" s="38"/>
      <c r="PO2489" s="38"/>
      <c r="PP2489" s="38"/>
      <c r="PQ2489" s="38"/>
      <c r="PR2489" s="38"/>
      <c r="PS2489" s="38"/>
      <c r="PT2489" s="38"/>
      <c r="PU2489" s="38"/>
      <c r="PV2489" s="38"/>
      <c r="PW2489" s="38"/>
      <c r="PX2489" s="38"/>
      <c r="PY2489" s="38"/>
      <c r="PZ2489" s="38"/>
      <c r="QA2489" s="38"/>
      <c r="QB2489" s="38"/>
      <c r="QC2489" s="38"/>
      <c r="QD2489" s="38"/>
      <c r="QE2489" s="38"/>
      <c r="QF2489" s="38"/>
      <c r="QG2489" s="38"/>
      <c r="QH2489" s="38"/>
      <c r="QI2489" s="38"/>
      <c r="QJ2489" s="38"/>
      <c r="QK2489" s="38"/>
      <c r="QL2489" s="38"/>
      <c r="QM2489" s="38"/>
      <c r="QN2489" s="38"/>
      <c r="QO2489" s="38"/>
      <c r="QP2489" s="38"/>
      <c r="QQ2489" s="38"/>
      <c r="QR2489" s="38"/>
      <c r="QS2489" s="38"/>
      <c r="QT2489" s="38"/>
      <c r="QU2489" s="38"/>
      <c r="QV2489" s="38"/>
      <c r="QW2489" s="38"/>
      <c r="QX2489" s="38"/>
      <c r="QY2489" s="38"/>
      <c r="QZ2489" s="38"/>
      <c r="RA2489" s="38"/>
      <c r="RB2489" s="38"/>
      <c r="RC2489" s="38"/>
      <c r="RD2489" s="38"/>
      <c r="RE2489" s="38"/>
      <c r="RF2489" s="38"/>
      <c r="RG2489" s="38"/>
      <c r="RH2489" s="38"/>
      <c r="RI2489" s="38"/>
      <c r="RJ2489" s="38"/>
      <c r="RK2489" s="38"/>
      <c r="RL2489" s="38"/>
      <c r="RM2489" s="38"/>
      <c r="RN2489" s="38"/>
      <c r="RO2489" s="38"/>
      <c r="RP2489" s="38"/>
      <c r="RQ2489" s="38"/>
      <c r="RR2489" s="38"/>
      <c r="RS2489" s="38"/>
      <c r="RT2489" s="38"/>
      <c r="RU2489" s="38"/>
      <c r="RV2489" s="38"/>
      <c r="RW2489" s="38"/>
      <c r="RX2489" s="38"/>
      <c r="RY2489" s="38"/>
      <c r="RZ2489" s="38"/>
      <c r="SA2489" s="38"/>
      <c r="SB2489" s="38"/>
      <c r="SC2489" s="38"/>
      <c r="SD2489" s="38"/>
      <c r="SE2489" s="38"/>
      <c r="SF2489" s="38"/>
      <c r="SG2489" s="38"/>
      <c r="SH2489" s="38"/>
      <c r="SI2489" s="38"/>
      <c r="SJ2489" s="38"/>
      <c r="SK2489" s="38"/>
      <c r="SL2489" s="38"/>
      <c r="SM2489" s="38"/>
      <c r="SN2489" s="38"/>
      <c r="SO2489" s="38"/>
      <c r="SP2489" s="38"/>
      <c r="SQ2489" s="38"/>
      <c r="SR2489" s="38"/>
      <c r="SS2489" s="38"/>
      <c r="ST2489" s="38"/>
      <c r="SU2489" s="38"/>
      <c r="SV2489" s="38"/>
      <c r="SW2489" s="38"/>
      <c r="SX2489" s="38"/>
      <c r="SY2489" s="38"/>
      <c r="SZ2489" s="38"/>
      <c r="TA2489" s="38"/>
      <c r="TB2489" s="38"/>
      <c r="TC2489" s="38"/>
      <c r="TD2489" s="38"/>
      <c r="TE2489" s="38"/>
      <c r="TF2489" s="38"/>
      <c r="TG2489" s="38"/>
      <c r="TH2489" s="38"/>
      <c r="TI2489" s="38"/>
      <c r="TJ2489" s="38"/>
      <c r="TK2489" s="38"/>
      <c r="TL2489" s="38"/>
      <c r="TM2489" s="38"/>
      <c r="TN2489" s="38"/>
      <c r="TO2489" s="38"/>
      <c r="TP2489" s="38"/>
      <c r="TQ2489" s="38"/>
      <c r="TR2489" s="38"/>
      <c r="TS2489" s="38"/>
      <c r="TT2489" s="38"/>
      <c r="TU2489" s="38"/>
      <c r="TV2489" s="38"/>
      <c r="TW2489" s="38"/>
      <c r="TX2489" s="38"/>
      <c r="TY2489" s="38"/>
      <c r="TZ2489" s="38"/>
      <c r="UA2489" s="38"/>
      <c r="UB2489" s="38"/>
      <c r="UC2489" s="38"/>
      <c r="UD2489" s="38"/>
      <c r="UE2489" s="38"/>
      <c r="UF2489" s="38"/>
      <c r="UG2489" s="38"/>
      <c r="UH2489" s="38"/>
      <c r="UI2489" s="38"/>
      <c r="UJ2489" s="38"/>
      <c r="UK2489" s="38"/>
      <c r="UL2489" s="38"/>
      <c r="UM2489" s="38"/>
      <c r="UN2489" s="38"/>
      <c r="UO2489" s="38"/>
      <c r="UP2489" s="38"/>
      <c r="UQ2489" s="38"/>
      <c r="UR2489" s="38"/>
      <c r="US2489" s="38"/>
      <c r="UT2489" s="38"/>
      <c r="UU2489" s="38"/>
      <c r="UV2489" s="38"/>
      <c r="UW2489" s="38"/>
      <c r="UX2489" s="38"/>
      <c r="UY2489" s="38"/>
      <c r="UZ2489" s="38"/>
      <c r="VA2489" s="38"/>
      <c r="VB2489" s="38"/>
      <c r="VC2489" s="38"/>
      <c r="VD2489" s="38"/>
      <c r="VE2489" s="38"/>
      <c r="VF2489" s="38"/>
      <c r="VG2489" s="38"/>
      <c r="VH2489" s="38"/>
      <c r="VI2489" s="38"/>
      <c r="VJ2489" s="38"/>
      <c r="VK2489" s="38"/>
      <c r="VL2489" s="38"/>
      <c r="VM2489" s="38"/>
      <c r="VN2489" s="38"/>
      <c r="VO2489" s="38"/>
      <c r="VP2489" s="38"/>
      <c r="VQ2489" s="38"/>
      <c r="VR2489" s="38"/>
      <c r="VS2489" s="38"/>
      <c r="VT2489" s="38"/>
      <c r="VU2489" s="38"/>
      <c r="VV2489" s="38"/>
      <c r="VW2489" s="38"/>
      <c r="VX2489" s="38"/>
      <c r="VY2489" s="38"/>
      <c r="VZ2489" s="38"/>
      <c r="WA2489" s="38"/>
      <c r="WB2489" s="38"/>
      <c r="WC2489" s="38"/>
      <c r="WD2489" s="38"/>
      <c r="WE2489" s="38"/>
      <c r="WF2489" s="38"/>
      <c r="WG2489" s="38"/>
      <c r="WH2489" s="38"/>
      <c r="WI2489" s="38"/>
      <c r="WJ2489" s="38"/>
      <c r="WK2489" s="38"/>
      <c r="WL2489" s="38"/>
      <c r="WM2489" s="38"/>
      <c r="WN2489" s="38"/>
      <c r="WO2489" s="38"/>
      <c r="WP2489" s="38"/>
      <c r="WQ2489" s="38"/>
      <c r="WR2489" s="38"/>
      <c r="WS2489" s="38"/>
      <c r="WT2489" s="38"/>
      <c r="WU2489" s="38"/>
      <c r="WV2489" s="38"/>
      <c r="WW2489" s="38"/>
      <c r="WX2489" s="38"/>
      <c r="WY2489" s="38"/>
      <c r="WZ2489" s="38"/>
      <c r="XA2489" s="38"/>
      <c r="XB2489" s="38"/>
      <c r="XC2489" s="38"/>
      <c r="XD2489" s="38"/>
      <c r="XE2489" s="38"/>
      <c r="XF2489" s="38"/>
      <c r="XG2489" s="38"/>
      <c r="XH2489" s="38"/>
      <c r="XI2489" s="38"/>
      <c r="XJ2489" s="38"/>
      <c r="XK2489" s="38"/>
      <c r="XL2489" s="38"/>
      <c r="XM2489" s="38"/>
      <c r="XN2489" s="38"/>
      <c r="XO2489" s="38"/>
      <c r="XP2489" s="38"/>
      <c r="XQ2489" s="38"/>
      <c r="XR2489" s="38"/>
      <c r="XS2489" s="38"/>
      <c r="XT2489" s="38"/>
      <c r="XU2489" s="38"/>
      <c r="XV2489" s="38"/>
      <c r="XW2489" s="38"/>
      <c r="XX2489" s="38"/>
      <c r="XY2489" s="38"/>
      <c r="XZ2489" s="38"/>
      <c r="YA2489" s="38"/>
      <c r="YB2489" s="38"/>
      <c r="YC2489" s="38"/>
      <c r="YD2489" s="38"/>
      <c r="YE2489" s="38"/>
      <c r="YF2489" s="38"/>
      <c r="YG2489" s="38"/>
      <c r="YH2489" s="38"/>
      <c r="YI2489" s="38"/>
      <c r="YJ2489" s="38"/>
      <c r="YK2489" s="38"/>
      <c r="YL2489" s="38"/>
      <c r="YM2489" s="38"/>
      <c r="YN2489" s="38"/>
      <c r="YO2489" s="38"/>
      <c r="YP2489" s="38"/>
      <c r="YQ2489" s="38"/>
      <c r="YR2489" s="38"/>
      <c r="YS2489" s="38"/>
      <c r="YT2489" s="38"/>
      <c r="YU2489" s="38"/>
      <c r="YV2489" s="38"/>
      <c r="YW2489" s="38"/>
      <c r="YX2489" s="38"/>
      <c r="YY2489" s="38"/>
      <c r="YZ2489" s="38"/>
      <c r="ZA2489" s="38"/>
      <c r="ZB2489" s="38"/>
      <c r="ZC2489" s="38"/>
      <c r="ZD2489" s="38"/>
      <c r="ZE2489" s="38"/>
      <c r="ZF2489" s="38"/>
      <c r="ZG2489" s="38"/>
      <c r="ZH2489" s="38"/>
      <c r="ZI2489" s="38"/>
      <c r="ZJ2489" s="38"/>
      <c r="ZK2489" s="38"/>
      <c r="ZL2489" s="38"/>
      <c r="ZM2489" s="38"/>
      <c r="ZN2489" s="38"/>
      <c r="ZO2489" s="38"/>
      <c r="ZP2489" s="38"/>
      <c r="ZQ2489" s="38"/>
      <c r="ZR2489" s="38"/>
      <c r="ZS2489" s="38"/>
      <c r="ZT2489" s="38"/>
      <c r="ZU2489" s="38"/>
      <c r="ZV2489" s="38"/>
      <c r="ZW2489" s="38"/>
      <c r="ZX2489" s="38"/>
      <c r="ZY2489" s="38"/>
      <c r="ZZ2489" s="38"/>
      <c r="AAA2489" s="38"/>
      <c r="AAB2489" s="38"/>
      <c r="AAC2489" s="38"/>
      <c r="AAD2489" s="38"/>
      <c r="AAE2489" s="38"/>
      <c r="AAF2489" s="38"/>
      <c r="AAG2489" s="38"/>
      <c r="AAH2489" s="38"/>
      <c r="AAI2489" s="38"/>
      <c r="AAJ2489" s="38"/>
      <c r="AAK2489" s="38"/>
      <c r="AAL2489" s="38"/>
      <c r="AAM2489" s="38"/>
      <c r="AAN2489" s="38"/>
      <c r="AAO2489" s="38"/>
      <c r="AAP2489" s="38"/>
      <c r="AAQ2489" s="38"/>
      <c r="AAR2489" s="38"/>
      <c r="AAS2489" s="38"/>
      <c r="AAT2489" s="38"/>
      <c r="AAU2489" s="38"/>
      <c r="AAV2489" s="38"/>
      <c r="AAW2489" s="38"/>
      <c r="AAX2489" s="38"/>
      <c r="AAY2489" s="38"/>
      <c r="AAZ2489" s="38"/>
      <c r="ABA2489" s="38"/>
      <c r="ABB2489" s="38"/>
      <c r="ABC2489" s="38"/>
      <c r="ABD2489" s="38"/>
      <c r="ABE2489" s="38"/>
      <c r="ABF2489" s="38"/>
      <c r="ABG2489" s="38"/>
      <c r="ABH2489" s="38"/>
      <c r="ABI2489" s="38"/>
      <c r="ABJ2489" s="38"/>
      <c r="ABK2489" s="38"/>
      <c r="ABL2489" s="38"/>
      <c r="ABM2489" s="38"/>
      <c r="ABN2489" s="38"/>
      <c r="ABO2489" s="38"/>
      <c r="ABP2489" s="38"/>
      <c r="ABQ2489" s="38"/>
      <c r="ABR2489" s="38"/>
      <c r="ABS2489" s="38"/>
      <c r="ABT2489" s="38"/>
      <c r="ABU2489" s="38"/>
      <c r="ABV2489" s="38"/>
      <c r="ABW2489" s="38"/>
      <c r="ABX2489" s="38"/>
      <c r="ABY2489" s="38"/>
      <c r="ABZ2489" s="38"/>
      <c r="ACA2489" s="38"/>
      <c r="ACB2489" s="38"/>
      <c r="ACC2489" s="38"/>
      <c r="ACD2489" s="38"/>
      <c r="ACE2489" s="38"/>
      <c r="ACF2489" s="38"/>
      <c r="ACG2489" s="38"/>
      <c r="ACH2489" s="38"/>
      <c r="ACI2489" s="38"/>
      <c r="ACJ2489" s="38"/>
      <c r="ACK2489" s="38"/>
      <c r="ACL2489" s="38"/>
      <c r="ACM2489" s="38"/>
      <c r="ACN2489" s="38"/>
      <c r="ACO2489" s="38"/>
      <c r="ACP2489" s="38"/>
      <c r="ACQ2489" s="38"/>
      <c r="ACR2489" s="38"/>
      <c r="ACS2489" s="38"/>
      <c r="ACT2489" s="38"/>
      <c r="ACU2489" s="38"/>
      <c r="ACV2489" s="38"/>
      <c r="ACW2489" s="38"/>
      <c r="ACX2489" s="38"/>
      <c r="ACY2489" s="38"/>
      <c r="ACZ2489" s="38"/>
      <c r="ADA2489" s="38"/>
      <c r="ADB2489" s="38"/>
      <c r="ADC2489" s="38"/>
      <c r="ADD2489" s="38"/>
      <c r="ADE2489" s="38"/>
      <c r="ADF2489" s="38"/>
      <c r="ADG2489" s="38"/>
      <c r="ADH2489" s="38"/>
      <c r="ADI2489" s="38"/>
      <c r="ADJ2489" s="38"/>
      <c r="ADK2489" s="38"/>
      <c r="ADL2489" s="38"/>
      <c r="ADM2489" s="38"/>
      <c r="ADN2489" s="38"/>
      <c r="ADO2489" s="38"/>
      <c r="ADP2489" s="38"/>
      <c r="ADQ2489" s="38"/>
      <c r="ADR2489" s="38"/>
      <c r="ADS2489" s="38"/>
      <c r="ADT2489" s="38"/>
      <c r="ADU2489" s="38"/>
      <c r="ADV2489" s="38"/>
      <c r="ADW2489" s="38"/>
      <c r="ADX2489" s="38"/>
      <c r="ADY2489" s="38"/>
      <c r="ADZ2489" s="38"/>
      <c r="AEA2489" s="38"/>
      <c r="AEB2489" s="38"/>
      <c r="AEC2489" s="38"/>
      <c r="AED2489" s="38"/>
      <c r="AEE2489" s="38"/>
      <c r="AEF2489" s="38"/>
      <c r="AEG2489" s="38"/>
      <c r="AEH2489" s="38"/>
      <c r="AEI2489" s="38"/>
      <c r="AEJ2489" s="38"/>
      <c r="AEK2489" s="38"/>
      <c r="AEL2489" s="38"/>
      <c r="AEM2489" s="38"/>
      <c r="AEN2489" s="38"/>
      <c r="AEO2489" s="38"/>
      <c r="AEP2489" s="38"/>
      <c r="AEQ2489" s="38"/>
      <c r="AER2489" s="38"/>
      <c r="AES2489" s="38"/>
      <c r="AET2489" s="38"/>
      <c r="AEU2489" s="38"/>
      <c r="AEV2489" s="38"/>
      <c r="AEW2489" s="38"/>
      <c r="AEX2489" s="38"/>
      <c r="AEY2489" s="38"/>
      <c r="AEZ2489" s="38"/>
      <c r="AFA2489" s="38"/>
      <c r="AFB2489" s="38"/>
      <c r="AFC2489" s="38"/>
      <c r="AFD2489" s="38"/>
      <c r="AFE2489" s="38"/>
      <c r="AFF2489" s="38"/>
      <c r="AFG2489" s="38"/>
      <c r="AFH2489" s="38"/>
      <c r="AFI2489" s="38"/>
      <c r="AFJ2489" s="38"/>
      <c r="AFK2489" s="38"/>
      <c r="AFL2489" s="38"/>
      <c r="AFM2489" s="38"/>
      <c r="AFN2489" s="38"/>
      <c r="AFO2489" s="38"/>
      <c r="AFP2489" s="38"/>
      <c r="AFQ2489" s="38"/>
      <c r="AFR2489" s="38"/>
      <c r="AFS2489" s="38"/>
      <c r="AFT2489" s="38"/>
      <c r="AFU2489" s="38"/>
      <c r="AFV2489" s="38"/>
      <c r="AFW2489" s="38"/>
      <c r="AFX2489" s="38"/>
      <c r="AFY2489" s="38"/>
      <c r="AFZ2489" s="38"/>
      <c r="AGA2489" s="38"/>
      <c r="AGB2489" s="38"/>
      <c r="AGC2489" s="38"/>
      <c r="AGD2489" s="38"/>
      <c r="AGE2489" s="38"/>
      <c r="AGF2489" s="38"/>
      <c r="AGG2489" s="38"/>
      <c r="AGH2489" s="38"/>
      <c r="AGI2489" s="38"/>
      <c r="AGJ2489" s="38"/>
      <c r="AGK2489" s="38"/>
      <c r="AGL2489" s="38"/>
      <c r="AGM2489" s="38"/>
      <c r="AGN2489" s="38"/>
      <c r="AGO2489" s="38"/>
      <c r="AGP2489" s="38"/>
      <c r="AGQ2489" s="38"/>
      <c r="AGR2489" s="38"/>
      <c r="AGS2489" s="38"/>
      <c r="AGT2489" s="38"/>
      <c r="AGU2489" s="38"/>
      <c r="AGV2489" s="38"/>
      <c r="AGW2489" s="38"/>
      <c r="AGX2489" s="38"/>
      <c r="AGY2489" s="38"/>
      <c r="AGZ2489" s="38"/>
      <c r="AHA2489" s="38"/>
      <c r="AHB2489" s="38"/>
      <c r="AHC2489" s="38"/>
      <c r="AHD2489" s="38"/>
      <c r="AHE2489" s="38"/>
      <c r="AHF2489" s="38"/>
      <c r="AHG2489" s="38"/>
      <c r="AHH2489" s="38"/>
      <c r="AHI2489" s="38"/>
      <c r="AHJ2489" s="38"/>
      <c r="AHK2489" s="38"/>
      <c r="AHL2489" s="38"/>
      <c r="AHM2489" s="38"/>
      <c r="AHN2489" s="38"/>
      <c r="AHO2489" s="38"/>
      <c r="AHP2489" s="38"/>
      <c r="AHQ2489" s="38"/>
      <c r="AHR2489" s="38"/>
      <c r="AHS2489" s="38"/>
      <c r="AHT2489" s="38"/>
      <c r="AHU2489" s="38"/>
      <c r="AHV2489" s="38"/>
      <c r="AHW2489" s="38"/>
      <c r="AHX2489" s="38"/>
      <c r="AHY2489" s="38"/>
      <c r="AHZ2489" s="38"/>
      <c r="AIA2489" s="38"/>
      <c r="AIB2489" s="38"/>
      <c r="AIC2489" s="38"/>
      <c r="AID2489" s="38"/>
      <c r="AIE2489" s="38"/>
      <c r="AIF2489" s="38"/>
      <c r="AIG2489" s="38"/>
      <c r="AIH2489" s="38"/>
      <c r="AII2489" s="38"/>
      <c r="AIJ2489" s="38"/>
      <c r="AIK2489" s="38"/>
      <c r="AIL2489" s="38"/>
      <c r="AIM2489" s="38"/>
      <c r="AIN2489" s="38"/>
      <c r="AIO2489" s="38"/>
      <c r="AIP2489" s="38"/>
      <c r="AIQ2489" s="38"/>
      <c r="AIR2489" s="38"/>
      <c r="AIS2489" s="38"/>
      <c r="AIT2489" s="38"/>
      <c r="AIU2489" s="38"/>
      <c r="AIV2489" s="38"/>
      <c r="AIW2489" s="38"/>
      <c r="AIX2489" s="38"/>
      <c r="AIY2489" s="38"/>
      <c r="AIZ2489" s="38"/>
      <c r="AJA2489" s="38"/>
      <c r="AJB2489" s="38"/>
      <c r="AJC2489" s="38"/>
      <c r="AJD2489" s="38"/>
      <c r="AJE2489" s="38"/>
      <c r="AJF2489" s="38"/>
      <c r="AJG2489" s="38"/>
      <c r="AJH2489" s="38"/>
      <c r="AJI2489" s="38"/>
      <c r="AJJ2489" s="38"/>
      <c r="AJK2489" s="38"/>
      <c r="AJL2489" s="38"/>
      <c r="AJM2489" s="38"/>
      <c r="AJN2489" s="38"/>
      <c r="AJO2489" s="38"/>
      <c r="AJP2489" s="38"/>
      <c r="AJQ2489" s="38"/>
      <c r="AJR2489" s="38"/>
      <c r="AJS2489" s="38"/>
      <c r="AJT2489" s="38"/>
      <c r="AJU2489" s="38"/>
      <c r="AJV2489" s="38"/>
      <c r="AJW2489" s="38"/>
      <c r="AJX2489" s="38"/>
      <c r="AJY2489" s="38"/>
      <c r="AJZ2489" s="38"/>
      <c r="AKA2489" s="38"/>
      <c r="AKB2489" s="38"/>
      <c r="AKC2489" s="38"/>
      <c r="AKD2489" s="38"/>
      <c r="AKE2489" s="38"/>
      <c r="AKF2489" s="38"/>
      <c r="AKG2489" s="38"/>
      <c r="AKH2489" s="38"/>
      <c r="AKI2489" s="38"/>
      <c r="AKJ2489" s="38"/>
      <c r="AKK2489" s="38"/>
      <c r="AKL2489" s="38"/>
      <c r="AKM2489" s="38"/>
      <c r="AKN2489" s="38"/>
      <c r="AKO2489" s="38"/>
      <c r="AKP2489" s="38"/>
      <c r="AKQ2489" s="38"/>
      <c r="AKR2489" s="38"/>
      <c r="AKS2489" s="38"/>
      <c r="AKT2489" s="38"/>
      <c r="AKU2489" s="38"/>
      <c r="AKV2489" s="38"/>
      <c r="AKW2489" s="38"/>
      <c r="AKX2489" s="38"/>
      <c r="AKY2489" s="38"/>
      <c r="AKZ2489" s="38"/>
      <c r="ALA2489" s="38"/>
      <c r="ALB2489" s="38"/>
      <c r="ALC2489" s="38"/>
      <c r="ALD2489" s="38"/>
      <c r="ALE2489" s="38"/>
      <c r="ALF2489" s="38"/>
      <c r="ALG2489" s="38"/>
      <c r="ALH2489" s="38"/>
      <c r="ALI2489" s="38"/>
      <c r="ALJ2489" s="38"/>
      <c r="ALK2489" s="38"/>
      <c r="ALL2489" s="38"/>
      <c r="ALM2489" s="38"/>
      <c r="ALN2489" s="38"/>
      <c r="ALO2489" s="38"/>
      <c r="ALP2489" s="38"/>
      <c r="ALQ2489" s="38"/>
      <c r="ALR2489" s="38"/>
      <c r="ALS2489" s="38"/>
      <c r="ALT2489" s="38"/>
      <c r="ALU2489" s="38"/>
      <c r="ALV2489" s="38"/>
      <c r="ALW2489" s="38"/>
      <c r="ALX2489" s="38"/>
      <c r="ALY2489" s="38"/>
      <c r="ALZ2489" s="38"/>
      <c r="AMA2489" s="38"/>
      <c r="AMB2489" s="38"/>
      <c r="AMC2489" s="38"/>
      <c r="AMD2489" s="38"/>
      <c r="AME2489" s="38"/>
      <c r="AMF2489" s="38"/>
      <c r="AMG2489" s="38"/>
      <c r="AMH2489" s="38"/>
      <c r="AMI2489" s="38"/>
      <c r="AMJ2489" s="38"/>
      <c r="AMK2489" s="38"/>
      <c r="AML2489" s="38"/>
      <c r="AMM2489" s="38"/>
      <c r="AMN2489" s="38"/>
      <c r="AMO2489" s="38"/>
      <c r="AMP2489" s="38"/>
      <c r="AMQ2489" s="38"/>
      <c r="AMR2489" s="38"/>
      <c r="AMS2489" s="38"/>
      <c r="AMT2489" s="38"/>
      <c r="AMU2489" s="38"/>
      <c r="AMV2489" s="38"/>
      <c r="AMW2489" s="38"/>
      <c r="AMX2489" s="38"/>
      <c r="AMY2489" s="38"/>
      <c r="AMZ2489" s="38"/>
      <c r="ANA2489" s="38"/>
      <c r="ANB2489" s="38"/>
      <c r="ANC2489" s="38"/>
      <c r="AND2489" s="38"/>
      <c r="ANE2489" s="38"/>
      <c r="ANF2489" s="38"/>
      <c r="ANG2489" s="38"/>
      <c r="ANH2489" s="38"/>
      <c r="ANI2489" s="38"/>
      <c r="ANJ2489" s="38"/>
      <c r="ANK2489" s="38"/>
      <c r="ANL2489" s="38"/>
      <c r="ANM2489" s="38"/>
      <c r="ANN2489" s="38"/>
      <c r="ANO2489" s="38"/>
      <c r="ANP2489" s="38"/>
      <c r="ANQ2489" s="38"/>
      <c r="ANR2489" s="38"/>
      <c r="ANS2489" s="38"/>
      <c r="ANT2489" s="38"/>
      <c r="ANU2489" s="38"/>
      <c r="ANV2489" s="38"/>
      <c r="ANW2489" s="38"/>
      <c r="ANX2489" s="38"/>
      <c r="ANY2489" s="38"/>
      <c r="ANZ2489" s="38"/>
      <c r="AOA2489" s="38"/>
      <c r="AOB2489" s="38"/>
      <c r="AOC2489" s="38"/>
      <c r="AOD2489" s="38"/>
      <c r="AOE2489" s="38"/>
      <c r="AOF2489" s="38"/>
      <c r="AOG2489" s="38"/>
      <c r="AOH2489" s="38"/>
      <c r="AOI2489" s="38"/>
      <c r="AOJ2489" s="38"/>
      <c r="AOK2489" s="38"/>
      <c r="AOL2489" s="38"/>
      <c r="AOM2489" s="38"/>
      <c r="AON2489" s="38"/>
      <c r="AOO2489" s="38"/>
      <c r="AOP2489" s="38"/>
      <c r="AOQ2489" s="38"/>
      <c r="AOR2489" s="38"/>
      <c r="AOS2489" s="38"/>
      <c r="AOT2489" s="38"/>
      <c r="AOU2489" s="38"/>
      <c r="AOV2489" s="38"/>
      <c r="AOW2489" s="38"/>
      <c r="AOX2489" s="38"/>
      <c r="AOY2489" s="38"/>
      <c r="AOZ2489" s="38"/>
      <c r="APA2489" s="38"/>
      <c r="APB2489" s="38"/>
      <c r="APC2489" s="38"/>
    </row>
    <row r="2490" spans="1:1095" s="36" customFormat="1" ht="14.25" customHeight="1">
      <c r="A2490" s="3" t="s">
        <v>1722</v>
      </c>
      <c r="B2490" s="36" t="s">
        <v>3113</v>
      </c>
      <c r="C2490" s="10">
        <v>4058075434820</v>
      </c>
      <c r="D2490" s="224">
        <v>4058075434820</v>
      </c>
      <c r="E2490" s="245" t="s">
        <v>3113</v>
      </c>
      <c r="F2490" s="246"/>
      <c r="G2490" s="66" t="str">
        <f>HYPERLINK("https://ledvance.com/pt/product-datasheet/6945/77474","Ficha de Produto")</f>
        <v>Ficha de Produto</v>
      </c>
      <c r="H2490" s="217">
        <v>4</v>
      </c>
      <c r="I2490" s="34" t="s">
        <v>6349</v>
      </c>
      <c r="J2490" s="34" t="s">
        <v>809</v>
      </c>
      <c r="K2490" s="34" t="s">
        <v>788</v>
      </c>
      <c r="L2490" s="34" t="s">
        <v>6506</v>
      </c>
      <c r="M2490" s="247">
        <v>18.3</v>
      </c>
      <c r="N2490" s="288" t="s">
        <v>722</v>
      </c>
    </row>
    <row r="2491" spans="1:1095" s="36" customFormat="1" ht="14.25" customHeight="1">
      <c r="A2491" s="3" t="s">
        <v>1722</v>
      </c>
      <c r="B2491" s="36" t="s">
        <v>3114</v>
      </c>
      <c r="C2491" s="10">
        <v>4058075434783</v>
      </c>
      <c r="D2491" s="224">
        <v>4058075434783</v>
      </c>
      <c r="E2491" s="245" t="s">
        <v>3114</v>
      </c>
      <c r="F2491" s="246"/>
      <c r="G2491" s="66" t="str">
        <f>HYPERLINK("https://ledvance.com/pt/product-datasheet/6947/77467","Ficha de Produto")</f>
        <v>Ficha de Produto</v>
      </c>
      <c r="H2491" s="217">
        <v>4</v>
      </c>
      <c r="I2491" s="34" t="s">
        <v>6354</v>
      </c>
      <c r="J2491" s="34" t="s">
        <v>855</v>
      </c>
      <c r="K2491" s="34" t="s">
        <v>788</v>
      </c>
      <c r="L2491" s="34" t="s">
        <v>6506</v>
      </c>
      <c r="M2491" s="247">
        <v>14</v>
      </c>
      <c r="N2491" s="288" t="s">
        <v>722</v>
      </c>
    </row>
    <row r="2492" spans="1:1095" s="36" customFormat="1" ht="14.25" customHeight="1">
      <c r="A2492" s="3" t="s">
        <v>1722</v>
      </c>
      <c r="B2492" s="36" t="s">
        <v>3115</v>
      </c>
      <c r="C2492" s="10">
        <v>4058075434745</v>
      </c>
      <c r="D2492" s="224">
        <v>4058075434745</v>
      </c>
      <c r="E2492" s="245" t="s">
        <v>3115</v>
      </c>
      <c r="F2492" s="246"/>
      <c r="G2492" s="66" t="str">
        <f>HYPERLINK("https://ledvance.com/pt/product-datasheet/6946/77462","Ficha de Produto")</f>
        <v>Ficha de Produto</v>
      </c>
      <c r="H2492" s="217">
        <v>4</v>
      </c>
      <c r="I2492" s="34" t="s">
        <v>6354</v>
      </c>
      <c r="J2492" s="34" t="s">
        <v>855</v>
      </c>
      <c r="K2492" s="34" t="s">
        <v>788</v>
      </c>
      <c r="L2492" s="34" t="s">
        <v>6506</v>
      </c>
      <c r="M2492" s="247">
        <v>14</v>
      </c>
      <c r="N2492" s="288" t="s">
        <v>722</v>
      </c>
    </row>
    <row r="2493" spans="1:1095" s="39" customFormat="1" ht="14.25" customHeight="1">
      <c r="A2493" s="8" t="s">
        <v>1722</v>
      </c>
      <c r="B2493" s="244" t="s">
        <v>1712</v>
      </c>
      <c r="C2493" s="8"/>
      <c r="D2493" s="7"/>
      <c r="E2493" s="230"/>
      <c r="F2493" s="7"/>
      <c r="G2493" s="68"/>
      <c r="H2493" s="230"/>
      <c r="I2493" s="230"/>
      <c r="J2493" s="230"/>
      <c r="K2493" s="230"/>
      <c r="L2493" s="230"/>
      <c r="M2493" s="248"/>
      <c r="N2493" s="284"/>
      <c r="O2493" s="38"/>
      <c r="P2493" s="38"/>
      <c r="Q2493" s="38"/>
      <c r="R2493" s="38"/>
      <c r="S2493" s="38"/>
      <c r="T2493" s="38"/>
      <c r="U2493" s="38"/>
      <c r="V2493" s="38"/>
      <c r="W2493" s="38"/>
      <c r="X2493" s="38"/>
      <c r="Y2493" s="38"/>
      <c r="Z2493" s="38"/>
      <c r="AA2493" s="38"/>
      <c r="AB2493" s="38"/>
      <c r="AC2493" s="38"/>
      <c r="AD2493" s="38"/>
      <c r="AE2493" s="38"/>
      <c r="AF2493" s="38"/>
      <c r="AG2493" s="38"/>
      <c r="AH2493" s="38"/>
      <c r="AI2493" s="38"/>
      <c r="AJ2493" s="38"/>
      <c r="AK2493" s="38"/>
      <c r="AL2493" s="38"/>
      <c r="AM2493" s="38"/>
      <c r="AN2493" s="38"/>
      <c r="AO2493" s="38"/>
      <c r="AP2493" s="38"/>
      <c r="AQ2493" s="38"/>
      <c r="AR2493" s="38"/>
      <c r="AS2493" s="38"/>
      <c r="AT2493" s="38"/>
      <c r="AU2493" s="38"/>
      <c r="AV2493" s="38"/>
      <c r="AW2493" s="38"/>
      <c r="AX2493" s="38"/>
      <c r="AY2493" s="38"/>
      <c r="AZ2493" s="38"/>
      <c r="BA2493" s="38"/>
      <c r="BB2493" s="38"/>
      <c r="BC2493" s="38"/>
      <c r="BD2493" s="38"/>
      <c r="BE2493" s="38"/>
      <c r="BF2493" s="38"/>
      <c r="BG2493" s="38"/>
      <c r="BH2493" s="38"/>
      <c r="BI2493" s="38"/>
      <c r="BJ2493" s="38"/>
      <c r="BK2493" s="38"/>
      <c r="BL2493" s="38"/>
      <c r="BM2493" s="38"/>
      <c r="BN2493" s="38"/>
      <c r="BO2493" s="38"/>
      <c r="BP2493" s="38"/>
      <c r="BQ2493" s="38"/>
      <c r="BR2493" s="38"/>
      <c r="BS2493" s="38"/>
      <c r="BT2493" s="38"/>
      <c r="BU2493" s="38"/>
      <c r="BV2493" s="38"/>
      <c r="BW2493" s="38"/>
      <c r="BX2493" s="38"/>
      <c r="BY2493" s="38"/>
      <c r="BZ2493" s="38"/>
      <c r="CA2493" s="38"/>
      <c r="CB2493" s="38"/>
      <c r="CC2493" s="38"/>
      <c r="CD2493" s="38"/>
      <c r="CE2493" s="38"/>
      <c r="CF2493" s="38"/>
      <c r="CG2493" s="38"/>
      <c r="CH2493" s="38"/>
      <c r="CI2493" s="38"/>
      <c r="CJ2493" s="38"/>
      <c r="CK2493" s="38"/>
      <c r="CL2493" s="38"/>
      <c r="CM2493" s="38"/>
      <c r="CN2493" s="38"/>
      <c r="CO2493" s="38"/>
      <c r="CP2493" s="38"/>
      <c r="CQ2493" s="38"/>
      <c r="CR2493" s="38"/>
      <c r="CS2493" s="38"/>
      <c r="CT2493" s="38"/>
      <c r="CU2493" s="38"/>
      <c r="CV2493" s="38"/>
      <c r="CW2493" s="38"/>
      <c r="CX2493" s="38"/>
      <c r="CY2493" s="38"/>
      <c r="CZ2493" s="38"/>
      <c r="DA2493" s="38"/>
      <c r="DB2493" s="38"/>
      <c r="DC2493" s="38"/>
      <c r="DD2493" s="38"/>
      <c r="DE2493" s="38"/>
      <c r="DF2493" s="38"/>
      <c r="DG2493" s="38"/>
      <c r="DH2493" s="38"/>
      <c r="DI2493" s="38"/>
      <c r="DJ2493" s="38"/>
      <c r="DK2493" s="38"/>
      <c r="DL2493" s="38"/>
      <c r="DM2493" s="38"/>
      <c r="DN2493" s="38"/>
      <c r="DO2493" s="38"/>
      <c r="DP2493" s="38"/>
      <c r="DQ2493" s="38"/>
      <c r="DR2493" s="38"/>
      <c r="DS2493" s="38"/>
      <c r="DT2493" s="38"/>
      <c r="DU2493" s="38"/>
      <c r="DV2493" s="38"/>
      <c r="DW2493" s="38"/>
      <c r="DX2493" s="38"/>
      <c r="DY2493" s="38"/>
      <c r="DZ2493" s="38"/>
      <c r="EA2493" s="38"/>
      <c r="EB2493" s="38"/>
      <c r="EC2493" s="38"/>
      <c r="ED2493" s="38"/>
      <c r="EE2493" s="38"/>
      <c r="EF2493" s="38"/>
      <c r="EG2493" s="38"/>
      <c r="EH2493" s="38"/>
      <c r="EI2493" s="38"/>
      <c r="EJ2493" s="38"/>
      <c r="EK2493" s="38"/>
      <c r="EL2493" s="38"/>
      <c r="EM2493" s="38"/>
      <c r="EN2493" s="38"/>
      <c r="EO2493" s="38"/>
      <c r="EP2493" s="38"/>
      <c r="EQ2493" s="38"/>
      <c r="ER2493" s="38"/>
      <c r="ES2493" s="38"/>
      <c r="ET2493" s="38"/>
      <c r="EU2493" s="38"/>
      <c r="EV2493" s="38"/>
      <c r="EW2493" s="38"/>
      <c r="EX2493" s="38"/>
      <c r="EY2493" s="38"/>
      <c r="EZ2493" s="38"/>
      <c r="FA2493" s="38"/>
      <c r="FB2493" s="38"/>
      <c r="FC2493" s="38"/>
      <c r="FD2493" s="38"/>
      <c r="FE2493" s="38"/>
      <c r="FF2493" s="38"/>
      <c r="FG2493" s="38"/>
      <c r="FH2493" s="38"/>
      <c r="FI2493" s="38"/>
      <c r="FJ2493" s="38"/>
      <c r="FK2493" s="38"/>
      <c r="FL2493" s="38"/>
      <c r="FM2493" s="38"/>
      <c r="FN2493" s="38"/>
      <c r="FO2493" s="38"/>
      <c r="FP2493" s="38"/>
      <c r="FQ2493" s="38"/>
      <c r="FR2493" s="38"/>
      <c r="FS2493" s="38"/>
      <c r="FT2493" s="38"/>
      <c r="FU2493" s="38"/>
      <c r="FV2493" s="38"/>
      <c r="FW2493" s="38"/>
      <c r="FX2493" s="38"/>
      <c r="FY2493" s="38"/>
      <c r="FZ2493" s="38"/>
      <c r="GA2493" s="38"/>
      <c r="GB2493" s="38"/>
      <c r="GC2493" s="38"/>
      <c r="GD2493" s="38"/>
      <c r="GE2493" s="38"/>
      <c r="GF2493" s="38"/>
      <c r="GG2493" s="38"/>
      <c r="GH2493" s="38"/>
      <c r="GI2493" s="38"/>
      <c r="GJ2493" s="38"/>
      <c r="GK2493" s="38"/>
      <c r="GL2493" s="38"/>
      <c r="GM2493" s="38"/>
      <c r="GN2493" s="38"/>
      <c r="GO2493" s="38"/>
      <c r="GP2493" s="38"/>
      <c r="GQ2493" s="38"/>
      <c r="GR2493" s="38"/>
      <c r="GS2493" s="38"/>
      <c r="GT2493" s="38"/>
      <c r="GU2493" s="38"/>
      <c r="GV2493" s="38"/>
      <c r="GW2493" s="38"/>
      <c r="GX2493" s="38"/>
      <c r="GY2493" s="38"/>
      <c r="GZ2493" s="38"/>
      <c r="HA2493" s="38"/>
      <c r="HB2493" s="38"/>
      <c r="HC2493" s="38"/>
      <c r="HD2493" s="38"/>
      <c r="HE2493" s="38"/>
      <c r="HF2493" s="38"/>
      <c r="HG2493" s="38"/>
      <c r="HH2493" s="38"/>
      <c r="HI2493" s="38"/>
      <c r="HJ2493" s="38"/>
      <c r="HK2493" s="38"/>
      <c r="HL2493" s="38"/>
      <c r="HM2493" s="38"/>
      <c r="HN2493" s="38"/>
      <c r="HO2493" s="38"/>
      <c r="HP2493" s="38"/>
      <c r="HQ2493" s="38"/>
      <c r="HR2493" s="38"/>
      <c r="HS2493" s="38"/>
      <c r="HT2493" s="38"/>
      <c r="HU2493" s="38"/>
      <c r="HV2493" s="38"/>
      <c r="HW2493" s="38"/>
      <c r="HX2493" s="38"/>
      <c r="HY2493" s="38"/>
      <c r="HZ2493" s="38"/>
      <c r="IA2493" s="38"/>
      <c r="IB2493" s="38"/>
      <c r="IC2493" s="38"/>
      <c r="ID2493" s="38"/>
      <c r="IE2493" s="38"/>
      <c r="IF2493" s="38"/>
      <c r="IG2493" s="38"/>
      <c r="IH2493" s="38"/>
      <c r="II2493" s="38"/>
      <c r="IJ2493" s="38"/>
      <c r="IK2493" s="38"/>
      <c r="IL2493" s="38"/>
      <c r="IM2493" s="38"/>
      <c r="IN2493" s="38"/>
      <c r="IO2493" s="38"/>
      <c r="IP2493" s="38"/>
      <c r="IQ2493" s="38"/>
      <c r="IR2493" s="38"/>
      <c r="IS2493" s="38"/>
      <c r="IT2493" s="38"/>
      <c r="IU2493" s="38"/>
      <c r="IV2493" s="38"/>
      <c r="IW2493" s="38"/>
      <c r="IX2493" s="38"/>
      <c r="IY2493" s="38"/>
      <c r="IZ2493" s="38"/>
      <c r="JA2493" s="38"/>
      <c r="JB2493" s="38"/>
      <c r="JC2493" s="38"/>
      <c r="JD2493" s="38"/>
      <c r="JE2493" s="38"/>
      <c r="JF2493" s="38"/>
      <c r="JG2493" s="38"/>
      <c r="JH2493" s="38"/>
      <c r="JI2493" s="38"/>
      <c r="JJ2493" s="38"/>
      <c r="JK2493" s="38"/>
      <c r="JL2493" s="38"/>
      <c r="JM2493" s="38"/>
      <c r="JN2493" s="38"/>
      <c r="JO2493" s="38"/>
      <c r="JP2493" s="38"/>
      <c r="JQ2493" s="38"/>
      <c r="JR2493" s="38"/>
      <c r="JS2493" s="38"/>
      <c r="JT2493" s="38"/>
      <c r="JU2493" s="38"/>
      <c r="JV2493" s="38"/>
      <c r="JW2493" s="38"/>
      <c r="JX2493" s="38"/>
      <c r="JY2493" s="38"/>
      <c r="JZ2493" s="38"/>
      <c r="KA2493" s="38"/>
      <c r="KB2493" s="38"/>
      <c r="KC2493" s="38"/>
      <c r="KD2493" s="38"/>
      <c r="KE2493" s="38"/>
      <c r="KF2493" s="38"/>
      <c r="KG2493" s="38"/>
      <c r="KH2493" s="38"/>
      <c r="KI2493" s="38"/>
      <c r="KJ2493" s="38"/>
      <c r="KK2493" s="38"/>
      <c r="KL2493" s="38"/>
      <c r="KM2493" s="38"/>
      <c r="KN2493" s="38"/>
      <c r="KO2493" s="38"/>
      <c r="KP2493" s="38"/>
      <c r="KQ2493" s="38"/>
      <c r="KR2493" s="38"/>
      <c r="KS2493" s="38"/>
      <c r="KT2493" s="38"/>
      <c r="KU2493" s="38"/>
      <c r="KV2493" s="38"/>
      <c r="KW2493" s="38"/>
      <c r="KX2493" s="38"/>
      <c r="KY2493" s="38"/>
      <c r="KZ2493" s="38"/>
      <c r="LA2493" s="38"/>
      <c r="LB2493" s="38"/>
      <c r="LC2493" s="38"/>
      <c r="LD2493" s="38"/>
      <c r="LE2493" s="38"/>
      <c r="LF2493" s="38"/>
      <c r="LG2493" s="38"/>
      <c r="LH2493" s="38"/>
      <c r="LI2493" s="38"/>
      <c r="LJ2493" s="38"/>
      <c r="LK2493" s="38"/>
      <c r="LL2493" s="38"/>
      <c r="LM2493" s="38"/>
      <c r="LN2493" s="38"/>
      <c r="LO2493" s="38"/>
      <c r="LP2493" s="38"/>
      <c r="LQ2493" s="38"/>
      <c r="LR2493" s="38"/>
      <c r="LS2493" s="38"/>
      <c r="LT2493" s="38"/>
      <c r="LU2493" s="38"/>
      <c r="LV2493" s="38"/>
      <c r="LW2493" s="38"/>
      <c r="LX2493" s="38"/>
      <c r="LY2493" s="38"/>
      <c r="LZ2493" s="38"/>
      <c r="MA2493" s="38"/>
      <c r="MB2493" s="38"/>
      <c r="MC2493" s="38"/>
      <c r="MD2493" s="38"/>
      <c r="ME2493" s="38"/>
      <c r="MF2493" s="38"/>
      <c r="MG2493" s="38"/>
      <c r="MH2493" s="38"/>
      <c r="MI2493" s="38"/>
      <c r="MJ2493" s="38"/>
      <c r="MK2493" s="38"/>
      <c r="ML2493" s="38"/>
      <c r="MM2493" s="38"/>
      <c r="MN2493" s="38"/>
      <c r="MO2493" s="38"/>
      <c r="MP2493" s="38"/>
      <c r="MQ2493" s="38"/>
      <c r="MR2493" s="38"/>
      <c r="MS2493" s="38"/>
      <c r="MT2493" s="38"/>
      <c r="MU2493" s="38"/>
      <c r="MV2493" s="38"/>
      <c r="MW2493" s="38"/>
      <c r="MX2493" s="38"/>
      <c r="MY2493" s="38"/>
      <c r="MZ2493" s="38"/>
      <c r="NA2493" s="38"/>
      <c r="NB2493" s="38"/>
      <c r="NC2493" s="38"/>
      <c r="ND2493" s="38"/>
      <c r="NE2493" s="38"/>
      <c r="NF2493" s="38"/>
      <c r="NG2493" s="38"/>
      <c r="NH2493" s="38"/>
      <c r="NI2493" s="38"/>
      <c r="NJ2493" s="38"/>
      <c r="NK2493" s="38"/>
      <c r="NL2493" s="38"/>
      <c r="NM2493" s="38"/>
      <c r="NN2493" s="38"/>
      <c r="NO2493" s="38"/>
      <c r="NP2493" s="38"/>
      <c r="NQ2493" s="38"/>
      <c r="NR2493" s="38"/>
      <c r="NS2493" s="38"/>
      <c r="NT2493" s="38"/>
      <c r="NU2493" s="38"/>
      <c r="NV2493" s="38"/>
      <c r="NW2493" s="38"/>
      <c r="NX2493" s="38"/>
      <c r="NY2493" s="38"/>
      <c r="NZ2493" s="38"/>
      <c r="OA2493" s="38"/>
      <c r="OB2493" s="38"/>
      <c r="OC2493" s="38"/>
      <c r="OD2493" s="38"/>
      <c r="OE2493" s="38"/>
      <c r="OF2493" s="38"/>
      <c r="OG2493" s="38"/>
      <c r="OH2493" s="38"/>
      <c r="OI2493" s="38"/>
      <c r="OJ2493" s="38"/>
      <c r="OK2493" s="38"/>
      <c r="OL2493" s="38"/>
      <c r="OM2493" s="38"/>
      <c r="ON2493" s="38"/>
      <c r="OO2493" s="38"/>
      <c r="OP2493" s="38"/>
      <c r="OQ2493" s="38"/>
      <c r="OR2493" s="38"/>
      <c r="OS2493" s="38"/>
      <c r="OT2493" s="38"/>
      <c r="OU2493" s="38"/>
      <c r="OV2493" s="38"/>
      <c r="OW2493" s="38"/>
      <c r="OX2493" s="38"/>
      <c r="OY2493" s="38"/>
      <c r="OZ2493" s="38"/>
      <c r="PA2493" s="38"/>
      <c r="PB2493" s="38"/>
      <c r="PC2493" s="38"/>
      <c r="PD2493" s="38"/>
      <c r="PE2493" s="38"/>
      <c r="PF2493" s="38"/>
      <c r="PG2493" s="38"/>
      <c r="PH2493" s="38"/>
      <c r="PI2493" s="38"/>
      <c r="PJ2493" s="38"/>
      <c r="PK2493" s="38"/>
      <c r="PL2493" s="38"/>
      <c r="PM2493" s="38"/>
      <c r="PN2493" s="38"/>
      <c r="PO2493" s="38"/>
      <c r="PP2493" s="38"/>
      <c r="PQ2493" s="38"/>
      <c r="PR2493" s="38"/>
      <c r="PS2493" s="38"/>
      <c r="PT2493" s="38"/>
      <c r="PU2493" s="38"/>
      <c r="PV2493" s="38"/>
      <c r="PW2493" s="38"/>
      <c r="PX2493" s="38"/>
      <c r="PY2493" s="38"/>
      <c r="PZ2493" s="38"/>
      <c r="QA2493" s="38"/>
      <c r="QB2493" s="38"/>
      <c r="QC2493" s="38"/>
      <c r="QD2493" s="38"/>
      <c r="QE2493" s="38"/>
      <c r="QF2493" s="38"/>
      <c r="QG2493" s="38"/>
      <c r="QH2493" s="38"/>
      <c r="QI2493" s="38"/>
      <c r="QJ2493" s="38"/>
      <c r="QK2493" s="38"/>
      <c r="QL2493" s="38"/>
      <c r="QM2493" s="38"/>
      <c r="QN2493" s="38"/>
      <c r="QO2493" s="38"/>
      <c r="QP2493" s="38"/>
      <c r="QQ2493" s="38"/>
      <c r="QR2493" s="38"/>
      <c r="QS2493" s="38"/>
      <c r="QT2493" s="38"/>
      <c r="QU2493" s="38"/>
      <c r="QV2493" s="38"/>
      <c r="QW2493" s="38"/>
      <c r="QX2493" s="38"/>
      <c r="QY2493" s="38"/>
      <c r="QZ2493" s="38"/>
      <c r="RA2493" s="38"/>
      <c r="RB2493" s="38"/>
      <c r="RC2493" s="38"/>
      <c r="RD2493" s="38"/>
      <c r="RE2493" s="38"/>
      <c r="RF2493" s="38"/>
      <c r="RG2493" s="38"/>
      <c r="RH2493" s="38"/>
      <c r="RI2493" s="38"/>
      <c r="RJ2493" s="38"/>
      <c r="RK2493" s="38"/>
      <c r="RL2493" s="38"/>
      <c r="RM2493" s="38"/>
      <c r="RN2493" s="38"/>
      <c r="RO2493" s="38"/>
      <c r="RP2493" s="38"/>
      <c r="RQ2493" s="38"/>
      <c r="RR2493" s="38"/>
      <c r="RS2493" s="38"/>
      <c r="RT2493" s="38"/>
      <c r="RU2493" s="38"/>
      <c r="RV2493" s="38"/>
      <c r="RW2493" s="38"/>
      <c r="RX2493" s="38"/>
      <c r="RY2493" s="38"/>
      <c r="RZ2493" s="38"/>
      <c r="SA2493" s="38"/>
      <c r="SB2493" s="38"/>
      <c r="SC2493" s="38"/>
      <c r="SD2493" s="38"/>
      <c r="SE2493" s="38"/>
      <c r="SF2493" s="38"/>
      <c r="SG2493" s="38"/>
      <c r="SH2493" s="38"/>
      <c r="SI2493" s="38"/>
      <c r="SJ2493" s="38"/>
      <c r="SK2493" s="38"/>
      <c r="SL2493" s="38"/>
      <c r="SM2493" s="38"/>
      <c r="SN2493" s="38"/>
      <c r="SO2493" s="38"/>
      <c r="SP2493" s="38"/>
      <c r="SQ2493" s="38"/>
      <c r="SR2493" s="38"/>
      <c r="SS2493" s="38"/>
      <c r="ST2493" s="38"/>
      <c r="SU2493" s="38"/>
      <c r="SV2493" s="38"/>
      <c r="SW2493" s="38"/>
      <c r="SX2493" s="38"/>
      <c r="SY2493" s="38"/>
      <c r="SZ2493" s="38"/>
      <c r="TA2493" s="38"/>
      <c r="TB2493" s="38"/>
      <c r="TC2493" s="38"/>
      <c r="TD2493" s="38"/>
      <c r="TE2493" s="38"/>
      <c r="TF2493" s="38"/>
      <c r="TG2493" s="38"/>
      <c r="TH2493" s="38"/>
      <c r="TI2493" s="38"/>
      <c r="TJ2493" s="38"/>
      <c r="TK2493" s="38"/>
      <c r="TL2493" s="38"/>
      <c r="TM2493" s="38"/>
      <c r="TN2493" s="38"/>
      <c r="TO2493" s="38"/>
      <c r="TP2493" s="38"/>
      <c r="TQ2493" s="38"/>
      <c r="TR2493" s="38"/>
      <c r="TS2493" s="38"/>
      <c r="TT2493" s="38"/>
      <c r="TU2493" s="38"/>
      <c r="TV2493" s="38"/>
      <c r="TW2493" s="38"/>
      <c r="TX2493" s="38"/>
      <c r="TY2493" s="38"/>
      <c r="TZ2493" s="38"/>
      <c r="UA2493" s="38"/>
      <c r="UB2493" s="38"/>
      <c r="UC2493" s="38"/>
      <c r="UD2493" s="38"/>
      <c r="UE2493" s="38"/>
      <c r="UF2493" s="38"/>
      <c r="UG2493" s="38"/>
      <c r="UH2493" s="38"/>
      <c r="UI2493" s="38"/>
      <c r="UJ2493" s="38"/>
      <c r="UK2493" s="38"/>
      <c r="UL2493" s="38"/>
      <c r="UM2493" s="38"/>
      <c r="UN2493" s="38"/>
      <c r="UO2493" s="38"/>
      <c r="UP2493" s="38"/>
      <c r="UQ2493" s="38"/>
      <c r="UR2493" s="38"/>
      <c r="US2493" s="38"/>
      <c r="UT2493" s="38"/>
      <c r="UU2493" s="38"/>
      <c r="UV2493" s="38"/>
      <c r="UW2493" s="38"/>
      <c r="UX2493" s="38"/>
      <c r="UY2493" s="38"/>
      <c r="UZ2493" s="38"/>
      <c r="VA2493" s="38"/>
      <c r="VB2493" s="38"/>
      <c r="VC2493" s="38"/>
      <c r="VD2493" s="38"/>
      <c r="VE2493" s="38"/>
      <c r="VF2493" s="38"/>
      <c r="VG2493" s="38"/>
      <c r="VH2493" s="38"/>
      <c r="VI2493" s="38"/>
      <c r="VJ2493" s="38"/>
      <c r="VK2493" s="38"/>
      <c r="VL2493" s="38"/>
      <c r="VM2493" s="38"/>
      <c r="VN2493" s="38"/>
      <c r="VO2493" s="38"/>
      <c r="VP2493" s="38"/>
      <c r="VQ2493" s="38"/>
      <c r="VR2493" s="38"/>
      <c r="VS2493" s="38"/>
      <c r="VT2493" s="38"/>
      <c r="VU2493" s="38"/>
      <c r="VV2493" s="38"/>
      <c r="VW2493" s="38"/>
      <c r="VX2493" s="38"/>
      <c r="VY2493" s="38"/>
      <c r="VZ2493" s="38"/>
      <c r="WA2493" s="38"/>
      <c r="WB2493" s="38"/>
      <c r="WC2493" s="38"/>
      <c r="WD2493" s="38"/>
      <c r="WE2493" s="38"/>
      <c r="WF2493" s="38"/>
      <c r="WG2493" s="38"/>
      <c r="WH2493" s="38"/>
      <c r="WI2493" s="38"/>
      <c r="WJ2493" s="38"/>
      <c r="WK2493" s="38"/>
      <c r="WL2493" s="38"/>
      <c r="WM2493" s="38"/>
      <c r="WN2493" s="38"/>
      <c r="WO2493" s="38"/>
      <c r="WP2493" s="38"/>
      <c r="WQ2493" s="38"/>
      <c r="WR2493" s="38"/>
      <c r="WS2493" s="38"/>
      <c r="WT2493" s="38"/>
      <c r="WU2493" s="38"/>
      <c r="WV2493" s="38"/>
      <c r="WW2493" s="38"/>
      <c r="WX2493" s="38"/>
      <c r="WY2493" s="38"/>
      <c r="WZ2493" s="38"/>
      <c r="XA2493" s="38"/>
      <c r="XB2493" s="38"/>
      <c r="XC2493" s="38"/>
      <c r="XD2493" s="38"/>
      <c r="XE2493" s="38"/>
      <c r="XF2493" s="38"/>
      <c r="XG2493" s="38"/>
      <c r="XH2493" s="38"/>
      <c r="XI2493" s="38"/>
      <c r="XJ2493" s="38"/>
      <c r="XK2493" s="38"/>
      <c r="XL2493" s="38"/>
      <c r="XM2493" s="38"/>
      <c r="XN2493" s="38"/>
      <c r="XO2493" s="38"/>
      <c r="XP2493" s="38"/>
      <c r="XQ2493" s="38"/>
      <c r="XR2493" s="38"/>
      <c r="XS2493" s="38"/>
      <c r="XT2493" s="38"/>
      <c r="XU2493" s="38"/>
      <c r="XV2493" s="38"/>
      <c r="XW2493" s="38"/>
      <c r="XX2493" s="38"/>
      <c r="XY2493" s="38"/>
      <c r="XZ2493" s="38"/>
      <c r="YA2493" s="38"/>
      <c r="YB2493" s="38"/>
      <c r="YC2493" s="38"/>
      <c r="YD2493" s="38"/>
      <c r="YE2493" s="38"/>
      <c r="YF2493" s="38"/>
      <c r="YG2493" s="38"/>
      <c r="YH2493" s="38"/>
      <c r="YI2493" s="38"/>
      <c r="YJ2493" s="38"/>
      <c r="YK2493" s="38"/>
      <c r="YL2493" s="38"/>
      <c r="YM2493" s="38"/>
      <c r="YN2493" s="38"/>
      <c r="YO2493" s="38"/>
      <c r="YP2493" s="38"/>
      <c r="YQ2493" s="38"/>
      <c r="YR2493" s="38"/>
      <c r="YS2493" s="38"/>
      <c r="YT2493" s="38"/>
      <c r="YU2493" s="38"/>
      <c r="YV2493" s="38"/>
      <c r="YW2493" s="38"/>
      <c r="YX2493" s="38"/>
      <c r="YY2493" s="38"/>
      <c r="YZ2493" s="38"/>
      <c r="ZA2493" s="38"/>
      <c r="ZB2493" s="38"/>
      <c r="ZC2493" s="38"/>
      <c r="ZD2493" s="38"/>
      <c r="ZE2493" s="38"/>
      <c r="ZF2493" s="38"/>
      <c r="ZG2493" s="38"/>
      <c r="ZH2493" s="38"/>
      <c r="ZI2493" s="38"/>
      <c r="ZJ2493" s="38"/>
      <c r="ZK2493" s="38"/>
      <c r="ZL2493" s="38"/>
      <c r="ZM2493" s="38"/>
      <c r="ZN2493" s="38"/>
      <c r="ZO2493" s="38"/>
      <c r="ZP2493" s="38"/>
      <c r="ZQ2493" s="38"/>
      <c r="ZR2493" s="38"/>
      <c r="ZS2493" s="38"/>
      <c r="ZT2493" s="38"/>
      <c r="ZU2493" s="38"/>
      <c r="ZV2493" s="38"/>
      <c r="ZW2493" s="38"/>
      <c r="ZX2493" s="38"/>
      <c r="ZY2493" s="38"/>
      <c r="ZZ2493" s="38"/>
      <c r="AAA2493" s="38"/>
      <c r="AAB2493" s="38"/>
      <c r="AAC2493" s="38"/>
      <c r="AAD2493" s="38"/>
      <c r="AAE2493" s="38"/>
      <c r="AAF2493" s="38"/>
      <c r="AAG2493" s="38"/>
      <c r="AAH2493" s="38"/>
      <c r="AAI2493" s="38"/>
      <c r="AAJ2493" s="38"/>
      <c r="AAK2493" s="38"/>
      <c r="AAL2493" s="38"/>
      <c r="AAM2493" s="38"/>
      <c r="AAN2493" s="38"/>
      <c r="AAO2493" s="38"/>
      <c r="AAP2493" s="38"/>
      <c r="AAQ2493" s="38"/>
      <c r="AAR2493" s="38"/>
      <c r="AAS2493" s="38"/>
      <c r="AAT2493" s="38"/>
      <c r="AAU2493" s="38"/>
      <c r="AAV2493" s="38"/>
      <c r="AAW2493" s="38"/>
      <c r="AAX2493" s="38"/>
      <c r="AAY2493" s="38"/>
      <c r="AAZ2493" s="38"/>
      <c r="ABA2493" s="38"/>
      <c r="ABB2493" s="38"/>
      <c r="ABC2493" s="38"/>
      <c r="ABD2493" s="38"/>
      <c r="ABE2493" s="38"/>
      <c r="ABF2493" s="38"/>
      <c r="ABG2493" s="38"/>
      <c r="ABH2493" s="38"/>
      <c r="ABI2493" s="38"/>
      <c r="ABJ2493" s="38"/>
      <c r="ABK2493" s="38"/>
      <c r="ABL2493" s="38"/>
      <c r="ABM2493" s="38"/>
      <c r="ABN2493" s="38"/>
      <c r="ABO2493" s="38"/>
      <c r="ABP2493" s="38"/>
      <c r="ABQ2493" s="38"/>
      <c r="ABR2493" s="38"/>
      <c r="ABS2493" s="38"/>
      <c r="ABT2493" s="38"/>
      <c r="ABU2493" s="38"/>
      <c r="ABV2493" s="38"/>
      <c r="ABW2493" s="38"/>
      <c r="ABX2493" s="38"/>
      <c r="ABY2493" s="38"/>
      <c r="ABZ2493" s="38"/>
      <c r="ACA2493" s="38"/>
      <c r="ACB2493" s="38"/>
      <c r="ACC2493" s="38"/>
      <c r="ACD2493" s="38"/>
      <c r="ACE2493" s="38"/>
      <c r="ACF2493" s="38"/>
      <c r="ACG2493" s="38"/>
      <c r="ACH2493" s="38"/>
      <c r="ACI2493" s="38"/>
      <c r="ACJ2493" s="38"/>
      <c r="ACK2493" s="38"/>
      <c r="ACL2493" s="38"/>
      <c r="ACM2493" s="38"/>
      <c r="ACN2493" s="38"/>
      <c r="ACO2493" s="38"/>
      <c r="ACP2493" s="38"/>
      <c r="ACQ2493" s="38"/>
      <c r="ACR2493" s="38"/>
      <c r="ACS2493" s="38"/>
      <c r="ACT2493" s="38"/>
      <c r="ACU2493" s="38"/>
      <c r="ACV2493" s="38"/>
      <c r="ACW2493" s="38"/>
      <c r="ACX2493" s="38"/>
      <c r="ACY2493" s="38"/>
      <c r="ACZ2493" s="38"/>
      <c r="ADA2493" s="38"/>
      <c r="ADB2493" s="38"/>
      <c r="ADC2493" s="38"/>
      <c r="ADD2493" s="38"/>
      <c r="ADE2493" s="38"/>
      <c r="ADF2493" s="38"/>
      <c r="ADG2493" s="38"/>
      <c r="ADH2493" s="38"/>
      <c r="ADI2493" s="38"/>
      <c r="ADJ2493" s="38"/>
      <c r="ADK2493" s="38"/>
      <c r="ADL2493" s="38"/>
      <c r="ADM2493" s="38"/>
      <c r="ADN2493" s="38"/>
      <c r="ADO2493" s="38"/>
      <c r="ADP2493" s="38"/>
      <c r="ADQ2493" s="38"/>
      <c r="ADR2493" s="38"/>
      <c r="ADS2493" s="38"/>
      <c r="ADT2493" s="38"/>
      <c r="ADU2493" s="38"/>
      <c r="ADV2493" s="38"/>
      <c r="ADW2493" s="38"/>
      <c r="ADX2493" s="38"/>
      <c r="ADY2493" s="38"/>
      <c r="ADZ2493" s="38"/>
      <c r="AEA2493" s="38"/>
      <c r="AEB2493" s="38"/>
      <c r="AEC2493" s="38"/>
      <c r="AED2493" s="38"/>
      <c r="AEE2493" s="38"/>
      <c r="AEF2493" s="38"/>
      <c r="AEG2493" s="38"/>
      <c r="AEH2493" s="38"/>
      <c r="AEI2493" s="38"/>
      <c r="AEJ2493" s="38"/>
      <c r="AEK2493" s="38"/>
      <c r="AEL2493" s="38"/>
      <c r="AEM2493" s="38"/>
      <c r="AEN2493" s="38"/>
      <c r="AEO2493" s="38"/>
      <c r="AEP2493" s="38"/>
      <c r="AEQ2493" s="38"/>
      <c r="AER2493" s="38"/>
      <c r="AES2493" s="38"/>
      <c r="AET2493" s="38"/>
      <c r="AEU2493" s="38"/>
      <c r="AEV2493" s="38"/>
      <c r="AEW2493" s="38"/>
      <c r="AEX2493" s="38"/>
      <c r="AEY2493" s="38"/>
      <c r="AEZ2493" s="38"/>
      <c r="AFA2493" s="38"/>
      <c r="AFB2493" s="38"/>
      <c r="AFC2493" s="38"/>
      <c r="AFD2493" s="38"/>
      <c r="AFE2493" s="38"/>
      <c r="AFF2493" s="38"/>
      <c r="AFG2493" s="38"/>
      <c r="AFH2493" s="38"/>
      <c r="AFI2493" s="38"/>
      <c r="AFJ2493" s="38"/>
      <c r="AFK2493" s="38"/>
      <c r="AFL2493" s="38"/>
      <c r="AFM2493" s="38"/>
      <c r="AFN2493" s="38"/>
      <c r="AFO2493" s="38"/>
      <c r="AFP2493" s="38"/>
      <c r="AFQ2493" s="38"/>
      <c r="AFR2493" s="38"/>
      <c r="AFS2493" s="38"/>
      <c r="AFT2493" s="38"/>
      <c r="AFU2493" s="38"/>
      <c r="AFV2493" s="38"/>
      <c r="AFW2493" s="38"/>
      <c r="AFX2493" s="38"/>
      <c r="AFY2493" s="38"/>
      <c r="AFZ2493" s="38"/>
      <c r="AGA2493" s="38"/>
      <c r="AGB2493" s="38"/>
      <c r="AGC2493" s="38"/>
      <c r="AGD2493" s="38"/>
      <c r="AGE2493" s="38"/>
      <c r="AGF2493" s="38"/>
      <c r="AGG2493" s="38"/>
      <c r="AGH2493" s="38"/>
      <c r="AGI2493" s="38"/>
      <c r="AGJ2493" s="38"/>
      <c r="AGK2493" s="38"/>
      <c r="AGL2493" s="38"/>
      <c r="AGM2493" s="38"/>
      <c r="AGN2493" s="38"/>
      <c r="AGO2493" s="38"/>
      <c r="AGP2493" s="38"/>
      <c r="AGQ2493" s="38"/>
      <c r="AGR2493" s="38"/>
      <c r="AGS2493" s="38"/>
      <c r="AGT2493" s="38"/>
      <c r="AGU2493" s="38"/>
      <c r="AGV2493" s="38"/>
      <c r="AGW2493" s="38"/>
      <c r="AGX2493" s="38"/>
      <c r="AGY2493" s="38"/>
      <c r="AGZ2493" s="38"/>
      <c r="AHA2493" s="38"/>
      <c r="AHB2493" s="38"/>
      <c r="AHC2493" s="38"/>
      <c r="AHD2493" s="38"/>
      <c r="AHE2493" s="38"/>
      <c r="AHF2493" s="38"/>
      <c r="AHG2493" s="38"/>
      <c r="AHH2493" s="38"/>
      <c r="AHI2493" s="38"/>
      <c r="AHJ2493" s="38"/>
      <c r="AHK2493" s="38"/>
      <c r="AHL2493" s="38"/>
      <c r="AHM2493" s="38"/>
      <c r="AHN2493" s="38"/>
      <c r="AHO2493" s="38"/>
      <c r="AHP2493" s="38"/>
      <c r="AHQ2493" s="38"/>
      <c r="AHR2493" s="38"/>
      <c r="AHS2493" s="38"/>
      <c r="AHT2493" s="38"/>
      <c r="AHU2493" s="38"/>
      <c r="AHV2493" s="38"/>
      <c r="AHW2493" s="38"/>
      <c r="AHX2493" s="38"/>
      <c r="AHY2493" s="38"/>
      <c r="AHZ2493" s="38"/>
      <c r="AIA2493" s="38"/>
      <c r="AIB2493" s="38"/>
      <c r="AIC2493" s="38"/>
      <c r="AID2493" s="38"/>
      <c r="AIE2493" s="38"/>
      <c r="AIF2493" s="38"/>
      <c r="AIG2493" s="38"/>
      <c r="AIH2493" s="38"/>
      <c r="AII2493" s="38"/>
      <c r="AIJ2493" s="38"/>
      <c r="AIK2493" s="38"/>
      <c r="AIL2493" s="38"/>
      <c r="AIM2493" s="38"/>
      <c r="AIN2493" s="38"/>
      <c r="AIO2493" s="38"/>
      <c r="AIP2493" s="38"/>
      <c r="AIQ2493" s="38"/>
      <c r="AIR2493" s="38"/>
      <c r="AIS2493" s="38"/>
      <c r="AIT2493" s="38"/>
      <c r="AIU2493" s="38"/>
      <c r="AIV2493" s="38"/>
      <c r="AIW2493" s="38"/>
      <c r="AIX2493" s="38"/>
      <c r="AIY2493" s="38"/>
      <c r="AIZ2493" s="38"/>
      <c r="AJA2493" s="38"/>
      <c r="AJB2493" s="38"/>
      <c r="AJC2493" s="38"/>
      <c r="AJD2493" s="38"/>
      <c r="AJE2493" s="38"/>
      <c r="AJF2493" s="38"/>
      <c r="AJG2493" s="38"/>
      <c r="AJH2493" s="38"/>
      <c r="AJI2493" s="38"/>
      <c r="AJJ2493" s="38"/>
      <c r="AJK2493" s="38"/>
      <c r="AJL2493" s="38"/>
      <c r="AJM2493" s="38"/>
      <c r="AJN2493" s="38"/>
      <c r="AJO2493" s="38"/>
      <c r="AJP2493" s="38"/>
      <c r="AJQ2493" s="38"/>
      <c r="AJR2493" s="38"/>
      <c r="AJS2493" s="38"/>
      <c r="AJT2493" s="38"/>
      <c r="AJU2493" s="38"/>
      <c r="AJV2493" s="38"/>
      <c r="AJW2493" s="38"/>
      <c r="AJX2493" s="38"/>
      <c r="AJY2493" s="38"/>
      <c r="AJZ2493" s="38"/>
      <c r="AKA2493" s="38"/>
      <c r="AKB2493" s="38"/>
      <c r="AKC2493" s="38"/>
      <c r="AKD2493" s="38"/>
      <c r="AKE2493" s="38"/>
      <c r="AKF2493" s="38"/>
      <c r="AKG2493" s="38"/>
      <c r="AKH2493" s="38"/>
      <c r="AKI2493" s="38"/>
      <c r="AKJ2493" s="38"/>
      <c r="AKK2493" s="38"/>
      <c r="AKL2493" s="38"/>
      <c r="AKM2493" s="38"/>
      <c r="AKN2493" s="38"/>
      <c r="AKO2493" s="38"/>
      <c r="AKP2493" s="38"/>
      <c r="AKQ2493" s="38"/>
      <c r="AKR2493" s="38"/>
      <c r="AKS2493" s="38"/>
      <c r="AKT2493" s="38"/>
      <c r="AKU2493" s="38"/>
      <c r="AKV2493" s="38"/>
      <c r="AKW2493" s="38"/>
      <c r="AKX2493" s="38"/>
      <c r="AKY2493" s="38"/>
      <c r="AKZ2493" s="38"/>
      <c r="ALA2493" s="38"/>
      <c r="ALB2493" s="38"/>
      <c r="ALC2493" s="38"/>
      <c r="ALD2493" s="38"/>
      <c r="ALE2493" s="38"/>
      <c r="ALF2493" s="38"/>
      <c r="ALG2493" s="38"/>
      <c r="ALH2493" s="38"/>
      <c r="ALI2493" s="38"/>
      <c r="ALJ2493" s="38"/>
      <c r="ALK2493" s="38"/>
      <c r="ALL2493" s="38"/>
      <c r="ALM2493" s="38"/>
      <c r="ALN2493" s="38"/>
      <c r="ALO2493" s="38"/>
      <c r="ALP2493" s="38"/>
      <c r="ALQ2493" s="38"/>
      <c r="ALR2493" s="38"/>
      <c r="ALS2493" s="38"/>
      <c r="ALT2493" s="38"/>
      <c r="ALU2493" s="38"/>
      <c r="ALV2493" s="38"/>
      <c r="ALW2493" s="38"/>
      <c r="ALX2493" s="38"/>
      <c r="ALY2493" s="38"/>
      <c r="ALZ2493" s="38"/>
      <c r="AMA2493" s="38"/>
      <c r="AMB2493" s="38"/>
      <c r="AMC2493" s="38"/>
      <c r="AMD2493" s="38"/>
      <c r="AME2493" s="38"/>
      <c r="AMF2493" s="38"/>
      <c r="AMG2493" s="38"/>
      <c r="AMH2493" s="38"/>
      <c r="AMI2493" s="38"/>
      <c r="AMJ2493" s="38"/>
      <c r="AMK2493" s="38"/>
      <c r="AML2493" s="38"/>
      <c r="AMM2493" s="38"/>
      <c r="AMN2493" s="38"/>
      <c r="AMO2493" s="38"/>
      <c r="AMP2493" s="38"/>
      <c r="AMQ2493" s="38"/>
      <c r="AMR2493" s="38"/>
      <c r="AMS2493" s="38"/>
      <c r="AMT2493" s="38"/>
      <c r="AMU2493" s="38"/>
      <c r="AMV2493" s="38"/>
      <c r="AMW2493" s="38"/>
      <c r="AMX2493" s="38"/>
      <c r="AMY2493" s="38"/>
      <c r="AMZ2493" s="38"/>
      <c r="ANA2493" s="38"/>
      <c r="ANB2493" s="38"/>
      <c r="ANC2493" s="38"/>
      <c r="AND2493" s="38"/>
      <c r="ANE2493" s="38"/>
      <c r="ANF2493" s="38"/>
      <c r="ANG2493" s="38"/>
      <c r="ANH2493" s="38"/>
      <c r="ANI2493" s="38"/>
      <c r="ANJ2493" s="38"/>
      <c r="ANK2493" s="38"/>
      <c r="ANL2493" s="38"/>
      <c r="ANM2493" s="38"/>
      <c r="ANN2493" s="38"/>
      <c r="ANO2493" s="38"/>
      <c r="ANP2493" s="38"/>
      <c r="ANQ2493" s="38"/>
      <c r="ANR2493" s="38"/>
      <c r="ANS2493" s="38"/>
      <c r="ANT2493" s="38"/>
      <c r="ANU2493" s="38"/>
      <c r="ANV2493" s="38"/>
      <c r="ANW2493" s="38"/>
      <c r="ANX2493" s="38"/>
      <c r="ANY2493" s="38"/>
      <c r="ANZ2493" s="38"/>
      <c r="AOA2493" s="38"/>
      <c r="AOB2493" s="38"/>
      <c r="AOC2493" s="38"/>
      <c r="AOD2493" s="38"/>
      <c r="AOE2493" s="38"/>
      <c r="AOF2493" s="38"/>
      <c r="AOG2493" s="38"/>
      <c r="AOH2493" s="38"/>
      <c r="AOI2493" s="38"/>
      <c r="AOJ2493" s="38"/>
      <c r="AOK2493" s="38"/>
      <c r="AOL2493" s="38"/>
      <c r="AOM2493" s="38"/>
      <c r="AON2493" s="38"/>
      <c r="AOO2493" s="38"/>
      <c r="AOP2493" s="38"/>
      <c r="AOQ2493" s="38"/>
      <c r="AOR2493" s="38"/>
      <c r="AOS2493" s="38"/>
      <c r="AOT2493" s="38"/>
      <c r="AOU2493" s="38"/>
      <c r="AOV2493" s="38"/>
      <c r="AOW2493" s="38"/>
      <c r="AOX2493" s="38"/>
      <c r="AOY2493" s="38"/>
      <c r="AOZ2493" s="38"/>
      <c r="APA2493" s="38"/>
      <c r="APB2493" s="38"/>
      <c r="APC2493" s="38"/>
    </row>
    <row r="2494" spans="1:1095" s="36" customFormat="1" ht="14.25" customHeight="1">
      <c r="A2494" s="3" t="s">
        <v>1722</v>
      </c>
      <c r="B2494" s="36" t="s">
        <v>3116</v>
      </c>
      <c r="C2494" s="10">
        <v>4058075436787</v>
      </c>
      <c r="D2494" s="224">
        <v>4058075436787</v>
      </c>
      <c r="E2494" s="245" t="s">
        <v>3117</v>
      </c>
      <c r="F2494" s="246"/>
      <c r="G2494" s="66" t="str">
        <f>HYPERLINK("https://ledvance.com/pt/product-datasheet/6957/49010","Ficha de Produto")</f>
        <v>Ficha de Produto</v>
      </c>
      <c r="H2494" s="217">
        <v>4</v>
      </c>
      <c r="I2494" s="34" t="s">
        <v>6349</v>
      </c>
      <c r="J2494" s="34" t="s">
        <v>809</v>
      </c>
      <c r="K2494" s="34" t="s">
        <v>788</v>
      </c>
      <c r="L2494" s="34" t="s">
        <v>6506</v>
      </c>
      <c r="M2494" s="247">
        <v>17</v>
      </c>
      <c r="N2494" s="288" t="s">
        <v>722</v>
      </c>
    </row>
    <row r="2495" spans="1:1095" s="36" customFormat="1" ht="14.25" customHeight="1">
      <c r="A2495" s="3" t="s">
        <v>1722</v>
      </c>
      <c r="B2495" s="36" t="s">
        <v>3114</v>
      </c>
      <c r="C2495" s="10">
        <v>4058075434462</v>
      </c>
      <c r="D2495" s="224">
        <v>4058075434462</v>
      </c>
      <c r="E2495" s="245" t="s">
        <v>3114</v>
      </c>
      <c r="F2495" s="246"/>
      <c r="G2495" s="66" t="str">
        <f>HYPERLINK("https://ledvance.com/pt/product-datasheet/6958/49003","Ficha de Produto")</f>
        <v>Ficha de Produto</v>
      </c>
      <c r="H2495" s="217">
        <v>4</v>
      </c>
      <c r="I2495" s="34" t="s">
        <v>6354</v>
      </c>
      <c r="J2495" s="34" t="s">
        <v>855</v>
      </c>
      <c r="K2495" s="34" t="s">
        <v>788</v>
      </c>
      <c r="L2495" s="34" t="s">
        <v>6506</v>
      </c>
      <c r="M2495" s="247">
        <v>23</v>
      </c>
      <c r="N2495" s="288" t="s">
        <v>722</v>
      </c>
    </row>
    <row r="2496" spans="1:1095" s="36" customFormat="1" ht="14.25" customHeight="1">
      <c r="A2496" s="3" t="s">
        <v>1722</v>
      </c>
      <c r="B2496" s="36" t="s">
        <v>3115</v>
      </c>
      <c r="C2496" s="10">
        <v>4058075434448</v>
      </c>
      <c r="D2496" s="224">
        <v>4058075434448</v>
      </c>
      <c r="E2496" s="245" t="s">
        <v>3115</v>
      </c>
      <c r="F2496" s="246"/>
      <c r="G2496" s="66" t="str">
        <f>HYPERLINK("https://ledvance.com/pt/product-datasheet/6959/48998","Ficha de Produto")</f>
        <v>Ficha de Produto</v>
      </c>
      <c r="H2496" s="217">
        <v>4</v>
      </c>
      <c r="I2496" s="34" t="s">
        <v>6354</v>
      </c>
      <c r="J2496" s="34" t="s">
        <v>855</v>
      </c>
      <c r="K2496" s="34" t="s">
        <v>788</v>
      </c>
      <c r="L2496" s="34" t="s">
        <v>6506</v>
      </c>
      <c r="M2496" s="247">
        <v>23</v>
      </c>
      <c r="N2496" s="288" t="s">
        <v>722</v>
      </c>
    </row>
    <row r="2497" spans="1:1095" s="36" customFormat="1" ht="14.25" customHeight="1">
      <c r="A2497" s="3" t="s">
        <v>1722</v>
      </c>
      <c r="B2497" s="36" t="s">
        <v>3118</v>
      </c>
      <c r="C2497" s="10">
        <v>4058075433182</v>
      </c>
      <c r="D2497" s="224">
        <v>4058075433182</v>
      </c>
      <c r="E2497" s="245" t="s">
        <v>3119</v>
      </c>
      <c r="F2497" s="246"/>
      <c r="G2497" s="66" t="str">
        <f>HYPERLINK("https://ledvance.com/pt/product-datasheet/6960/68931","Ficha de Produto")</f>
        <v>Ficha de Produto</v>
      </c>
      <c r="H2497" s="217">
        <v>4</v>
      </c>
      <c r="I2497" s="34" t="s">
        <v>6390</v>
      </c>
      <c r="J2497" s="34" t="s">
        <v>6391</v>
      </c>
      <c r="K2497" s="34" t="s">
        <v>788</v>
      </c>
      <c r="L2497" s="34" t="s">
        <v>793</v>
      </c>
      <c r="M2497" s="247">
        <v>12</v>
      </c>
      <c r="N2497" s="288" t="s">
        <v>722</v>
      </c>
    </row>
    <row r="2498" spans="1:1095" s="36" customFormat="1" ht="14.25" customHeight="1">
      <c r="A2498" s="3" t="s">
        <v>1722</v>
      </c>
      <c r="B2498" s="36" t="s">
        <v>3120</v>
      </c>
      <c r="C2498" s="10">
        <v>4058075432277</v>
      </c>
      <c r="D2498" s="224">
        <v>4058075432277</v>
      </c>
      <c r="E2498" s="245" t="s">
        <v>3120</v>
      </c>
      <c r="F2498" s="246"/>
      <c r="G2498" s="66" t="str">
        <f>HYPERLINK("https://ledvance.com/pt/product-datasheet/6961/114909","Ficha de Produto")</f>
        <v>Ficha de Produto</v>
      </c>
      <c r="H2498" s="217">
        <v>4</v>
      </c>
      <c r="I2498" s="34" t="s">
        <v>6354</v>
      </c>
      <c r="J2498" s="34" t="s">
        <v>855</v>
      </c>
      <c r="K2498" s="34" t="s">
        <v>788</v>
      </c>
      <c r="L2498" s="34" t="s">
        <v>6506</v>
      </c>
      <c r="M2498" s="247">
        <v>20.8</v>
      </c>
      <c r="N2498" s="288" t="s">
        <v>722</v>
      </c>
    </row>
    <row r="2499" spans="1:1095" s="39" customFormat="1" ht="14.25" customHeight="1">
      <c r="A2499" s="8" t="s">
        <v>1722</v>
      </c>
      <c r="B2499" s="244" t="s">
        <v>3121</v>
      </c>
      <c r="C2499" s="8"/>
      <c r="D2499" s="7"/>
      <c r="E2499" s="230"/>
      <c r="F2499" s="7"/>
      <c r="G2499" s="68"/>
      <c r="H2499" s="230"/>
      <c r="I2499" s="230"/>
      <c r="J2499" s="230"/>
      <c r="K2499" s="230"/>
      <c r="L2499" s="230"/>
      <c r="M2499" s="248"/>
      <c r="N2499" s="292"/>
      <c r="O2499" s="38"/>
      <c r="P2499" s="38"/>
      <c r="Q2499" s="38"/>
      <c r="R2499" s="38"/>
      <c r="S2499" s="38"/>
      <c r="T2499" s="38"/>
      <c r="U2499" s="38"/>
      <c r="V2499" s="38"/>
      <c r="W2499" s="38"/>
      <c r="X2499" s="38"/>
      <c r="Y2499" s="38"/>
      <c r="Z2499" s="38"/>
      <c r="AA2499" s="38"/>
      <c r="AB2499" s="38"/>
      <c r="AC2499" s="38"/>
      <c r="AD2499" s="38"/>
      <c r="AE2499" s="38"/>
      <c r="AF2499" s="38"/>
      <c r="AG2499" s="38"/>
      <c r="AH2499" s="38"/>
      <c r="AI2499" s="38"/>
      <c r="AJ2499" s="38"/>
      <c r="AK2499" s="38"/>
      <c r="AL2499" s="38"/>
      <c r="AM2499" s="38"/>
      <c r="AN2499" s="38"/>
      <c r="AO2499" s="38"/>
      <c r="AP2499" s="38"/>
      <c r="AQ2499" s="38"/>
      <c r="AR2499" s="38"/>
      <c r="AS2499" s="38"/>
      <c r="AT2499" s="38"/>
      <c r="AU2499" s="38"/>
      <c r="AV2499" s="38"/>
      <c r="AW2499" s="38"/>
      <c r="AX2499" s="38"/>
      <c r="AY2499" s="38"/>
      <c r="AZ2499" s="38"/>
      <c r="BA2499" s="38"/>
      <c r="BB2499" s="38"/>
      <c r="BC2499" s="38"/>
      <c r="BD2499" s="38"/>
      <c r="BE2499" s="38"/>
      <c r="BF2499" s="38"/>
      <c r="BG2499" s="38"/>
      <c r="BH2499" s="38"/>
      <c r="BI2499" s="38"/>
      <c r="BJ2499" s="38"/>
      <c r="BK2499" s="38"/>
      <c r="BL2499" s="38"/>
      <c r="BM2499" s="38"/>
      <c r="BN2499" s="38"/>
      <c r="BO2499" s="38"/>
      <c r="BP2499" s="38"/>
      <c r="BQ2499" s="38"/>
      <c r="BR2499" s="38"/>
      <c r="BS2499" s="38"/>
      <c r="BT2499" s="38"/>
      <c r="BU2499" s="38"/>
      <c r="BV2499" s="38"/>
      <c r="BW2499" s="38"/>
      <c r="BX2499" s="38"/>
      <c r="BY2499" s="38"/>
      <c r="BZ2499" s="38"/>
      <c r="CA2499" s="38"/>
      <c r="CB2499" s="38"/>
      <c r="CC2499" s="38"/>
      <c r="CD2499" s="38"/>
      <c r="CE2499" s="38"/>
      <c r="CF2499" s="38"/>
      <c r="CG2499" s="38"/>
      <c r="CH2499" s="38"/>
      <c r="CI2499" s="38"/>
      <c r="CJ2499" s="38"/>
      <c r="CK2499" s="38"/>
      <c r="CL2499" s="38"/>
      <c r="CM2499" s="38"/>
      <c r="CN2499" s="38"/>
      <c r="CO2499" s="38"/>
      <c r="CP2499" s="38"/>
      <c r="CQ2499" s="38"/>
      <c r="CR2499" s="38"/>
      <c r="CS2499" s="38"/>
      <c r="CT2499" s="38"/>
      <c r="CU2499" s="38"/>
      <c r="CV2499" s="38"/>
      <c r="CW2499" s="38"/>
      <c r="CX2499" s="38"/>
      <c r="CY2499" s="38"/>
      <c r="CZ2499" s="38"/>
      <c r="DA2499" s="38"/>
      <c r="DB2499" s="38"/>
      <c r="DC2499" s="38"/>
      <c r="DD2499" s="38"/>
      <c r="DE2499" s="38"/>
      <c r="DF2499" s="38"/>
      <c r="DG2499" s="38"/>
      <c r="DH2499" s="38"/>
      <c r="DI2499" s="38"/>
      <c r="DJ2499" s="38"/>
      <c r="DK2499" s="38"/>
      <c r="DL2499" s="38"/>
      <c r="DM2499" s="38"/>
      <c r="DN2499" s="38"/>
      <c r="DO2499" s="38"/>
      <c r="DP2499" s="38"/>
      <c r="DQ2499" s="38"/>
      <c r="DR2499" s="38"/>
      <c r="DS2499" s="38"/>
      <c r="DT2499" s="38"/>
      <c r="DU2499" s="38"/>
      <c r="DV2499" s="38"/>
      <c r="DW2499" s="38"/>
      <c r="DX2499" s="38"/>
      <c r="DY2499" s="38"/>
      <c r="DZ2499" s="38"/>
      <c r="EA2499" s="38"/>
      <c r="EB2499" s="38"/>
      <c r="EC2499" s="38"/>
      <c r="ED2499" s="38"/>
      <c r="EE2499" s="38"/>
      <c r="EF2499" s="38"/>
      <c r="EG2499" s="38"/>
      <c r="EH2499" s="38"/>
      <c r="EI2499" s="38"/>
      <c r="EJ2499" s="38"/>
      <c r="EK2499" s="38"/>
      <c r="EL2499" s="38"/>
      <c r="EM2499" s="38"/>
      <c r="EN2499" s="38"/>
      <c r="EO2499" s="38"/>
      <c r="EP2499" s="38"/>
      <c r="EQ2499" s="38"/>
      <c r="ER2499" s="38"/>
      <c r="ES2499" s="38"/>
      <c r="ET2499" s="38"/>
      <c r="EU2499" s="38"/>
      <c r="EV2499" s="38"/>
      <c r="EW2499" s="38"/>
      <c r="EX2499" s="38"/>
      <c r="EY2499" s="38"/>
      <c r="EZ2499" s="38"/>
      <c r="FA2499" s="38"/>
      <c r="FB2499" s="38"/>
      <c r="FC2499" s="38"/>
      <c r="FD2499" s="38"/>
      <c r="FE2499" s="38"/>
      <c r="FF2499" s="38"/>
      <c r="FG2499" s="38"/>
      <c r="FH2499" s="38"/>
      <c r="FI2499" s="38"/>
      <c r="FJ2499" s="38"/>
      <c r="FK2499" s="38"/>
      <c r="FL2499" s="38"/>
      <c r="FM2499" s="38"/>
      <c r="FN2499" s="38"/>
      <c r="FO2499" s="38"/>
      <c r="FP2499" s="38"/>
      <c r="FQ2499" s="38"/>
      <c r="FR2499" s="38"/>
      <c r="FS2499" s="38"/>
      <c r="FT2499" s="38"/>
      <c r="FU2499" s="38"/>
      <c r="FV2499" s="38"/>
      <c r="FW2499" s="38"/>
      <c r="FX2499" s="38"/>
      <c r="FY2499" s="38"/>
      <c r="FZ2499" s="38"/>
      <c r="GA2499" s="38"/>
      <c r="GB2499" s="38"/>
      <c r="GC2499" s="38"/>
      <c r="GD2499" s="38"/>
      <c r="GE2499" s="38"/>
      <c r="GF2499" s="38"/>
      <c r="GG2499" s="38"/>
      <c r="GH2499" s="38"/>
      <c r="GI2499" s="38"/>
      <c r="GJ2499" s="38"/>
      <c r="GK2499" s="38"/>
      <c r="GL2499" s="38"/>
      <c r="GM2499" s="38"/>
      <c r="GN2499" s="38"/>
      <c r="GO2499" s="38"/>
      <c r="GP2499" s="38"/>
      <c r="GQ2499" s="38"/>
      <c r="GR2499" s="38"/>
      <c r="GS2499" s="38"/>
      <c r="GT2499" s="38"/>
      <c r="GU2499" s="38"/>
      <c r="GV2499" s="38"/>
      <c r="GW2499" s="38"/>
      <c r="GX2499" s="38"/>
      <c r="GY2499" s="38"/>
      <c r="GZ2499" s="38"/>
      <c r="HA2499" s="38"/>
      <c r="HB2499" s="38"/>
      <c r="HC2499" s="38"/>
      <c r="HD2499" s="38"/>
      <c r="HE2499" s="38"/>
      <c r="HF2499" s="38"/>
      <c r="HG2499" s="38"/>
      <c r="HH2499" s="38"/>
      <c r="HI2499" s="38"/>
      <c r="HJ2499" s="38"/>
      <c r="HK2499" s="38"/>
      <c r="HL2499" s="38"/>
      <c r="HM2499" s="38"/>
      <c r="HN2499" s="38"/>
      <c r="HO2499" s="38"/>
      <c r="HP2499" s="38"/>
      <c r="HQ2499" s="38"/>
      <c r="HR2499" s="38"/>
      <c r="HS2499" s="38"/>
      <c r="HT2499" s="38"/>
      <c r="HU2499" s="38"/>
      <c r="HV2499" s="38"/>
      <c r="HW2499" s="38"/>
      <c r="HX2499" s="38"/>
      <c r="HY2499" s="38"/>
      <c r="HZ2499" s="38"/>
      <c r="IA2499" s="38"/>
      <c r="IB2499" s="38"/>
      <c r="IC2499" s="38"/>
      <c r="ID2499" s="38"/>
      <c r="IE2499" s="38"/>
      <c r="IF2499" s="38"/>
      <c r="IG2499" s="38"/>
      <c r="IH2499" s="38"/>
      <c r="II2499" s="38"/>
      <c r="IJ2499" s="38"/>
      <c r="IK2499" s="38"/>
      <c r="IL2499" s="38"/>
      <c r="IM2499" s="38"/>
      <c r="IN2499" s="38"/>
      <c r="IO2499" s="38"/>
      <c r="IP2499" s="38"/>
      <c r="IQ2499" s="38"/>
      <c r="IR2499" s="38"/>
      <c r="IS2499" s="38"/>
      <c r="IT2499" s="38"/>
      <c r="IU2499" s="38"/>
      <c r="IV2499" s="38"/>
      <c r="IW2499" s="38"/>
      <c r="IX2499" s="38"/>
      <c r="IY2499" s="38"/>
      <c r="IZ2499" s="38"/>
      <c r="JA2499" s="38"/>
      <c r="JB2499" s="38"/>
      <c r="JC2499" s="38"/>
      <c r="JD2499" s="38"/>
      <c r="JE2499" s="38"/>
      <c r="JF2499" s="38"/>
      <c r="JG2499" s="38"/>
      <c r="JH2499" s="38"/>
      <c r="JI2499" s="38"/>
      <c r="JJ2499" s="38"/>
      <c r="JK2499" s="38"/>
      <c r="JL2499" s="38"/>
      <c r="JM2499" s="38"/>
      <c r="JN2499" s="38"/>
      <c r="JO2499" s="38"/>
      <c r="JP2499" s="38"/>
      <c r="JQ2499" s="38"/>
      <c r="JR2499" s="38"/>
      <c r="JS2499" s="38"/>
      <c r="JT2499" s="38"/>
      <c r="JU2499" s="38"/>
      <c r="JV2499" s="38"/>
      <c r="JW2499" s="38"/>
      <c r="JX2499" s="38"/>
      <c r="JY2499" s="38"/>
      <c r="JZ2499" s="38"/>
      <c r="KA2499" s="38"/>
      <c r="KB2499" s="38"/>
      <c r="KC2499" s="38"/>
      <c r="KD2499" s="38"/>
      <c r="KE2499" s="38"/>
      <c r="KF2499" s="38"/>
      <c r="KG2499" s="38"/>
      <c r="KH2499" s="38"/>
      <c r="KI2499" s="38"/>
      <c r="KJ2499" s="38"/>
      <c r="KK2499" s="38"/>
      <c r="KL2499" s="38"/>
      <c r="KM2499" s="38"/>
      <c r="KN2499" s="38"/>
      <c r="KO2499" s="38"/>
      <c r="KP2499" s="38"/>
      <c r="KQ2499" s="38"/>
      <c r="KR2499" s="38"/>
      <c r="KS2499" s="38"/>
      <c r="KT2499" s="38"/>
      <c r="KU2499" s="38"/>
      <c r="KV2499" s="38"/>
      <c r="KW2499" s="38"/>
      <c r="KX2499" s="38"/>
      <c r="KY2499" s="38"/>
      <c r="KZ2499" s="38"/>
      <c r="LA2499" s="38"/>
      <c r="LB2499" s="38"/>
      <c r="LC2499" s="38"/>
      <c r="LD2499" s="38"/>
      <c r="LE2499" s="38"/>
      <c r="LF2499" s="38"/>
      <c r="LG2499" s="38"/>
      <c r="LH2499" s="38"/>
      <c r="LI2499" s="38"/>
      <c r="LJ2499" s="38"/>
      <c r="LK2499" s="38"/>
      <c r="LL2499" s="38"/>
      <c r="LM2499" s="38"/>
      <c r="LN2499" s="38"/>
      <c r="LO2499" s="38"/>
      <c r="LP2499" s="38"/>
      <c r="LQ2499" s="38"/>
      <c r="LR2499" s="38"/>
      <c r="LS2499" s="38"/>
      <c r="LT2499" s="38"/>
      <c r="LU2499" s="38"/>
      <c r="LV2499" s="38"/>
      <c r="LW2499" s="38"/>
      <c r="LX2499" s="38"/>
      <c r="LY2499" s="38"/>
      <c r="LZ2499" s="38"/>
      <c r="MA2499" s="38"/>
      <c r="MB2499" s="38"/>
      <c r="MC2499" s="38"/>
      <c r="MD2499" s="38"/>
      <c r="ME2499" s="38"/>
      <c r="MF2499" s="38"/>
      <c r="MG2499" s="38"/>
      <c r="MH2499" s="38"/>
      <c r="MI2499" s="38"/>
      <c r="MJ2499" s="38"/>
      <c r="MK2499" s="38"/>
      <c r="ML2499" s="38"/>
      <c r="MM2499" s="38"/>
      <c r="MN2499" s="38"/>
      <c r="MO2499" s="38"/>
      <c r="MP2499" s="38"/>
      <c r="MQ2499" s="38"/>
      <c r="MR2499" s="38"/>
      <c r="MS2499" s="38"/>
      <c r="MT2499" s="38"/>
      <c r="MU2499" s="38"/>
      <c r="MV2499" s="38"/>
      <c r="MW2499" s="38"/>
      <c r="MX2499" s="38"/>
      <c r="MY2499" s="38"/>
      <c r="MZ2499" s="38"/>
      <c r="NA2499" s="38"/>
      <c r="NB2499" s="38"/>
      <c r="NC2499" s="38"/>
      <c r="ND2499" s="38"/>
      <c r="NE2499" s="38"/>
      <c r="NF2499" s="38"/>
      <c r="NG2499" s="38"/>
      <c r="NH2499" s="38"/>
      <c r="NI2499" s="38"/>
      <c r="NJ2499" s="38"/>
      <c r="NK2499" s="38"/>
      <c r="NL2499" s="38"/>
      <c r="NM2499" s="38"/>
      <c r="NN2499" s="38"/>
      <c r="NO2499" s="38"/>
      <c r="NP2499" s="38"/>
      <c r="NQ2499" s="38"/>
      <c r="NR2499" s="38"/>
      <c r="NS2499" s="38"/>
      <c r="NT2499" s="38"/>
      <c r="NU2499" s="38"/>
      <c r="NV2499" s="38"/>
      <c r="NW2499" s="38"/>
      <c r="NX2499" s="38"/>
      <c r="NY2499" s="38"/>
      <c r="NZ2499" s="38"/>
      <c r="OA2499" s="38"/>
      <c r="OB2499" s="38"/>
      <c r="OC2499" s="38"/>
      <c r="OD2499" s="38"/>
      <c r="OE2499" s="38"/>
      <c r="OF2499" s="38"/>
      <c r="OG2499" s="38"/>
      <c r="OH2499" s="38"/>
      <c r="OI2499" s="38"/>
      <c r="OJ2499" s="38"/>
      <c r="OK2499" s="38"/>
      <c r="OL2499" s="38"/>
      <c r="OM2499" s="38"/>
      <c r="ON2499" s="38"/>
      <c r="OO2499" s="38"/>
      <c r="OP2499" s="38"/>
      <c r="OQ2499" s="38"/>
      <c r="OR2499" s="38"/>
      <c r="OS2499" s="38"/>
      <c r="OT2499" s="38"/>
      <c r="OU2499" s="38"/>
      <c r="OV2499" s="38"/>
      <c r="OW2499" s="38"/>
      <c r="OX2499" s="38"/>
      <c r="OY2499" s="38"/>
      <c r="OZ2499" s="38"/>
      <c r="PA2499" s="38"/>
      <c r="PB2499" s="38"/>
      <c r="PC2499" s="38"/>
      <c r="PD2499" s="38"/>
      <c r="PE2499" s="38"/>
      <c r="PF2499" s="38"/>
      <c r="PG2499" s="38"/>
      <c r="PH2499" s="38"/>
      <c r="PI2499" s="38"/>
      <c r="PJ2499" s="38"/>
      <c r="PK2499" s="38"/>
      <c r="PL2499" s="38"/>
      <c r="PM2499" s="38"/>
      <c r="PN2499" s="38"/>
      <c r="PO2499" s="38"/>
      <c r="PP2499" s="38"/>
      <c r="PQ2499" s="38"/>
      <c r="PR2499" s="38"/>
      <c r="PS2499" s="38"/>
      <c r="PT2499" s="38"/>
      <c r="PU2499" s="38"/>
      <c r="PV2499" s="38"/>
      <c r="PW2499" s="38"/>
      <c r="PX2499" s="38"/>
      <c r="PY2499" s="38"/>
      <c r="PZ2499" s="38"/>
      <c r="QA2499" s="38"/>
      <c r="QB2499" s="38"/>
      <c r="QC2499" s="38"/>
      <c r="QD2499" s="38"/>
      <c r="QE2499" s="38"/>
      <c r="QF2499" s="38"/>
      <c r="QG2499" s="38"/>
      <c r="QH2499" s="38"/>
      <c r="QI2499" s="38"/>
      <c r="QJ2499" s="38"/>
      <c r="QK2499" s="38"/>
      <c r="QL2499" s="38"/>
      <c r="QM2499" s="38"/>
      <c r="QN2499" s="38"/>
      <c r="QO2499" s="38"/>
      <c r="QP2499" s="38"/>
      <c r="QQ2499" s="38"/>
      <c r="QR2499" s="38"/>
      <c r="QS2499" s="38"/>
      <c r="QT2499" s="38"/>
      <c r="QU2499" s="38"/>
      <c r="QV2499" s="38"/>
      <c r="QW2499" s="38"/>
      <c r="QX2499" s="38"/>
      <c r="QY2499" s="38"/>
      <c r="QZ2499" s="38"/>
      <c r="RA2499" s="38"/>
      <c r="RB2499" s="38"/>
      <c r="RC2499" s="38"/>
      <c r="RD2499" s="38"/>
      <c r="RE2499" s="38"/>
      <c r="RF2499" s="38"/>
      <c r="RG2499" s="38"/>
      <c r="RH2499" s="38"/>
      <c r="RI2499" s="38"/>
      <c r="RJ2499" s="38"/>
      <c r="RK2499" s="38"/>
      <c r="RL2499" s="38"/>
      <c r="RM2499" s="38"/>
      <c r="RN2499" s="38"/>
      <c r="RO2499" s="38"/>
      <c r="RP2499" s="38"/>
      <c r="RQ2499" s="38"/>
      <c r="RR2499" s="38"/>
      <c r="RS2499" s="38"/>
      <c r="RT2499" s="38"/>
      <c r="RU2499" s="38"/>
      <c r="RV2499" s="38"/>
      <c r="RW2499" s="38"/>
      <c r="RX2499" s="38"/>
      <c r="RY2499" s="38"/>
      <c r="RZ2499" s="38"/>
      <c r="SA2499" s="38"/>
      <c r="SB2499" s="38"/>
      <c r="SC2499" s="38"/>
      <c r="SD2499" s="38"/>
      <c r="SE2499" s="38"/>
      <c r="SF2499" s="38"/>
      <c r="SG2499" s="38"/>
      <c r="SH2499" s="38"/>
      <c r="SI2499" s="38"/>
      <c r="SJ2499" s="38"/>
      <c r="SK2499" s="38"/>
      <c r="SL2499" s="38"/>
      <c r="SM2499" s="38"/>
      <c r="SN2499" s="38"/>
      <c r="SO2499" s="38"/>
      <c r="SP2499" s="38"/>
      <c r="SQ2499" s="38"/>
      <c r="SR2499" s="38"/>
      <c r="SS2499" s="38"/>
      <c r="ST2499" s="38"/>
      <c r="SU2499" s="38"/>
      <c r="SV2499" s="38"/>
      <c r="SW2499" s="38"/>
      <c r="SX2499" s="38"/>
      <c r="SY2499" s="38"/>
      <c r="SZ2499" s="38"/>
      <c r="TA2499" s="38"/>
      <c r="TB2499" s="38"/>
      <c r="TC2499" s="38"/>
      <c r="TD2499" s="38"/>
      <c r="TE2499" s="38"/>
      <c r="TF2499" s="38"/>
      <c r="TG2499" s="38"/>
      <c r="TH2499" s="38"/>
      <c r="TI2499" s="38"/>
      <c r="TJ2499" s="38"/>
      <c r="TK2499" s="38"/>
      <c r="TL2499" s="38"/>
      <c r="TM2499" s="38"/>
      <c r="TN2499" s="38"/>
      <c r="TO2499" s="38"/>
      <c r="TP2499" s="38"/>
      <c r="TQ2499" s="38"/>
      <c r="TR2499" s="38"/>
      <c r="TS2499" s="38"/>
      <c r="TT2499" s="38"/>
      <c r="TU2499" s="38"/>
      <c r="TV2499" s="38"/>
      <c r="TW2499" s="38"/>
      <c r="TX2499" s="38"/>
      <c r="TY2499" s="38"/>
      <c r="TZ2499" s="38"/>
      <c r="UA2499" s="38"/>
      <c r="UB2499" s="38"/>
      <c r="UC2499" s="38"/>
      <c r="UD2499" s="38"/>
      <c r="UE2499" s="38"/>
      <c r="UF2499" s="38"/>
      <c r="UG2499" s="38"/>
      <c r="UH2499" s="38"/>
      <c r="UI2499" s="38"/>
      <c r="UJ2499" s="38"/>
      <c r="UK2499" s="38"/>
      <c r="UL2499" s="38"/>
      <c r="UM2499" s="38"/>
      <c r="UN2499" s="38"/>
      <c r="UO2499" s="38"/>
      <c r="UP2499" s="38"/>
      <c r="UQ2499" s="38"/>
      <c r="UR2499" s="38"/>
      <c r="US2499" s="38"/>
      <c r="UT2499" s="38"/>
      <c r="UU2499" s="38"/>
      <c r="UV2499" s="38"/>
      <c r="UW2499" s="38"/>
      <c r="UX2499" s="38"/>
      <c r="UY2499" s="38"/>
      <c r="UZ2499" s="38"/>
      <c r="VA2499" s="38"/>
      <c r="VB2499" s="38"/>
      <c r="VC2499" s="38"/>
      <c r="VD2499" s="38"/>
      <c r="VE2499" s="38"/>
      <c r="VF2499" s="38"/>
      <c r="VG2499" s="38"/>
      <c r="VH2499" s="38"/>
      <c r="VI2499" s="38"/>
      <c r="VJ2499" s="38"/>
      <c r="VK2499" s="38"/>
      <c r="VL2499" s="38"/>
      <c r="VM2499" s="38"/>
      <c r="VN2499" s="38"/>
      <c r="VO2499" s="38"/>
      <c r="VP2499" s="38"/>
      <c r="VQ2499" s="38"/>
      <c r="VR2499" s="38"/>
      <c r="VS2499" s="38"/>
      <c r="VT2499" s="38"/>
      <c r="VU2499" s="38"/>
      <c r="VV2499" s="38"/>
      <c r="VW2499" s="38"/>
      <c r="VX2499" s="38"/>
      <c r="VY2499" s="38"/>
      <c r="VZ2499" s="38"/>
      <c r="WA2499" s="38"/>
      <c r="WB2499" s="38"/>
      <c r="WC2499" s="38"/>
      <c r="WD2499" s="38"/>
      <c r="WE2499" s="38"/>
      <c r="WF2499" s="38"/>
      <c r="WG2499" s="38"/>
      <c r="WH2499" s="38"/>
      <c r="WI2499" s="38"/>
      <c r="WJ2499" s="38"/>
      <c r="WK2499" s="38"/>
      <c r="WL2499" s="38"/>
      <c r="WM2499" s="38"/>
      <c r="WN2499" s="38"/>
      <c r="WO2499" s="38"/>
      <c r="WP2499" s="38"/>
      <c r="WQ2499" s="38"/>
      <c r="WR2499" s="38"/>
      <c r="WS2499" s="38"/>
      <c r="WT2499" s="38"/>
      <c r="WU2499" s="38"/>
      <c r="WV2499" s="38"/>
      <c r="WW2499" s="38"/>
      <c r="WX2499" s="38"/>
      <c r="WY2499" s="38"/>
      <c r="WZ2499" s="38"/>
      <c r="XA2499" s="38"/>
      <c r="XB2499" s="38"/>
      <c r="XC2499" s="38"/>
      <c r="XD2499" s="38"/>
      <c r="XE2499" s="38"/>
      <c r="XF2499" s="38"/>
      <c r="XG2499" s="38"/>
      <c r="XH2499" s="38"/>
      <c r="XI2499" s="38"/>
      <c r="XJ2499" s="38"/>
      <c r="XK2499" s="38"/>
      <c r="XL2499" s="38"/>
      <c r="XM2499" s="38"/>
      <c r="XN2499" s="38"/>
      <c r="XO2499" s="38"/>
      <c r="XP2499" s="38"/>
      <c r="XQ2499" s="38"/>
      <c r="XR2499" s="38"/>
      <c r="XS2499" s="38"/>
      <c r="XT2499" s="38"/>
      <c r="XU2499" s="38"/>
      <c r="XV2499" s="38"/>
      <c r="XW2499" s="38"/>
      <c r="XX2499" s="38"/>
      <c r="XY2499" s="38"/>
      <c r="XZ2499" s="38"/>
      <c r="YA2499" s="38"/>
      <c r="YB2499" s="38"/>
      <c r="YC2499" s="38"/>
      <c r="YD2499" s="38"/>
      <c r="YE2499" s="38"/>
      <c r="YF2499" s="38"/>
      <c r="YG2499" s="38"/>
      <c r="YH2499" s="38"/>
      <c r="YI2499" s="38"/>
      <c r="YJ2499" s="38"/>
      <c r="YK2499" s="38"/>
      <c r="YL2499" s="38"/>
      <c r="YM2499" s="38"/>
      <c r="YN2499" s="38"/>
      <c r="YO2499" s="38"/>
      <c r="YP2499" s="38"/>
      <c r="YQ2499" s="38"/>
      <c r="YR2499" s="38"/>
      <c r="YS2499" s="38"/>
      <c r="YT2499" s="38"/>
      <c r="YU2499" s="38"/>
      <c r="YV2499" s="38"/>
      <c r="YW2499" s="38"/>
      <c r="YX2499" s="38"/>
      <c r="YY2499" s="38"/>
      <c r="YZ2499" s="38"/>
      <c r="ZA2499" s="38"/>
      <c r="ZB2499" s="38"/>
      <c r="ZC2499" s="38"/>
      <c r="ZD2499" s="38"/>
      <c r="ZE2499" s="38"/>
      <c r="ZF2499" s="38"/>
      <c r="ZG2499" s="38"/>
      <c r="ZH2499" s="38"/>
      <c r="ZI2499" s="38"/>
      <c r="ZJ2499" s="38"/>
      <c r="ZK2499" s="38"/>
      <c r="ZL2499" s="38"/>
      <c r="ZM2499" s="38"/>
      <c r="ZN2499" s="38"/>
      <c r="ZO2499" s="38"/>
      <c r="ZP2499" s="38"/>
      <c r="ZQ2499" s="38"/>
      <c r="ZR2499" s="38"/>
      <c r="ZS2499" s="38"/>
      <c r="ZT2499" s="38"/>
      <c r="ZU2499" s="38"/>
      <c r="ZV2499" s="38"/>
      <c r="ZW2499" s="38"/>
      <c r="ZX2499" s="38"/>
      <c r="ZY2499" s="38"/>
      <c r="ZZ2499" s="38"/>
      <c r="AAA2499" s="38"/>
      <c r="AAB2499" s="38"/>
      <c r="AAC2499" s="38"/>
      <c r="AAD2499" s="38"/>
      <c r="AAE2499" s="38"/>
      <c r="AAF2499" s="38"/>
      <c r="AAG2499" s="38"/>
      <c r="AAH2499" s="38"/>
      <c r="AAI2499" s="38"/>
      <c r="AAJ2499" s="38"/>
      <c r="AAK2499" s="38"/>
      <c r="AAL2499" s="38"/>
      <c r="AAM2499" s="38"/>
      <c r="AAN2499" s="38"/>
      <c r="AAO2499" s="38"/>
      <c r="AAP2499" s="38"/>
      <c r="AAQ2499" s="38"/>
      <c r="AAR2499" s="38"/>
      <c r="AAS2499" s="38"/>
      <c r="AAT2499" s="38"/>
      <c r="AAU2499" s="38"/>
      <c r="AAV2499" s="38"/>
      <c r="AAW2499" s="38"/>
      <c r="AAX2499" s="38"/>
      <c r="AAY2499" s="38"/>
      <c r="AAZ2499" s="38"/>
      <c r="ABA2499" s="38"/>
      <c r="ABB2499" s="38"/>
      <c r="ABC2499" s="38"/>
      <c r="ABD2499" s="38"/>
      <c r="ABE2499" s="38"/>
      <c r="ABF2499" s="38"/>
      <c r="ABG2499" s="38"/>
      <c r="ABH2499" s="38"/>
      <c r="ABI2499" s="38"/>
      <c r="ABJ2499" s="38"/>
      <c r="ABK2499" s="38"/>
      <c r="ABL2499" s="38"/>
      <c r="ABM2499" s="38"/>
      <c r="ABN2499" s="38"/>
      <c r="ABO2499" s="38"/>
      <c r="ABP2499" s="38"/>
      <c r="ABQ2499" s="38"/>
      <c r="ABR2499" s="38"/>
      <c r="ABS2499" s="38"/>
      <c r="ABT2499" s="38"/>
      <c r="ABU2499" s="38"/>
      <c r="ABV2499" s="38"/>
      <c r="ABW2499" s="38"/>
      <c r="ABX2499" s="38"/>
      <c r="ABY2499" s="38"/>
      <c r="ABZ2499" s="38"/>
      <c r="ACA2499" s="38"/>
      <c r="ACB2499" s="38"/>
      <c r="ACC2499" s="38"/>
      <c r="ACD2499" s="38"/>
      <c r="ACE2499" s="38"/>
      <c r="ACF2499" s="38"/>
      <c r="ACG2499" s="38"/>
      <c r="ACH2499" s="38"/>
      <c r="ACI2499" s="38"/>
      <c r="ACJ2499" s="38"/>
      <c r="ACK2499" s="38"/>
      <c r="ACL2499" s="38"/>
      <c r="ACM2499" s="38"/>
      <c r="ACN2499" s="38"/>
      <c r="ACO2499" s="38"/>
      <c r="ACP2499" s="38"/>
      <c r="ACQ2499" s="38"/>
      <c r="ACR2499" s="38"/>
      <c r="ACS2499" s="38"/>
      <c r="ACT2499" s="38"/>
      <c r="ACU2499" s="38"/>
      <c r="ACV2499" s="38"/>
      <c r="ACW2499" s="38"/>
      <c r="ACX2499" s="38"/>
      <c r="ACY2499" s="38"/>
      <c r="ACZ2499" s="38"/>
      <c r="ADA2499" s="38"/>
      <c r="ADB2499" s="38"/>
      <c r="ADC2499" s="38"/>
      <c r="ADD2499" s="38"/>
      <c r="ADE2499" s="38"/>
      <c r="ADF2499" s="38"/>
      <c r="ADG2499" s="38"/>
      <c r="ADH2499" s="38"/>
      <c r="ADI2499" s="38"/>
      <c r="ADJ2499" s="38"/>
      <c r="ADK2499" s="38"/>
      <c r="ADL2499" s="38"/>
      <c r="ADM2499" s="38"/>
      <c r="ADN2499" s="38"/>
      <c r="ADO2499" s="38"/>
      <c r="ADP2499" s="38"/>
      <c r="ADQ2499" s="38"/>
      <c r="ADR2499" s="38"/>
      <c r="ADS2499" s="38"/>
      <c r="ADT2499" s="38"/>
      <c r="ADU2499" s="38"/>
      <c r="ADV2499" s="38"/>
      <c r="ADW2499" s="38"/>
      <c r="ADX2499" s="38"/>
      <c r="ADY2499" s="38"/>
      <c r="ADZ2499" s="38"/>
      <c r="AEA2499" s="38"/>
      <c r="AEB2499" s="38"/>
      <c r="AEC2499" s="38"/>
      <c r="AED2499" s="38"/>
      <c r="AEE2499" s="38"/>
      <c r="AEF2499" s="38"/>
      <c r="AEG2499" s="38"/>
      <c r="AEH2499" s="38"/>
      <c r="AEI2499" s="38"/>
      <c r="AEJ2499" s="38"/>
      <c r="AEK2499" s="38"/>
      <c r="AEL2499" s="38"/>
      <c r="AEM2499" s="38"/>
      <c r="AEN2499" s="38"/>
      <c r="AEO2499" s="38"/>
      <c r="AEP2499" s="38"/>
      <c r="AEQ2499" s="38"/>
      <c r="AER2499" s="38"/>
      <c r="AES2499" s="38"/>
      <c r="AET2499" s="38"/>
      <c r="AEU2499" s="38"/>
      <c r="AEV2499" s="38"/>
      <c r="AEW2499" s="38"/>
      <c r="AEX2499" s="38"/>
      <c r="AEY2499" s="38"/>
      <c r="AEZ2499" s="38"/>
      <c r="AFA2499" s="38"/>
      <c r="AFB2499" s="38"/>
      <c r="AFC2499" s="38"/>
      <c r="AFD2499" s="38"/>
      <c r="AFE2499" s="38"/>
      <c r="AFF2499" s="38"/>
      <c r="AFG2499" s="38"/>
      <c r="AFH2499" s="38"/>
      <c r="AFI2499" s="38"/>
      <c r="AFJ2499" s="38"/>
      <c r="AFK2499" s="38"/>
      <c r="AFL2499" s="38"/>
      <c r="AFM2499" s="38"/>
      <c r="AFN2499" s="38"/>
      <c r="AFO2499" s="38"/>
      <c r="AFP2499" s="38"/>
      <c r="AFQ2499" s="38"/>
      <c r="AFR2499" s="38"/>
      <c r="AFS2499" s="38"/>
      <c r="AFT2499" s="38"/>
      <c r="AFU2499" s="38"/>
      <c r="AFV2499" s="38"/>
      <c r="AFW2499" s="38"/>
      <c r="AFX2499" s="38"/>
      <c r="AFY2499" s="38"/>
      <c r="AFZ2499" s="38"/>
      <c r="AGA2499" s="38"/>
      <c r="AGB2499" s="38"/>
      <c r="AGC2499" s="38"/>
      <c r="AGD2499" s="38"/>
      <c r="AGE2499" s="38"/>
      <c r="AGF2499" s="38"/>
      <c r="AGG2499" s="38"/>
      <c r="AGH2499" s="38"/>
      <c r="AGI2499" s="38"/>
      <c r="AGJ2499" s="38"/>
      <c r="AGK2499" s="38"/>
      <c r="AGL2499" s="38"/>
      <c r="AGM2499" s="38"/>
      <c r="AGN2499" s="38"/>
      <c r="AGO2499" s="38"/>
      <c r="AGP2499" s="38"/>
      <c r="AGQ2499" s="38"/>
      <c r="AGR2499" s="38"/>
      <c r="AGS2499" s="38"/>
      <c r="AGT2499" s="38"/>
      <c r="AGU2499" s="38"/>
      <c r="AGV2499" s="38"/>
      <c r="AGW2499" s="38"/>
      <c r="AGX2499" s="38"/>
      <c r="AGY2499" s="38"/>
      <c r="AGZ2499" s="38"/>
      <c r="AHA2499" s="38"/>
      <c r="AHB2499" s="38"/>
      <c r="AHC2499" s="38"/>
      <c r="AHD2499" s="38"/>
      <c r="AHE2499" s="38"/>
      <c r="AHF2499" s="38"/>
      <c r="AHG2499" s="38"/>
      <c r="AHH2499" s="38"/>
      <c r="AHI2499" s="38"/>
      <c r="AHJ2499" s="38"/>
      <c r="AHK2499" s="38"/>
      <c r="AHL2499" s="38"/>
      <c r="AHM2499" s="38"/>
      <c r="AHN2499" s="38"/>
      <c r="AHO2499" s="38"/>
      <c r="AHP2499" s="38"/>
      <c r="AHQ2499" s="38"/>
      <c r="AHR2499" s="38"/>
      <c r="AHS2499" s="38"/>
      <c r="AHT2499" s="38"/>
      <c r="AHU2499" s="38"/>
      <c r="AHV2499" s="38"/>
      <c r="AHW2499" s="38"/>
      <c r="AHX2499" s="38"/>
      <c r="AHY2499" s="38"/>
      <c r="AHZ2499" s="38"/>
      <c r="AIA2499" s="38"/>
      <c r="AIB2499" s="38"/>
      <c r="AIC2499" s="38"/>
      <c r="AID2499" s="38"/>
      <c r="AIE2499" s="38"/>
      <c r="AIF2499" s="38"/>
      <c r="AIG2499" s="38"/>
      <c r="AIH2499" s="38"/>
      <c r="AII2499" s="38"/>
      <c r="AIJ2499" s="38"/>
      <c r="AIK2499" s="38"/>
      <c r="AIL2499" s="38"/>
      <c r="AIM2499" s="38"/>
      <c r="AIN2499" s="38"/>
      <c r="AIO2499" s="38"/>
      <c r="AIP2499" s="38"/>
      <c r="AIQ2499" s="38"/>
      <c r="AIR2499" s="38"/>
      <c r="AIS2499" s="38"/>
      <c r="AIT2499" s="38"/>
      <c r="AIU2499" s="38"/>
      <c r="AIV2499" s="38"/>
      <c r="AIW2499" s="38"/>
      <c r="AIX2499" s="38"/>
      <c r="AIY2499" s="38"/>
      <c r="AIZ2499" s="38"/>
      <c r="AJA2499" s="38"/>
      <c r="AJB2499" s="38"/>
      <c r="AJC2499" s="38"/>
      <c r="AJD2499" s="38"/>
      <c r="AJE2499" s="38"/>
      <c r="AJF2499" s="38"/>
      <c r="AJG2499" s="38"/>
      <c r="AJH2499" s="38"/>
      <c r="AJI2499" s="38"/>
      <c r="AJJ2499" s="38"/>
      <c r="AJK2499" s="38"/>
      <c r="AJL2499" s="38"/>
      <c r="AJM2499" s="38"/>
      <c r="AJN2499" s="38"/>
      <c r="AJO2499" s="38"/>
      <c r="AJP2499" s="38"/>
      <c r="AJQ2499" s="38"/>
      <c r="AJR2499" s="38"/>
      <c r="AJS2499" s="38"/>
      <c r="AJT2499" s="38"/>
      <c r="AJU2499" s="38"/>
      <c r="AJV2499" s="38"/>
      <c r="AJW2499" s="38"/>
      <c r="AJX2499" s="38"/>
      <c r="AJY2499" s="38"/>
      <c r="AJZ2499" s="38"/>
      <c r="AKA2499" s="38"/>
      <c r="AKB2499" s="38"/>
      <c r="AKC2499" s="38"/>
      <c r="AKD2499" s="38"/>
      <c r="AKE2499" s="38"/>
      <c r="AKF2499" s="38"/>
      <c r="AKG2499" s="38"/>
      <c r="AKH2499" s="38"/>
      <c r="AKI2499" s="38"/>
      <c r="AKJ2499" s="38"/>
      <c r="AKK2499" s="38"/>
      <c r="AKL2499" s="38"/>
      <c r="AKM2499" s="38"/>
      <c r="AKN2499" s="38"/>
      <c r="AKO2499" s="38"/>
      <c r="AKP2499" s="38"/>
      <c r="AKQ2499" s="38"/>
      <c r="AKR2499" s="38"/>
      <c r="AKS2499" s="38"/>
      <c r="AKT2499" s="38"/>
      <c r="AKU2499" s="38"/>
      <c r="AKV2499" s="38"/>
      <c r="AKW2499" s="38"/>
      <c r="AKX2499" s="38"/>
      <c r="AKY2499" s="38"/>
      <c r="AKZ2499" s="38"/>
      <c r="ALA2499" s="38"/>
      <c r="ALB2499" s="38"/>
      <c r="ALC2499" s="38"/>
      <c r="ALD2499" s="38"/>
      <c r="ALE2499" s="38"/>
      <c r="ALF2499" s="38"/>
      <c r="ALG2499" s="38"/>
      <c r="ALH2499" s="38"/>
      <c r="ALI2499" s="38"/>
      <c r="ALJ2499" s="38"/>
      <c r="ALK2499" s="38"/>
      <c r="ALL2499" s="38"/>
      <c r="ALM2499" s="38"/>
      <c r="ALN2499" s="38"/>
      <c r="ALO2499" s="38"/>
      <c r="ALP2499" s="38"/>
      <c r="ALQ2499" s="38"/>
      <c r="ALR2499" s="38"/>
      <c r="ALS2499" s="38"/>
      <c r="ALT2499" s="38"/>
      <c r="ALU2499" s="38"/>
      <c r="ALV2499" s="38"/>
      <c r="ALW2499" s="38"/>
      <c r="ALX2499" s="38"/>
      <c r="ALY2499" s="38"/>
      <c r="ALZ2499" s="38"/>
      <c r="AMA2499" s="38"/>
      <c r="AMB2499" s="38"/>
      <c r="AMC2499" s="38"/>
      <c r="AMD2499" s="38"/>
      <c r="AME2499" s="38"/>
      <c r="AMF2499" s="38"/>
      <c r="AMG2499" s="38"/>
      <c r="AMH2499" s="38"/>
      <c r="AMI2499" s="38"/>
      <c r="AMJ2499" s="38"/>
      <c r="AMK2499" s="38"/>
      <c r="AML2499" s="38"/>
      <c r="AMM2499" s="38"/>
      <c r="AMN2499" s="38"/>
      <c r="AMO2499" s="38"/>
      <c r="AMP2499" s="38"/>
      <c r="AMQ2499" s="38"/>
      <c r="AMR2499" s="38"/>
      <c r="AMS2499" s="38"/>
      <c r="AMT2499" s="38"/>
      <c r="AMU2499" s="38"/>
      <c r="AMV2499" s="38"/>
      <c r="AMW2499" s="38"/>
      <c r="AMX2499" s="38"/>
      <c r="AMY2499" s="38"/>
      <c r="AMZ2499" s="38"/>
      <c r="ANA2499" s="38"/>
      <c r="ANB2499" s="38"/>
      <c r="ANC2499" s="38"/>
      <c r="AND2499" s="38"/>
      <c r="ANE2499" s="38"/>
      <c r="ANF2499" s="38"/>
      <c r="ANG2499" s="38"/>
      <c r="ANH2499" s="38"/>
      <c r="ANI2499" s="38"/>
      <c r="ANJ2499" s="38"/>
      <c r="ANK2499" s="38"/>
      <c r="ANL2499" s="38"/>
      <c r="ANM2499" s="38"/>
      <c r="ANN2499" s="38"/>
      <c r="ANO2499" s="38"/>
      <c r="ANP2499" s="38"/>
      <c r="ANQ2499" s="38"/>
      <c r="ANR2499" s="38"/>
      <c r="ANS2499" s="38"/>
      <c r="ANT2499" s="38"/>
      <c r="ANU2499" s="38"/>
      <c r="ANV2499" s="38"/>
      <c r="ANW2499" s="38"/>
      <c r="ANX2499" s="38"/>
      <c r="ANY2499" s="38"/>
      <c r="ANZ2499" s="38"/>
      <c r="AOA2499" s="38"/>
      <c r="AOB2499" s="38"/>
      <c r="AOC2499" s="38"/>
      <c r="AOD2499" s="38"/>
      <c r="AOE2499" s="38"/>
      <c r="AOF2499" s="38"/>
      <c r="AOG2499" s="38"/>
      <c r="AOH2499" s="38"/>
      <c r="AOI2499" s="38"/>
      <c r="AOJ2499" s="38"/>
      <c r="AOK2499" s="38"/>
      <c r="AOL2499" s="38"/>
      <c r="AOM2499" s="38"/>
      <c r="AON2499" s="38"/>
      <c r="AOO2499" s="38"/>
      <c r="AOP2499" s="38"/>
      <c r="AOQ2499" s="38"/>
      <c r="AOR2499" s="38"/>
      <c r="AOS2499" s="38"/>
      <c r="AOT2499" s="38"/>
      <c r="AOU2499" s="38"/>
      <c r="AOV2499" s="38"/>
      <c r="AOW2499" s="38"/>
      <c r="AOX2499" s="38"/>
      <c r="AOY2499" s="38"/>
      <c r="AOZ2499" s="38"/>
      <c r="APA2499" s="38"/>
      <c r="APB2499" s="38"/>
      <c r="APC2499" s="38"/>
    </row>
    <row r="2500" spans="1:1095" s="36" customFormat="1" ht="14.25" customHeight="1">
      <c r="A2500" s="3" t="s">
        <v>1722</v>
      </c>
      <c r="B2500" s="36" t="s">
        <v>3122</v>
      </c>
      <c r="C2500" s="10">
        <v>4099854048197</v>
      </c>
      <c r="D2500" s="224">
        <v>4058075761995</v>
      </c>
      <c r="E2500" s="245" t="s">
        <v>3123</v>
      </c>
      <c r="F2500" s="246"/>
      <c r="G2500" s="66" t="str">
        <f>HYPERLINK("https://ledvance.com/pt/product-datasheet/251523/235706","Ficha de Produto")</f>
        <v>Ficha de Produto</v>
      </c>
      <c r="H2500" s="217">
        <v>10</v>
      </c>
      <c r="I2500" s="34" t="s">
        <v>6354</v>
      </c>
      <c r="J2500" s="34" t="s">
        <v>6398</v>
      </c>
      <c r="K2500" s="34" t="s">
        <v>788</v>
      </c>
      <c r="L2500" s="34" t="s">
        <v>765</v>
      </c>
      <c r="M2500" s="247">
        <v>20.700000000000003</v>
      </c>
      <c r="N2500" s="288" t="s">
        <v>722</v>
      </c>
    </row>
    <row r="2501" spans="1:1095" s="36" customFormat="1" ht="14.25" customHeight="1">
      <c r="A2501" s="3" t="s">
        <v>1722</v>
      </c>
      <c r="B2501" s="36" t="s">
        <v>3124</v>
      </c>
      <c r="C2501" s="10">
        <v>4099854048210</v>
      </c>
      <c r="D2501" s="224">
        <v>4058075762015</v>
      </c>
      <c r="E2501" s="245" t="s">
        <v>3125</v>
      </c>
      <c r="F2501" s="246"/>
      <c r="G2501" s="66" t="str">
        <f>HYPERLINK("https://ledvance.com/pt/product-datasheet/251523/235703","Ficha de Produto")</f>
        <v>Ficha de Produto</v>
      </c>
      <c r="H2501" s="217">
        <v>10</v>
      </c>
      <c r="I2501" s="34" t="s">
        <v>6349</v>
      </c>
      <c r="J2501" s="34" t="s">
        <v>6418</v>
      </c>
      <c r="K2501" s="34" t="s">
        <v>788</v>
      </c>
      <c r="L2501" s="34" t="s">
        <v>765</v>
      </c>
      <c r="M2501" s="247">
        <v>23.900000000000002</v>
      </c>
      <c r="N2501" s="288" t="s">
        <v>722</v>
      </c>
    </row>
    <row r="2502" spans="1:1095" s="36" customFormat="1" ht="14.25" customHeight="1">
      <c r="A2502" s="3" t="s">
        <v>1722</v>
      </c>
      <c r="B2502" s="36" t="s">
        <v>3126</v>
      </c>
      <c r="C2502" s="10">
        <v>4099854043956</v>
      </c>
      <c r="D2502" s="224">
        <v>4058075594166</v>
      </c>
      <c r="E2502" s="245" t="s">
        <v>3127</v>
      </c>
      <c r="F2502" s="246"/>
      <c r="G2502" s="66" t="str">
        <f>HYPERLINK("https://ledvance.com/pt/product-datasheet/251523/234651","Ficha de Produto")</f>
        <v>Ficha de Produto</v>
      </c>
      <c r="H2502" s="217">
        <v>10</v>
      </c>
      <c r="I2502" s="34" t="s">
        <v>6349</v>
      </c>
      <c r="J2502" s="34" t="s">
        <v>6382</v>
      </c>
      <c r="K2502" s="34" t="s">
        <v>788</v>
      </c>
      <c r="L2502" s="34" t="s">
        <v>765</v>
      </c>
      <c r="M2502" s="247">
        <v>18</v>
      </c>
      <c r="N2502" s="288" t="s">
        <v>722</v>
      </c>
    </row>
    <row r="2503" spans="1:1095" s="39" customFormat="1" ht="14.25" customHeight="1">
      <c r="A2503" s="8" t="s">
        <v>1722</v>
      </c>
      <c r="B2503" s="244" t="s">
        <v>3128</v>
      </c>
      <c r="C2503" s="8"/>
      <c r="D2503" s="7"/>
      <c r="E2503" s="230"/>
      <c r="F2503" s="7"/>
      <c r="G2503" s="68"/>
      <c r="H2503" s="230"/>
      <c r="I2503" s="230"/>
      <c r="J2503" s="230"/>
      <c r="K2503" s="230"/>
      <c r="L2503" s="230"/>
      <c r="M2503" s="248"/>
      <c r="N2503" s="292"/>
      <c r="O2503" s="38"/>
      <c r="P2503" s="38"/>
      <c r="Q2503" s="38"/>
      <c r="R2503" s="38"/>
      <c r="S2503" s="38"/>
      <c r="T2503" s="38"/>
      <c r="U2503" s="38"/>
      <c r="V2503" s="38"/>
      <c r="W2503" s="38"/>
      <c r="X2503" s="38"/>
      <c r="Y2503" s="38"/>
      <c r="Z2503" s="38"/>
      <c r="AA2503" s="38"/>
      <c r="AB2503" s="38"/>
      <c r="AC2503" s="38"/>
      <c r="AD2503" s="38"/>
      <c r="AE2503" s="38"/>
      <c r="AF2503" s="38"/>
      <c r="AG2503" s="38"/>
      <c r="AH2503" s="38"/>
      <c r="AI2503" s="38"/>
      <c r="AJ2503" s="38"/>
      <c r="AK2503" s="38"/>
      <c r="AL2503" s="38"/>
      <c r="AM2503" s="38"/>
      <c r="AN2503" s="38"/>
      <c r="AO2503" s="38"/>
      <c r="AP2503" s="38"/>
      <c r="AQ2503" s="38"/>
      <c r="AR2503" s="38"/>
      <c r="AS2503" s="38"/>
      <c r="AT2503" s="38"/>
      <c r="AU2503" s="38"/>
      <c r="AV2503" s="38"/>
      <c r="AW2503" s="38"/>
      <c r="AX2503" s="38"/>
      <c r="AY2503" s="38"/>
      <c r="AZ2503" s="38"/>
      <c r="BA2503" s="38"/>
      <c r="BB2503" s="38"/>
      <c r="BC2503" s="38"/>
      <c r="BD2503" s="38"/>
      <c r="BE2503" s="38"/>
      <c r="BF2503" s="38"/>
      <c r="BG2503" s="38"/>
      <c r="BH2503" s="38"/>
      <c r="BI2503" s="38"/>
      <c r="BJ2503" s="38"/>
      <c r="BK2503" s="38"/>
      <c r="BL2503" s="38"/>
      <c r="BM2503" s="38"/>
      <c r="BN2503" s="38"/>
      <c r="BO2503" s="38"/>
      <c r="BP2503" s="38"/>
      <c r="BQ2503" s="38"/>
      <c r="BR2503" s="38"/>
      <c r="BS2503" s="38"/>
      <c r="BT2503" s="38"/>
      <c r="BU2503" s="38"/>
      <c r="BV2503" s="38"/>
      <c r="BW2503" s="38"/>
      <c r="BX2503" s="38"/>
      <c r="BY2503" s="38"/>
      <c r="BZ2503" s="38"/>
      <c r="CA2503" s="38"/>
      <c r="CB2503" s="38"/>
      <c r="CC2503" s="38"/>
      <c r="CD2503" s="38"/>
      <c r="CE2503" s="38"/>
      <c r="CF2503" s="38"/>
      <c r="CG2503" s="38"/>
      <c r="CH2503" s="38"/>
      <c r="CI2503" s="38"/>
      <c r="CJ2503" s="38"/>
      <c r="CK2503" s="38"/>
      <c r="CL2503" s="38"/>
      <c r="CM2503" s="38"/>
      <c r="CN2503" s="38"/>
      <c r="CO2503" s="38"/>
      <c r="CP2503" s="38"/>
      <c r="CQ2503" s="38"/>
      <c r="CR2503" s="38"/>
      <c r="CS2503" s="38"/>
      <c r="CT2503" s="38"/>
      <c r="CU2503" s="38"/>
      <c r="CV2503" s="38"/>
      <c r="CW2503" s="38"/>
      <c r="CX2503" s="38"/>
      <c r="CY2503" s="38"/>
      <c r="CZ2503" s="38"/>
      <c r="DA2503" s="38"/>
      <c r="DB2503" s="38"/>
      <c r="DC2503" s="38"/>
      <c r="DD2503" s="38"/>
      <c r="DE2503" s="38"/>
      <c r="DF2503" s="38"/>
      <c r="DG2503" s="38"/>
      <c r="DH2503" s="38"/>
      <c r="DI2503" s="38"/>
      <c r="DJ2503" s="38"/>
      <c r="DK2503" s="38"/>
      <c r="DL2503" s="38"/>
      <c r="DM2503" s="38"/>
      <c r="DN2503" s="38"/>
      <c r="DO2503" s="38"/>
      <c r="DP2503" s="38"/>
      <c r="DQ2503" s="38"/>
      <c r="DR2503" s="38"/>
      <c r="DS2503" s="38"/>
      <c r="DT2503" s="38"/>
      <c r="DU2503" s="38"/>
      <c r="DV2503" s="38"/>
      <c r="DW2503" s="38"/>
      <c r="DX2503" s="38"/>
      <c r="DY2503" s="38"/>
      <c r="DZ2503" s="38"/>
      <c r="EA2503" s="38"/>
      <c r="EB2503" s="38"/>
      <c r="EC2503" s="38"/>
      <c r="ED2503" s="38"/>
      <c r="EE2503" s="38"/>
      <c r="EF2503" s="38"/>
      <c r="EG2503" s="38"/>
      <c r="EH2503" s="38"/>
      <c r="EI2503" s="38"/>
      <c r="EJ2503" s="38"/>
      <c r="EK2503" s="38"/>
      <c r="EL2503" s="38"/>
      <c r="EM2503" s="38"/>
      <c r="EN2503" s="38"/>
      <c r="EO2503" s="38"/>
      <c r="EP2503" s="38"/>
      <c r="EQ2503" s="38"/>
      <c r="ER2503" s="38"/>
      <c r="ES2503" s="38"/>
      <c r="ET2503" s="38"/>
      <c r="EU2503" s="38"/>
      <c r="EV2503" s="38"/>
      <c r="EW2503" s="38"/>
      <c r="EX2503" s="38"/>
      <c r="EY2503" s="38"/>
      <c r="EZ2503" s="38"/>
      <c r="FA2503" s="38"/>
      <c r="FB2503" s="38"/>
      <c r="FC2503" s="38"/>
      <c r="FD2503" s="38"/>
      <c r="FE2503" s="38"/>
      <c r="FF2503" s="38"/>
      <c r="FG2503" s="38"/>
      <c r="FH2503" s="38"/>
      <c r="FI2503" s="38"/>
      <c r="FJ2503" s="38"/>
      <c r="FK2503" s="38"/>
      <c r="FL2503" s="38"/>
      <c r="FM2503" s="38"/>
      <c r="FN2503" s="38"/>
      <c r="FO2503" s="38"/>
      <c r="FP2503" s="38"/>
      <c r="FQ2503" s="38"/>
      <c r="FR2503" s="38"/>
      <c r="FS2503" s="38"/>
      <c r="FT2503" s="38"/>
      <c r="FU2503" s="38"/>
      <c r="FV2503" s="38"/>
      <c r="FW2503" s="38"/>
      <c r="FX2503" s="38"/>
      <c r="FY2503" s="38"/>
      <c r="FZ2503" s="38"/>
      <c r="GA2503" s="38"/>
      <c r="GB2503" s="38"/>
      <c r="GC2503" s="38"/>
      <c r="GD2503" s="38"/>
      <c r="GE2503" s="38"/>
      <c r="GF2503" s="38"/>
      <c r="GG2503" s="38"/>
      <c r="GH2503" s="38"/>
      <c r="GI2503" s="38"/>
      <c r="GJ2503" s="38"/>
      <c r="GK2503" s="38"/>
      <c r="GL2503" s="38"/>
      <c r="GM2503" s="38"/>
      <c r="GN2503" s="38"/>
      <c r="GO2503" s="38"/>
      <c r="GP2503" s="38"/>
      <c r="GQ2503" s="38"/>
      <c r="GR2503" s="38"/>
      <c r="GS2503" s="38"/>
      <c r="GT2503" s="38"/>
      <c r="GU2503" s="38"/>
      <c r="GV2503" s="38"/>
      <c r="GW2503" s="38"/>
      <c r="GX2503" s="38"/>
      <c r="GY2503" s="38"/>
      <c r="GZ2503" s="38"/>
      <c r="HA2503" s="38"/>
      <c r="HB2503" s="38"/>
      <c r="HC2503" s="38"/>
      <c r="HD2503" s="38"/>
      <c r="HE2503" s="38"/>
      <c r="HF2503" s="38"/>
      <c r="HG2503" s="38"/>
      <c r="HH2503" s="38"/>
      <c r="HI2503" s="38"/>
      <c r="HJ2503" s="38"/>
      <c r="HK2503" s="38"/>
      <c r="HL2503" s="38"/>
      <c r="HM2503" s="38"/>
      <c r="HN2503" s="38"/>
      <c r="HO2503" s="38"/>
      <c r="HP2503" s="38"/>
      <c r="HQ2503" s="38"/>
      <c r="HR2503" s="38"/>
      <c r="HS2503" s="38"/>
      <c r="HT2503" s="38"/>
      <c r="HU2503" s="38"/>
      <c r="HV2503" s="38"/>
      <c r="HW2503" s="38"/>
      <c r="HX2503" s="38"/>
      <c r="HY2503" s="38"/>
      <c r="HZ2503" s="38"/>
      <c r="IA2503" s="38"/>
      <c r="IB2503" s="38"/>
      <c r="IC2503" s="38"/>
      <c r="ID2503" s="38"/>
      <c r="IE2503" s="38"/>
      <c r="IF2503" s="38"/>
      <c r="IG2503" s="38"/>
      <c r="IH2503" s="38"/>
      <c r="II2503" s="38"/>
      <c r="IJ2503" s="38"/>
      <c r="IK2503" s="38"/>
      <c r="IL2503" s="38"/>
      <c r="IM2503" s="38"/>
      <c r="IN2503" s="38"/>
      <c r="IO2503" s="38"/>
      <c r="IP2503" s="38"/>
      <c r="IQ2503" s="38"/>
      <c r="IR2503" s="38"/>
      <c r="IS2503" s="38"/>
      <c r="IT2503" s="38"/>
      <c r="IU2503" s="38"/>
      <c r="IV2503" s="38"/>
      <c r="IW2503" s="38"/>
      <c r="IX2503" s="38"/>
      <c r="IY2503" s="38"/>
      <c r="IZ2503" s="38"/>
      <c r="JA2503" s="38"/>
      <c r="JB2503" s="38"/>
      <c r="JC2503" s="38"/>
      <c r="JD2503" s="38"/>
      <c r="JE2503" s="38"/>
      <c r="JF2503" s="38"/>
      <c r="JG2503" s="38"/>
      <c r="JH2503" s="38"/>
      <c r="JI2503" s="38"/>
      <c r="JJ2503" s="38"/>
      <c r="JK2503" s="38"/>
      <c r="JL2503" s="38"/>
      <c r="JM2503" s="38"/>
      <c r="JN2503" s="38"/>
      <c r="JO2503" s="38"/>
      <c r="JP2503" s="38"/>
      <c r="JQ2503" s="38"/>
      <c r="JR2503" s="38"/>
      <c r="JS2503" s="38"/>
      <c r="JT2503" s="38"/>
      <c r="JU2503" s="38"/>
      <c r="JV2503" s="38"/>
      <c r="JW2503" s="38"/>
      <c r="JX2503" s="38"/>
      <c r="JY2503" s="38"/>
      <c r="JZ2503" s="38"/>
      <c r="KA2503" s="38"/>
      <c r="KB2503" s="38"/>
      <c r="KC2503" s="38"/>
      <c r="KD2503" s="38"/>
      <c r="KE2503" s="38"/>
      <c r="KF2503" s="38"/>
      <c r="KG2503" s="38"/>
      <c r="KH2503" s="38"/>
      <c r="KI2503" s="38"/>
      <c r="KJ2503" s="38"/>
      <c r="KK2503" s="38"/>
      <c r="KL2503" s="38"/>
      <c r="KM2503" s="38"/>
      <c r="KN2503" s="38"/>
      <c r="KO2503" s="38"/>
      <c r="KP2503" s="38"/>
      <c r="KQ2503" s="38"/>
      <c r="KR2503" s="38"/>
      <c r="KS2503" s="38"/>
      <c r="KT2503" s="38"/>
      <c r="KU2503" s="38"/>
      <c r="KV2503" s="38"/>
      <c r="KW2503" s="38"/>
      <c r="KX2503" s="38"/>
      <c r="KY2503" s="38"/>
      <c r="KZ2503" s="38"/>
      <c r="LA2503" s="38"/>
      <c r="LB2503" s="38"/>
      <c r="LC2503" s="38"/>
      <c r="LD2503" s="38"/>
      <c r="LE2503" s="38"/>
      <c r="LF2503" s="38"/>
      <c r="LG2503" s="38"/>
      <c r="LH2503" s="38"/>
      <c r="LI2503" s="38"/>
      <c r="LJ2503" s="38"/>
      <c r="LK2503" s="38"/>
      <c r="LL2503" s="38"/>
      <c r="LM2503" s="38"/>
      <c r="LN2503" s="38"/>
      <c r="LO2503" s="38"/>
      <c r="LP2503" s="38"/>
      <c r="LQ2503" s="38"/>
      <c r="LR2503" s="38"/>
      <c r="LS2503" s="38"/>
      <c r="LT2503" s="38"/>
      <c r="LU2503" s="38"/>
      <c r="LV2503" s="38"/>
      <c r="LW2503" s="38"/>
      <c r="LX2503" s="38"/>
      <c r="LY2503" s="38"/>
      <c r="LZ2503" s="38"/>
      <c r="MA2503" s="38"/>
      <c r="MB2503" s="38"/>
      <c r="MC2503" s="38"/>
      <c r="MD2503" s="38"/>
      <c r="ME2503" s="38"/>
      <c r="MF2503" s="38"/>
      <c r="MG2503" s="38"/>
      <c r="MH2503" s="38"/>
      <c r="MI2503" s="38"/>
      <c r="MJ2503" s="38"/>
      <c r="MK2503" s="38"/>
      <c r="ML2503" s="38"/>
      <c r="MM2503" s="38"/>
      <c r="MN2503" s="38"/>
      <c r="MO2503" s="38"/>
      <c r="MP2503" s="38"/>
      <c r="MQ2503" s="38"/>
      <c r="MR2503" s="38"/>
      <c r="MS2503" s="38"/>
      <c r="MT2503" s="38"/>
      <c r="MU2503" s="38"/>
      <c r="MV2503" s="38"/>
      <c r="MW2503" s="38"/>
      <c r="MX2503" s="38"/>
      <c r="MY2503" s="38"/>
      <c r="MZ2503" s="38"/>
      <c r="NA2503" s="38"/>
      <c r="NB2503" s="38"/>
      <c r="NC2503" s="38"/>
      <c r="ND2503" s="38"/>
      <c r="NE2503" s="38"/>
      <c r="NF2503" s="38"/>
      <c r="NG2503" s="38"/>
      <c r="NH2503" s="38"/>
      <c r="NI2503" s="38"/>
      <c r="NJ2503" s="38"/>
      <c r="NK2503" s="38"/>
      <c r="NL2503" s="38"/>
      <c r="NM2503" s="38"/>
      <c r="NN2503" s="38"/>
      <c r="NO2503" s="38"/>
      <c r="NP2503" s="38"/>
      <c r="NQ2503" s="38"/>
      <c r="NR2503" s="38"/>
      <c r="NS2503" s="38"/>
      <c r="NT2503" s="38"/>
      <c r="NU2503" s="38"/>
      <c r="NV2503" s="38"/>
      <c r="NW2503" s="38"/>
      <c r="NX2503" s="38"/>
      <c r="NY2503" s="38"/>
      <c r="NZ2503" s="38"/>
      <c r="OA2503" s="38"/>
      <c r="OB2503" s="38"/>
      <c r="OC2503" s="38"/>
      <c r="OD2503" s="38"/>
      <c r="OE2503" s="38"/>
      <c r="OF2503" s="38"/>
      <c r="OG2503" s="38"/>
      <c r="OH2503" s="38"/>
      <c r="OI2503" s="38"/>
      <c r="OJ2503" s="38"/>
      <c r="OK2503" s="38"/>
      <c r="OL2503" s="38"/>
      <c r="OM2503" s="38"/>
      <c r="ON2503" s="38"/>
      <c r="OO2503" s="38"/>
      <c r="OP2503" s="38"/>
      <c r="OQ2503" s="38"/>
      <c r="OR2503" s="38"/>
      <c r="OS2503" s="38"/>
      <c r="OT2503" s="38"/>
      <c r="OU2503" s="38"/>
      <c r="OV2503" s="38"/>
      <c r="OW2503" s="38"/>
      <c r="OX2503" s="38"/>
      <c r="OY2503" s="38"/>
      <c r="OZ2503" s="38"/>
      <c r="PA2503" s="38"/>
      <c r="PB2503" s="38"/>
      <c r="PC2503" s="38"/>
      <c r="PD2503" s="38"/>
      <c r="PE2503" s="38"/>
      <c r="PF2503" s="38"/>
      <c r="PG2503" s="38"/>
      <c r="PH2503" s="38"/>
      <c r="PI2503" s="38"/>
      <c r="PJ2503" s="38"/>
      <c r="PK2503" s="38"/>
      <c r="PL2503" s="38"/>
      <c r="PM2503" s="38"/>
      <c r="PN2503" s="38"/>
      <c r="PO2503" s="38"/>
      <c r="PP2503" s="38"/>
      <c r="PQ2503" s="38"/>
      <c r="PR2503" s="38"/>
      <c r="PS2503" s="38"/>
      <c r="PT2503" s="38"/>
      <c r="PU2503" s="38"/>
      <c r="PV2503" s="38"/>
      <c r="PW2503" s="38"/>
      <c r="PX2503" s="38"/>
      <c r="PY2503" s="38"/>
      <c r="PZ2503" s="38"/>
      <c r="QA2503" s="38"/>
      <c r="QB2503" s="38"/>
      <c r="QC2503" s="38"/>
      <c r="QD2503" s="38"/>
      <c r="QE2503" s="38"/>
      <c r="QF2503" s="38"/>
      <c r="QG2503" s="38"/>
      <c r="QH2503" s="38"/>
      <c r="QI2503" s="38"/>
      <c r="QJ2503" s="38"/>
      <c r="QK2503" s="38"/>
      <c r="QL2503" s="38"/>
      <c r="QM2503" s="38"/>
      <c r="QN2503" s="38"/>
      <c r="QO2503" s="38"/>
      <c r="QP2503" s="38"/>
      <c r="QQ2503" s="38"/>
      <c r="QR2503" s="38"/>
      <c r="QS2503" s="38"/>
      <c r="QT2503" s="38"/>
      <c r="QU2503" s="38"/>
      <c r="QV2503" s="38"/>
      <c r="QW2503" s="38"/>
      <c r="QX2503" s="38"/>
      <c r="QY2503" s="38"/>
      <c r="QZ2503" s="38"/>
      <c r="RA2503" s="38"/>
      <c r="RB2503" s="38"/>
      <c r="RC2503" s="38"/>
      <c r="RD2503" s="38"/>
      <c r="RE2503" s="38"/>
      <c r="RF2503" s="38"/>
      <c r="RG2503" s="38"/>
      <c r="RH2503" s="38"/>
      <c r="RI2503" s="38"/>
      <c r="RJ2503" s="38"/>
      <c r="RK2503" s="38"/>
      <c r="RL2503" s="38"/>
      <c r="RM2503" s="38"/>
      <c r="RN2503" s="38"/>
      <c r="RO2503" s="38"/>
      <c r="RP2503" s="38"/>
      <c r="RQ2503" s="38"/>
      <c r="RR2503" s="38"/>
      <c r="RS2503" s="38"/>
      <c r="RT2503" s="38"/>
      <c r="RU2503" s="38"/>
      <c r="RV2503" s="38"/>
      <c r="RW2503" s="38"/>
      <c r="RX2503" s="38"/>
      <c r="RY2503" s="38"/>
      <c r="RZ2503" s="38"/>
      <c r="SA2503" s="38"/>
      <c r="SB2503" s="38"/>
      <c r="SC2503" s="38"/>
      <c r="SD2503" s="38"/>
      <c r="SE2503" s="38"/>
      <c r="SF2503" s="38"/>
      <c r="SG2503" s="38"/>
      <c r="SH2503" s="38"/>
      <c r="SI2503" s="38"/>
      <c r="SJ2503" s="38"/>
      <c r="SK2503" s="38"/>
      <c r="SL2503" s="38"/>
      <c r="SM2503" s="38"/>
      <c r="SN2503" s="38"/>
      <c r="SO2503" s="38"/>
      <c r="SP2503" s="38"/>
      <c r="SQ2503" s="38"/>
      <c r="SR2503" s="38"/>
      <c r="SS2503" s="38"/>
      <c r="ST2503" s="38"/>
      <c r="SU2503" s="38"/>
      <c r="SV2503" s="38"/>
      <c r="SW2503" s="38"/>
      <c r="SX2503" s="38"/>
      <c r="SY2503" s="38"/>
      <c r="SZ2503" s="38"/>
      <c r="TA2503" s="38"/>
      <c r="TB2503" s="38"/>
      <c r="TC2503" s="38"/>
      <c r="TD2503" s="38"/>
      <c r="TE2503" s="38"/>
      <c r="TF2503" s="38"/>
      <c r="TG2503" s="38"/>
      <c r="TH2503" s="38"/>
      <c r="TI2503" s="38"/>
      <c r="TJ2503" s="38"/>
      <c r="TK2503" s="38"/>
      <c r="TL2503" s="38"/>
      <c r="TM2503" s="38"/>
      <c r="TN2503" s="38"/>
      <c r="TO2503" s="38"/>
      <c r="TP2503" s="38"/>
      <c r="TQ2503" s="38"/>
      <c r="TR2503" s="38"/>
      <c r="TS2503" s="38"/>
      <c r="TT2503" s="38"/>
      <c r="TU2503" s="38"/>
      <c r="TV2503" s="38"/>
      <c r="TW2503" s="38"/>
      <c r="TX2503" s="38"/>
      <c r="TY2503" s="38"/>
      <c r="TZ2503" s="38"/>
      <c r="UA2503" s="38"/>
      <c r="UB2503" s="38"/>
      <c r="UC2503" s="38"/>
      <c r="UD2503" s="38"/>
      <c r="UE2503" s="38"/>
      <c r="UF2503" s="38"/>
      <c r="UG2503" s="38"/>
      <c r="UH2503" s="38"/>
      <c r="UI2503" s="38"/>
      <c r="UJ2503" s="38"/>
      <c r="UK2503" s="38"/>
      <c r="UL2503" s="38"/>
      <c r="UM2503" s="38"/>
      <c r="UN2503" s="38"/>
      <c r="UO2503" s="38"/>
      <c r="UP2503" s="38"/>
      <c r="UQ2503" s="38"/>
      <c r="UR2503" s="38"/>
      <c r="US2503" s="38"/>
      <c r="UT2503" s="38"/>
      <c r="UU2503" s="38"/>
      <c r="UV2503" s="38"/>
      <c r="UW2503" s="38"/>
      <c r="UX2503" s="38"/>
      <c r="UY2503" s="38"/>
      <c r="UZ2503" s="38"/>
      <c r="VA2503" s="38"/>
      <c r="VB2503" s="38"/>
      <c r="VC2503" s="38"/>
      <c r="VD2503" s="38"/>
      <c r="VE2503" s="38"/>
      <c r="VF2503" s="38"/>
      <c r="VG2503" s="38"/>
      <c r="VH2503" s="38"/>
      <c r="VI2503" s="38"/>
      <c r="VJ2503" s="38"/>
      <c r="VK2503" s="38"/>
      <c r="VL2503" s="38"/>
      <c r="VM2503" s="38"/>
      <c r="VN2503" s="38"/>
      <c r="VO2503" s="38"/>
      <c r="VP2503" s="38"/>
      <c r="VQ2503" s="38"/>
      <c r="VR2503" s="38"/>
      <c r="VS2503" s="38"/>
      <c r="VT2503" s="38"/>
      <c r="VU2503" s="38"/>
      <c r="VV2503" s="38"/>
      <c r="VW2503" s="38"/>
      <c r="VX2503" s="38"/>
      <c r="VY2503" s="38"/>
      <c r="VZ2503" s="38"/>
      <c r="WA2503" s="38"/>
      <c r="WB2503" s="38"/>
      <c r="WC2503" s="38"/>
      <c r="WD2503" s="38"/>
      <c r="WE2503" s="38"/>
      <c r="WF2503" s="38"/>
      <c r="WG2503" s="38"/>
      <c r="WH2503" s="38"/>
      <c r="WI2503" s="38"/>
      <c r="WJ2503" s="38"/>
      <c r="WK2503" s="38"/>
      <c r="WL2503" s="38"/>
      <c r="WM2503" s="38"/>
      <c r="WN2503" s="38"/>
      <c r="WO2503" s="38"/>
      <c r="WP2503" s="38"/>
      <c r="WQ2503" s="38"/>
      <c r="WR2503" s="38"/>
      <c r="WS2503" s="38"/>
      <c r="WT2503" s="38"/>
      <c r="WU2503" s="38"/>
      <c r="WV2503" s="38"/>
      <c r="WW2503" s="38"/>
      <c r="WX2503" s="38"/>
      <c r="WY2503" s="38"/>
      <c r="WZ2503" s="38"/>
      <c r="XA2503" s="38"/>
      <c r="XB2503" s="38"/>
      <c r="XC2503" s="38"/>
      <c r="XD2503" s="38"/>
      <c r="XE2503" s="38"/>
      <c r="XF2503" s="38"/>
      <c r="XG2503" s="38"/>
      <c r="XH2503" s="38"/>
      <c r="XI2503" s="38"/>
      <c r="XJ2503" s="38"/>
      <c r="XK2503" s="38"/>
      <c r="XL2503" s="38"/>
      <c r="XM2503" s="38"/>
      <c r="XN2503" s="38"/>
      <c r="XO2503" s="38"/>
      <c r="XP2503" s="38"/>
      <c r="XQ2503" s="38"/>
      <c r="XR2503" s="38"/>
      <c r="XS2503" s="38"/>
      <c r="XT2503" s="38"/>
      <c r="XU2503" s="38"/>
      <c r="XV2503" s="38"/>
      <c r="XW2503" s="38"/>
      <c r="XX2503" s="38"/>
      <c r="XY2503" s="38"/>
      <c r="XZ2503" s="38"/>
      <c r="YA2503" s="38"/>
      <c r="YB2503" s="38"/>
      <c r="YC2503" s="38"/>
      <c r="YD2503" s="38"/>
      <c r="YE2503" s="38"/>
      <c r="YF2503" s="38"/>
      <c r="YG2503" s="38"/>
      <c r="YH2503" s="38"/>
      <c r="YI2503" s="38"/>
      <c r="YJ2503" s="38"/>
      <c r="YK2503" s="38"/>
      <c r="YL2503" s="38"/>
      <c r="YM2503" s="38"/>
      <c r="YN2503" s="38"/>
      <c r="YO2503" s="38"/>
      <c r="YP2503" s="38"/>
      <c r="YQ2503" s="38"/>
      <c r="YR2503" s="38"/>
      <c r="YS2503" s="38"/>
      <c r="YT2503" s="38"/>
      <c r="YU2503" s="38"/>
      <c r="YV2503" s="38"/>
      <c r="YW2503" s="38"/>
      <c r="YX2503" s="38"/>
      <c r="YY2503" s="38"/>
      <c r="YZ2503" s="38"/>
      <c r="ZA2503" s="38"/>
      <c r="ZB2503" s="38"/>
      <c r="ZC2503" s="38"/>
      <c r="ZD2503" s="38"/>
      <c r="ZE2503" s="38"/>
      <c r="ZF2503" s="38"/>
      <c r="ZG2503" s="38"/>
      <c r="ZH2503" s="38"/>
      <c r="ZI2503" s="38"/>
      <c r="ZJ2503" s="38"/>
      <c r="ZK2503" s="38"/>
      <c r="ZL2503" s="38"/>
      <c r="ZM2503" s="38"/>
      <c r="ZN2503" s="38"/>
      <c r="ZO2503" s="38"/>
      <c r="ZP2503" s="38"/>
      <c r="ZQ2503" s="38"/>
      <c r="ZR2503" s="38"/>
      <c r="ZS2503" s="38"/>
      <c r="ZT2503" s="38"/>
      <c r="ZU2503" s="38"/>
      <c r="ZV2503" s="38"/>
      <c r="ZW2503" s="38"/>
      <c r="ZX2503" s="38"/>
      <c r="ZY2503" s="38"/>
      <c r="ZZ2503" s="38"/>
      <c r="AAA2503" s="38"/>
      <c r="AAB2503" s="38"/>
      <c r="AAC2503" s="38"/>
      <c r="AAD2503" s="38"/>
      <c r="AAE2503" s="38"/>
      <c r="AAF2503" s="38"/>
      <c r="AAG2503" s="38"/>
      <c r="AAH2503" s="38"/>
      <c r="AAI2503" s="38"/>
      <c r="AAJ2503" s="38"/>
      <c r="AAK2503" s="38"/>
      <c r="AAL2503" s="38"/>
      <c r="AAM2503" s="38"/>
      <c r="AAN2503" s="38"/>
      <c r="AAO2503" s="38"/>
      <c r="AAP2503" s="38"/>
      <c r="AAQ2503" s="38"/>
      <c r="AAR2503" s="38"/>
      <c r="AAS2503" s="38"/>
      <c r="AAT2503" s="38"/>
      <c r="AAU2503" s="38"/>
      <c r="AAV2503" s="38"/>
      <c r="AAW2503" s="38"/>
      <c r="AAX2503" s="38"/>
      <c r="AAY2503" s="38"/>
      <c r="AAZ2503" s="38"/>
      <c r="ABA2503" s="38"/>
      <c r="ABB2503" s="38"/>
      <c r="ABC2503" s="38"/>
      <c r="ABD2503" s="38"/>
      <c r="ABE2503" s="38"/>
      <c r="ABF2503" s="38"/>
      <c r="ABG2503" s="38"/>
      <c r="ABH2503" s="38"/>
      <c r="ABI2503" s="38"/>
      <c r="ABJ2503" s="38"/>
      <c r="ABK2503" s="38"/>
      <c r="ABL2503" s="38"/>
      <c r="ABM2503" s="38"/>
      <c r="ABN2503" s="38"/>
      <c r="ABO2503" s="38"/>
      <c r="ABP2503" s="38"/>
      <c r="ABQ2503" s="38"/>
      <c r="ABR2503" s="38"/>
      <c r="ABS2503" s="38"/>
      <c r="ABT2503" s="38"/>
      <c r="ABU2503" s="38"/>
      <c r="ABV2503" s="38"/>
      <c r="ABW2503" s="38"/>
      <c r="ABX2503" s="38"/>
      <c r="ABY2503" s="38"/>
      <c r="ABZ2503" s="38"/>
      <c r="ACA2503" s="38"/>
      <c r="ACB2503" s="38"/>
      <c r="ACC2503" s="38"/>
      <c r="ACD2503" s="38"/>
      <c r="ACE2503" s="38"/>
      <c r="ACF2503" s="38"/>
      <c r="ACG2503" s="38"/>
      <c r="ACH2503" s="38"/>
      <c r="ACI2503" s="38"/>
      <c r="ACJ2503" s="38"/>
      <c r="ACK2503" s="38"/>
      <c r="ACL2503" s="38"/>
      <c r="ACM2503" s="38"/>
      <c r="ACN2503" s="38"/>
      <c r="ACO2503" s="38"/>
      <c r="ACP2503" s="38"/>
      <c r="ACQ2503" s="38"/>
      <c r="ACR2503" s="38"/>
      <c r="ACS2503" s="38"/>
      <c r="ACT2503" s="38"/>
      <c r="ACU2503" s="38"/>
      <c r="ACV2503" s="38"/>
      <c r="ACW2503" s="38"/>
      <c r="ACX2503" s="38"/>
      <c r="ACY2503" s="38"/>
      <c r="ACZ2503" s="38"/>
      <c r="ADA2503" s="38"/>
      <c r="ADB2503" s="38"/>
      <c r="ADC2503" s="38"/>
      <c r="ADD2503" s="38"/>
      <c r="ADE2503" s="38"/>
      <c r="ADF2503" s="38"/>
      <c r="ADG2503" s="38"/>
      <c r="ADH2503" s="38"/>
      <c r="ADI2503" s="38"/>
      <c r="ADJ2503" s="38"/>
      <c r="ADK2503" s="38"/>
      <c r="ADL2503" s="38"/>
      <c r="ADM2503" s="38"/>
      <c r="ADN2503" s="38"/>
      <c r="ADO2503" s="38"/>
      <c r="ADP2503" s="38"/>
      <c r="ADQ2503" s="38"/>
      <c r="ADR2503" s="38"/>
      <c r="ADS2503" s="38"/>
      <c r="ADT2503" s="38"/>
      <c r="ADU2503" s="38"/>
      <c r="ADV2503" s="38"/>
      <c r="ADW2503" s="38"/>
      <c r="ADX2503" s="38"/>
      <c r="ADY2503" s="38"/>
      <c r="ADZ2503" s="38"/>
      <c r="AEA2503" s="38"/>
      <c r="AEB2503" s="38"/>
      <c r="AEC2503" s="38"/>
      <c r="AED2503" s="38"/>
      <c r="AEE2503" s="38"/>
      <c r="AEF2503" s="38"/>
      <c r="AEG2503" s="38"/>
      <c r="AEH2503" s="38"/>
      <c r="AEI2503" s="38"/>
      <c r="AEJ2503" s="38"/>
      <c r="AEK2503" s="38"/>
      <c r="AEL2503" s="38"/>
      <c r="AEM2503" s="38"/>
      <c r="AEN2503" s="38"/>
      <c r="AEO2503" s="38"/>
      <c r="AEP2503" s="38"/>
      <c r="AEQ2503" s="38"/>
      <c r="AER2503" s="38"/>
      <c r="AES2503" s="38"/>
      <c r="AET2503" s="38"/>
      <c r="AEU2503" s="38"/>
      <c r="AEV2503" s="38"/>
      <c r="AEW2503" s="38"/>
      <c r="AEX2503" s="38"/>
      <c r="AEY2503" s="38"/>
      <c r="AEZ2503" s="38"/>
      <c r="AFA2503" s="38"/>
      <c r="AFB2503" s="38"/>
      <c r="AFC2503" s="38"/>
      <c r="AFD2503" s="38"/>
      <c r="AFE2503" s="38"/>
      <c r="AFF2503" s="38"/>
      <c r="AFG2503" s="38"/>
      <c r="AFH2503" s="38"/>
      <c r="AFI2503" s="38"/>
      <c r="AFJ2503" s="38"/>
      <c r="AFK2503" s="38"/>
      <c r="AFL2503" s="38"/>
      <c r="AFM2503" s="38"/>
      <c r="AFN2503" s="38"/>
      <c r="AFO2503" s="38"/>
      <c r="AFP2503" s="38"/>
      <c r="AFQ2503" s="38"/>
      <c r="AFR2503" s="38"/>
      <c r="AFS2503" s="38"/>
      <c r="AFT2503" s="38"/>
      <c r="AFU2503" s="38"/>
      <c r="AFV2503" s="38"/>
      <c r="AFW2503" s="38"/>
      <c r="AFX2503" s="38"/>
      <c r="AFY2503" s="38"/>
      <c r="AFZ2503" s="38"/>
      <c r="AGA2503" s="38"/>
      <c r="AGB2503" s="38"/>
      <c r="AGC2503" s="38"/>
      <c r="AGD2503" s="38"/>
      <c r="AGE2503" s="38"/>
      <c r="AGF2503" s="38"/>
      <c r="AGG2503" s="38"/>
      <c r="AGH2503" s="38"/>
      <c r="AGI2503" s="38"/>
      <c r="AGJ2503" s="38"/>
      <c r="AGK2503" s="38"/>
      <c r="AGL2503" s="38"/>
      <c r="AGM2503" s="38"/>
      <c r="AGN2503" s="38"/>
      <c r="AGO2503" s="38"/>
      <c r="AGP2503" s="38"/>
      <c r="AGQ2503" s="38"/>
      <c r="AGR2503" s="38"/>
      <c r="AGS2503" s="38"/>
      <c r="AGT2503" s="38"/>
      <c r="AGU2503" s="38"/>
      <c r="AGV2503" s="38"/>
      <c r="AGW2503" s="38"/>
      <c r="AGX2503" s="38"/>
      <c r="AGY2503" s="38"/>
      <c r="AGZ2503" s="38"/>
      <c r="AHA2503" s="38"/>
      <c r="AHB2503" s="38"/>
      <c r="AHC2503" s="38"/>
      <c r="AHD2503" s="38"/>
      <c r="AHE2503" s="38"/>
      <c r="AHF2503" s="38"/>
      <c r="AHG2503" s="38"/>
      <c r="AHH2503" s="38"/>
      <c r="AHI2503" s="38"/>
      <c r="AHJ2503" s="38"/>
      <c r="AHK2503" s="38"/>
      <c r="AHL2503" s="38"/>
      <c r="AHM2503" s="38"/>
      <c r="AHN2503" s="38"/>
      <c r="AHO2503" s="38"/>
      <c r="AHP2503" s="38"/>
      <c r="AHQ2503" s="38"/>
      <c r="AHR2503" s="38"/>
      <c r="AHS2503" s="38"/>
      <c r="AHT2503" s="38"/>
      <c r="AHU2503" s="38"/>
      <c r="AHV2503" s="38"/>
      <c r="AHW2503" s="38"/>
      <c r="AHX2503" s="38"/>
      <c r="AHY2503" s="38"/>
      <c r="AHZ2503" s="38"/>
      <c r="AIA2503" s="38"/>
      <c r="AIB2503" s="38"/>
      <c r="AIC2503" s="38"/>
      <c r="AID2503" s="38"/>
      <c r="AIE2503" s="38"/>
      <c r="AIF2503" s="38"/>
      <c r="AIG2503" s="38"/>
      <c r="AIH2503" s="38"/>
      <c r="AII2503" s="38"/>
      <c r="AIJ2503" s="38"/>
      <c r="AIK2503" s="38"/>
      <c r="AIL2503" s="38"/>
      <c r="AIM2503" s="38"/>
      <c r="AIN2503" s="38"/>
      <c r="AIO2503" s="38"/>
      <c r="AIP2503" s="38"/>
      <c r="AIQ2503" s="38"/>
      <c r="AIR2503" s="38"/>
      <c r="AIS2503" s="38"/>
      <c r="AIT2503" s="38"/>
      <c r="AIU2503" s="38"/>
      <c r="AIV2503" s="38"/>
      <c r="AIW2503" s="38"/>
      <c r="AIX2503" s="38"/>
      <c r="AIY2503" s="38"/>
      <c r="AIZ2503" s="38"/>
      <c r="AJA2503" s="38"/>
      <c r="AJB2503" s="38"/>
      <c r="AJC2503" s="38"/>
      <c r="AJD2503" s="38"/>
      <c r="AJE2503" s="38"/>
      <c r="AJF2503" s="38"/>
      <c r="AJG2503" s="38"/>
      <c r="AJH2503" s="38"/>
      <c r="AJI2503" s="38"/>
      <c r="AJJ2503" s="38"/>
      <c r="AJK2503" s="38"/>
      <c r="AJL2503" s="38"/>
      <c r="AJM2503" s="38"/>
      <c r="AJN2503" s="38"/>
      <c r="AJO2503" s="38"/>
      <c r="AJP2503" s="38"/>
      <c r="AJQ2503" s="38"/>
      <c r="AJR2503" s="38"/>
      <c r="AJS2503" s="38"/>
      <c r="AJT2503" s="38"/>
      <c r="AJU2503" s="38"/>
      <c r="AJV2503" s="38"/>
      <c r="AJW2503" s="38"/>
      <c r="AJX2503" s="38"/>
      <c r="AJY2503" s="38"/>
      <c r="AJZ2503" s="38"/>
      <c r="AKA2503" s="38"/>
      <c r="AKB2503" s="38"/>
      <c r="AKC2503" s="38"/>
      <c r="AKD2503" s="38"/>
      <c r="AKE2503" s="38"/>
      <c r="AKF2503" s="38"/>
      <c r="AKG2503" s="38"/>
      <c r="AKH2503" s="38"/>
      <c r="AKI2503" s="38"/>
      <c r="AKJ2503" s="38"/>
      <c r="AKK2503" s="38"/>
      <c r="AKL2503" s="38"/>
      <c r="AKM2503" s="38"/>
      <c r="AKN2503" s="38"/>
      <c r="AKO2503" s="38"/>
      <c r="AKP2503" s="38"/>
      <c r="AKQ2503" s="38"/>
      <c r="AKR2503" s="38"/>
      <c r="AKS2503" s="38"/>
      <c r="AKT2503" s="38"/>
      <c r="AKU2503" s="38"/>
      <c r="AKV2503" s="38"/>
      <c r="AKW2503" s="38"/>
      <c r="AKX2503" s="38"/>
      <c r="AKY2503" s="38"/>
      <c r="AKZ2503" s="38"/>
      <c r="ALA2503" s="38"/>
      <c r="ALB2503" s="38"/>
      <c r="ALC2503" s="38"/>
      <c r="ALD2503" s="38"/>
      <c r="ALE2503" s="38"/>
      <c r="ALF2503" s="38"/>
      <c r="ALG2503" s="38"/>
      <c r="ALH2503" s="38"/>
      <c r="ALI2503" s="38"/>
      <c r="ALJ2503" s="38"/>
      <c r="ALK2503" s="38"/>
      <c r="ALL2503" s="38"/>
      <c r="ALM2503" s="38"/>
      <c r="ALN2503" s="38"/>
      <c r="ALO2503" s="38"/>
      <c r="ALP2503" s="38"/>
      <c r="ALQ2503" s="38"/>
      <c r="ALR2503" s="38"/>
      <c r="ALS2503" s="38"/>
      <c r="ALT2503" s="38"/>
      <c r="ALU2503" s="38"/>
      <c r="ALV2503" s="38"/>
      <c r="ALW2503" s="38"/>
      <c r="ALX2503" s="38"/>
      <c r="ALY2503" s="38"/>
      <c r="ALZ2503" s="38"/>
      <c r="AMA2503" s="38"/>
      <c r="AMB2503" s="38"/>
      <c r="AMC2503" s="38"/>
      <c r="AMD2503" s="38"/>
      <c r="AME2503" s="38"/>
      <c r="AMF2503" s="38"/>
      <c r="AMG2503" s="38"/>
      <c r="AMH2503" s="38"/>
      <c r="AMI2503" s="38"/>
      <c r="AMJ2503" s="38"/>
      <c r="AMK2503" s="38"/>
      <c r="AML2503" s="38"/>
      <c r="AMM2503" s="38"/>
      <c r="AMN2503" s="38"/>
      <c r="AMO2503" s="38"/>
      <c r="AMP2503" s="38"/>
      <c r="AMQ2503" s="38"/>
      <c r="AMR2503" s="38"/>
      <c r="AMS2503" s="38"/>
      <c r="AMT2503" s="38"/>
      <c r="AMU2503" s="38"/>
      <c r="AMV2503" s="38"/>
      <c r="AMW2503" s="38"/>
      <c r="AMX2503" s="38"/>
      <c r="AMY2503" s="38"/>
      <c r="AMZ2503" s="38"/>
      <c r="ANA2503" s="38"/>
      <c r="ANB2503" s="38"/>
      <c r="ANC2503" s="38"/>
      <c r="AND2503" s="38"/>
      <c r="ANE2503" s="38"/>
      <c r="ANF2503" s="38"/>
      <c r="ANG2503" s="38"/>
      <c r="ANH2503" s="38"/>
      <c r="ANI2503" s="38"/>
      <c r="ANJ2503" s="38"/>
      <c r="ANK2503" s="38"/>
      <c r="ANL2503" s="38"/>
      <c r="ANM2503" s="38"/>
      <c r="ANN2503" s="38"/>
      <c r="ANO2503" s="38"/>
      <c r="ANP2503" s="38"/>
      <c r="ANQ2503" s="38"/>
      <c r="ANR2503" s="38"/>
      <c r="ANS2503" s="38"/>
      <c r="ANT2503" s="38"/>
      <c r="ANU2503" s="38"/>
      <c r="ANV2503" s="38"/>
      <c r="ANW2503" s="38"/>
      <c r="ANX2503" s="38"/>
      <c r="ANY2503" s="38"/>
      <c r="ANZ2503" s="38"/>
      <c r="AOA2503" s="38"/>
      <c r="AOB2503" s="38"/>
      <c r="AOC2503" s="38"/>
      <c r="AOD2503" s="38"/>
      <c r="AOE2503" s="38"/>
      <c r="AOF2503" s="38"/>
      <c r="AOG2503" s="38"/>
      <c r="AOH2503" s="38"/>
      <c r="AOI2503" s="38"/>
      <c r="AOJ2503" s="38"/>
      <c r="AOK2503" s="38"/>
      <c r="AOL2503" s="38"/>
      <c r="AOM2503" s="38"/>
      <c r="AON2503" s="38"/>
      <c r="AOO2503" s="38"/>
      <c r="AOP2503" s="38"/>
      <c r="AOQ2503" s="38"/>
      <c r="AOR2503" s="38"/>
      <c r="AOS2503" s="38"/>
      <c r="AOT2503" s="38"/>
      <c r="AOU2503" s="38"/>
      <c r="AOV2503" s="38"/>
      <c r="AOW2503" s="38"/>
      <c r="AOX2503" s="38"/>
      <c r="AOY2503" s="38"/>
      <c r="AOZ2503" s="38"/>
      <c r="APA2503" s="38"/>
      <c r="APB2503" s="38"/>
      <c r="APC2503" s="38"/>
    </row>
    <row r="2504" spans="1:1095" s="36" customFormat="1" ht="14.25" customHeight="1">
      <c r="A2504" s="3" t="s">
        <v>1722</v>
      </c>
      <c r="B2504" s="36" t="s">
        <v>3129</v>
      </c>
      <c r="C2504" s="10">
        <v>4099854096051</v>
      </c>
      <c r="D2504" s="246"/>
      <c r="E2504" s="249"/>
      <c r="F2504" s="222" t="s">
        <v>3136</v>
      </c>
      <c r="G2504" s="66" t="str">
        <f>HYPERLINK("https://ledvance.com/pt/product-datasheet/271556/248776","Ficha de Produto")</f>
        <v>Ficha de Produto</v>
      </c>
      <c r="H2504" s="217">
        <v>10</v>
      </c>
      <c r="I2504" s="34" t="s">
        <v>6349</v>
      </c>
      <c r="J2504" s="34" t="s">
        <v>6418</v>
      </c>
      <c r="K2504" s="34" t="s">
        <v>788</v>
      </c>
      <c r="L2504" s="34" t="s">
        <v>765</v>
      </c>
      <c r="M2504" s="247">
        <v>37.200000000000003</v>
      </c>
      <c r="N2504" s="288" t="s">
        <v>722</v>
      </c>
    </row>
    <row r="2505" spans="1:1095" s="36" customFormat="1" ht="14.25" customHeight="1">
      <c r="A2505" s="3" t="s">
        <v>1722</v>
      </c>
      <c r="B2505" s="36" t="s">
        <v>3130</v>
      </c>
      <c r="C2505" s="10">
        <v>4099854094200</v>
      </c>
      <c r="D2505" s="246"/>
      <c r="E2505" s="249"/>
      <c r="F2505" s="222" t="s">
        <v>3136</v>
      </c>
      <c r="G2505" s="66" t="str">
        <f>HYPERLINK("https://ledvance.com/pt/product-datasheet/251526/248419","Ficha de Produto")</f>
        <v>Ficha de Produto</v>
      </c>
      <c r="H2505" s="217">
        <v>10</v>
      </c>
      <c r="I2505" s="34" t="s">
        <v>6349</v>
      </c>
      <c r="J2505" s="34" t="s">
        <v>6382</v>
      </c>
      <c r="K2505" s="34" t="s">
        <v>788</v>
      </c>
      <c r="L2505" s="34" t="s">
        <v>765</v>
      </c>
      <c r="M2505" s="247">
        <v>19.600000000000001</v>
      </c>
      <c r="N2505" s="288" t="s">
        <v>722</v>
      </c>
    </row>
    <row r="2506" spans="1:1095" s="36" customFormat="1" ht="14.25" customHeight="1">
      <c r="A2506" s="3" t="s">
        <v>1722</v>
      </c>
      <c r="B2506" s="36" t="s">
        <v>3131</v>
      </c>
      <c r="C2506" s="10">
        <v>4099854094224</v>
      </c>
      <c r="D2506" s="246"/>
      <c r="E2506" s="249"/>
      <c r="F2506" s="222" t="s">
        <v>3136</v>
      </c>
      <c r="G2506" s="66" t="str">
        <f>HYPERLINK("https://ledvance.com/pt/product-datasheet/251526/248422","Ficha de Produto")</f>
        <v>Ficha de Produto</v>
      </c>
      <c r="H2506" s="217">
        <v>10</v>
      </c>
      <c r="I2506" s="34" t="s">
        <v>6351</v>
      </c>
      <c r="J2506" s="34" t="s">
        <v>859</v>
      </c>
      <c r="K2506" s="34" t="s">
        <v>788</v>
      </c>
      <c r="L2506" s="34" t="s">
        <v>765</v>
      </c>
      <c r="M2506" s="247">
        <v>21.8</v>
      </c>
      <c r="N2506" s="288" t="s">
        <v>722</v>
      </c>
    </row>
    <row r="2507" spans="1:1095" s="39" customFormat="1" ht="14.25" customHeight="1">
      <c r="A2507" s="8" t="s">
        <v>1722</v>
      </c>
      <c r="B2507" s="244" t="s">
        <v>1713</v>
      </c>
      <c r="C2507" s="8"/>
      <c r="D2507" s="7"/>
      <c r="E2507" s="230"/>
      <c r="F2507" s="7"/>
      <c r="G2507" s="68"/>
      <c r="H2507" s="230"/>
      <c r="I2507" s="230"/>
      <c r="J2507" s="230"/>
      <c r="K2507" s="230"/>
      <c r="L2507" s="230"/>
      <c r="M2507" s="248"/>
      <c r="N2507" s="292"/>
      <c r="O2507" s="38"/>
      <c r="P2507" s="38"/>
      <c r="Q2507" s="38"/>
      <c r="R2507" s="38"/>
      <c r="S2507" s="38"/>
      <c r="T2507" s="38"/>
      <c r="U2507" s="38"/>
      <c r="V2507" s="38"/>
      <c r="W2507" s="38"/>
      <c r="X2507" s="38"/>
      <c r="Y2507" s="38"/>
      <c r="Z2507" s="38"/>
      <c r="AA2507" s="38"/>
      <c r="AB2507" s="38"/>
      <c r="AC2507" s="38"/>
      <c r="AD2507" s="38"/>
      <c r="AE2507" s="38"/>
      <c r="AF2507" s="38"/>
      <c r="AG2507" s="38"/>
      <c r="AH2507" s="38"/>
      <c r="AI2507" s="38"/>
      <c r="AJ2507" s="38"/>
      <c r="AK2507" s="38"/>
      <c r="AL2507" s="38"/>
      <c r="AM2507" s="38"/>
      <c r="AN2507" s="38"/>
      <c r="AO2507" s="38"/>
      <c r="AP2507" s="38"/>
      <c r="AQ2507" s="38"/>
      <c r="AR2507" s="38"/>
      <c r="AS2507" s="38"/>
      <c r="AT2507" s="38"/>
      <c r="AU2507" s="38"/>
      <c r="AV2507" s="38"/>
      <c r="AW2507" s="38"/>
      <c r="AX2507" s="38"/>
      <c r="AY2507" s="38"/>
      <c r="AZ2507" s="38"/>
      <c r="BA2507" s="38"/>
      <c r="BB2507" s="38"/>
      <c r="BC2507" s="38"/>
      <c r="BD2507" s="38"/>
      <c r="BE2507" s="38"/>
      <c r="BF2507" s="38"/>
      <c r="BG2507" s="38"/>
      <c r="BH2507" s="38"/>
      <c r="BI2507" s="38"/>
      <c r="BJ2507" s="38"/>
      <c r="BK2507" s="38"/>
      <c r="BL2507" s="38"/>
      <c r="BM2507" s="38"/>
      <c r="BN2507" s="38"/>
      <c r="BO2507" s="38"/>
      <c r="BP2507" s="38"/>
      <c r="BQ2507" s="38"/>
      <c r="BR2507" s="38"/>
      <c r="BS2507" s="38"/>
      <c r="BT2507" s="38"/>
      <c r="BU2507" s="38"/>
      <c r="BV2507" s="38"/>
      <c r="BW2507" s="38"/>
      <c r="BX2507" s="38"/>
      <c r="BY2507" s="38"/>
      <c r="BZ2507" s="38"/>
      <c r="CA2507" s="38"/>
      <c r="CB2507" s="38"/>
      <c r="CC2507" s="38"/>
      <c r="CD2507" s="38"/>
      <c r="CE2507" s="38"/>
      <c r="CF2507" s="38"/>
      <c r="CG2507" s="38"/>
      <c r="CH2507" s="38"/>
      <c r="CI2507" s="38"/>
      <c r="CJ2507" s="38"/>
      <c r="CK2507" s="38"/>
      <c r="CL2507" s="38"/>
      <c r="CM2507" s="38"/>
      <c r="CN2507" s="38"/>
      <c r="CO2507" s="38"/>
      <c r="CP2507" s="38"/>
      <c r="CQ2507" s="38"/>
      <c r="CR2507" s="38"/>
      <c r="CS2507" s="38"/>
      <c r="CT2507" s="38"/>
      <c r="CU2507" s="38"/>
      <c r="CV2507" s="38"/>
      <c r="CW2507" s="38"/>
      <c r="CX2507" s="38"/>
      <c r="CY2507" s="38"/>
      <c r="CZ2507" s="38"/>
      <c r="DA2507" s="38"/>
      <c r="DB2507" s="38"/>
      <c r="DC2507" s="38"/>
      <c r="DD2507" s="38"/>
      <c r="DE2507" s="38"/>
      <c r="DF2507" s="38"/>
      <c r="DG2507" s="38"/>
      <c r="DH2507" s="38"/>
      <c r="DI2507" s="38"/>
      <c r="DJ2507" s="38"/>
      <c r="DK2507" s="38"/>
      <c r="DL2507" s="38"/>
      <c r="DM2507" s="38"/>
      <c r="DN2507" s="38"/>
      <c r="DO2507" s="38"/>
      <c r="DP2507" s="38"/>
      <c r="DQ2507" s="38"/>
      <c r="DR2507" s="38"/>
      <c r="DS2507" s="38"/>
      <c r="DT2507" s="38"/>
      <c r="DU2507" s="38"/>
      <c r="DV2507" s="38"/>
      <c r="DW2507" s="38"/>
      <c r="DX2507" s="38"/>
      <c r="DY2507" s="38"/>
      <c r="DZ2507" s="38"/>
      <c r="EA2507" s="38"/>
      <c r="EB2507" s="38"/>
      <c r="EC2507" s="38"/>
      <c r="ED2507" s="38"/>
      <c r="EE2507" s="38"/>
      <c r="EF2507" s="38"/>
      <c r="EG2507" s="38"/>
      <c r="EH2507" s="38"/>
      <c r="EI2507" s="38"/>
      <c r="EJ2507" s="38"/>
      <c r="EK2507" s="38"/>
      <c r="EL2507" s="38"/>
      <c r="EM2507" s="38"/>
      <c r="EN2507" s="38"/>
      <c r="EO2507" s="38"/>
      <c r="EP2507" s="38"/>
      <c r="EQ2507" s="38"/>
      <c r="ER2507" s="38"/>
      <c r="ES2507" s="38"/>
      <c r="ET2507" s="38"/>
      <c r="EU2507" s="38"/>
      <c r="EV2507" s="38"/>
      <c r="EW2507" s="38"/>
      <c r="EX2507" s="38"/>
      <c r="EY2507" s="38"/>
      <c r="EZ2507" s="38"/>
      <c r="FA2507" s="38"/>
      <c r="FB2507" s="38"/>
      <c r="FC2507" s="38"/>
      <c r="FD2507" s="38"/>
      <c r="FE2507" s="38"/>
      <c r="FF2507" s="38"/>
      <c r="FG2507" s="38"/>
      <c r="FH2507" s="38"/>
      <c r="FI2507" s="38"/>
      <c r="FJ2507" s="38"/>
      <c r="FK2507" s="38"/>
      <c r="FL2507" s="38"/>
      <c r="FM2507" s="38"/>
      <c r="FN2507" s="38"/>
      <c r="FO2507" s="38"/>
      <c r="FP2507" s="38"/>
      <c r="FQ2507" s="38"/>
      <c r="FR2507" s="38"/>
      <c r="FS2507" s="38"/>
      <c r="FT2507" s="38"/>
      <c r="FU2507" s="38"/>
      <c r="FV2507" s="38"/>
      <c r="FW2507" s="38"/>
      <c r="FX2507" s="38"/>
      <c r="FY2507" s="38"/>
      <c r="FZ2507" s="38"/>
      <c r="GA2507" s="38"/>
      <c r="GB2507" s="38"/>
      <c r="GC2507" s="38"/>
      <c r="GD2507" s="38"/>
      <c r="GE2507" s="38"/>
      <c r="GF2507" s="38"/>
      <c r="GG2507" s="38"/>
      <c r="GH2507" s="38"/>
      <c r="GI2507" s="38"/>
      <c r="GJ2507" s="38"/>
      <c r="GK2507" s="38"/>
      <c r="GL2507" s="38"/>
      <c r="GM2507" s="38"/>
      <c r="GN2507" s="38"/>
      <c r="GO2507" s="38"/>
      <c r="GP2507" s="38"/>
      <c r="GQ2507" s="38"/>
      <c r="GR2507" s="38"/>
      <c r="GS2507" s="38"/>
      <c r="GT2507" s="38"/>
      <c r="GU2507" s="38"/>
      <c r="GV2507" s="38"/>
      <c r="GW2507" s="38"/>
      <c r="GX2507" s="38"/>
      <c r="GY2507" s="38"/>
      <c r="GZ2507" s="38"/>
      <c r="HA2507" s="38"/>
      <c r="HB2507" s="38"/>
      <c r="HC2507" s="38"/>
      <c r="HD2507" s="38"/>
      <c r="HE2507" s="38"/>
      <c r="HF2507" s="38"/>
      <c r="HG2507" s="38"/>
      <c r="HH2507" s="38"/>
      <c r="HI2507" s="38"/>
      <c r="HJ2507" s="38"/>
      <c r="HK2507" s="38"/>
      <c r="HL2507" s="38"/>
      <c r="HM2507" s="38"/>
      <c r="HN2507" s="38"/>
      <c r="HO2507" s="38"/>
      <c r="HP2507" s="38"/>
      <c r="HQ2507" s="38"/>
      <c r="HR2507" s="38"/>
      <c r="HS2507" s="38"/>
      <c r="HT2507" s="38"/>
      <c r="HU2507" s="38"/>
      <c r="HV2507" s="38"/>
      <c r="HW2507" s="38"/>
      <c r="HX2507" s="38"/>
      <c r="HY2507" s="38"/>
      <c r="HZ2507" s="38"/>
      <c r="IA2507" s="38"/>
      <c r="IB2507" s="38"/>
      <c r="IC2507" s="38"/>
      <c r="ID2507" s="38"/>
      <c r="IE2507" s="38"/>
      <c r="IF2507" s="38"/>
      <c r="IG2507" s="38"/>
      <c r="IH2507" s="38"/>
      <c r="II2507" s="38"/>
      <c r="IJ2507" s="38"/>
      <c r="IK2507" s="38"/>
      <c r="IL2507" s="38"/>
      <c r="IM2507" s="38"/>
      <c r="IN2507" s="38"/>
      <c r="IO2507" s="38"/>
      <c r="IP2507" s="38"/>
      <c r="IQ2507" s="38"/>
      <c r="IR2507" s="38"/>
      <c r="IS2507" s="38"/>
      <c r="IT2507" s="38"/>
      <c r="IU2507" s="38"/>
      <c r="IV2507" s="38"/>
      <c r="IW2507" s="38"/>
      <c r="IX2507" s="38"/>
      <c r="IY2507" s="38"/>
      <c r="IZ2507" s="38"/>
      <c r="JA2507" s="38"/>
      <c r="JB2507" s="38"/>
      <c r="JC2507" s="38"/>
      <c r="JD2507" s="38"/>
      <c r="JE2507" s="38"/>
      <c r="JF2507" s="38"/>
      <c r="JG2507" s="38"/>
      <c r="JH2507" s="38"/>
      <c r="JI2507" s="38"/>
      <c r="JJ2507" s="38"/>
      <c r="JK2507" s="38"/>
      <c r="JL2507" s="38"/>
      <c r="JM2507" s="38"/>
      <c r="JN2507" s="38"/>
      <c r="JO2507" s="38"/>
      <c r="JP2507" s="38"/>
      <c r="JQ2507" s="38"/>
      <c r="JR2507" s="38"/>
      <c r="JS2507" s="38"/>
      <c r="JT2507" s="38"/>
      <c r="JU2507" s="38"/>
      <c r="JV2507" s="38"/>
      <c r="JW2507" s="38"/>
      <c r="JX2507" s="38"/>
      <c r="JY2507" s="38"/>
      <c r="JZ2507" s="38"/>
      <c r="KA2507" s="38"/>
      <c r="KB2507" s="38"/>
      <c r="KC2507" s="38"/>
      <c r="KD2507" s="38"/>
      <c r="KE2507" s="38"/>
      <c r="KF2507" s="38"/>
      <c r="KG2507" s="38"/>
      <c r="KH2507" s="38"/>
      <c r="KI2507" s="38"/>
      <c r="KJ2507" s="38"/>
      <c r="KK2507" s="38"/>
      <c r="KL2507" s="38"/>
      <c r="KM2507" s="38"/>
      <c r="KN2507" s="38"/>
      <c r="KO2507" s="38"/>
      <c r="KP2507" s="38"/>
      <c r="KQ2507" s="38"/>
      <c r="KR2507" s="38"/>
      <c r="KS2507" s="38"/>
      <c r="KT2507" s="38"/>
      <c r="KU2507" s="38"/>
      <c r="KV2507" s="38"/>
      <c r="KW2507" s="38"/>
      <c r="KX2507" s="38"/>
      <c r="KY2507" s="38"/>
      <c r="KZ2507" s="38"/>
      <c r="LA2507" s="38"/>
      <c r="LB2507" s="38"/>
      <c r="LC2507" s="38"/>
      <c r="LD2507" s="38"/>
      <c r="LE2507" s="38"/>
      <c r="LF2507" s="38"/>
      <c r="LG2507" s="38"/>
      <c r="LH2507" s="38"/>
      <c r="LI2507" s="38"/>
      <c r="LJ2507" s="38"/>
      <c r="LK2507" s="38"/>
      <c r="LL2507" s="38"/>
      <c r="LM2507" s="38"/>
      <c r="LN2507" s="38"/>
      <c r="LO2507" s="38"/>
      <c r="LP2507" s="38"/>
      <c r="LQ2507" s="38"/>
      <c r="LR2507" s="38"/>
      <c r="LS2507" s="38"/>
      <c r="LT2507" s="38"/>
      <c r="LU2507" s="38"/>
      <c r="LV2507" s="38"/>
      <c r="LW2507" s="38"/>
      <c r="LX2507" s="38"/>
      <c r="LY2507" s="38"/>
      <c r="LZ2507" s="38"/>
      <c r="MA2507" s="38"/>
      <c r="MB2507" s="38"/>
      <c r="MC2507" s="38"/>
      <c r="MD2507" s="38"/>
      <c r="ME2507" s="38"/>
      <c r="MF2507" s="38"/>
      <c r="MG2507" s="38"/>
      <c r="MH2507" s="38"/>
      <c r="MI2507" s="38"/>
      <c r="MJ2507" s="38"/>
      <c r="MK2507" s="38"/>
      <c r="ML2507" s="38"/>
      <c r="MM2507" s="38"/>
      <c r="MN2507" s="38"/>
      <c r="MO2507" s="38"/>
      <c r="MP2507" s="38"/>
      <c r="MQ2507" s="38"/>
      <c r="MR2507" s="38"/>
      <c r="MS2507" s="38"/>
      <c r="MT2507" s="38"/>
      <c r="MU2507" s="38"/>
      <c r="MV2507" s="38"/>
      <c r="MW2507" s="38"/>
      <c r="MX2507" s="38"/>
      <c r="MY2507" s="38"/>
      <c r="MZ2507" s="38"/>
      <c r="NA2507" s="38"/>
      <c r="NB2507" s="38"/>
      <c r="NC2507" s="38"/>
      <c r="ND2507" s="38"/>
      <c r="NE2507" s="38"/>
      <c r="NF2507" s="38"/>
      <c r="NG2507" s="38"/>
      <c r="NH2507" s="38"/>
      <c r="NI2507" s="38"/>
      <c r="NJ2507" s="38"/>
      <c r="NK2507" s="38"/>
      <c r="NL2507" s="38"/>
      <c r="NM2507" s="38"/>
      <c r="NN2507" s="38"/>
      <c r="NO2507" s="38"/>
      <c r="NP2507" s="38"/>
      <c r="NQ2507" s="38"/>
      <c r="NR2507" s="38"/>
      <c r="NS2507" s="38"/>
      <c r="NT2507" s="38"/>
      <c r="NU2507" s="38"/>
      <c r="NV2507" s="38"/>
      <c r="NW2507" s="38"/>
      <c r="NX2507" s="38"/>
      <c r="NY2507" s="38"/>
      <c r="NZ2507" s="38"/>
      <c r="OA2507" s="38"/>
      <c r="OB2507" s="38"/>
      <c r="OC2507" s="38"/>
      <c r="OD2507" s="38"/>
      <c r="OE2507" s="38"/>
      <c r="OF2507" s="38"/>
      <c r="OG2507" s="38"/>
      <c r="OH2507" s="38"/>
      <c r="OI2507" s="38"/>
      <c r="OJ2507" s="38"/>
      <c r="OK2507" s="38"/>
      <c r="OL2507" s="38"/>
      <c r="OM2507" s="38"/>
      <c r="ON2507" s="38"/>
      <c r="OO2507" s="38"/>
      <c r="OP2507" s="38"/>
      <c r="OQ2507" s="38"/>
      <c r="OR2507" s="38"/>
      <c r="OS2507" s="38"/>
      <c r="OT2507" s="38"/>
      <c r="OU2507" s="38"/>
      <c r="OV2507" s="38"/>
      <c r="OW2507" s="38"/>
      <c r="OX2507" s="38"/>
      <c r="OY2507" s="38"/>
      <c r="OZ2507" s="38"/>
      <c r="PA2507" s="38"/>
      <c r="PB2507" s="38"/>
      <c r="PC2507" s="38"/>
      <c r="PD2507" s="38"/>
      <c r="PE2507" s="38"/>
      <c r="PF2507" s="38"/>
      <c r="PG2507" s="38"/>
      <c r="PH2507" s="38"/>
      <c r="PI2507" s="38"/>
      <c r="PJ2507" s="38"/>
      <c r="PK2507" s="38"/>
      <c r="PL2507" s="38"/>
      <c r="PM2507" s="38"/>
      <c r="PN2507" s="38"/>
      <c r="PO2507" s="38"/>
      <c r="PP2507" s="38"/>
      <c r="PQ2507" s="38"/>
      <c r="PR2507" s="38"/>
      <c r="PS2507" s="38"/>
      <c r="PT2507" s="38"/>
      <c r="PU2507" s="38"/>
      <c r="PV2507" s="38"/>
      <c r="PW2507" s="38"/>
      <c r="PX2507" s="38"/>
      <c r="PY2507" s="38"/>
      <c r="PZ2507" s="38"/>
      <c r="QA2507" s="38"/>
      <c r="QB2507" s="38"/>
      <c r="QC2507" s="38"/>
      <c r="QD2507" s="38"/>
      <c r="QE2507" s="38"/>
      <c r="QF2507" s="38"/>
      <c r="QG2507" s="38"/>
      <c r="QH2507" s="38"/>
      <c r="QI2507" s="38"/>
      <c r="QJ2507" s="38"/>
      <c r="QK2507" s="38"/>
      <c r="QL2507" s="38"/>
      <c r="QM2507" s="38"/>
      <c r="QN2507" s="38"/>
      <c r="QO2507" s="38"/>
      <c r="QP2507" s="38"/>
      <c r="QQ2507" s="38"/>
      <c r="QR2507" s="38"/>
      <c r="QS2507" s="38"/>
      <c r="QT2507" s="38"/>
      <c r="QU2507" s="38"/>
      <c r="QV2507" s="38"/>
      <c r="QW2507" s="38"/>
      <c r="QX2507" s="38"/>
      <c r="QY2507" s="38"/>
      <c r="QZ2507" s="38"/>
      <c r="RA2507" s="38"/>
      <c r="RB2507" s="38"/>
      <c r="RC2507" s="38"/>
      <c r="RD2507" s="38"/>
      <c r="RE2507" s="38"/>
      <c r="RF2507" s="38"/>
      <c r="RG2507" s="38"/>
      <c r="RH2507" s="38"/>
      <c r="RI2507" s="38"/>
      <c r="RJ2507" s="38"/>
      <c r="RK2507" s="38"/>
      <c r="RL2507" s="38"/>
      <c r="RM2507" s="38"/>
      <c r="RN2507" s="38"/>
      <c r="RO2507" s="38"/>
      <c r="RP2507" s="38"/>
      <c r="RQ2507" s="38"/>
      <c r="RR2507" s="38"/>
      <c r="RS2507" s="38"/>
      <c r="RT2507" s="38"/>
      <c r="RU2507" s="38"/>
      <c r="RV2507" s="38"/>
      <c r="RW2507" s="38"/>
      <c r="RX2507" s="38"/>
      <c r="RY2507" s="38"/>
      <c r="RZ2507" s="38"/>
      <c r="SA2507" s="38"/>
      <c r="SB2507" s="38"/>
      <c r="SC2507" s="38"/>
      <c r="SD2507" s="38"/>
      <c r="SE2507" s="38"/>
      <c r="SF2507" s="38"/>
      <c r="SG2507" s="38"/>
      <c r="SH2507" s="38"/>
      <c r="SI2507" s="38"/>
      <c r="SJ2507" s="38"/>
      <c r="SK2507" s="38"/>
      <c r="SL2507" s="38"/>
      <c r="SM2507" s="38"/>
      <c r="SN2507" s="38"/>
      <c r="SO2507" s="38"/>
      <c r="SP2507" s="38"/>
      <c r="SQ2507" s="38"/>
      <c r="SR2507" s="38"/>
      <c r="SS2507" s="38"/>
      <c r="ST2507" s="38"/>
      <c r="SU2507" s="38"/>
      <c r="SV2507" s="38"/>
      <c r="SW2507" s="38"/>
      <c r="SX2507" s="38"/>
      <c r="SY2507" s="38"/>
      <c r="SZ2507" s="38"/>
      <c r="TA2507" s="38"/>
      <c r="TB2507" s="38"/>
      <c r="TC2507" s="38"/>
      <c r="TD2507" s="38"/>
      <c r="TE2507" s="38"/>
      <c r="TF2507" s="38"/>
      <c r="TG2507" s="38"/>
      <c r="TH2507" s="38"/>
      <c r="TI2507" s="38"/>
      <c r="TJ2507" s="38"/>
      <c r="TK2507" s="38"/>
      <c r="TL2507" s="38"/>
      <c r="TM2507" s="38"/>
      <c r="TN2507" s="38"/>
      <c r="TO2507" s="38"/>
      <c r="TP2507" s="38"/>
      <c r="TQ2507" s="38"/>
      <c r="TR2507" s="38"/>
      <c r="TS2507" s="38"/>
      <c r="TT2507" s="38"/>
      <c r="TU2507" s="38"/>
      <c r="TV2507" s="38"/>
      <c r="TW2507" s="38"/>
      <c r="TX2507" s="38"/>
      <c r="TY2507" s="38"/>
      <c r="TZ2507" s="38"/>
      <c r="UA2507" s="38"/>
      <c r="UB2507" s="38"/>
      <c r="UC2507" s="38"/>
      <c r="UD2507" s="38"/>
      <c r="UE2507" s="38"/>
      <c r="UF2507" s="38"/>
      <c r="UG2507" s="38"/>
      <c r="UH2507" s="38"/>
      <c r="UI2507" s="38"/>
      <c r="UJ2507" s="38"/>
      <c r="UK2507" s="38"/>
      <c r="UL2507" s="38"/>
      <c r="UM2507" s="38"/>
      <c r="UN2507" s="38"/>
      <c r="UO2507" s="38"/>
      <c r="UP2507" s="38"/>
      <c r="UQ2507" s="38"/>
      <c r="UR2507" s="38"/>
      <c r="US2507" s="38"/>
      <c r="UT2507" s="38"/>
      <c r="UU2507" s="38"/>
      <c r="UV2507" s="38"/>
      <c r="UW2507" s="38"/>
      <c r="UX2507" s="38"/>
      <c r="UY2507" s="38"/>
      <c r="UZ2507" s="38"/>
      <c r="VA2507" s="38"/>
      <c r="VB2507" s="38"/>
      <c r="VC2507" s="38"/>
      <c r="VD2507" s="38"/>
      <c r="VE2507" s="38"/>
      <c r="VF2507" s="38"/>
      <c r="VG2507" s="38"/>
      <c r="VH2507" s="38"/>
      <c r="VI2507" s="38"/>
      <c r="VJ2507" s="38"/>
      <c r="VK2507" s="38"/>
      <c r="VL2507" s="38"/>
      <c r="VM2507" s="38"/>
      <c r="VN2507" s="38"/>
      <c r="VO2507" s="38"/>
      <c r="VP2507" s="38"/>
      <c r="VQ2507" s="38"/>
      <c r="VR2507" s="38"/>
      <c r="VS2507" s="38"/>
      <c r="VT2507" s="38"/>
      <c r="VU2507" s="38"/>
      <c r="VV2507" s="38"/>
      <c r="VW2507" s="38"/>
      <c r="VX2507" s="38"/>
      <c r="VY2507" s="38"/>
      <c r="VZ2507" s="38"/>
      <c r="WA2507" s="38"/>
      <c r="WB2507" s="38"/>
      <c r="WC2507" s="38"/>
      <c r="WD2507" s="38"/>
      <c r="WE2507" s="38"/>
      <c r="WF2507" s="38"/>
      <c r="WG2507" s="38"/>
      <c r="WH2507" s="38"/>
      <c r="WI2507" s="38"/>
      <c r="WJ2507" s="38"/>
      <c r="WK2507" s="38"/>
      <c r="WL2507" s="38"/>
      <c r="WM2507" s="38"/>
      <c r="WN2507" s="38"/>
      <c r="WO2507" s="38"/>
      <c r="WP2507" s="38"/>
      <c r="WQ2507" s="38"/>
      <c r="WR2507" s="38"/>
      <c r="WS2507" s="38"/>
      <c r="WT2507" s="38"/>
      <c r="WU2507" s="38"/>
      <c r="WV2507" s="38"/>
      <c r="WW2507" s="38"/>
      <c r="WX2507" s="38"/>
      <c r="WY2507" s="38"/>
      <c r="WZ2507" s="38"/>
      <c r="XA2507" s="38"/>
      <c r="XB2507" s="38"/>
      <c r="XC2507" s="38"/>
      <c r="XD2507" s="38"/>
      <c r="XE2507" s="38"/>
      <c r="XF2507" s="38"/>
      <c r="XG2507" s="38"/>
      <c r="XH2507" s="38"/>
      <c r="XI2507" s="38"/>
      <c r="XJ2507" s="38"/>
      <c r="XK2507" s="38"/>
      <c r="XL2507" s="38"/>
      <c r="XM2507" s="38"/>
      <c r="XN2507" s="38"/>
      <c r="XO2507" s="38"/>
      <c r="XP2507" s="38"/>
      <c r="XQ2507" s="38"/>
      <c r="XR2507" s="38"/>
      <c r="XS2507" s="38"/>
      <c r="XT2507" s="38"/>
      <c r="XU2507" s="38"/>
      <c r="XV2507" s="38"/>
      <c r="XW2507" s="38"/>
      <c r="XX2507" s="38"/>
      <c r="XY2507" s="38"/>
      <c r="XZ2507" s="38"/>
      <c r="YA2507" s="38"/>
      <c r="YB2507" s="38"/>
      <c r="YC2507" s="38"/>
      <c r="YD2507" s="38"/>
      <c r="YE2507" s="38"/>
      <c r="YF2507" s="38"/>
      <c r="YG2507" s="38"/>
      <c r="YH2507" s="38"/>
      <c r="YI2507" s="38"/>
      <c r="YJ2507" s="38"/>
      <c r="YK2507" s="38"/>
      <c r="YL2507" s="38"/>
      <c r="YM2507" s="38"/>
      <c r="YN2507" s="38"/>
      <c r="YO2507" s="38"/>
      <c r="YP2507" s="38"/>
      <c r="YQ2507" s="38"/>
      <c r="YR2507" s="38"/>
      <c r="YS2507" s="38"/>
      <c r="YT2507" s="38"/>
      <c r="YU2507" s="38"/>
      <c r="YV2507" s="38"/>
      <c r="YW2507" s="38"/>
      <c r="YX2507" s="38"/>
      <c r="YY2507" s="38"/>
      <c r="YZ2507" s="38"/>
      <c r="ZA2507" s="38"/>
      <c r="ZB2507" s="38"/>
      <c r="ZC2507" s="38"/>
      <c r="ZD2507" s="38"/>
      <c r="ZE2507" s="38"/>
      <c r="ZF2507" s="38"/>
      <c r="ZG2507" s="38"/>
      <c r="ZH2507" s="38"/>
      <c r="ZI2507" s="38"/>
      <c r="ZJ2507" s="38"/>
      <c r="ZK2507" s="38"/>
      <c r="ZL2507" s="38"/>
      <c r="ZM2507" s="38"/>
      <c r="ZN2507" s="38"/>
      <c r="ZO2507" s="38"/>
      <c r="ZP2507" s="38"/>
      <c r="ZQ2507" s="38"/>
      <c r="ZR2507" s="38"/>
      <c r="ZS2507" s="38"/>
      <c r="ZT2507" s="38"/>
      <c r="ZU2507" s="38"/>
      <c r="ZV2507" s="38"/>
      <c r="ZW2507" s="38"/>
      <c r="ZX2507" s="38"/>
      <c r="ZY2507" s="38"/>
      <c r="ZZ2507" s="38"/>
      <c r="AAA2507" s="38"/>
      <c r="AAB2507" s="38"/>
      <c r="AAC2507" s="38"/>
      <c r="AAD2507" s="38"/>
      <c r="AAE2507" s="38"/>
      <c r="AAF2507" s="38"/>
      <c r="AAG2507" s="38"/>
      <c r="AAH2507" s="38"/>
      <c r="AAI2507" s="38"/>
      <c r="AAJ2507" s="38"/>
      <c r="AAK2507" s="38"/>
      <c r="AAL2507" s="38"/>
      <c r="AAM2507" s="38"/>
      <c r="AAN2507" s="38"/>
      <c r="AAO2507" s="38"/>
      <c r="AAP2507" s="38"/>
      <c r="AAQ2507" s="38"/>
      <c r="AAR2507" s="38"/>
      <c r="AAS2507" s="38"/>
      <c r="AAT2507" s="38"/>
      <c r="AAU2507" s="38"/>
      <c r="AAV2507" s="38"/>
      <c r="AAW2507" s="38"/>
      <c r="AAX2507" s="38"/>
      <c r="AAY2507" s="38"/>
      <c r="AAZ2507" s="38"/>
      <c r="ABA2507" s="38"/>
      <c r="ABB2507" s="38"/>
      <c r="ABC2507" s="38"/>
      <c r="ABD2507" s="38"/>
      <c r="ABE2507" s="38"/>
      <c r="ABF2507" s="38"/>
      <c r="ABG2507" s="38"/>
      <c r="ABH2507" s="38"/>
      <c r="ABI2507" s="38"/>
      <c r="ABJ2507" s="38"/>
      <c r="ABK2507" s="38"/>
      <c r="ABL2507" s="38"/>
      <c r="ABM2507" s="38"/>
      <c r="ABN2507" s="38"/>
      <c r="ABO2507" s="38"/>
      <c r="ABP2507" s="38"/>
      <c r="ABQ2507" s="38"/>
      <c r="ABR2507" s="38"/>
      <c r="ABS2507" s="38"/>
      <c r="ABT2507" s="38"/>
      <c r="ABU2507" s="38"/>
      <c r="ABV2507" s="38"/>
      <c r="ABW2507" s="38"/>
      <c r="ABX2507" s="38"/>
      <c r="ABY2507" s="38"/>
      <c r="ABZ2507" s="38"/>
      <c r="ACA2507" s="38"/>
      <c r="ACB2507" s="38"/>
      <c r="ACC2507" s="38"/>
      <c r="ACD2507" s="38"/>
      <c r="ACE2507" s="38"/>
      <c r="ACF2507" s="38"/>
      <c r="ACG2507" s="38"/>
      <c r="ACH2507" s="38"/>
      <c r="ACI2507" s="38"/>
      <c r="ACJ2507" s="38"/>
      <c r="ACK2507" s="38"/>
      <c r="ACL2507" s="38"/>
      <c r="ACM2507" s="38"/>
      <c r="ACN2507" s="38"/>
      <c r="ACO2507" s="38"/>
      <c r="ACP2507" s="38"/>
      <c r="ACQ2507" s="38"/>
      <c r="ACR2507" s="38"/>
      <c r="ACS2507" s="38"/>
      <c r="ACT2507" s="38"/>
      <c r="ACU2507" s="38"/>
      <c r="ACV2507" s="38"/>
      <c r="ACW2507" s="38"/>
      <c r="ACX2507" s="38"/>
      <c r="ACY2507" s="38"/>
      <c r="ACZ2507" s="38"/>
      <c r="ADA2507" s="38"/>
      <c r="ADB2507" s="38"/>
      <c r="ADC2507" s="38"/>
      <c r="ADD2507" s="38"/>
      <c r="ADE2507" s="38"/>
      <c r="ADF2507" s="38"/>
      <c r="ADG2507" s="38"/>
      <c r="ADH2507" s="38"/>
      <c r="ADI2507" s="38"/>
      <c r="ADJ2507" s="38"/>
      <c r="ADK2507" s="38"/>
      <c r="ADL2507" s="38"/>
      <c r="ADM2507" s="38"/>
      <c r="ADN2507" s="38"/>
      <c r="ADO2507" s="38"/>
      <c r="ADP2507" s="38"/>
      <c r="ADQ2507" s="38"/>
      <c r="ADR2507" s="38"/>
      <c r="ADS2507" s="38"/>
      <c r="ADT2507" s="38"/>
      <c r="ADU2507" s="38"/>
      <c r="ADV2507" s="38"/>
      <c r="ADW2507" s="38"/>
      <c r="ADX2507" s="38"/>
      <c r="ADY2507" s="38"/>
      <c r="ADZ2507" s="38"/>
      <c r="AEA2507" s="38"/>
      <c r="AEB2507" s="38"/>
      <c r="AEC2507" s="38"/>
      <c r="AED2507" s="38"/>
      <c r="AEE2507" s="38"/>
      <c r="AEF2507" s="38"/>
      <c r="AEG2507" s="38"/>
      <c r="AEH2507" s="38"/>
      <c r="AEI2507" s="38"/>
      <c r="AEJ2507" s="38"/>
      <c r="AEK2507" s="38"/>
      <c r="AEL2507" s="38"/>
      <c r="AEM2507" s="38"/>
      <c r="AEN2507" s="38"/>
      <c r="AEO2507" s="38"/>
      <c r="AEP2507" s="38"/>
      <c r="AEQ2507" s="38"/>
      <c r="AER2507" s="38"/>
      <c r="AES2507" s="38"/>
      <c r="AET2507" s="38"/>
      <c r="AEU2507" s="38"/>
      <c r="AEV2507" s="38"/>
      <c r="AEW2507" s="38"/>
      <c r="AEX2507" s="38"/>
      <c r="AEY2507" s="38"/>
      <c r="AEZ2507" s="38"/>
      <c r="AFA2507" s="38"/>
      <c r="AFB2507" s="38"/>
      <c r="AFC2507" s="38"/>
      <c r="AFD2507" s="38"/>
      <c r="AFE2507" s="38"/>
      <c r="AFF2507" s="38"/>
      <c r="AFG2507" s="38"/>
      <c r="AFH2507" s="38"/>
      <c r="AFI2507" s="38"/>
      <c r="AFJ2507" s="38"/>
      <c r="AFK2507" s="38"/>
      <c r="AFL2507" s="38"/>
      <c r="AFM2507" s="38"/>
      <c r="AFN2507" s="38"/>
      <c r="AFO2507" s="38"/>
      <c r="AFP2507" s="38"/>
      <c r="AFQ2507" s="38"/>
      <c r="AFR2507" s="38"/>
      <c r="AFS2507" s="38"/>
      <c r="AFT2507" s="38"/>
      <c r="AFU2507" s="38"/>
      <c r="AFV2507" s="38"/>
      <c r="AFW2507" s="38"/>
      <c r="AFX2507" s="38"/>
      <c r="AFY2507" s="38"/>
      <c r="AFZ2507" s="38"/>
      <c r="AGA2507" s="38"/>
      <c r="AGB2507" s="38"/>
      <c r="AGC2507" s="38"/>
      <c r="AGD2507" s="38"/>
      <c r="AGE2507" s="38"/>
      <c r="AGF2507" s="38"/>
      <c r="AGG2507" s="38"/>
      <c r="AGH2507" s="38"/>
      <c r="AGI2507" s="38"/>
      <c r="AGJ2507" s="38"/>
      <c r="AGK2507" s="38"/>
      <c r="AGL2507" s="38"/>
      <c r="AGM2507" s="38"/>
      <c r="AGN2507" s="38"/>
      <c r="AGO2507" s="38"/>
      <c r="AGP2507" s="38"/>
      <c r="AGQ2507" s="38"/>
      <c r="AGR2507" s="38"/>
      <c r="AGS2507" s="38"/>
      <c r="AGT2507" s="38"/>
      <c r="AGU2507" s="38"/>
      <c r="AGV2507" s="38"/>
      <c r="AGW2507" s="38"/>
      <c r="AGX2507" s="38"/>
      <c r="AGY2507" s="38"/>
      <c r="AGZ2507" s="38"/>
      <c r="AHA2507" s="38"/>
      <c r="AHB2507" s="38"/>
      <c r="AHC2507" s="38"/>
      <c r="AHD2507" s="38"/>
      <c r="AHE2507" s="38"/>
      <c r="AHF2507" s="38"/>
      <c r="AHG2507" s="38"/>
      <c r="AHH2507" s="38"/>
      <c r="AHI2507" s="38"/>
      <c r="AHJ2507" s="38"/>
      <c r="AHK2507" s="38"/>
      <c r="AHL2507" s="38"/>
      <c r="AHM2507" s="38"/>
      <c r="AHN2507" s="38"/>
      <c r="AHO2507" s="38"/>
      <c r="AHP2507" s="38"/>
      <c r="AHQ2507" s="38"/>
      <c r="AHR2507" s="38"/>
      <c r="AHS2507" s="38"/>
      <c r="AHT2507" s="38"/>
      <c r="AHU2507" s="38"/>
      <c r="AHV2507" s="38"/>
      <c r="AHW2507" s="38"/>
      <c r="AHX2507" s="38"/>
      <c r="AHY2507" s="38"/>
      <c r="AHZ2507" s="38"/>
      <c r="AIA2507" s="38"/>
      <c r="AIB2507" s="38"/>
      <c r="AIC2507" s="38"/>
      <c r="AID2507" s="38"/>
      <c r="AIE2507" s="38"/>
      <c r="AIF2507" s="38"/>
      <c r="AIG2507" s="38"/>
      <c r="AIH2507" s="38"/>
      <c r="AII2507" s="38"/>
      <c r="AIJ2507" s="38"/>
      <c r="AIK2507" s="38"/>
      <c r="AIL2507" s="38"/>
      <c r="AIM2507" s="38"/>
      <c r="AIN2507" s="38"/>
      <c r="AIO2507" s="38"/>
      <c r="AIP2507" s="38"/>
      <c r="AIQ2507" s="38"/>
      <c r="AIR2507" s="38"/>
      <c r="AIS2507" s="38"/>
      <c r="AIT2507" s="38"/>
      <c r="AIU2507" s="38"/>
      <c r="AIV2507" s="38"/>
      <c r="AIW2507" s="38"/>
      <c r="AIX2507" s="38"/>
      <c r="AIY2507" s="38"/>
      <c r="AIZ2507" s="38"/>
      <c r="AJA2507" s="38"/>
      <c r="AJB2507" s="38"/>
      <c r="AJC2507" s="38"/>
      <c r="AJD2507" s="38"/>
      <c r="AJE2507" s="38"/>
      <c r="AJF2507" s="38"/>
      <c r="AJG2507" s="38"/>
      <c r="AJH2507" s="38"/>
      <c r="AJI2507" s="38"/>
      <c r="AJJ2507" s="38"/>
      <c r="AJK2507" s="38"/>
      <c r="AJL2507" s="38"/>
      <c r="AJM2507" s="38"/>
      <c r="AJN2507" s="38"/>
      <c r="AJO2507" s="38"/>
      <c r="AJP2507" s="38"/>
      <c r="AJQ2507" s="38"/>
      <c r="AJR2507" s="38"/>
      <c r="AJS2507" s="38"/>
      <c r="AJT2507" s="38"/>
      <c r="AJU2507" s="38"/>
      <c r="AJV2507" s="38"/>
      <c r="AJW2507" s="38"/>
      <c r="AJX2507" s="38"/>
      <c r="AJY2507" s="38"/>
      <c r="AJZ2507" s="38"/>
      <c r="AKA2507" s="38"/>
      <c r="AKB2507" s="38"/>
      <c r="AKC2507" s="38"/>
      <c r="AKD2507" s="38"/>
      <c r="AKE2507" s="38"/>
      <c r="AKF2507" s="38"/>
      <c r="AKG2507" s="38"/>
      <c r="AKH2507" s="38"/>
      <c r="AKI2507" s="38"/>
      <c r="AKJ2507" s="38"/>
      <c r="AKK2507" s="38"/>
      <c r="AKL2507" s="38"/>
      <c r="AKM2507" s="38"/>
      <c r="AKN2507" s="38"/>
      <c r="AKO2507" s="38"/>
      <c r="AKP2507" s="38"/>
      <c r="AKQ2507" s="38"/>
      <c r="AKR2507" s="38"/>
      <c r="AKS2507" s="38"/>
      <c r="AKT2507" s="38"/>
      <c r="AKU2507" s="38"/>
      <c r="AKV2507" s="38"/>
      <c r="AKW2507" s="38"/>
      <c r="AKX2507" s="38"/>
      <c r="AKY2507" s="38"/>
      <c r="AKZ2507" s="38"/>
      <c r="ALA2507" s="38"/>
      <c r="ALB2507" s="38"/>
      <c r="ALC2507" s="38"/>
      <c r="ALD2507" s="38"/>
      <c r="ALE2507" s="38"/>
      <c r="ALF2507" s="38"/>
      <c r="ALG2507" s="38"/>
      <c r="ALH2507" s="38"/>
      <c r="ALI2507" s="38"/>
      <c r="ALJ2507" s="38"/>
      <c r="ALK2507" s="38"/>
      <c r="ALL2507" s="38"/>
      <c r="ALM2507" s="38"/>
      <c r="ALN2507" s="38"/>
      <c r="ALO2507" s="38"/>
      <c r="ALP2507" s="38"/>
      <c r="ALQ2507" s="38"/>
      <c r="ALR2507" s="38"/>
      <c r="ALS2507" s="38"/>
      <c r="ALT2507" s="38"/>
      <c r="ALU2507" s="38"/>
      <c r="ALV2507" s="38"/>
      <c r="ALW2507" s="38"/>
      <c r="ALX2507" s="38"/>
      <c r="ALY2507" s="38"/>
      <c r="ALZ2507" s="38"/>
      <c r="AMA2507" s="38"/>
      <c r="AMB2507" s="38"/>
      <c r="AMC2507" s="38"/>
      <c r="AMD2507" s="38"/>
      <c r="AME2507" s="38"/>
      <c r="AMF2507" s="38"/>
      <c r="AMG2507" s="38"/>
      <c r="AMH2507" s="38"/>
      <c r="AMI2507" s="38"/>
      <c r="AMJ2507" s="38"/>
      <c r="AMK2507" s="38"/>
      <c r="AML2507" s="38"/>
      <c r="AMM2507" s="38"/>
      <c r="AMN2507" s="38"/>
      <c r="AMO2507" s="38"/>
      <c r="AMP2507" s="38"/>
      <c r="AMQ2507" s="38"/>
      <c r="AMR2507" s="38"/>
      <c r="AMS2507" s="38"/>
      <c r="AMT2507" s="38"/>
      <c r="AMU2507" s="38"/>
      <c r="AMV2507" s="38"/>
      <c r="AMW2507" s="38"/>
      <c r="AMX2507" s="38"/>
      <c r="AMY2507" s="38"/>
      <c r="AMZ2507" s="38"/>
      <c r="ANA2507" s="38"/>
      <c r="ANB2507" s="38"/>
      <c r="ANC2507" s="38"/>
      <c r="AND2507" s="38"/>
      <c r="ANE2507" s="38"/>
      <c r="ANF2507" s="38"/>
      <c r="ANG2507" s="38"/>
      <c r="ANH2507" s="38"/>
      <c r="ANI2507" s="38"/>
      <c r="ANJ2507" s="38"/>
      <c r="ANK2507" s="38"/>
      <c r="ANL2507" s="38"/>
      <c r="ANM2507" s="38"/>
      <c r="ANN2507" s="38"/>
      <c r="ANO2507" s="38"/>
      <c r="ANP2507" s="38"/>
      <c r="ANQ2507" s="38"/>
      <c r="ANR2507" s="38"/>
      <c r="ANS2507" s="38"/>
      <c r="ANT2507" s="38"/>
      <c r="ANU2507" s="38"/>
      <c r="ANV2507" s="38"/>
      <c r="ANW2507" s="38"/>
      <c r="ANX2507" s="38"/>
      <c r="ANY2507" s="38"/>
      <c r="ANZ2507" s="38"/>
      <c r="AOA2507" s="38"/>
      <c r="AOB2507" s="38"/>
      <c r="AOC2507" s="38"/>
      <c r="AOD2507" s="38"/>
      <c r="AOE2507" s="38"/>
      <c r="AOF2507" s="38"/>
      <c r="AOG2507" s="38"/>
      <c r="AOH2507" s="38"/>
      <c r="AOI2507" s="38"/>
      <c r="AOJ2507" s="38"/>
      <c r="AOK2507" s="38"/>
      <c r="AOL2507" s="38"/>
      <c r="AOM2507" s="38"/>
      <c r="AON2507" s="38"/>
      <c r="AOO2507" s="38"/>
      <c r="AOP2507" s="38"/>
      <c r="AOQ2507" s="38"/>
      <c r="AOR2507" s="38"/>
      <c r="AOS2507" s="38"/>
      <c r="AOT2507" s="38"/>
      <c r="AOU2507" s="38"/>
      <c r="AOV2507" s="38"/>
      <c r="AOW2507" s="38"/>
      <c r="AOX2507" s="38"/>
      <c r="AOY2507" s="38"/>
      <c r="AOZ2507" s="38"/>
      <c r="APA2507" s="38"/>
      <c r="APB2507" s="38"/>
      <c r="APC2507" s="38"/>
    </row>
    <row r="2508" spans="1:1095" s="36" customFormat="1" ht="14.25" customHeight="1">
      <c r="A2508" s="3" t="s">
        <v>1722</v>
      </c>
      <c r="B2508" s="36" t="s">
        <v>3132</v>
      </c>
      <c r="C2508" s="10">
        <v>4099854070037</v>
      </c>
      <c r="D2508" s="224">
        <v>4058075591394</v>
      </c>
      <c r="E2508" s="245" t="s">
        <v>3133</v>
      </c>
      <c r="F2508" s="246"/>
      <c r="G2508" s="66" t="str">
        <f>HYPERLINK("https://ledvance.com/pt/product-datasheet/251513/238835","Ficha de Produto")</f>
        <v>Ficha de Produto</v>
      </c>
      <c r="H2508" s="217">
        <v>10</v>
      </c>
      <c r="I2508" s="34" t="s">
        <v>6390</v>
      </c>
      <c r="J2508" s="34" t="s">
        <v>855</v>
      </c>
      <c r="K2508" s="34" t="s">
        <v>788</v>
      </c>
      <c r="L2508" s="34" t="s">
        <v>6506</v>
      </c>
      <c r="M2508" s="247">
        <v>9.1</v>
      </c>
      <c r="N2508" s="288" t="s">
        <v>722</v>
      </c>
    </row>
    <row r="2509" spans="1:1095" s="36" customFormat="1" ht="14.25" customHeight="1">
      <c r="A2509" s="3" t="s">
        <v>1722</v>
      </c>
      <c r="B2509" s="36" t="s">
        <v>3134</v>
      </c>
      <c r="C2509" s="10">
        <v>4099854062742</v>
      </c>
      <c r="D2509" s="224">
        <v>4058075591691</v>
      </c>
      <c r="E2509" s="245" t="s">
        <v>3135</v>
      </c>
      <c r="F2509" s="246"/>
      <c r="G2509" s="66" t="str">
        <f>HYPERLINK("https://ledvance.com/pt/product-datasheet/251465/237636","Ficha de Produto")</f>
        <v>Ficha de Produto</v>
      </c>
      <c r="H2509" s="217">
        <v>10</v>
      </c>
      <c r="I2509" s="34" t="s">
        <v>6314</v>
      </c>
      <c r="J2509" s="34" t="s">
        <v>6367</v>
      </c>
      <c r="K2509" s="34" t="s">
        <v>788</v>
      </c>
      <c r="L2509" s="34" t="s">
        <v>6506</v>
      </c>
      <c r="M2509" s="247">
        <v>10.8</v>
      </c>
      <c r="N2509" s="288" t="s">
        <v>722</v>
      </c>
    </row>
    <row r="2510" spans="1:1095" s="37" customFormat="1" ht="14.25" customHeight="1">
      <c r="A2510" s="8" t="s">
        <v>715</v>
      </c>
      <c r="B2510" s="279" t="s">
        <v>3137</v>
      </c>
      <c r="C2510" s="254"/>
      <c r="D2510" s="243"/>
      <c r="E2510" s="255"/>
      <c r="F2510" s="243"/>
      <c r="G2510" s="68"/>
      <c r="H2510" s="255"/>
      <c r="I2510" s="255"/>
      <c r="J2510" s="255"/>
      <c r="K2510" s="255"/>
      <c r="L2510" s="255"/>
      <c r="M2510" s="248"/>
      <c r="N2510" s="296"/>
      <c r="O2510" s="36"/>
      <c r="P2510" s="36"/>
      <c r="Q2510" s="36"/>
      <c r="R2510" s="36"/>
      <c r="S2510" s="36"/>
      <c r="T2510" s="36"/>
      <c r="U2510" s="36"/>
      <c r="V2510" s="36"/>
      <c r="W2510" s="36"/>
      <c r="X2510" s="36"/>
      <c r="Y2510" s="36"/>
      <c r="Z2510" s="36"/>
      <c r="AA2510" s="36"/>
      <c r="AB2510" s="36"/>
      <c r="AC2510" s="36"/>
      <c r="AD2510" s="36"/>
      <c r="AE2510" s="36"/>
      <c r="AF2510" s="36"/>
      <c r="AG2510" s="36"/>
      <c r="AH2510" s="36"/>
      <c r="AI2510" s="36"/>
      <c r="AJ2510" s="36"/>
      <c r="AK2510" s="36"/>
      <c r="AL2510" s="36"/>
      <c r="AM2510" s="36"/>
      <c r="AN2510" s="36"/>
      <c r="AO2510" s="36"/>
      <c r="AP2510" s="36"/>
      <c r="AQ2510" s="36"/>
      <c r="AR2510" s="36"/>
      <c r="AS2510" s="36"/>
      <c r="AT2510" s="36"/>
      <c r="AU2510" s="36"/>
      <c r="AV2510" s="36"/>
      <c r="AW2510" s="36"/>
      <c r="AX2510" s="36"/>
      <c r="AY2510" s="36"/>
      <c r="AZ2510" s="36"/>
      <c r="BA2510" s="36"/>
      <c r="BB2510" s="36"/>
      <c r="BC2510" s="36"/>
      <c r="BD2510" s="36"/>
      <c r="BE2510" s="36"/>
      <c r="BF2510" s="36"/>
      <c r="BG2510" s="36"/>
      <c r="BH2510" s="36"/>
      <c r="BI2510" s="36"/>
      <c r="BJ2510" s="36"/>
      <c r="BK2510" s="36"/>
      <c r="BL2510" s="36"/>
      <c r="BM2510" s="36"/>
      <c r="BN2510" s="36"/>
      <c r="BO2510" s="36"/>
      <c r="BP2510" s="36"/>
      <c r="BQ2510" s="36"/>
      <c r="BR2510" s="36"/>
      <c r="BS2510" s="36"/>
      <c r="BT2510" s="36"/>
      <c r="BU2510" s="36"/>
      <c r="BV2510" s="36"/>
      <c r="BW2510" s="36"/>
      <c r="BX2510" s="36"/>
      <c r="BY2510" s="36"/>
      <c r="BZ2510" s="36"/>
      <c r="CA2510" s="36"/>
      <c r="CB2510" s="36"/>
      <c r="CC2510" s="36"/>
      <c r="CD2510" s="36"/>
      <c r="CE2510" s="36"/>
      <c r="CF2510" s="36"/>
      <c r="CG2510" s="36"/>
      <c r="CH2510" s="36"/>
      <c r="CI2510" s="36"/>
      <c r="CJ2510" s="36"/>
      <c r="CK2510" s="36"/>
      <c r="CL2510" s="36"/>
      <c r="CM2510" s="36"/>
      <c r="CN2510" s="36"/>
      <c r="CO2510" s="36"/>
      <c r="CP2510" s="36"/>
      <c r="CQ2510" s="36"/>
      <c r="CR2510" s="36"/>
      <c r="CS2510" s="36"/>
      <c r="CT2510" s="36"/>
      <c r="CU2510" s="36"/>
      <c r="CV2510" s="36"/>
      <c r="CW2510" s="36"/>
      <c r="CX2510" s="36"/>
      <c r="CY2510" s="36"/>
      <c r="CZ2510" s="36"/>
      <c r="DA2510" s="36"/>
      <c r="DB2510" s="36"/>
      <c r="DC2510" s="36"/>
      <c r="DD2510" s="36"/>
      <c r="DE2510" s="36"/>
      <c r="DF2510" s="36"/>
      <c r="DG2510" s="36"/>
      <c r="DH2510" s="36"/>
      <c r="DI2510" s="36"/>
      <c r="DJ2510" s="36"/>
      <c r="DK2510" s="36"/>
      <c r="DL2510" s="36"/>
      <c r="DM2510" s="36"/>
      <c r="DN2510" s="36"/>
      <c r="DO2510" s="36"/>
      <c r="DP2510" s="36"/>
      <c r="DQ2510" s="36"/>
      <c r="DR2510" s="36"/>
      <c r="DS2510" s="36"/>
      <c r="DT2510" s="36"/>
      <c r="DU2510" s="36"/>
      <c r="DV2510" s="36"/>
      <c r="DW2510" s="36"/>
      <c r="DX2510" s="36"/>
      <c r="DY2510" s="36"/>
      <c r="DZ2510" s="36"/>
      <c r="EA2510" s="36"/>
      <c r="EB2510" s="36"/>
      <c r="EC2510" s="36"/>
      <c r="ED2510" s="36"/>
      <c r="EE2510" s="36"/>
      <c r="EF2510" s="36"/>
      <c r="EG2510" s="36"/>
      <c r="EH2510" s="36"/>
      <c r="EI2510" s="36"/>
      <c r="EJ2510" s="36"/>
      <c r="EK2510" s="36"/>
      <c r="EL2510" s="36"/>
      <c r="EM2510" s="36"/>
      <c r="EN2510" s="36"/>
      <c r="EO2510" s="36"/>
      <c r="EP2510" s="36"/>
      <c r="EQ2510" s="36"/>
      <c r="ER2510" s="36"/>
      <c r="ES2510" s="36"/>
      <c r="ET2510" s="36"/>
      <c r="EU2510" s="36"/>
      <c r="EV2510" s="36"/>
      <c r="EW2510" s="36"/>
      <c r="EX2510" s="36"/>
      <c r="EY2510" s="36"/>
      <c r="EZ2510" s="36"/>
      <c r="FA2510" s="36"/>
      <c r="FB2510" s="36"/>
      <c r="FC2510" s="36"/>
      <c r="FD2510" s="36"/>
      <c r="FE2510" s="36"/>
      <c r="FF2510" s="36"/>
      <c r="FG2510" s="36"/>
      <c r="FH2510" s="36"/>
      <c r="FI2510" s="36"/>
      <c r="FJ2510" s="36"/>
      <c r="FK2510" s="36"/>
      <c r="FL2510" s="36"/>
      <c r="FM2510" s="36"/>
      <c r="FN2510" s="36"/>
      <c r="FO2510" s="36"/>
      <c r="FP2510" s="36"/>
      <c r="FQ2510" s="36"/>
      <c r="FR2510" s="36"/>
      <c r="FS2510" s="36"/>
      <c r="FT2510" s="36"/>
      <c r="FU2510" s="36"/>
      <c r="FV2510" s="36"/>
      <c r="FW2510" s="36"/>
      <c r="FX2510" s="36"/>
      <c r="FY2510" s="36"/>
      <c r="FZ2510" s="36"/>
      <c r="GA2510" s="36"/>
      <c r="GB2510" s="36"/>
      <c r="GC2510" s="36"/>
      <c r="GD2510" s="36"/>
      <c r="GE2510" s="36"/>
      <c r="GF2510" s="36"/>
      <c r="GG2510" s="36"/>
      <c r="GH2510" s="36"/>
      <c r="GI2510" s="36"/>
      <c r="GJ2510" s="36"/>
      <c r="GK2510" s="36"/>
      <c r="GL2510" s="36"/>
      <c r="GM2510" s="36"/>
      <c r="GN2510" s="36"/>
      <c r="GO2510" s="36"/>
      <c r="GP2510" s="36"/>
      <c r="GQ2510" s="36"/>
      <c r="GR2510" s="36"/>
      <c r="GS2510" s="36"/>
      <c r="GT2510" s="36"/>
      <c r="GU2510" s="36"/>
      <c r="GV2510" s="36"/>
      <c r="GW2510" s="36"/>
      <c r="GX2510" s="36"/>
      <c r="GY2510" s="36"/>
      <c r="GZ2510" s="36"/>
      <c r="HA2510" s="36"/>
      <c r="HB2510" s="36"/>
      <c r="HC2510" s="36"/>
      <c r="HD2510" s="36"/>
      <c r="HE2510" s="36"/>
      <c r="HF2510" s="36"/>
      <c r="HG2510" s="36"/>
      <c r="HH2510" s="36"/>
      <c r="HI2510" s="36"/>
      <c r="HJ2510" s="36"/>
      <c r="HK2510" s="36"/>
      <c r="HL2510" s="36"/>
      <c r="HM2510" s="36"/>
      <c r="HN2510" s="36"/>
      <c r="HO2510" s="36"/>
      <c r="HP2510" s="36"/>
      <c r="HQ2510" s="36"/>
      <c r="HR2510" s="36"/>
      <c r="HS2510" s="36"/>
      <c r="HT2510" s="36"/>
      <c r="HU2510" s="36"/>
      <c r="HV2510" s="36"/>
      <c r="HW2510" s="36"/>
      <c r="HX2510" s="36"/>
      <c r="HY2510" s="36"/>
      <c r="HZ2510" s="36"/>
      <c r="IA2510" s="36"/>
      <c r="IB2510" s="36"/>
      <c r="IC2510" s="36"/>
      <c r="ID2510" s="36"/>
      <c r="IE2510" s="36"/>
      <c r="IF2510" s="36"/>
      <c r="IG2510" s="36"/>
      <c r="IH2510" s="36"/>
      <c r="II2510" s="36"/>
      <c r="IJ2510" s="36"/>
      <c r="IK2510" s="36"/>
      <c r="IL2510" s="36"/>
      <c r="IM2510" s="36"/>
      <c r="IN2510" s="36"/>
      <c r="IO2510" s="36"/>
      <c r="IP2510" s="36"/>
      <c r="IQ2510" s="36"/>
      <c r="IR2510" s="36"/>
      <c r="IS2510" s="36"/>
      <c r="IT2510" s="36"/>
      <c r="IU2510" s="36"/>
      <c r="IV2510" s="36"/>
      <c r="IW2510" s="36"/>
      <c r="IX2510" s="36"/>
      <c r="IY2510" s="36"/>
      <c r="IZ2510" s="36"/>
      <c r="JA2510" s="36"/>
      <c r="JB2510" s="36"/>
      <c r="JC2510" s="36"/>
      <c r="JD2510" s="36"/>
      <c r="JE2510" s="36"/>
      <c r="JF2510" s="36"/>
      <c r="JG2510" s="36"/>
      <c r="JH2510" s="36"/>
      <c r="JI2510" s="36"/>
      <c r="JJ2510" s="36"/>
      <c r="JK2510" s="36"/>
      <c r="JL2510" s="36"/>
      <c r="JM2510" s="36"/>
      <c r="JN2510" s="36"/>
      <c r="JO2510" s="36"/>
      <c r="JP2510" s="36"/>
      <c r="JQ2510" s="36"/>
      <c r="JR2510" s="36"/>
      <c r="JS2510" s="36"/>
      <c r="JT2510" s="36"/>
      <c r="JU2510" s="36"/>
      <c r="JV2510" s="36"/>
      <c r="JW2510" s="36"/>
      <c r="JX2510" s="36"/>
      <c r="JY2510" s="36"/>
      <c r="JZ2510" s="36"/>
      <c r="KA2510" s="36"/>
      <c r="KB2510" s="36"/>
      <c r="KC2510" s="36"/>
      <c r="KD2510" s="36"/>
      <c r="KE2510" s="36"/>
      <c r="KF2510" s="36"/>
      <c r="KG2510" s="36"/>
      <c r="KH2510" s="36"/>
      <c r="KI2510" s="36"/>
      <c r="KJ2510" s="36"/>
      <c r="KK2510" s="36"/>
      <c r="KL2510" s="36"/>
      <c r="KM2510" s="36"/>
      <c r="KN2510" s="36"/>
      <c r="KO2510" s="36"/>
      <c r="KP2510" s="36"/>
      <c r="KQ2510" s="36"/>
      <c r="KR2510" s="36"/>
      <c r="KS2510" s="36"/>
      <c r="KT2510" s="36"/>
      <c r="KU2510" s="36"/>
      <c r="KV2510" s="36"/>
      <c r="KW2510" s="36"/>
      <c r="KX2510" s="36"/>
      <c r="KY2510" s="36"/>
      <c r="KZ2510" s="36"/>
      <c r="LA2510" s="36"/>
      <c r="LB2510" s="36"/>
      <c r="LC2510" s="36"/>
      <c r="LD2510" s="36"/>
      <c r="LE2510" s="36"/>
      <c r="LF2510" s="36"/>
      <c r="LG2510" s="36"/>
      <c r="LH2510" s="36"/>
      <c r="LI2510" s="36"/>
      <c r="LJ2510" s="36"/>
      <c r="LK2510" s="36"/>
      <c r="LL2510" s="36"/>
      <c r="LM2510" s="36"/>
      <c r="LN2510" s="36"/>
      <c r="LO2510" s="36"/>
      <c r="LP2510" s="36"/>
      <c r="LQ2510" s="36"/>
      <c r="LR2510" s="36"/>
      <c r="LS2510" s="36"/>
      <c r="LT2510" s="36"/>
      <c r="LU2510" s="36"/>
      <c r="LV2510" s="36"/>
      <c r="LW2510" s="36"/>
      <c r="LX2510" s="36"/>
      <c r="LY2510" s="36"/>
      <c r="LZ2510" s="36"/>
      <c r="MA2510" s="36"/>
      <c r="MB2510" s="36"/>
      <c r="MC2510" s="36"/>
      <c r="MD2510" s="36"/>
      <c r="ME2510" s="36"/>
      <c r="MF2510" s="36"/>
      <c r="MG2510" s="36"/>
      <c r="MH2510" s="36"/>
      <c r="MI2510" s="36"/>
      <c r="MJ2510" s="36"/>
      <c r="MK2510" s="36"/>
      <c r="ML2510" s="36"/>
      <c r="MM2510" s="36"/>
      <c r="MN2510" s="36"/>
      <c r="MO2510" s="36"/>
      <c r="MP2510" s="36"/>
      <c r="MQ2510" s="36"/>
      <c r="MR2510" s="36"/>
      <c r="MS2510" s="36"/>
      <c r="MT2510" s="36"/>
      <c r="MU2510" s="36"/>
      <c r="MV2510" s="36"/>
      <c r="MW2510" s="36"/>
      <c r="MX2510" s="36"/>
      <c r="MY2510" s="36"/>
      <c r="MZ2510" s="36"/>
      <c r="NA2510" s="36"/>
      <c r="NB2510" s="36"/>
      <c r="NC2510" s="36"/>
      <c r="ND2510" s="36"/>
      <c r="NE2510" s="36"/>
      <c r="NF2510" s="36"/>
      <c r="NG2510" s="36"/>
      <c r="NH2510" s="36"/>
      <c r="NI2510" s="36"/>
      <c r="NJ2510" s="36"/>
      <c r="NK2510" s="36"/>
      <c r="NL2510" s="36"/>
      <c r="NM2510" s="36"/>
      <c r="NN2510" s="36"/>
      <c r="NO2510" s="36"/>
      <c r="NP2510" s="36"/>
      <c r="NQ2510" s="36"/>
      <c r="NR2510" s="36"/>
      <c r="NS2510" s="36"/>
      <c r="NT2510" s="36"/>
      <c r="NU2510" s="36"/>
      <c r="NV2510" s="36"/>
      <c r="NW2510" s="36"/>
      <c r="NX2510" s="36"/>
      <c r="NY2510" s="36"/>
      <c r="NZ2510" s="36"/>
      <c r="OA2510" s="36"/>
      <c r="OB2510" s="36"/>
      <c r="OC2510" s="36"/>
      <c r="OD2510" s="36"/>
      <c r="OE2510" s="36"/>
      <c r="OF2510" s="36"/>
      <c r="OG2510" s="36"/>
      <c r="OH2510" s="36"/>
      <c r="OI2510" s="36"/>
      <c r="OJ2510" s="36"/>
      <c r="OK2510" s="36"/>
      <c r="OL2510" s="36"/>
      <c r="OM2510" s="36"/>
      <c r="ON2510" s="36"/>
      <c r="OO2510" s="36"/>
      <c r="OP2510" s="36"/>
      <c r="OQ2510" s="36"/>
      <c r="OR2510" s="36"/>
      <c r="OS2510" s="36"/>
      <c r="OT2510" s="36"/>
      <c r="OU2510" s="36"/>
      <c r="OV2510" s="36"/>
      <c r="OW2510" s="36"/>
      <c r="OX2510" s="36"/>
      <c r="OY2510" s="36"/>
      <c r="OZ2510" s="36"/>
      <c r="PA2510" s="36"/>
      <c r="PB2510" s="36"/>
      <c r="PC2510" s="36"/>
      <c r="PD2510" s="36"/>
      <c r="PE2510" s="36"/>
      <c r="PF2510" s="36"/>
      <c r="PG2510" s="36"/>
      <c r="PH2510" s="36"/>
      <c r="PI2510" s="36"/>
      <c r="PJ2510" s="36"/>
      <c r="PK2510" s="36"/>
      <c r="PL2510" s="36"/>
      <c r="PM2510" s="36"/>
      <c r="PN2510" s="36"/>
      <c r="PO2510" s="36"/>
      <c r="PP2510" s="36"/>
      <c r="PQ2510" s="36"/>
      <c r="PR2510" s="36"/>
      <c r="PS2510" s="36"/>
      <c r="PT2510" s="36"/>
      <c r="PU2510" s="36"/>
      <c r="PV2510" s="36"/>
      <c r="PW2510" s="36"/>
      <c r="PX2510" s="36"/>
      <c r="PY2510" s="36"/>
      <c r="PZ2510" s="36"/>
      <c r="QA2510" s="36"/>
      <c r="QB2510" s="36"/>
      <c r="QC2510" s="36"/>
      <c r="QD2510" s="36"/>
      <c r="QE2510" s="36"/>
      <c r="QF2510" s="36"/>
      <c r="QG2510" s="36"/>
      <c r="QH2510" s="36"/>
      <c r="QI2510" s="36"/>
      <c r="QJ2510" s="36"/>
      <c r="QK2510" s="36"/>
      <c r="QL2510" s="36"/>
      <c r="QM2510" s="36"/>
      <c r="QN2510" s="36"/>
      <c r="QO2510" s="36"/>
      <c r="QP2510" s="36"/>
      <c r="QQ2510" s="36"/>
      <c r="QR2510" s="36"/>
      <c r="QS2510" s="36"/>
      <c r="QT2510" s="36"/>
      <c r="QU2510" s="36"/>
      <c r="QV2510" s="36"/>
      <c r="QW2510" s="36"/>
      <c r="QX2510" s="36"/>
      <c r="QY2510" s="36"/>
      <c r="QZ2510" s="36"/>
      <c r="RA2510" s="36"/>
      <c r="RB2510" s="36"/>
      <c r="RC2510" s="36"/>
      <c r="RD2510" s="36"/>
      <c r="RE2510" s="36"/>
      <c r="RF2510" s="36"/>
      <c r="RG2510" s="36"/>
      <c r="RH2510" s="36"/>
      <c r="RI2510" s="36"/>
      <c r="RJ2510" s="36"/>
      <c r="RK2510" s="36"/>
      <c r="RL2510" s="36"/>
      <c r="RM2510" s="36"/>
      <c r="RN2510" s="36"/>
      <c r="RO2510" s="36"/>
      <c r="RP2510" s="36"/>
      <c r="RQ2510" s="36"/>
      <c r="RR2510" s="36"/>
      <c r="RS2510" s="36"/>
      <c r="RT2510" s="36"/>
      <c r="RU2510" s="36"/>
      <c r="RV2510" s="36"/>
      <c r="RW2510" s="36"/>
      <c r="RX2510" s="36"/>
      <c r="RY2510" s="36"/>
      <c r="RZ2510" s="36"/>
      <c r="SA2510" s="36"/>
      <c r="SB2510" s="36"/>
      <c r="SC2510" s="36"/>
      <c r="SD2510" s="36"/>
      <c r="SE2510" s="36"/>
      <c r="SF2510" s="36"/>
      <c r="SG2510" s="36"/>
      <c r="SH2510" s="36"/>
      <c r="SI2510" s="36"/>
      <c r="SJ2510" s="36"/>
      <c r="SK2510" s="36"/>
      <c r="SL2510" s="36"/>
      <c r="SM2510" s="36"/>
      <c r="SN2510" s="36"/>
      <c r="SO2510" s="36"/>
      <c r="SP2510" s="36"/>
      <c r="SQ2510" s="36"/>
      <c r="SR2510" s="36"/>
      <c r="SS2510" s="36"/>
      <c r="ST2510" s="36"/>
      <c r="SU2510" s="36"/>
      <c r="SV2510" s="36"/>
      <c r="SW2510" s="36"/>
      <c r="SX2510" s="36"/>
      <c r="SY2510" s="36"/>
      <c r="SZ2510" s="36"/>
      <c r="TA2510" s="36"/>
      <c r="TB2510" s="36"/>
      <c r="TC2510" s="36"/>
      <c r="TD2510" s="36"/>
      <c r="TE2510" s="36"/>
      <c r="TF2510" s="36"/>
      <c r="TG2510" s="36"/>
      <c r="TH2510" s="36"/>
      <c r="TI2510" s="36"/>
      <c r="TJ2510" s="36"/>
      <c r="TK2510" s="36"/>
      <c r="TL2510" s="36"/>
      <c r="TM2510" s="36"/>
      <c r="TN2510" s="36"/>
      <c r="TO2510" s="36"/>
      <c r="TP2510" s="36"/>
      <c r="TQ2510" s="36"/>
      <c r="TR2510" s="36"/>
      <c r="TS2510" s="36"/>
      <c r="TT2510" s="36"/>
      <c r="TU2510" s="36"/>
      <c r="TV2510" s="36"/>
      <c r="TW2510" s="36"/>
      <c r="TX2510" s="36"/>
      <c r="TY2510" s="36"/>
      <c r="TZ2510" s="36"/>
      <c r="UA2510" s="36"/>
      <c r="UB2510" s="36"/>
      <c r="UC2510" s="36"/>
      <c r="UD2510" s="36"/>
      <c r="UE2510" s="36"/>
      <c r="UF2510" s="36"/>
      <c r="UG2510" s="36"/>
      <c r="UH2510" s="36"/>
      <c r="UI2510" s="36"/>
      <c r="UJ2510" s="36"/>
      <c r="UK2510" s="36"/>
      <c r="UL2510" s="36"/>
      <c r="UM2510" s="36"/>
      <c r="UN2510" s="36"/>
      <c r="UO2510" s="36"/>
      <c r="UP2510" s="36"/>
      <c r="UQ2510" s="36"/>
      <c r="UR2510" s="36"/>
      <c r="US2510" s="36"/>
      <c r="UT2510" s="36"/>
      <c r="UU2510" s="36"/>
      <c r="UV2510" s="36"/>
      <c r="UW2510" s="36"/>
      <c r="UX2510" s="36"/>
      <c r="UY2510" s="36"/>
      <c r="UZ2510" s="36"/>
      <c r="VA2510" s="36"/>
      <c r="VB2510" s="36"/>
      <c r="VC2510" s="36"/>
      <c r="VD2510" s="36"/>
      <c r="VE2510" s="36"/>
      <c r="VF2510" s="36"/>
      <c r="VG2510" s="36"/>
      <c r="VH2510" s="36"/>
      <c r="VI2510" s="36"/>
      <c r="VJ2510" s="36"/>
      <c r="VK2510" s="36"/>
      <c r="VL2510" s="36"/>
      <c r="VM2510" s="36"/>
      <c r="VN2510" s="36"/>
      <c r="VO2510" s="36"/>
      <c r="VP2510" s="36"/>
      <c r="VQ2510" s="36"/>
      <c r="VR2510" s="36"/>
      <c r="VS2510" s="36"/>
      <c r="VT2510" s="36"/>
      <c r="VU2510" s="36"/>
      <c r="VV2510" s="36"/>
      <c r="VW2510" s="36"/>
      <c r="VX2510" s="36"/>
      <c r="VY2510" s="36"/>
      <c r="VZ2510" s="36"/>
      <c r="WA2510" s="36"/>
      <c r="WB2510" s="36"/>
      <c r="WC2510" s="36"/>
      <c r="WD2510" s="36"/>
      <c r="WE2510" s="36"/>
      <c r="WF2510" s="36"/>
      <c r="WG2510" s="36"/>
      <c r="WH2510" s="36"/>
      <c r="WI2510" s="36"/>
      <c r="WJ2510" s="36"/>
      <c r="WK2510" s="36"/>
      <c r="WL2510" s="36"/>
      <c r="WM2510" s="36"/>
      <c r="WN2510" s="36"/>
      <c r="WO2510" s="36"/>
      <c r="WP2510" s="36"/>
      <c r="WQ2510" s="36"/>
      <c r="WR2510" s="36"/>
      <c r="WS2510" s="36"/>
      <c r="WT2510" s="36"/>
      <c r="WU2510" s="36"/>
      <c r="WV2510" s="36"/>
      <c r="WW2510" s="36"/>
      <c r="WX2510" s="36"/>
      <c r="WY2510" s="36"/>
      <c r="WZ2510" s="36"/>
      <c r="XA2510" s="36"/>
      <c r="XB2510" s="36"/>
      <c r="XC2510" s="36"/>
      <c r="XD2510" s="36"/>
      <c r="XE2510" s="36"/>
      <c r="XF2510" s="36"/>
      <c r="XG2510" s="36"/>
      <c r="XH2510" s="36"/>
      <c r="XI2510" s="36"/>
      <c r="XJ2510" s="36"/>
      <c r="XK2510" s="36"/>
      <c r="XL2510" s="36"/>
      <c r="XM2510" s="36"/>
      <c r="XN2510" s="36"/>
      <c r="XO2510" s="36"/>
      <c r="XP2510" s="36"/>
      <c r="XQ2510" s="36"/>
      <c r="XR2510" s="36"/>
      <c r="XS2510" s="36"/>
      <c r="XT2510" s="36"/>
      <c r="XU2510" s="36"/>
      <c r="XV2510" s="36"/>
      <c r="XW2510" s="36"/>
      <c r="XX2510" s="36"/>
      <c r="XY2510" s="36"/>
      <c r="XZ2510" s="36"/>
      <c r="YA2510" s="36"/>
      <c r="YB2510" s="36"/>
      <c r="YC2510" s="36"/>
      <c r="YD2510" s="36"/>
      <c r="YE2510" s="36"/>
      <c r="YF2510" s="36"/>
      <c r="YG2510" s="36"/>
      <c r="YH2510" s="36"/>
      <c r="YI2510" s="36"/>
      <c r="YJ2510" s="36"/>
      <c r="YK2510" s="36"/>
      <c r="YL2510" s="36"/>
      <c r="YM2510" s="36"/>
      <c r="YN2510" s="36"/>
      <c r="YO2510" s="36"/>
      <c r="YP2510" s="36"/>
      <c r="YQ2510" s="36"/>
      <c r="YR2510" s="36"/>
      <c r="YS2510" s="36"/>
      <c r="YT2510" s="36"/>
      <c r="YU2510" s="36"/>
      <c r="YV2510" s="36"/>
      <c r="YW2510" s="36"/>
      <c r="YX2510" s="36"/>
      <c r="YY2510" s="36"/>
      <c r="YZ2510" s="36"/>
      <c r="ZA2510" s="36"/>
      <c r="ZB2510" s="36"/>
      <c r="ZC2510" s="36"/>
      <c r="ZD2510" s="36"/>
      <c r="ZE2510" s="36"/>
      <c r="ZF2510" s="36"/>
      <c r="ZG2510" s="36"/>
      <c r="ZH2510" s="36"/>
      <c r="ZI2510" s="36"/>
      <c r="ZJ2510" s="36"/>
      <c r="ZK2510" s="36"/>
      <c r="ZL2510" s="36"/>
      <c r="ZM2510" s="36"/>
      <c r="ZN2510" s="36"/>
      <c r="ZO2510" s="36"/>
      <c r="ZP2510" s="36"/>
      <c r="ZQ2510" s="36"/>
      <c r="ZR2510" s="36"/>
      <c r="ZS2510" s="36"/>
      <c r="ZT2510" s="36"/>
      <c r="ZU2510" s="36"/>
      <c r="ZV2510" s="36"/>
      <c r="ZW2510" s="36"/>
      <c r="ZX2510" s="36"/>
      <c r="ZY2510" s="36"/>
      <c r="ZZ2510" s="36"/>
      <c r="AAA2510" s="36"/>
      <c r="AAB2510" s="36"/>
      <c r="AAC2510" s="36"/>
      <c r="AAD2510" s="36"/>
      <c r="AAE2510" s="36"/>
      <c r="AAF2510" s="36"/>
      <c r="AAG2510" s="36"/>
      <c r="AAH2510" s="36"/>
      <c r="AAI2510" s="36"/>
      <c r="AAJ2510" s="36"/>
      <c r="AAK2510" s="36"/>
      <c r="AAL2510" s="36"/>
      <c r="AAM2510" s="36"/>
      <c r="AAN2510" s="36"/>
      <c r="AAO2510" s="36"/>
      <c r="AAP2510" s="36"/>
      <c r="AAQ2510" s="36"/>
      <c r="AAR2510" s="36"/>
      <c r="AAS2510" s="36"/>
      <c r="AAT2510" s="36"/>
      <c r="AAU2510" s="36"/>
      <c r="AAV2510" s="36"/>
      <c r="AAW2510" s="36"/>
      <c r="AAX2510" s="36"/>
      <c r="AAY2510" s="36"/>
      <c r="AAZ2510" s="36"/>
      <c r="ABA2510" s="36"/>
      <c r="ABB2510" s="36"/>
      <c r="ABC2510" s="36"/>
      <c r="ABD2510" s="36"/>
      <c r="ABE2510" s="36"/>
      <c r="ABF2510" s="36"/>
      <c r="ABG2510" s="36"/>
      <c r="ABH2510" s="36"/>
      <c r="ABI2510" s="36"/>
      <c r="ABJ2510" s="36"/>
      <c r="ABK2510" s="36"/>
      <c r="ABL2510" s="36"/>
      <c r="ABM2510" s="36"/>
      <c r="ABN2510" s="36"/>
      <c r="ABO2510" s="36"/>
      <c r="ABP2510" s="36"/>
      <c r="ABQ2510" s="36"/>
      <c r="ABR2510" s="36"/>
      <c r="ABS2510" s="36"/>
      <c r="ABT2510" s="36"/>
      <c r="ABU2510" s="36"/>
      <c r="ABV2510" s="36"/>
      <c r="ABW2510" s="36"/>
      <c r="ABX2510" s="36"/>
      <c r="ABY2510" s="36"/>
      <c r="ABZ2510" s="36"/>
      <c r="ACA2510" s="36"/>
      <c r="ACB2510" s="36"/>
      <c r="ACC2510" s="36"/>
      <c r="ACD2510" s="36"/>
      <c r="ACE2510" s="36"/>
      <c r="ACF2510" s="36"/>
      <c r="ACG2510" s="36"/>
      <c r="ACH2510" s="36"/>
      <c r="ACI2510" s="36"/>
      <c r="ACJ2510" s="36"/>
      <c r="ACK2510" s="36"/>
      <c r="ACL2510" s="36"/>
      <c r="ACM2510" s="36"/>
      <c r="ACN2510" s="36"/>
      <c r="ACO2510" s="36"/>
      <c r="ACP2510" s="36"/>
      <c r="ACQ2510" s="36"/>
      <c r="ACR2510" s="36"/>
      <c r="ACS2510" s="36"/>
      <c r="ACT2510" s="36"/>
      <c r="ACU2510" s="36"/>
      <c r="ACV2510" s="36"/>
      <c r="ACW2510" s="36"/>
      <c r="ACX2510" s="36"/>
      <c r="ACY2510" s="36"/>
      <c r="ACZ2510" s="36"/>
      <c r="ADA2510" s="36"/>
      <c r="ADB2510" s="36"/>
      <c r="ADC2510" s="36"/>
      <c r="ADD2510" s="36"/>
      <c r="ADE2510" s="36"/>
      <c r="ADF2510" s="36"/>
      <c r="ADG2510" s="36"/>
      <c r="ADH2510" s="36"/>
      <c r="ADI2510" s="36"/>
      <c r="ADJ2510" s="36"/>
      <c r="ADK2510" s="36"/>
      <c r="ADL2510" s="36"/>
      <c r="ADM2510" s="36"/>
      <c r="ADN2510" s="36"/>
      <c r="ADO2510" s="36"/>
      <c r="ADP2510" s="36"/>
      <c r="ADQ2510" s="36"/>
      <c r="ADR2510" s="36"/>
      <c r="ADS2510" s="36"/>
      <c r="ADT2510" s="36"/>
      <c r="ADU2510" s="36"/>
      <c r="ADV2510" s="36"/>
      <c r="ADW2510" s="36"/>
      <c r="ADX2510" s="36"/>
      <c r="ADY2510" s="36"/>
      <c r="ADZ2510" s="36"/>
      <c r="AEA2510" s="36"/>
      <c r="AEB2510" s="36"/>
      <c r="AEC2510" s="36"/>
      <c r="AED2510" s="36"/>
      <c r="AEE2510" s="36"/>
      <c r="AEF2510" s="36"/>
      <c r="AEG2510" s="36"/>
      <c r="AEH2510" s="36"/>
      <c r="AEI2510" s="36"/>
      <c r="AEJ2510" s="36"/>
      <c r="AEK2510" s="36"/>
      <c r="AEL2510" s="36"/>
      <c r="AEM2510" s="36"/>
      <c r="AEN2510" s="36"/>
      <c r="AEO2510" s="36"/>
      <c r="AEP2510" s="36"/>
      <c r="AEQ2510" s="36"/>
      <c r="AER2510" s="36"/>
      <c r="AES2510" s="36"/>
      <c r="AET2510" s="36"/>
      <c r="AEU2510" s="36"/>
      <c r="AEV2510" s="36"/>
      <c r="AEW2510" s="36"/>
      <c r="AEX2510" s="36"/>
      <c r="AEY2510" s="36"/>
      <c r="AEZ2510" s="36"/>
      <c r="AFA2510" s="36"/>
      <c r="AFB2510" s="36"/>
      <c r="AFC2510" s="36"/>
      <c r="AFD2510" s="36"/>
      <c r="AFE2510" s="36"/>
      <c r="AFF2510" s="36"/>
      <c r="AFG2510" s="36"/>
      <c r="AFH2510" s="36"/>
      <c r="AFI2510" s="36"/>
      <c r="AFJ2510" s="36"/>
      <c r="AFK2510" s="36"/>
      <c r="AFL2510" s="36"/>
      <c r="AFM2510" s="36"/>
      <c r="AFN2510" s="36"/>
      <c r="AFO2510" s="36"/>
      <c r="AFP2510" s="36"/>
      <c r="AFQ2510" s="36"/>
      <c r="AFR2510" s="36"/>
      <c r="AFS2510" s="36"/>
      <c r="AFT2510" s="36"/>
      <c r="AFU2510" s="36"/>
      <c r="AFV2510" s="36"/>
      <c r="AFW2510" s="36"/>
      <c r="AFX2510" s="36"/>
      <c r="AFY2510" s="36"/>
      <c r="AFZ2510" s="36"/>
      <c r="AGA2510" s="36"/>
      <c r="AGB2510" s="36"/>
      <c r="AGC2510" s="36"/>
      <c r="AGD2510" s="36"/>
      <c r="AGE2510" s="36"/>
      <c r="AGF2510" s="36"/>
      <c r="AGG2510" s="36"/>
      <c r="AGH2510" s="36"/>
      <c r="AGI2510" s="36"/>
      <c r="AGJ2510" s="36"/>
      <c r="AGK2510" s="36"/>
      <c r="AGL2510" s="36"/>
      <c r="AGM2510" s="36"/>
      <c r="AGN2510" s="36"/>
      <c r="AGO2510" s="36"/>
      <c r="AGP2510" s="36"/>
      <c r="AGQ2510" s="36"/>
      <c r="AGR2510" s="36"/>
      <c r="AGS2510" s="36"/>
      <c r="AGT2510" s="36"/>
      <c r="AGU2510" s="36"/>
      <c r="AGV2510" s="36"/>
      <c r="AGW2510" s="36"/>
      <c r="AGX2510" s="36"/>
      <c r="AGY2510" s="36"/>
      <c r="AGZ2510" s="36"/>
      <c r="AHA2510" s="36"/>
      <c r="AHB2510" s="36"/>
      <c r="AHC2510" s="36"/>
      <c r="AHD2510" s="36"/>
      <c r="AHE2510" s="36"/>
      <c r="AHF2510" s="36"/>
      <c r="AHG2510" s="36"/>
      <c r="AHH2510" s="36"/>
      <c r="AHI2510" s="36"/>
      <c r="AHJ2510" s="36"/>
      <c r="AHK2510" s="36"/>
      <c r="AHL2510" s="36"/>
      <c r="AHM2510" s="36"/>
      <c r="AHN2510" s="36"/>
      <c r="AHO2510" s="36"/>
      <c r="AHP2510" s="36"/>
      <c r="AHQ2510" s="36"/>
      <c r="AHR2510" s="36"/>
      <c r="AHS2510" s="36"/>
      <c r="AHT2510" s="36"/>
      <c r="AHU2510" s="36"/>
      <c r="AHV2510" s="36"/>
      <c r="AHW2510" s="36"/>
      <c r="AHX2510" s="36"/>
      <c r="AHY2510" s="36"/>
      <c r="AHZ2510" s="36"/>
      <c r="AIA2510" s="36"/>
      <c r="AIB2510" s="36"/>
      <c r="AIC2510" s="36"/>
      <c r="AID2510" s="36"/>
      <c r="AIE2510" s="36"/>
      <c r="AIF2510" s="36"/>
      <c r="AIG2510" s="36"/>
      <c r="AIH2510" s="36"/>
      <c r="AII2510" s="36"/>
      <c r="AIJ2510" s="36"/>
      <c r="AIK2510" s="36"/>
      <c r="AIL2510" s="36"/>
      <c r="AIM2510" s="36"/>
      <c r="AIN2510" s="36"/>
      <c r="AIO2510" s="36"/>
      <c r="AIP2510" s="36"/>
      <c r="AIQ2510" s="36"/>
      <c r="AIR2510" s="36"/>
      <c r="AIS2510" s="36"/>
      <c r="AIT2510" s="36"/>
      <c r="AIU2510" s="36"/>
      <c r="AIV2510" s="36"/>
      <c r="AIW2510" s="36"/>
      <c r="AIX2510" s="36"/>
      <c r="AIY2510" s="36"/>
      <c r="AIZ2510" s="36"/>
      <c r="AJA2510" s="36"/>
      <c r="AJB2510" s="36"/>
      <c r="AJC2510" s="36"/>
      <c r="AJD2510" s="36"/>
      <c r="AJE2510" s="36"/>
      <c r="AJF2510" s="36"/>
      <c r="AJG2510" s="36"/>
      <c r="AJH2510" s="36"/>
      <c r="AJI2510" s="36"/>
      <c r="AJJ2510" s="36"/>
      <c r="AJK2510" s="36"/>
      <c r="AJL2510" s="36"/>
      <c r="AJM2510" s="36"/>
      <c r="AJN2510" s="36"/>
      <c r="AJO2510" s="36"/>
      <c r="AJP2510" s="36"/>
      <c r="AJQ2510" s="36"/>
      <c r="AJR2510" s="36"/>
      <c r="AJS2510" s="36"/>
      <c r="AJT2510" s="36"/>
      <c r="AJU2510" s="36"/>
      <c r="AJV2510" s="36"/>
      <c r="AJW2510" s="36"/>
      <c r="AJX2510" s="36"/>
      <c r="AJY2510" s="36"/>
      <c r="AJZ2510" s="36"/>
      <c r="AKA2510" s="36"/>
      <c r="AKB2510" s="36"/>
      <c r="AKC2510" s="36"/>
      <c r="AKD2510" s="36"/>
      <c r="AKE2510" s="36"/>
      <c r="AKF2510" s="36"/>
      <c r="AKG2510" s="36"/>
      <c r="AKH2510" s="36"/>
      <c r="AKI2510" s="36"/>
      <c r="AKJ2510" s="36"/>
      <c r="AKK2510" s="36"/>
      <c r="AKL2510" s="36"/>
      <c r="AKM2510" s="36"/>
      <c r="AKN2510" s="36"/>
      <c r="AKO2510" s="36"/>
      <c r="AKP2510" s="36"/>
      <c r="AKQ2510" s="36"/>
      <c r="AKR2510" s="36"/>
      <c r="AKS2510" s="36"/>
      <c r="AKT2510" s="36"/>
      <c r="AKU2510" s="36"/>
      <c r="AKV2510" s="36"/>
      <c r="AKW2510" s="36"/>
      <c r="AKX2510" s="36"/>
      <c r="AKY2510" s="36"/>
      <c r="AKZ2510" s="36"/>
      <c r="ALA2510" s="36"/>
      <c r="ALB2510" s="36"/>
      <c r="ALC2510" s="36"/>
      <c r="ALD2510" s="36"/>
      <c r="ALE2510" s="36"/>
      <c r="ALF2510" s="36"/>
      <c r="ALG2510" s="36"/>
      <c r="ALH2510" s="36"/>
      <c r="ALI2510" s="36"/>
      <c r="ALJ2510" s="36"/>
      <c r="ALK2510" s="36"/>
      <c r="ALL2510" s="36"/>
      <c r="ALM2510" s="36"/>
      <c r="ALN2510" s="36"/>
      <c r="ALO2510" s="36"/>
      <c r="ALP2510" s="36"/>
      <c r="ALQ2510" s="36"/>
      <c r="ALR2510" s="36"/>
      <c r="ALS2510" s="36"/>
      <c r="ALT2510" s="36"/>
      <c r="ALU2510" s="36"/>
      <c r="ALV2510" s="36"/>
      <c r="ALW2510" s="36"/>
      <c r="ALX2510" s="36"/>
      <c r="ALY2510" s="36"/>
      <c r="ALZ2510" s="36"/>
      <c r="AMA2510" s="36"/>
      <c r="AMB2510" s="36"/>
      <c r="AMC2510" s="36"/>
      <c r="AMD2510" s="36"/>
      <c r="AME2510" s="36"/>
      <c r="AMF2510" s="36"/>
      <c r="AMG2510" s="36"/>
      <c r="AMH2510" s="36"/>
      <c r="AMI2510" s="36"/>
      <c r="AMJ2510" s="36"/>
      <c r="AMK2510" s="36"/>
      <c r="AML2510" s="36"/>
      <c r="AMM2510" s="36"/>
      <c r="AMN2510" s="36"/>
      <c r="AMO2510" s="36"/>
      <c r="AMP2510" s="36"/>
      <c r="AMQ2510" s="36"/>
      <c r="AMR2510" s="36"/>
      <c r="AMS2510" s="36"/>
      <c r="AMT2510" s="36"/>
      <c r="AMU2510" s="36"/>
      <c r="AMV2510" s="36"/>
      <c r="AMW2510" s="36"/>
      <c r="AMX2510" s="36"/>
      <c r="AMY2510" s="36"/>
      <c r="AMZ2510" s="36"/>
      <c r="ANA2510" s="36"/>
      <c r="ANB2510" s="36"/>
      <c r="ANC2510" s="36"/>
      <c r="AND2510" s="36"/>
      <c r="ANE2510" s="36"/>
      <c r="ANF2510" s="36"/>
      <c r="ANG2510" s="36"/>
      <c r="ANH2510" s="36"/>
      <c r="ANI2510" s="36"/>
      <c r="ANJ2510" s="36"/>
      <c r="ANK2510" s="36"/>
      <c r="ANL2510" s="36"/>
      <c r="ANM2510" s="36"/>
      <c r="ANN2510" s="36"/>
      <c r="ANO2510" s="36"/>
      <c r="ANP2510" s="36"/>
      <c r="ANQ2510" s="36"/>
      <c r="ANR2510" s="36"/>
      <c r="ANS2510" s="36"/>
      <c r="ANT2510" s="36"/>
      <c r="ANU2510" s="36"/>
      <c r="ANV2510" s="36"/>
      <c r="ANW2510" s="36"/>
      <c r="ANX2510" s="36"/>
      <c r="ANY2510" s="36"/>
      <c r="ANZ2510" s="36"/>
      <c r="AOA2510" s="36"/>
      <c r="AOB2510" s="36"/>
      <c r="AOC2510" s="36"/>
      <c r="AOD2510" s="36"/>
      <c r="AOE2510" s="36"/>
      <c r="AOF2510" s="36"/>
      <c r="AOG2510" s="36"/>
      <c r="AOH2510" s="36"/>
      <c r="AOI2510" s="36"/>
      <c r="AOJ2510" s="36"/>
      <c r="AOK2510" s="36"/>
      <c r="AOL2510" s="36"/>
      <c r="AOM2510" s="36"/>
      <c r="AON2510" s="36"/>
      <c r="AOO2510" s="36"/>
      <c r="AOP2510" s="36"/>
      <c r="AOQ2510" s="36"/>
      <c r="AOR2510" s="36"/>
      <c r="AOS2510" s="36"/>
      <c r="AOT2510" s="36"/>
      <c r="AOU2510" s="36"/>
      <c r="AOV2510" s="36"/>
      <c r="AOW2510" s="36"/>
      <c r="AOX2510" s="36"/>
      <c r="AOY2510" s="36"/>
      <c r="AOZ2510" s="36"/>
      <c r="APA2510" s="36"/>
      <c r="APB2510" s="36"/>
      <c r="APC2510" s="36"/>
    </row>
    <row r="2511" spans="1:1095" s="41" customFormat="1" ht="14.25" customHeight="1">
      <c r="A2511" s="25" t="s">
        <v>715</v>
      </c>
      <c r="B2511" s="276" t="s">
        <v>716</v>
      </c>
      <c r="C2511" s="11"/>
      <c r="D2511" s="11"/>
      <c r="E2511" s="11"/>
      <c r="F2511" s="7"/>
      <c r="G2511" s="68"/>
      <c r="H2511" s="11"/>
      <c r="I2511" s="11"/>
      <c r="J2511" s="11"/>
      <c r="K2511" s="11"/>
      <c r="L2511" s="11"/>
      <c r="M2511" s="248"/>
      <c r="N2511" s="284"/>
      <c r="O2511" s="32"/>
      <c r="P2511" s="32"/>
      <c r="Q2511" s="32"/>
      <c r="R2511" s="32"/>
      <c r="S2511" s="32"/>
      <c r="T2511" s="32"/>
      <c r="U2511" s="32"/>
      <c r="V2511" s="32"/>
      <c r="W2511" s="32"/>
      <c r="X2511" s="32"/>
      <c r="Y2511" s="32"/>
      <c r="Z2511" s="32"/>
      <c r="AA2511" s="32"/>
      <c r="AB2511" s="32"/>
      <c r="AC2511" s="32"/>
      <c r="AD2511" s="32"/>
      <c r="AE2511" s="32"/>
      <c r="AF2511" s="32"/>
      <c r="AG2511" s="32"/>
      <c r="AH2511" s="32"/>
      <c r="AI2511" s="32"/>
      <c r="AJ2511" s="32"/>
      <c r="AK2511" s="32"/>
      <c r="AL2511" s="32"/>
      <c r="AM2511" s="32"/>
      <c r="AN2511" s="32"/>
      <c r="AO2511" s="32"/>
      <c r="AP2511" s="32"/>
      <c r="AQ2511" s="32"/>
      <c r="AR2511" s="32"/>
      <c r="AS2511" s="32"/>
      <c r="AT2511" s="32"/>
      <c r="AU2511" s="32"/>
      <c r="AV2511" s="32"/>
      <c r="AW2511" s="32"/>
      <c r="AX2511" s="32"/>
      <c r="AY2511" s="32"/>
      <c r="AZ2511" s="32"/>
      <c r="BA2511" s="32"/>
      <c r="BB2511" s="32"/>
      <c r="BC2511" s="32"/>
      <c r="BD2511" s="32"/>
      <c r="BE2511" s="32"/>
      <c r="BF2511" s="32"/>
      <c r="BG2511" s="32"/>
      <c r="BH2511" s="32"/>
      <c r="BI2511" s="32"/>
      <c r="BJ2511" s="32"/>
      <c r="BK2511" s="32"/>
      <c r="BL2511" s="32"/>
      <c r="BM2511" s="32"/>
      <c r="BN2511" s="32"/>
      <c r="BO2511" s="32"/>
      <c r="BP2511" s="32"/>
      <c r="BQ2511" s="32"/>
      <c r="BR2511" s="32"/>
      <c r="BS2511" s="32"/>
      <c r="BT2511" s="32"/>
      <c r="BU2511" s="32"/>
      <c r="BV2511" s="32"/>
      <c r="BW2511" s="32"/>
      <c r="BX2511" s="32"/>
      <c r="BY2511" s="32"/>
      <c r="BZ2511" s="32"/>
      <c r="CA2511" s="32"/>
      <c r="CB2511" s="32"/>
      <c r="CC2511" s="32"/>
      <c r="CD2511" s="32"/>
      <c r="CE2511" s="32"/>
      <c r="CF2511" s="32"/>
      <c r="CG2511" s="32"/>
      <c r="CH2511" s="32"/>
      <c r="CI2511" s="32"/>
      <c r="CJ2511" s="32"/>
      <c r="CK2511" s="32"/>
      <c r="CL2511" s="32"/>
      <c r="CM2511" s="32"/>
      <c r="CN2511" s="32"/>
      <c r="CO2511" s="32"/>
      <c r="CP2511" s="32"/>
      <c r="CQ2511" s="32"/>
      <c r="CR2511" s="32"/>
      <c r="CS2511" s="32"/>
      <c r="CT2511" s="32"/>
      <c r="CU2511" s="32"/>
      <c r="CV2511" s="32"/>
      <c r="CW2511" s="32"/>
      <c r="CX2511" s="32"/>
      <c r="CY2511" s="32"/>
      <c r="CZ2511" s="32"/>
      <c r="DA2511" s="32"/>
      <c r="DB2511" s="32"/>
      <c r="DC2511" s="32"/>
      <c r="DD2511" s="32"/>
      <c r="DE2511" s="32"/>
      <c r="DF2511" s="32"/>
      <c r="DG2511" s="32"/>
      <c r="DH2511" s="32"/>
      <c r="DI2511" s="32"/>
      <c r="DJ2511" s="32"/>
      <c r="DK2511" s="32"/>
      <c r="DL2511" s="32"/>
      <c r="DM2511" s="32"/>
      <c r="DN2511" s="32"/>
      <c r="DO2511" s="32"/>
      <c r="DP2511" s="32"/>
      <c r="DQ2511" s="32"/>
      <c r="DR2511" s="32"/>
      <c r="DS2511" s="32"/>
      <c r="DT2511" s="32"/>
      <c r="DU2511" s="32"/>
      <c r="DV2511" s="32"/>
      <c r="DW2511" s="32"/>
      <c r="DX2511" s="32"/>
      <c r="DY2511" s="32"/>
      <c r="DZ2511" s="32"/>
      <c r="EA2511" s="32"/>
      <c r="EB2511" s="32"/>
      <c r="EC2511" s="32"/>
      <c r="ED2511" s="32"/>
      <c r="EE2511" s="32"/>
      <c r="EF2511" s="32"/>
      <c r="EG2511" s="32"/>
      <c r="EH2511" s="32"/>
      <c r="EI2511" s="32"/>
      <c r="EJ2511" s="32"/>
      <c r="EK2511" s="32"/>
      <c r="EL2511" s="32"/>
      <c r="EM2511" s="32"/>
      <c r="EN2511" s="32"/>
      <c r="EO2511" s="32"/>
      <c r="EP2511" s="32"/>
      <c r="EQ2511" s="32"/>
      <c r="ER2511" s="32"/>
      <c r="ES2511" s="32"/>
      <c r="ET2511" s="32"/>
      <c r="EU2511" s="32"/>
      <c r="EV2511" s="32"/>
      <c r="EW2511" s="32"/>
      <c r="EX2511" s="32"/>
      <c r="EY2511" s="32"/>
      <c r="EZ2511" s="32"/>
      <c r="FA2511" s="32"/>
      <c r="FB2511" s="32"/>
      <c r="FC2511" s="32"/>
      <c r="FD2511" s="32"/>
      <c r="FE2511" s="32"/>
      <c r="FF2511" s="32"/>
      <c r="FG2511" s="32"/>
      <c r="FH2511" s="32"/>
      <c r="FI2511" s="32"/>
      <c r="FJ2511" s="32"/>
      <c r="FK2511" s="32"/>
      <c r="FL2511" s="32"/>
      <c r="FM2511" s="32"/>
      <c r="FN2511" s="32"/>
      <c r="FO2511" s="32"/>
      <c r="FP2511" s="32"/>
      <c r="FQ2511" s="32"/>
      <c r="FR2511" s="32"/>
      <c r="FS2511" s="32"/>
      <c r="FT2511" s="32"/>
      <c r="FU2511" s="32"/>
      <c r="FV2511" s="32"/>
      <c r="FW2511" s="32"/>
      <c r="FX2511" s="32"/>
      <c r="FY2511" s="32"/>
      <c r="FZ2511" s="32"/>
      <c r="GA2511" s="32"/>
      <c r="GB2511" s="32"/>
      <c r="GC2511" s="32"/>
      <c r="GD2511" s="32"/>
      <c r="GE2511" s="32"/>
      <c r="GF2511" s="32"/>
      <c r="GG2511" s="32"/>
      <c r="GH2511" s="32"/>
      <c r="GI2511" s="32"/>
      <c r="GJ2511" s="32"/>
      <c r="GK2511" s="32"/>
      <c r="GL2511" s="32"/>
      <c r="GM2511" s="32"/>
      <c r="GN2511" s="32"/>
      <c r="GO2511" s="32"/>
      <c r="GP2511" s="32"/>
      <c r="GQ2511" s="32"/>
      <c r="GR2511" s="32"/>
      <c r="GS2511" s="32"/>
      <c r="GT2511" s="32"/>
      <c r="GU2511" s="32"/>
      <c r="GV2511" s="32"/>
      <c r="GW2511" s="32"/>
      <c r="GX2511" s="32"/>
      <c r="GY2511" s="32"/>
      <c r="GZ2511" s="32"/>
      <c r="HA2511" s="32"/>
      <c r="HB2511" s="32"/>
      <c r="HC2511" s="32"/>
      <c r="HD2511" s="32"/>
      <c r="HE2511" s="32"/>
      <c r="HF2511" s="32"/>
      <c r="HG2511" s="32"/>
      <c r="HH2511" s="32"/>
      <c r="HI2511" s="32"/>
      <c r="HJ2511" s="32"/>
      <c r="HK2511" s="32"/>
      <c r="HL2511" s="32"/>
      <c r="HM2511" s="32"/>
      <c r="HN2511" s="32"/>
      <c r="HO2511" s="32"/>
      <c r="HP2511" s="32"/>
      <c r="HQ2511" s="32"/>
      <c r="HR2511" s="32"/>
      <c r="HS2511" s="32"/>
      <c r="HT2511" s="32"/>
      <c r="HU2511" s="32"/>
      <c r="HV2511" s="32"/>
      <c r="HW2511" s="32"/>
      <c r="HX2511" s="32"/>
      <c r="HY2511" s="32"/>
      <c r="HZ2511" s="32"/>
      <c r="IA2511" s="32"/>
      <c r="IB2511" s="32"/>
      <c r="IC2511" s="32"/>
      <c r="ID2511" s="32"/>
      <c r="IE2511" s="32"/>
      <c r="IF2511" s="32"/>
      <c r="IG2511" s="32"/>
      <c r="IH2511" s="32"/>
      <c r="II2511" s="32"/>
      <c r="IJ2511" s="32"/>
      <c r="IK2511" s="32"/>
      <c r="IL2511" s="32"/>
      <c r="IM2511" s="32"/>
      <c r="IN2511" s="32"/>
      <c r="IO2511" s="32"/>
      <c r="IP2511" s="32"/>
      <c r="IQ2511" s="32"/>
      <c r="IR2511" s="32"/>
      <c r="IS2511" s="32"/>
      <c r="IT2511" s="32"/>
      <c r="IU2511" s="32"/>
      <c r="IV2511" s="32"/>
      <c r="IW2511" s="32"/>
      <c r="IX2511" s="32"/>
      <c r="IY2511" s="32"/>
      <c r="IZ2511" s="32"/>
      <c r="JA2511" s="32"/>
      <c r="JB2511" s="32"/>
      <c r="JC2511" s="32"/>
      <c r="JD2511" s="32"/>
      <c r="JE2511" s="32"/>
      <c r="JF2511" s="32"/>
      <c r="JG2511" s="32"/>
      <c r="JH2511" s="32"/>
      <c r="JI2511" s="32"/>
      <c r="JJ2511" s="32"/>
      <c r="JK2511" s="32"/>
      <c r="JL2511" s="32"/>
      <c r="JM2511" s="32"/>
      <c r="JN2511" s="32"/>
      <c r="JO2511" s="32"/>
      <c r="JP2511" s="32"/>
      <c r="JQ2511" s="32"/>
      <c r="JR2511" s="32"/>
      <c r="JS2511" s="32"/>
      <c r="JT2511" s="32"/>
      <c r="JU2511" s="32"/>
      <c r="JV2511" s="32"/>
      <c r="JW2511" s="32"/>
      <c r="JX2511" s="32"/>
      <c r="JY2511" s="32"/>
      <c r="JZ2511" s="32"/>
      <c r="KA2511" s="32"/>
      <c r="KB2511" s="32"/>
      <c r="KC2511" s="32"/>
      <c r="KD2511" s="32"/>
      <c r="KE2511" s="32"/>
      <c r="KF2511" s="32"/>
      <c r="KG2511" s="32"/>
      <c r="KH2511" s="32"/>
      <c r="KI2511" s="32"/>
      <c r="KJ2511" s="32"/>
      <c r="KK2511" s="32"/>
      <c r="KL2511" s="32"/>
      <c r="KM2511" s="32"/>
      <c r="KN2511" s="32"/>
      <c r="KO2511" s="32"/>
      <c r="KP2511" s="32"/>
      <c r="KQ2511" s="32"/>
      <c r="KR2511" s="32"/>
      <c r="KS2511" s="32"/>
      <c r="KT2511" s="32"/>
      <c r="KU2511" s="32"/>
      <c r="KV2511" s="32"/>
      <c r="KW2511" s="32"/>
      <c r="KX2511" s="32"/>
      <c r="KY2511" s="32"/>
      <c r="KZ2511" s="32"/>
      <c r="LA2511" s="32"/>
      <c r="LB2511" s="32"/>
      <c r="LC2511" s="32"/>
      <c r="LD2511" s="32"/>
      <c r="LE2511" s="32"/>
      <c r="LF2511" s="32"/>
      <c r="LG2511" s="32"/>
      <c r="LH2511" s="32"/>
      <c r="LI2511" s="32"/>
      <c r="LJ2511" s="32"/>
      <c r="LK2511" s="32"/>
      <c r="LL2511" s="32"/>
      <c r="LM2511" s="32"/>
      <c r="LN2511" s="32"/>
      <c r="LO2511" s="32"/>
      <c r="LP2511" s="32"/>
      <c r="LQ2511" s="32"/>
      <c r="LR2511" s="32"/>
      <c r="LS2511" s="32"/>
      <c r="LT2511" s="32"/>
      <c r="LU2511" s="32"/>
      <c r="LV2511" s="32"/>
      <c r="LW2511" s="32"/>
      <c r="LX2511" s="32"/>
      <c r="LY2511" s="32"/>
      <c r="LZ2511" s="32"/>
      <c r="MA2511" s="32"/>
      <c r="MB2511" s="32"/>
      <c r="MC2511" s="32"/>
      <c r="MD2511" s="32"/>
      <c r="ME2511" s="32"/>
      <c r="MF2511" s="32"/>
      <c r="MG2511" s="32"/>
      <c r="MH2511" s="32"/>
      <c r="MI2511" s="32"/>
      <c r="MJ2511" s="32"/>
      <c r="MK2511" s="32"/>
      <c r="ML2511" s="32"/>
      <c r="MM2511" s="32"/>
      <c r="MN2511" s="32"/>
      <c r="MO2511" s="32"/>
      <c r="MP2511" s="32"/>
      <c r="MQ2511" s="32"/>
      <c r="MR2511" s="32"/>
      <c r="MS2511" s="32"/>
      <c r="MT2511" s="32"/>
      <c r="MU2511" s="32"/>
      <c r="MV2511" s="32"/>
      <c r="MW2511" s="32"/>
      <c r="MX2511" s="32"/>
      <c r="MY2511" s="32"/>
      <c r="MZ2511" s="32"/>
      <c r="NA2511" s="32"/>
      <c r="NB2511" s="32"/>
      <c r="NC2511" s="32"/>
      <c r="ND2511" s="32"/>
      <c r="NE2511" s="32"/>
      <c r="NF2511" s="32"/>
      <c r="NG2511" s="32"/>
      <c r="NH2511" s="32"/>
      <c r="NI2511" s="32"/>
      <c r="NJ2511" s="32"/>
      <c r="NK2511" s="32"/>
      <c r="NL2511" s="32"/>
      <c r="NM2511" s="32"/>
      <c r="NN2511" s="32"/>
      <c r="NO2511" s="32"/>
      <c r="NP2511" s="32"/>
      <c r="NQ2511" s="32"/>
      <c r="NR2511" s="32"/>
      <c r="NS2511" s="32"/>
      <c r="NT2511" s="32"/>
      <c r="NU2511" s="32"/>
      <c r="NV2511" s="32"/>
      <c r="NW2511" s="32"/>
      <c r="NX2511" s="32"/>
      <c r="NY2511" s="32"/>
      <c r="NZ2511" s="32"/>
      <c r="OA2511" s="32"/>
      <c r="OB2511" s="32"/>
      <c r="OC2511" s="32"/>
      <c r="OD2511" s="32"/>
      <c r="OE2511" s="32"/>
      <c r="OF2511" s="32"/>
      <c r="OG2511" s="32"/>
      <c r="OH2511" s="32"/>
      <c r="OI2511" s="32"/>
      <c r="OJ2511" s="32"/>
      <c r="OK2511" s="32"/>
      <c r="OL2511" s="32"/>
      <c r="OM2511" s="32"/>
      <c r="ON2511" s="32"/>
      <c r="OO2511" s="32"/>
      <c r="OP2511" s="32"/>
      <c r="OQ2511" s="32"/>
      <c r="OR2511" s="32"/>
      <c r="OS2511" s="32"/>
      <c r="OT2511" s="32"/>
      <c r="OU2511" s="32"/>
      <c r="OV2511" s="32"/>
      <c r="OW2511" s="32"/>
      <c r="OX2511" s="32"/>
      <c r="OY2511" s="32"/>
      <c r="OZ2511" s="32"/>
      <c r="PA2511" s="32"/>
      <c r="PB2511" s="32"/>
      <c r="PC2511" s="32"/>
      <c r="PD2511" s="32"/>
      <c r="PE2511" s="32"/>
      <c r="PF2511" s="32"/>
      <c r="PG2511" s="32"/>
      <c r="PH2511" s="32"/>
      <c r="PI2511" s="32"/>
      <c r="PJ2511" s="32"/>
      <c r="PK2511" s="32"/>
      <c r="PL2511" s="32"/>
      <c r="PM2511" s="32"/>
      <c r="PN2511" s="32"/>
      <c r="PO2511" s="32"/>
      <c r="PP2511" s="32"/>
      <c r="PQ2511" s="32"/>
      <c r="PR2511" s="32"/>
      <c r="PS2511" s="32"/>
      <c r="PT2511" s="32"/>
      <c r="PU2511" s="32"/>
      <c r="PV2511" s="32"/>
      <c r="PW2511" s="32"/>
      <c r="PX2511" s="32"/>
      <c r="PY2511" s="32"/>
      <c r="PZ2511" s="32"/>
      <c r="QA2511" s="32"/>
      <c r="QB2511" s="32"/>
      <c r="QC2511" s="32"/>
      <c r="QD2511" s="32"/>
      <c r="QE2511" s="32"/>
      <c r="QF2511" s="32"/>
      <c r="QG2511" s="32"/>
      <c r="QH2511" s="32"/>
      <c r="QI2511" s="32"/>
      <c r="QJ2511" s="32"/>
      <c r="QK2511" s="32"/>
      <c r="QL2511" s="32"/>
      <c r="QM2511" s="32"/>
      <c r="QN2511" s="32"/>
      <c r="QO2511" s="32"/>
      <c r="QP2511" s="32"/>
      <c r="QQ2511" s="32"/>
      <c r="QR2511" s="32"/>
      <c r="QS2511" s="32"/>
      <c r="QT2511" s="32"/>
      <c r="QU2511" s="32"/>
      <c r="QV2511" s="32"/>
      <c r="QW2511" s="32"/>
      <c r="QX2511" s="32"/>
      <c r="QY2511" s="32"/>
      <c r="QZ2511" s="32"/>
      <c r="RA2511" s="32"/>
      <c r="RB2511" s="32"/>
      <c r="RC2511" s="32"/>
      <c r="RD2511" s="32"/>
      <c r="RE2511" s="32"/>
      <c r="RF2511" s="32"/>
      <c r="RG2511" s="32"/>
      <c r="RH2511" s="32"/>
      <c r="RI2511" s="32"/>
      <c r="RJ2511" s="32"/>
      <c r="RK2511" s="32"/>
      <c r="RL2511" s="32"/>
      <c r="RM2511" s="32"/>
      <c r="RN2511" s="32"/>
      <c r="RO2511" s="32"/>
      <c r="RP2511" s="32"/>
      <c r="RQ2511" s="32"/>
      <c r="RR2511" s="32"/>
      <c r="RS2511" s="32"/>
      <c r="RT2511" s="32"/>
      <c r="RU2511" s="32"/>
      <c r="RV2511" s="32"/>
      <c r="RW2511" s="32"/>
      <c r="RX2511" s="32"/>
      <c r="RY2511" s="32"/>
      <c r="RZ2511" s="32"/>
      <c r="SA2511" s="32"/>
      <c r="SB2511" s="32"/>
      <c r="SC2511" s="32"/>
      <c r="SD2511" s="32"/>
      <c r="SE2511" s="32"/>
      <c r="SF2511" s="32"/>
      <c r="SG2511" s="32"/>
      <c r="SH2511" s="32"/>
      <c r="SI2511" s="32"/>
      <c r="SJ2511" s="32"/>
      <c r="SK2511" s="32"/>
      <c r="SL2511" s="32"/>
      <c r="SM2511" s="32"/>
      <c r="SN2511" s="32"/>
      <c r="SO2511" s="32"/>
      <c r="SP2511" s="32"/>
      <c r="SQ2511" s="32"/>
      <c r="SR2511" s="32"/>
      <c r="SS2511" s="32"/>
      <c r="ST2511" s="32"/>
      <c r="SU2511" s="32"/>
      <c r="SV2511" s="32"/>
      <c r="SW2511" s="32"/>
      <c r="SX2511" s="32"/>
      <c r="SY2511" s="32"/>
      <c r="SZ2511" s="32"/>
      <c r="TA2511" s="32"/>
      <c r="TB2511" s="32"/>
      <c r="TC2511" s="32"/>
      <c r="TD2511" s="32"/>
      <c r="TE2511" s="32"/>
      <c r="TF2511" s="32"/>
      <c r="TG2511" s="32"/>
      <c r="TH2511" s="32"/>
      <c r="TI2511" s="32"/>
      <c r="TJ2511" s="32"/>
      <c r="TK2511" s="32"/>
      <c r="TL2511" s="32"/>
      <c r="TM2511" s="32"/>
      <c r="TN2511" s="32"/>
      <c r="TO2511" s="32"/>
      <c r="TP2511" s="32"/>
      <c r="TQ2511" s="32"/>
      <c r="TR2511" s="32"/>
      <c r="TS2511" s="32"/>
      <c r="TT2511" s="32"/>
      <c r="TU2511" s="32"/>
      <c r="TV2511" s="32"/>
      <c r="TW2511" s="32"/>
      <c r="TX2511" s="32"/>
      <c r="TY2511" s="32"/>
      <c r="TZ2511" s="32"/>
      <c r="UA2511" s="32"/>
      <c r="UB2511" s="32"/>
      <c r="UC2511" s="32"/>
      <c r="UD2511" s="32"/>
      <c r="UE2511" s="32"/>
      <c r="UF2511" s="32"/>
      <c r="UG2511" s="32"/>
      <c r="UH2511" s="32"/>
      <c r="UI2511" s="32"/>
      <c r="UJ2511" s="32"/>
      <c r="UK2511" s="32"/>
      <c r="UL2511" s="32"/>
      <c r="UM2511" s="32"/>
      <c r="UN2511" s="32"/>
      <c r="UO2511" s="32"/>
      <c r="UP2511" s="32"/>
      <c r="UQ2511" s="32"/>
      <c r="UR2511" s="32"/>
      <c r="US2511" s="32"/>
      <c r="UT2511" s="32"/>
      <c r="UU2511" s="32"/>
      <c r="UV2511" s="32"/>
      <c r="UW2511" s="32"/>
      <c r="UX2511" s="32"/>
      <c r="UY2511" s="32"/>
      <c r="UZ2511" s="32"/>
      <c r="VA2511" s="32"/>
      <c r="VB2511" s="32"/>
      <c r="VC2511" s="32"/>
      <c r="VD2511" s="32"/>
      <c r="VE2511" s="32"/>
      <c r="VF2511" s="32"/>
      <c r="VG2511" s="32"/>
      <c r="VH2511" s="32"/>
      <c r="VI2511" s="32"/>
      <c r="VJ2511" s="32"/>
      <c r="VK2511" s="32"/>
      <c r="VL2511" s="32"/>
      <c r="VM2511" s="32"/>
      <c r="VN2511" s="32"/>
      <c r="VO2511" s="32"/>
      <c r="VP2511" s="32"/>
      <c r="VQ2511" s="32"/>
      <c r="VR2511" s="32"/>
      <c r="VS2511" s="32"/>
      <c r="VT2511" s="32"/>
      <c r="VU2511" s="32"/>
      <c r="VV2511" s="32"/>
      <c r="VW2511" s="32"/>
      <c r="VX2511" s="32"/>
      <c r="VY2511" s="32"/>
      <c r="VZ2511" s="32"/>
      <c r="WA2511" s="32"/>
      <c r="WB2511" s="32"/>
      <c r="WC2511" s="32"/>
      <c r="WD2511" s="32"/>
      <c r="WE2511" s="32"/>
      <c r="WF2511" s="32"/>
      <c r="WG2511" s="32"/>
      <c r="WH2511" s="32"/>
      <c r="WI2511" s="32"/>
      <c r="WJ2511" s="32"/>
      <c r="WK2511" s="32"/>
      <c r="WL2511" s="32"/>
      <c r="WM2511" s="32"/>
      <c r="WN2511" s="32"/>
      <c r="WO2511" s="32"/>
      <c r="WP2511" s="32"/>
      <c r="WQ2511" s="32"/>
      <c r="WR2511" s="32"/>
      <c r="WS2511" s="32"/>
      <c r="WT2511" s="32"/>
      <c r="WU2511" s="32"/>
      <c r="WV2511" s="32"/>
      <c r="WW2511" s="32"/>
      <c r="WX2511" s="32"/>
      <c r="WY2511" s="32"/>
      <c r="WZ2511" s="32"/>
      <c r="XA2511" s="32"/>
      <c r="XB2511" s="32"/>
      <c r="XC2511" s="32"/>
      <c r="XD2511" s="32"/>
      <c r="XE2511" s="32"/>
      <c r="XF2511" s="32"/>
      <c r="XG2511" s="32"/>
      <c r="XH2511" s="32"/>
      <c r="XI2511" s="32"/>
      <c r="XJ2511" s="32"/>
      <c r="XK2511" s="32"/>
      <c r="XL2511" s="32"/>
      <c r="XM2511" s="32"/>
      <c r="XN2511" s="32"/>
      <c r="XO2511" s="32"/>
      <c r="XP2511" s="32"/>
      <c r="XQ2511" s="32"/>
      <c r="XR2511" s="32"/>
      <c r="XS2511" s="32"/>
      <c r="XT2511" s="32"/>
      <c r="XU2511" s="32"/>
      <c r="XV2511" s="32"/>
      <c r="XW2511" s="32"/>
      <c r="XX2511" s="32"/>
      <c r="XY2511" s="32"/>
      <c r="XZ2511" s="32"/>
      <c r="YA2511" s="32"/>
      <c r="YB2511" s="32"/>
      <c r="YC2511" s="32"/>
      <c r="YD2511" s="32"/>
      <c r="YE2511" s="32"/>
      <c r="YF2511" s="32"/>
      <c r="YG2511" s="32"/>
      <c r="YH2511" s="32"/>
      <c r="YI2511" s="32"/>
      <c r="YJ2511" s="32"/>
      <c r="YK2511" s="32"/>
      <c r="YL2511" s="32"/>
      <c r="YM2511" s="32"/>
      <c r="YN2511" s="32"/>
      <c r="YO2511" s="32"/>
      <c r="YP2511" s="32"/>
      <c r="YQ2511" s="32"/>
      <c r="YR2511" s="32"/>
      <c r="YS2511" s="32"/>
      <c r="YT2511" s="32"/>
      <c r="YU2511" s="32"/>
      <c r="YV2511" s="32"/>
      <c r="YW2511" s="32"/>
      <c r="YX2511" s="32"/>
      <c r="YY2511" s="32"/>
      <c r="YZ2511" s="32"/>
      <c r="ZA2511" s="32"/>
      <c r="ZB2511" s="32"/>
      <c r="ZC2511" s="32"/>
      <c r="ZD2511" s="32"/>
      <c r="ZE2511" s="32"/>
      <c r="ZF2511" s="32"/>
      <c r="ZG2511" s="32"/>
      <c r="ZH2511" s="32"/>
      <c r="ZI2511" s="32"/>
      <c r="ZJ2511" s="32"/>
      <c r="ZK2511" s="32"/>
      <c r="ZL2511" s="32"/>
      <c r="ZM2511" s="32"/>
      <c r="ZN2511" s="32"/>
      <c r="ZO2511" s="32"/>
      <c r="ZP2511" s="32"/>
      <c r="ZQ2511" s="32"/>
      <c r="ZR2511" s="32"/>
      <c r="ZS2511" s="32"/>
      <c r="ZT2511" s="32"/>
      <c r="ZU2511" s="32"/>
      <c r="ZV2511" s="32"/>
      <c r="ZW2511" s="32"/>
      <c r="ZX2511" s="32"/>
      <c r="ZY2511" s="32"/>
      <c r="ZZ2511" s="32"/>
      <c r="AAA2511" s="32"/>
      <c r="AAB2511" s="32"/>
      <c r="AAC2511" s="32"/>
      <c r="AAD2511" s="32"/>
      <c r="AAE2511" s="32"/>
      <c r="AAF2511" s="32"/>
      <c r="AAG2511" s="32"/>
      <c r="AAH2511" s="32"/>
      <c r="AAI2511" s="32"/>
      <c r="AAJ2511" s="32"/>
      <c r="AAK2511" s="32"/>
      <c r="AAL2511" s="32"/>
      <c r="AAM2511" s="32"/>
      <c r="AAN2511" s="32"/>
      <c r="AAO2511" s="32"/>
      <c r="AAP2511" s="32"/>
      <c r="AAQ2511" s="32"/>
      <c r="AAR2511" s="32"/>
      <c r="AAS2511" s="32"/>
      <c r="AAT2511" s="32"/>
      <c r="AAU2511" s="32"/>
      <c r="AAV2511" s="32"/>
      <c r="AAW2511" s="32"/>
      <c r="AAX2511" s="32"/>
      <c r="AAY2511" s="32"/>
      <c r="AAZ2511" s="32"/>
      <c r="ABA2511" s="32"/>
      <c r="ABB2511" s="32"/>
      <c r="ABC2511" s="32"/>
      <c r="ABD2511" s="32"/>
      <c r="ABE2511" s="32"/>
      <c r="ABF2511" s="32"/>
      <c r="ABG2511" s="32"/>
      <c r="ABH2511" s="32"/>
      <c r="ABI2511" s="32"/>
      <c r="ABJ2511" s="32"/>
      <c r="ABK2511" s="32"/>
      <c r="ABL2511" s="32"/>
      <c r="ABM2511" s="32"/>
      <c r="ABN2511" s="32"/>
      <c r="ABO2511" s="32"/>
      <c r="ABP2511" s="32"/>
      <c r="ABQ2511" s="32"/>
      <c r="ABR2511" s="32"/>
      <c r="ABS2511" s="32"/>
      <c r="ABT2511" s="32"/>
      <c r="ABU2511" s="32"/>
      <c r="ABV2511" s="32"/>
      <c r="ABW2511" s="32"/>
      <c r="ABX2511" s="32"/>
      <c r="ABY2511" s="32"/>
      <c r="ABZ2511" s="32"/>
      <c r="ACA2511" s="32"/>
      <c r="ACB2511" s="32"/>
      <c r="ACC2511" s="32"/>
      <c r="ACD2511" s="32"/>
      <c r="ACE2511" s="32"/>
      <c r="ACF2511" s="32"/>
      <c r="ACG2511" s="32"/>
      <c r="ACH2511" s="32"/>
      <c r="ACI2511" s="32"/>
      <c r="ACJ2511" s="32"/>
      <c r="ACK2511" s="32"/>
      <c r="ACL2511" s="32"/>
      <c r="ACM2511" s="32"/>
      <c r="ACN2511" s="32"/>
      <c r="ACO2511" s="32"/>
      <c r="ACP2511" s="32"/>
      <c r="ACQ2511" s="32"/>
      <c r="ACR2511" s="32"/>
      <c r="ACS2511" s="32"/>
      <c r="ACT2511" s="32"/>
      <c r="ACU2511" s="32"/>
      <c r="ACV2511" s="32"/>
      <c r="ACW2511" s="32"/>
      <c r="ACX2511" s="32"/>
      <c r="ACY2511" s="32"/>
      <c r="ACZ2511" s="32"/>
      <c r="ADA2511" s="32"/>
      <c r="ADB2511" s="32"/>
      <c r="ADC2511" s="32"/>
      <c r="ADD2511" s="32"/>
      <c r="ADE2511" s="32"/>
      <c r="ADF2511" s="32"/>
      <c r="ADG2511" s="32"/>
      <c r="ADH2511" s="32"/>
      <c r="ADI2511" s="32"/>
      <c r="ADJ2511" s="32"/>
      <c r="ADK2511" s="32"/>
      <c r="ADL2511" s="32"/>
      <c r="ADM2511" s="32"/>
      <c r="ADN2511" s="32"/>
      <c r="ADO2511" s="32"/>
      <c r="ADP2511" s="32"/>
      <c r="ADQ2511" s="32"/>
      <c r="ADR2511" s="32"/>
      <c r="ADS2511" s="32"/>
      <c r="ADT2511" s="32"/>
      <c r="ADU2511" s="32"/>
      <c r="ADV2511" s="32"/>
      <c r="ADW2511" s="32"/>
      <c r="ADX2511" s="32"/>
      <c r="ADY2511" s="32"/>
      <c r="ADZ2511" s="32"/>
      <c r="AEA2511" s="32"/>
      <c r="AEB2511" s="32"/>
      <c r="AEC2511" s="32"/>
      <c r="AED2511" s="32"/>
      <c r="AEE2511" s="32"/>
      <c r="AEF2511" s="32"/>
      <c r="AEG2511" s="32"/>
      <c r="AEH2511" s="32"/>
      <c r="AEI2511" s="32"/>
      <c r="AEJ2511" s="32"/>
      <c r="AEK2511" s="32"/>
      <c r="AEL2511" s="32"/>
      <c r="AEM2511" s="32"/>
      <c r="AEN2511" s="32"/>
      <c r="AEO2511" s="32"/>
      <c r="AEP2511" s="32"/>
      <c r="AEQ2511" s="32"/>
      <c r="AER2511" s="32"/>
      <c r="AES2511" s="32"/>
      <c r="AET2511" s="32"/>
      <c r="AEU2511" s="32"/>
      <c r="AEV2511" s="32"/>
      <c r="AEW2511" s="32"/>
      <c r="AEX2511" s="32"/>
      <c r="AEY2511" s="32"/>
      <c r="AEZ2511" s="32"/>
      <c r="AFA2511" s="32"/>
      <c r="AFB2511" s="32"/>
      <c r="AFC2511" s="32"/>
      <c r="AFD2511" s="32"/>
      <c r="AFE2511" s="32"/>
      <c r="AFF2511" s="32"/>
      <c r="AFG2511" s="32"/>
      <c r="AFH2511" s="32"/>
      <c r="AFI2511" s="32"/>
      <c r="AFJ2511" s="32"/>
      <c r="AFK2511" s="32"/>
      <c r="AFL2511" s="32"/>
      <c r="AFM2511" s="32"/>
      <c r="AFN2511" s="32"/>
      <c r="AFO2511" s="32"/>
      <c r="AFP2511" s="32"/>
      <c r="AFQ2511" s="32"/>
      <c r="AFR2511" s="32"/>
      <c r="AFS2511" s="32"/>
      <c r="AFT2511" s="32"/>
      <c r="AFU2511" s="32"/>
      <c r="AFV2511" s="32"/>
      <c r="AFW2511" s="32"/>
      <c r="AFX2511" s="32"/>
      <c r="AFY2511" s="32"/>
      <c r="AFZ2511" s="32"/>
      <c r="AGA2511" s="32"/>
      <c r="AGB2511" s="32"/>
      <c r="AGC2511" s="32"/>
      <c r="AGD2511" s="32"/>
      <c r="AGE2511" s="32"/>
      <c r="AGF2511" s="32"/>
      <c r="AGG2511" s="32"/>
      <c r="AGH2511" s="32"/>
      <c r="AGI2511" s="32"/>
      <c r="AGJ2511" s="32"/>
      <c r="AGK2511" s="32"/>
      <c r="AGL2511" s="32"/>
      <c r="AGM2511" s="32"/>
      <c r="AGN2511" s="32"/>
      <c r="AGO2511" s="32"/>
      <c r="AGP2511" s="32"/>
      <c r="AGQ2511" s="32"/>
      <c r="AGR2511" s="32"/>
      <c r="AGS2511" s="32"/>
      <c r="AGT2511" s="32"/>
      <c r="AGU2511" s="32"/>
      <c r="AGV2511" s="32"/>
      <c r="AGW2511" s="32"/>
      <c r="AGX2511" s="32"/>
      <c r="AGY2511" s="32"/>
      <c r="AGZ2511" s="32"/>
      <c r="AHA2511" s="32"/>
      <c r="AHB2511" s="32"/>
      <c r="AHC2511" s="32"/>
      <c r="AHD2511" s="32"/>
      <c r="AHE2511" s="32"/>
      <c r="AHF2511" s="32"/>
      <c r="AHG2511" s="32"/>
      <c r="AHH2511" s="32"/>
      <c r="AHI2511" s="32"/>
      <c r="AHJ2511" s="32"/>
      <c r="AHK2511" s="32"/>
      <c r="AHL2511" s="32"/>
      <c r="AHM2511" s="32"/>
      <c r="AHN2511" s="32"/>
      <c r="AHO2511" s="32"/>
      <c r="AHP2511" s="32"/>
      <c r="AHQ2511" s="32"/>
      <c r="AHR2511" s="32"/>
      <c r="AHS2511" s="32"/>
      <c r="AHT2511" s="32"/>
      <c r="AHU2511" s="32"/>
      <c r="AHV2511" s="32"/>
      <c r="AHW2511" s="32"/>
      <c r="AHX2511" s="32"/>
      <c r="AHY2511" s="32"/>
      <c r="AHZ2511" s="32"/>
      <c r="AIA2511" s="32"/>
      <c r="AIB2511" s="32"/>
      <c r="AIC2511" s="32"/>
      <c r="AID2511" s="32"/>
      <c r="AIE2511" s="32"/>
      <c r="AIF2511" s="32"/>
      <c r="AIG2511" s="32"/>
      <c r="AIH2511" s="32"/>
      <c r="AII2511" s="32"/>
      <c r="AIJ2511" s="32"/>
      <c r="AIK2511" s="32"/>
      <c r="AIL2511" s="32"/>
      <c r="AIM2511" s="32"/>
      <c r="AIN2511" s="32"/>
      <c r="AIO2511" s="32"/>
      <c r="AIP2511" s="32"/>
      <c r="AIQ2511" s="32"/>
      <c r="AIR2511" s="32"/>
      <c r="AIS2511" s="32"/>
      <c r="AIT2511" s="32"/>
      <c r="AIU2511" s="32"/>
      <c r="AIV2511" s="32"/>
      <c r="AIW2511" s="32"/>
      <c r="AIX2511" s="32"/>
      <c r="AIY2511" s="32"/>
      <c r="AIZ2511" s="32"/>
      <c r="AJA2511" s="32"/>
      <c r="AJB2511" s="32"/>
      <c r="AJC2511" s="32"/>
      <c r="AJD2511" s="32"/>
      <c r="AJE2511" s="32"/>
      <c r="AJF2511" s="32"/>
      <c r="AJG2511" s="32"/>
      <c r="AJH2511" s="32"/>
      <c r="AJI2511" s="32"/>
      <c r="AJJ2511" s="32"/>
      <c r="AJK2511" s="32"/>
      <c r="AJL2511" s="32"/>
      <c r="AJM2511" s="32"/>
      <c r="AJN2511" s="32"/>
      <c r="AJO2511" s="32"/>
      <c r="AJP2511" s="32"/>
      <c r="AJQ2511" s="32"/>
      <c r="AJR2511" s="32"/>
      <c r="AJS2511" s="32"/>
      <c r="AJT2511" s="32"/>
      <c r="AJU2511" s="32"/>
      <c r="AJV2511" s="32"/>
      <c r="AJW2511" s="32"/>
      <c r="AJX2511" s="32"/>
      <c r="AJY2511" s="32"/>
      <c r="AJZ2511" s="32"/>
      <c r="AKA2511" s="32"/>
      <c r="AKB2511" s="32"/>
      <c r="AKC2511" s="32"/>
      <c r="AKD2511" s="32"/>
      <c r="AKE2511" s="32"/>
      <c r="AKF2511" s="32"/>
      <c r="AKG2511" s="32"/>
      <c r="AKH2511" s="32"/>
      <c r="AKI2511" s="32"/>
      <c r="AKJ2511" s="32"/>
      <c r="AKK2511" s="32"/>
      <c r="AKL2511" s="32"/>
      <c r="AKM2511" s="32"/>
      <c r="AKN2511" s="32"/>
      <c r="AKO2511" s="32"/>
      <c r="AKP2511" s="32"/>
      <c r="AKQ2511" s="32"/>
      <c r="AKR2511" s="32"/>
      <c r="AKS2511" s="32"/>
      <c r="AKT2511" s="32"/>
      <c r="AKU2511" s="32"/>
      <c r="AKV2511" s="32"/>
      <c r="AKW2511" s="32"/>
      <c r="AKX2511" s="32"/>
      <c r="AKY2511" s="32"/>
      <c r="AKZ2511" s="32"/>
      <c r="ALA2511" s="32"/>
      <c r="ALB2511" s="32"/>
      <c r="ALC2511" s="32"/>
      <c r="ALD2511" s="32"/>
      <c r="ALE2511" s="32"/>
      <c r="ALF2511" s="32"/>
      <c r="ALG2511" s="32"/>
      <c r="ALH2511" s="32"/>
      <c r="ALI2511" s="32"/>
      <c r="ALJ2511" s="32"/>
      <c r="ALK2511" s="32"/>
      <c r="ALL2511" s="32"/>
      <c r="ALM2511" s="32"/>
      <c r="ALN2511" s="32"/>
      <c r="ALO2511" s="32"/>
      <c r="ALP2511" s="32"/>
      <c r="ALQ2511" s="32"/>
      <c r="ALR2511" s="32"/>
      <c r="ALS2511" s="32"/>
      <c r="ALT2511" s="32"/>
      <c r="ALU2511" s="32"/>
      <c r="ALV2511" s="32"/>
      <c r="ALW2511" s="32"/>
      <c r="ALX2511" s="32"/>
      <c r="ALY2511" s="32"/>
      <c r="ALZ2511" s="32"/>
      <c r="AMA2511" s="32"/>
      <c r="AMB2511" s="32"/>
      <c r="AMC2511" s="32"/>
      <c r="AMD2511" s="32"/>
      <c r="AME2511" s="32"/>
      <c r="AMF2511" s="32"/>
      <c r="AMG2511" s="32"/>
      <c r="AMH2511" s="32"/>
      <c r="AMI2511" s="32"/>
      <c r="AMJ2511" s="32"/>
      <c r="AMK2511" s="32"/>
      <c r="AML2511" s="32"/>
      <c r="AMM2511" s="32"/>
      <c r="AMN2511" s="32"/>
      <c r="AMO2511" s="32"/>
      <c r="AMP2511" s="32"/>
      <c r="AMQ2511" s="32"/>
      <c r="AMR2511" s="32"/>
      <c r="AMS2511" s="32"/>
      <c r="AMT2511" s="32"/>
      <c r="AMU2511" s="32"/>
      <c r="AMV2511" s="32"/>
      <c r="AMW2511" s="32"/>
      <c r="AMX2511" s="32"/>
      <c r="AMY2511" s="32"/>
      <c r="AMZ2511" s="32"/>
      <c r="ANA2511" s="32"/>
      <c r="ANB2511" s="32"/>
      <c r="ANC2511" s="32"/>
      <c r="AND2511" s="32"/>
      <c r="ANE2511" s="32"/>
      <c r="ANF2511" s="32"/>
      <c r="ANG2511" s="32"/>
      <c r="ANH2511" s="32"/>
      <c r="ANI2511" s="32"/>
      <c r="ANJ2511" s="32"/>
      <c r="ANK2511" s="32"/>
      <c r="ANL2511" s="32"/>
      <c r="ANM2511" s="32"/>
      <c r="ANN2511" s="32"/>
      <c r="ANO2511" s="32"/>
      <c r="ANP2511" s="32"/>
      <c r="ANQ2511" s="32"/>
      <c r="ANR2511" s="32"/>
      <c r="ANS2511" s="32"/>
      <c r="ANT2511" s="32"/>
      <c r="ANU2511" s="32"/>
      <c r="ANV2511" s="32"/>
      <c r="ANW2511" s="32"/>
      <c r="ANX2511" s="32"/>
      <c r="ANY2511" s="32"/>
      <c r="ANZ2511" s="32"/>
      <c r="AOA2511" s="32"/>
      <c r="AOB2511" s="32"/>
      <c r="AOC2511" s="32"/>
      <c r="AOD2511" s="32"/>
      <c r="AOE2511" s="32"/>
      <c r="AOF2511" s="32"/>
      <c r="AOG2511" s="32"/>
      <c r="AOH2511" s="32"/>
      <c r="AOI2511" s="32"/>
      <c r="AOJ2511" s="32"/>
      <c r="AOK2511" s="32"/>
      <c r="AOL2511" s="32"/>
      <c r="AOM2511" s="32"/>
      <c r="AON2511" s="32"/>
      <c r="AOO2511" s="32"/>
      <c r="AOP2511" s="32"/>
      <c r="AOQ2511" s="32"/>
      <c r="AOR2511" s="32"/>
      <c r="AOS2511" s="32"/>
      <c r="AOT2511" s="32"/>
      <c r="AOU2511" s="32"/>
      <c r="AOV2511" s="32"/>
      <c r="AOW2511" s="32"/>
      <c r="AOX2511" s="32"/>
      <c r="AOY2511" s="32"/>
      <c r="AOZ2511" s="32"/>
      <c r="APA2511" s="32"/>
      <c r="APB2511" s="32"/>
      <c r="APC2511" s="32"/>
    </row>
    <row r="2512" spans="1:1095" s="32" customFormat="1" ht="14.25" customHeight="1">
      <c r="A2512" s="26" t="s">
        <v>715</v>
      </c>
      <c r="B2512" s="36" t="s">
        <v>180</v>
      </c>
      <c r="C2512" s="215">
        <v>4050300645919</v>
      </c>
      <c r="D2512" s="215"/>
      <c r="E2512" s="215"/>
      <c r="F2512" s="256" t="s">
        <v>4096</v>
      </c>
      <c r="G2512" s="66" t="str">
        <f>HYPERLINK("https://ledvance.com/pt/product-datasheet/7339/91574","Ficha de Produto")</f>
        <v>Ficha de Produto</v>
      </c>
      <c r="H2512" s="34">
        <v>20</v>
      </c>
      <c r="I2512" s="34" t="s">
        <v>786</v>
      </c>
      <c r="J2512" s="34" t="s">
        <v>763</v>
      </c>
      <c r="K2512" s="34"/>
      <c r="L2512" s="34" t="s">
        <v>800</v>
      </c>
      <c r="M2512" s="1">
        <v>12.2</v>
      </c>
      <c r="N2512" s="297" t="s">
        <v>1132</v>
      </c>
    </row>
    <row r="2513" spans="1:14" s="32" customFormat="1" ht="14.25" customHeight="1">
      <c r="A2513" s="26" t="s">
        <v>715</v>
      </c>
      <c r="B2513" s="36" t="s">
        <v>181</v>
      </c>
      <c r="C2513" s="215">
        <v>4050300591520</v>
      </c>
      <c r="D2513" s="215"/>
      <c r="E2513" s="215"/>
      <c r="F2513" s="256" t="s">
        <v>4096</v>
      </c>
      <c r="G2513" s="66" t="str">
        <f>HYPERLINK("https://ledvance.com/pt/product-datasheet/7339/46258","Ficha de Produto")</f>
        <v>Ficha de Produto</v>
      </c>
      <c r="H2513" s="34">
        <v>20</v>
      </c>
      <c r="I2513" s="34" t="s">
        <v>786</v>
      </c>
      <c r="J2513" s="34" t="s">
        <v>763</v>
      </c>
      <c r="K2513" s="34"/>
      <c r="L2513" s="34" t="s">
        <v>800</v>
      </c>
      <c r="M2513" s="1">
        <v>12.2</v>
      </c>
      <c r="N2513" s="297" t="s">
        <v>1132</v>
      </c>
    </row>
    <row r="2514" spans="1:14" s="32" customFormat="1" ht="14.25" customHeight="1">
      <c r="A2514" s="26" t="s">
        <v>715</v>
      </c>
      <c r="B2514" s="36" t="s">
        <v>182</v>
      </c>
      <c r="C2514" s="215">
        <v>4050300591384</v>
      </c>
      <c r="D2514" s="215"/>
      <c r="E2514" s="215"/>
      <c r="F2514" s="256" t="s">
        <v>4096</v>
      </c>
      <c r="G2514" s="66" t="str">
        <f>HYPERLINK("https://ledvance.com/pt/product-datasheet/7339/91601","Ficha de Produto")</f>
        <v>Ficha de Produto</v>
      </c>
      <c r="H2514" s="34">
        <v>20</v>
      </c>
      <c r="I2514" s="34" t="s">
        <v>786</v>
      </c>
      <c r="J2514" s="34" t="s">
        <v>763</v>
      </c>
      <c r="K2514" s="34"/>
      <c r="L2514" s="34" t="s">
        <v>800</v>
      </c>
      <c r="M2514" s="1">
        <v>12.2</v>
      </c>
      <c r="N2514" s="297" t="s">
        <v>1132</v>
      </c>
    </row>
    <row r="2515" spans="1:14" s="32" customFormat="1" ht="14.25" customHeight="1">
      <c r="A2515" s="26" t="s">
        <v>715</v>
      </c>
      <c r="B2515" s="36" t="s">
        <v>183</v>
      </c>
      <c r="C2515" s="215">
        <v>4050300591544</v>
      </c>
      <c r="D2515" s="215"/>
      <c r="E2515" s="215"/>
      <c r="F2515" s="256" t="s">
        <v>4096</v>
      </c>
      <c r="G2515" s="66" t="str">
        <f>HYPERLINK("https://ledvance.com/pt/product-datasheet/7339/91622","Ficha de Produto")</f>
        <v>Ficha de Produto</v>
      </c>
      <c r="H2515" s="34">
        <v>20</v>
      </c>
      <c r="I2515" s="34" t="s">
        <v>1045</v>
      </c>
      <c r="J2515" s="34" t="s">
        <v>763</v>
      </c>
      <c r="K2515" s="34"/>
      <c r="L2515" s="34" t="s">
        <v>800</v>
      </c>
      <c r="M2515" s="1">
        <v>12.2</v>
      </c>
      <c r="N2515" s="297" t="s">
        <v>1132</v>
      </c>
    </row>
    <row r="2516" spans="1:14" s="32" customFormat="1" ht="14.25" customHeight="1">
      <c r="A2516" s="26" t="s">
        <v>715</v>
      </c>
      <c r="B2516" s="36" t="s">
        <v>184</v>
      </c>
      <c r="C2516" s="215">
        <v>4050300645957</v>
      </c>
      <c r="D2516" s="215"/>
      <c r="E2516" s="215"/>
      <c r="F2516" s="256" t="s">
        <v>4096</v>
      </c>
      <c r="G2516" s="66" t="str">
        <f>HYPERLINK("https://ledvance.com/pt/product-datasheet/7339/34254","Ficha de Produto")</f>
        <v>Ficha de Produto</v>
      </c>
      <c r="H2516" s="34">
        <v>20</v>
      </c>
      <c r="I2516" s="34" t="s">
        <v>861</v>
      </c>
      <c r="J2516" s="34" t="s">
        <v>768</v>
      </c>
      <c r="K2516" s="34"/>
      <c r="L2516" s="34" t="s">
        <v>800</v>
      </c>
      <c r="M2516" s="1">
        <v>12.2</v>
      </c>
      <c r="N2516" s="297" t="s">
        <v>1132</v>
      </c>
    </row>
    <row r="2517" spans="1:14" s="32" customFormat="1" ht="14.25" customHeight="1">
      <c r="A2517" s="26" t="s">
        <v>715</v>
      </c>
      <c r="B2517" s="36" t="s">
        <v>185</v>
      </c>
      <c r="C2517" s="215">
        <v>4050300591506</v>
      </c>
      <c r="D2517" s="215"/>
      <c r="E2517" s="215"/>
      <c r="F2517" s="256" t="s">
        <v>4096</v>
      </c>
      <c r="G2517" s="66" t="str">
        <f>HYPERLINK("https://ledvance.com/pt/product-datasheet/7339/34850","Ficha de Produto")</f>
        <v>Ficha de Produto</v>
      </c>
      <c r="H2517" s="34">
        <v>20</v>
      </c>
      <c r="I2517" s="34" t="s">
        <v>861</v>
      </c>
      <c r="J2517" s="34" t="s">
        <v>768</v>
      </c>
      <c r="K2517" s="34"/>
      <c r="L2517" s="34" t="s">
        <v>800</v>
      </c>
      <c r="M2517" s="1">
        <v>12.2</v>
      </c>
      <c r="N2517" s="297" t="s">
        <v>1132</v>
      </c>
    </row>
    <row r="2518" spans="1:14" s="32" customFormat="1" ht="14.25" customHeight="1">
      <c r="A2518" s="26" t="s">
        <v>715</v>
      </c>
      <c r="B2518" s="36" t="s">
        <v>186</v>
      </c>
      <c r="C2518" s="215">
        <v>4050300591407</v>
      </c>
      <c r="D2518" s="215"/>
      <c r="E2518" s="215"/>
      <c r="F2518" s="256" t="s">
        <v>4096</v>
      </c>
      <c r="G2518" s="66" t="str">
        <f>HYPERLINK("https://ledvance.com/pt/product-datasheet/7339/34847","Ficha de Produto")</f>
        <v>Ficha de Produto</v>
      </c>
      <c r="H2518" s="34">
        <v>20</v>
      </c>
      <c r="I2518" s="34" t="s">
        <v>861</v>
      </c>
      <c r="J2518" s="34" t="s">
        <v>768</v>
      </c>
      <c r="K2518" s="34"/>
      <c r="L2518" s="34" t="s">
        <v>800</v>
      </c>
      <c r="M2518" s="1">
        <v>12.2</v>
      </c>
      <c r="N2518" s="297" t="s">
        <v>1132</v>
      </c>
    </row>
    <row r="2519" spans="1:14" s="32" customFormat="1" ht="14.25" customHeight="1">
      <c r="A2519" s="26" t="s">
        <v>715</v>
      </c>
      <c r="B2519" s="36" t="s">
        <v>187</v>
      </c>
      <c r="C2519" s="215">
        <v>4050300591322</v>
      </c>
      <c r="D2519" s="215"/>
      <c r="E2519" s="215"/>
      <c r="F2519" s="256" t="s">
        <v>4096</v>
      </c>
      <c r="G2519" s="66" t="str">
        <f>HYPERLINK("https://ledvance.com/pt/product-datasheet/7339/29797","Ficha de Produto")</f>
        <v>Ficha de Produto</v>
      </c>
      <c r="H2519" s="34">
        <v>20</v>
      </c>
      <c r="I2519" s="34" t="s">
        <v>6433</v>
      </c>
      <c r="J2519" s="34" t="s">
        <v>768</v>
      </c>
      <c r="K2519" s="34"/>
      <c r="L2519" s="34" t="s">
        <v>800</v>
      </c>
      <c r="M2519" s="1">
        <v>12.2</v>
      </c>
      <c r="N2519" s="297" t="s">
        <v>1132</v>
      </c>
    </row>
    <row r="2520" spans="1:14" s="32" customFormat="1" ht="14.25" customHeight="1">
      <c r="A2520" s="26" t="s">
        <v>715</v>
      </c>
      <c r="B2520" s="36" t="s">
        <v>188</v>
      </c>
      <c r="C2520" s="215">
        <v>4050300645995</v>
      </c>
      <c r="D2520" s="215"/>
      <c r="E2520" s="215"/>
      <c r="F2520" s="256" t="s">
        <v>4096</v>
      </c>
      <c r="G2520" s="66" t="str">
        <f>HYPERLINK("https://ledvance.com/pt/product-datasheet/7339/106548","Ficha de Produto")</f>
        <v>Ficha de Produto</v>
      </c>
      <c r="H2520" s="34">
        <v>20</v>
      </c>
      <c r="I2520" s="34" t="s">
        <v>814</v>
      </c>
      <c r="J2520" s="34" t="s">
        <v>818</v>
      </c>
      <c r="K2520" s="34"/>
      <c r="L2520" s="34" t="s">
        <v>800</v>
      </c>
      <c r="M2520" s="1">
        <v>13.9</v>
      </c>
      <c r="N2520" s="297" t="s">
        <v>1132</v>
      </c>
    </row>
    <row r="2521" spans="1:14" s="32" customFormat="1" ht="14.25" customHeight="1">
      <c r="A2521" s="26" t="s">
        <v>715</v>
      </c>
      <c r="B2521" s="36" t="s">
        <v>189</v>
      </c>
      <c r="C2521" s="215">
        <v>4050300591483</v>
      </c>
      <c r="D2521" s="215"/>
      <c r="E2521" s="215"/>
      <c r="F2521" s="256" t="s">
        <v>4096</v>
      </c>
      <c r="G2521" s="66" t="str">
        <f>HYPERLINK("https://ledvance.com/pt/product-datasheet/7339/104478","Ficha de Produto")</f>
        <v>Ficha de Produto</v>
      </c>
      <c r="H2521" s="34">
        <v>20</v>
      </c>
      <c r="I2521" s="34" t="s">
        <v>814</v>
      </c>
      <c r="J2521" s="34" t="s">
        <v>818</v>
      </c>
      <c r="K2521" s="34"/>
      <c r="L2521" s="34" t="s">
        <v>800</v>
      </c>
      <c r="M2521" s="1">
        <v>13.9</v>
      </c>
      <c r="N2521" s="297" t="s">
        <v>1132</v>
      </c>
    </row>
    <row r="2522" spans="1:14" s="32" customFormat="1" ht="14.25" customHeight="1">
      <c r="A2522" s="26" t="s">
        <v>715</v>
      </c>
      <c r="B2522" s="36" t="s">
        <v>190</v>
      </c>
      <c r="C2522" s="215">
        <v>4050300591421</v>
      </c>
      <c r="D2522" s="215"/>
      <c r="E2522" s="215"/>
      <c r="F2522" s="256" t="s">
        <v>4096</v>
      </c>
      <c r="G2522" s="66" t="str">
        <f>HYPERLINK("https://ledvance.com/pt/product-datasheet/7339/104496","Ficha de Produto")</f>
        <v>Ficha de Produto</v>
      </c>
      <c r="H2522" s="34">
        <v>20</v>
      </c>
      <c r="I2522" s="34" t="s">
        <v>814</v>
      </c>
      <c r="J2522" s="34" t="s">
        <v>818</v>
      </c>
      <c r="K2522" s="34"/>
      <c r="L2522" s="34" t="s">
        <v>800</v>
      </c>
      <c r="M2522" s="1">
        <v>13.9</v>
      </c>
      <c r="N2522" s="297" t="s">
        <v>1132</v>
      </c>
    </row>
    <row r="2523" spans="1:14" s="32" customFormat="1" ht="14.25" customHeight="1">
      <c r="A2523" s="26" t="s">
        <v>715</v>
      </c>
      <c r="B2523" s="36" t="s">
        <v>191</v>
      </c>
      <c r="C2523" s="215">
        <v>4050300591346</v>
      </c>
      <c r="D2523" s="215"/>
      <c r="E2523" s="215"/>
      <c r="F2523" s="256" t="s">
        <v>4096</v>
      </c>
      <c r="G2523" s="66" t="str">
        <f>HYPERLINK("https://ledvance.com/pt/product-datasheet/7339/104517","Ficha de Produto")</f>
        <v>Ficha de Produto</v>
      </c>
      <c r="H2523" s="34">
        <v>20</v>
      </c>
      <c r="I2523" s="34" t="s">
        <v>803</v>
      </c>
      <c r="J2523" s="34" t="s">
        <v>818</v>
      </c>
      <c r="K2523" s="34"/>
      <c r="L2523" s="34" t="s">
        <v>800</v>
      </c>
      <c r="M2523" s="1">
        <v>13.9</v>
      </c>
      <c r="N2523" s="297" t="s">
        <v>1132</v>
      </c>
    </row>
    <row r="2524" spans="1:14" s="32" customFormat="1" ht="14.25" customHeight="1">
      <c r="A2524" s="26" t="s">
        <v>715</v>
      </c>
      <c r="B2524" s="36" t="s">
        <v>192</v>
      </c>
      <c r="C2524" s="215">
        <v>4050300646039</v>
      </c>
      <c r="D2524" s="215"/>
      <c r="E2524" s="215"/>
      <c r="F2524" s="256" t="s">
        <v>4096</v>
      </c>
      <c r="G2524" s="66" t="str">
        <f>HYPERLINK("https://ledvance.com/pt/product-datasheet/7339/87636","Ficha de Produto")</f>
        <v>Ficha de Produto</v>
      </c>
      <c r="H2524" s="34">
        <v>20</v>
      </c>
      <c r="I2524" s="34" t="s">
        <v>802</v>
      </c>
      <c r="J2524" s="34" t="s">
        <v>784</v>
      </c>
      <c r="K2524" s="34"/>
      <c r="L2524" s="34" t="s">
        <v>800</v>
      </c>
      <c r="M2524" s="1">
        <v>13.9</v>
      </c>
      <c r="N2524" s="297" t="s">
        <v>1132</v>
      </c>
    </row>
    <row r="2525" spans="1:14" s="32" customFormat="1" ht="14.25" customHeight="1">
      <c r="A2525" s="26" t="s">
        <v>715</v>
      </c>
      <c r="B2525" s="36" t="s">
        <v>193</v>
      </c>
      <c r="C2525" s="215">
        <v>4050300591469</v>
      </c>
      <c r="D2525" s="215"/>
      <c r="E2525" s="215"/>
      <c r="F2525" s="256" t="s">
        <v>4096</v>
      </c>
      <c r="G2525" s="66" t="str">
        <f>HYPERLINK("https://ledvance.com/pt/product-datasheet/7339/87642","Ficha de Produto")</f>
        <v>Ficha de Produto</v>
      </c>
      <c r="H2525" s="34">
        <v>20</v>
      </c>
      <c r="I2525" s="34" t="s">
        <v>802</v>
      </c>
      <c r="J2525" s="34" t="s">
        <v>784</v>
      </c>
      <c r="K2525" s="34"/>
      <c r="L2525" s="34" t="s">
        <v>793</v>
      </c>
      <c r="M2525" s="1">
        <v>13.9</v>
      </c>
      <c r="N2525" s="297" t="s">
        <v>1132</v>
      </c>
    </row>
    <row r="2526" spans="1:14" s="32" customFormat="1" ht="14.25" customHeight="1">
      <c r="A2526" s="26" t="s">
        <v>715</v>
      </c>
      <c r="B2526" s="36" t="s">
        <v>194</v>
      </c>
      <c r="C2526" s="215">
        <v>4050300591445</v>
      </c>
      <c r="D2526" s="215"/>
      <c r="E2526" s="215"/>
      <c r="F2526" s="256" t="s">
        <v>4096</v>
      </c>
      <c r="G2526" s="66" t="str">
        <f>HYPERLINK("https://ledvance.com/pt/product-datasheet/7339/87657","Ficha de Produto")</f>
        <v>Ficha de Produto</v>
      </c>
      <c r="H2526" s="34">
        <v>20</v>
      </c>
      <c r="I2526" s="34" t="s">
        <v>802</v>
      </c>
      <c r="J2526" s="34" t="s">
        <v>784</v>
      </c>
      <c r="K2526" s="34"/>
      <c r="L2526" s="34" t="s">
        <v>793</v>
      </c>
      <c r="M2526" s="1">
        <v>13.9</v>
      </c>
      <c r="N2526" s="297" t="s">
        <v>1132</v>
      </c>
    </row>
    <row r="2527" spans="1:14" s="32" customFormat="1" ht="14.25" customHeight="1">
      <c r="A2527" s="26" t="s">
        <v>715</v>
      </c>
      <c r="B2527" s="36" t="s">
        <v>195</v>
      </c>
      <c r="C2527" s="215">
        <v>4050300591360</v>
      </c>
      <c r="D2527" s="215"/>
      <c r="E2527" s="215"/>
      <c r="F2527" s="256" t="s">
        <v>4096</v>
      </c>
      <c r="G2527" s="66" t="str">
        <f>HYPERLINK("https://ledvance.com/pt/product-datasheet/7339/87672","Ficha de Produto")</f>
        <v>Ficha de Produto</v>
      </c>
      <c r="H2527" s="34">
        <v>20</v>
      </c>
      <c r="I2527" s="34" t="s">
        <v>1041</v>
      </c>
      <c r="J2527" s="34" t="s">
        <v>784</v>
      </c>
      <c r="K2527" s="34"/>
      <c r="L2527" s="34" t="s">
        <v>800</v>
      </c>
      <c r="M2527" s="1">
        <v>13.9</v>
      </c>
      <c r="N2527" s="297" t="s">
        <v>1132</v>
      </c>
    </row>
    <row r="2528" spans="1:14" s="32" customFormat="1" ht="14.25" customHeight="1">
      <c r="A2528" s="26" t="s">
        <v>715</v>
      </c>
      <c r="B2528" s="36" t="s">
        <v>196</v>
      </c>
      <c r="C2528" s="215">
        <v>4050300646077</v>
      </c>
      <c r="D2528" s="215"/>
      <c r="E2528" s="215"/>
      <c r="F2528" s="256" t="s">
        <v>4096</v>
      </c>
      <c r="G2528" s="66" t="str">
        <f>HYPERLINK("https://ledvance.com/pt/product-datasheet/7340/94514","Ficha de Produto")</f>
        <v>Ficha de Produto</v>
      </c>
      <c r="H2528" s="34">
        <v>20</v>
      </c>
      <c r="I2528" s="34" t="s">
        <v>861</v>
      </c>
      <c r="J2528" s="34" t="s">
        <v>821</v>
      </c>
      <c r="K2528" s="34"/>
      <c r="L2528" s="34" t="s">
        <v>800</v>
      </c>
      <c r="M2528" s="1">
        <v>12.2</v>
      </c>
      <c r="N2528" s="297" t="s">
        <v>1132</v>
      </c>
    </row>
    <row r="2529" spans="1:14" s="32" customFormat="1" ht="14.25" customHeight="1">
      <c r="A2529" s="26" t="s">
        <v>715</v>
      </c>
      <c r="B2529" s="36" t="s">
        <v>197</v>
      </c>
      <c r="C2529" s="215">
        <v>4050300591667</v>
      </c>
      <c r="D2529" s="215"/>
      <c r="E2529" s="215"/>
      <c r="F2529" s="256" t="s">
        <v>4096</v>
      </c>
      <c r="G2529" s="66" t="str">
        <f>HYPERLINK("https://ledvance.com/pt/product-datasheet/7340/94520","Ficha de Produto")</f>
        <v>Ficha de Produto</v>
      </c>
      <c r="H2529" s="34">
        <v>20</v>
      </c>
      <c r="I2529" s="34" t="s">
        <v>861</v>
      </c>
      <c r="J2529" s="34" t="s">
        <v>821</v>
      </c>
      <c r="K2529" s="34"/>
      <c r="L2529" s="34" t="s">
        <v>800</v>
      </c>
      <c r="M2529" s="1">
        <v>12.2</v>
      </c>
      <c r="N2529" s="297" t="s">
        <v>1132</v>
      </c>
    </row>
    <row r="2530" spans="1:14" s="32" customFormat="1" ht="14.25" customHeight="1">
      <c r="A2530" s="26" t="s">
        <v>715</v>
      </c>
      <c r="B2530" s="36" t="s">
        <v>198</v>
      </c>
      <c r="C2530" s="215">
        <v>4050300591643</v>
      </c>
      <c r="D2530" s="215"/>
      <c r="E2530" s="215"/>
      <c r="F2530" s="256" t="s">
        <v>4096</v>
      </c>
      <c r="G2530" s="66" t="str">
        <f>HYPERLINK("https://ledvance.com/pt/product-datasheet/7340/94532","Ficha de Produto")</f>
        <v>Ficha de Produto</v>
      </c>
      <c r="H2530" s="34">
        <v>20</v>
      </c>
      <c r="I2530" s="34" t="s">
        <v>861</v>
      </c>
      <c r="J2530" s="34" t="s">
        <v>821</v>
      </c>
      <c r="K2530" s="34"/>
      <c r="L2530" s="34" t="s">
        <v>800</v>
      </c>
      <c r="M2530" s="1">
        <v>12.2</v>
      </c>
      <c r="N2530" s="297" t="s">
        <v>1132</v>
      </c>
    </row>
    <row r="2531" spans="1:14" s="32" customFormat="1" ht="14.25" customHeight="1">
      <c r="A2531" s="26" t="s">
        <v>715</v>
      </c>
      <c r="B2531" s="36" t="s">
        <v>199</v>
      </c>
      <c r="C2531" s="215">
        <v>4050300591629</v>
      </c>
      <c r="D2531" s="215"/>
      <c r="E2531" s="215"/>
      <c r="F2531" s="256" t="s">
        <v>4096</v>
      </c>
      <c r="G2531" s="66" t="str">
        <f>HYPERLINK("https://ledvance.com/pt/product-datasheet/7340/34853","Ficha de Produto")</f>
        <v>Ficha de Produto</v>
      </c>
      <c r="H2531" s="34">
        <v>20</v>
      </c>
      <c r="I2531" s="34" t="s">
        <v>812</v>
      </c>
      <c r="J2531" s="34" t="s">
        <v>821</v>
      </c>
      <c r="K2531" s="34"/>
      <c r="L2531" s="34" t="s">
        <v>800</v>
      </c>
      <c r="M2531" s="1">
        <v>12.2</v>
      </c>
      <c r="N2531" s="297" t="s">
        <v>1132</v>
      </c>
    </row>
    <row r="2532" spans="1:14" s="32" customFormat="1" ht="14.25" customHeight="1">
      <c r="A2532" s="26" t="s">
        <v>715</v>
      </c>
      <c r="B2532" s="36" t="s">
        <v>200</v>
      </c>
      <c r="C2532" s="215">
        <v>4050300591704</v>
      </c>
      <c r="D2532" s="215"/>
      <c r="E2532" s="215"/>
      <c r="F2532" s="256" t="s">
        <v>4096</v>
      </c>
      <c r="G2532" s="66" t="str">
        <f>HYPERLINK("https://ledvance.com/pt/product-datasheet/7340/34859","Ficha de Produto")</f>
        <v>Ficha de Produto</v>
      </c>
      <c r="H2532" s="34">
        <v>20</v>
      </c>
      <c r="I2532" s="34" t="s">
        <v>1041</v>
      </c>
      <c r="J2532" s="34" t="s">
        <v>955</v>
      </c>
      <c r="K2532" s="34"/>
      <c r="L2532" s="34" t="s">
        <v>800</v>
      </c>
      <c r="M2532" s="1">
        <v>13.9</v>
      </c>
      <c r="N2532" s="297" t="s">
        <v>1132</v>
      </c>
    </row>
    <row r="2533" spans="1:14" s="32" customFormat="1" ht="14.25" customHeight="1">
      <c r="A2533" s="26" t="s">
        <v>715</v>
      </c>
      <c r="B2533" s="36" t="s">
        <v>201</v>
      </c>
      <c r="C2533" s="215">
        <v>4050300591681</v>
      </c>
      <c r="D2533" s="215"/>
      <c r="E2533" s="215"/>
      <c r="F2533" s="256" t="s">
        <v>4096</v>
      </c>
      <c r="G2533" s="66" t="str">
        <f>HYPERLINK("https://ledvance.com/pt/product-datasheet/7340/34856","Ficha de Produto")</f>
        <v>Ficha de Produto</v>
      </c>
      <c r="H2533" s="34">
        <v>20</v>
      </c>
      <c r="I2533" s="34" t="s">
        <v>1050</v>
      </c>
      <c r="J2533" s="34" t="s">
        <v>955</v>
      </c>
      <c r="K2533" s="34"/>
      <c r="L2533" s="34" t="s">
        <v>800</v>
      </c>
      <c r="M2533" s="1">
        <v>13.9</v>
      </c>
      <c r="N2533" s="297" t="s">
        <v>1132</v>
      </c>
    </row>
    <row r="2534" spans="1:14" s="32" customFormat="1" ht="14.25" customHeight="1">
      <c r="A2534" s="26" t="s">
        <v>715</v>
      </c>
      <c r="B2534" s="36" t="s">
        <v>202</v>
      </c>
      <c r="C2534" s="215">
        <v>4050300796772</v>
      </c>
      <c r="D2534" s="215"/>
      <c r="E2534" s="215"/>
      <c r="F2534" s="256" t="s">
        <v>4096</v>
      </c>
      <c r="G2534" s="66" t="str">
        <f>HYPERLINK("https://ledvance.com/pt/product-datasheet/7340/94115","Ficha de Produto")</f>
        <v>Ficha de Produto</v>
      </c>
      <c r="H2534" s="34">
        <v>20</v>
      </c>
      <c r="I2534" s="34" t="s">
        <v>844</v>
      </c>
      <c r="J2534" s="34" t="s">
        <v>1030</v>
      </c>
      <c r="K2534" s="34"/>
      <c r="L2534" s="34" t="s">
        <v>800</v>
      </c>
      <c r="M2534" s="1">
        <v>14.6</v>
      </c>
      <c r="N2534" s="297" t="s">
        <v>1132</v>
      </c>
    </row>
    <row r="2535" spans="1:14" s="32" customFormat="1" ht="14.25" customHeight="1">
      <c r="A2535" s="26" t="s">
        <v>715</v>
      </c>
      <c r="B2535" s="36" t="s">
        <v>203</v>
      </c>
      <c r="C2535" s="215">
        <v>4050300796758</v>
      </c>
      <c r="D2535" s="215"/>
      <c r="E2535" s="215"/>
      <c r="F2535" s="256" t="s">
        <v>4096</v>
      </c>
      <c r="G2535" s="66" t="str">
        <f>HYPERLINK("https://ledvance.com/pt/product-datasheet/7340/94118","Ficha de Produto")</f>
        <v>Ficha de Produto</v>
      </c>
      <c r="H2535" s="34">
        <v>20</v>
      </c>
      <c r="I2535" s="34" t="s">
        <v>844</v>
      </c>
      <c r="J2535" s="34" t="s">
        <v>1030</v>
      </c>
      <c r="K2535" s="34"/>
      <c r="L2535" s="34" t="s">
        <v>793</v>
      </c>
      <c r="M2535" s="1">
        <v>14.6</v>
      </c>
      <c r="N2535" s="297" t="s">
        <v>1132</v>
      </c>
    </row>
    <row r="2536" spans="1:14" s="32" customFormat="1" ht="14.25" customHeight="1">
      <c r="A2536" s="26" t="s">
        <v>715</v>
      </c>
      <c r="B2536" s="36" t="s">
        <v>204</v>
      </c>
      <c r="C2536" s="215">
        <v>4050300796710</v>
      </c>
      <c r="D2536" s="215"/>
      <c r="E2536" s="215"/>
      <c r="F2536" s="256" t="s">
        <v>4096</v>
      </c>
      <c r="G2536" s="66" t="str">
        <f>HYPERLINK("https://ledvance.com/pt/product-datasheet/7340/94121","Ficha de Produto")</f>
        <v>Ficha de Produto</v>
      </c>
      <c r="H2536" s="34">
        <v>20</v>
      </c>
      <c r="I2536" s="34" t="s">
        <v>844</v>
      </c>
      <c r="J2536" s="34" t="s">
        <v>1030</v>
      </c>
      <c r="K2536" s="34"/>
      <c r="L2536" s="34" t="s">
        <v>793</v>
      </c>
      <c r="M2536" s="1">
        <v>14.6</v>
      </c>
      <c r="N2536" s="297" t="s">
        <v>1132</v>
      </c>
    </row>
    <row r="2537" spans="1:14" s="32" customFormat="1" ht="14.25" customHeight="1">
      <c r="A2537" s="26" t="s">
        <v>715</v>
      </c>
      <c r="B2537" s="36" t="s">
        <v>205</v>
      </c>
      <c r="C2537" s="215">
        <v>4050300796628</v>
      </c>
      <c r="D2537" s="215"/>
      <c r="E2537" s="215"/>
      <c r="F2537" s="256" t="s">
        <v>4096</v>
      </c>
      <c r="G2537" s="66" t="str">
        <f>HYPERLINK("https://ledvance.com/pt/product-datasheet/7340/94124","Ficha de Produto")</f>
        <v>Ficha de Produto</v>
      </c>
      <c r="H2537" s="34">
        <v>20</v>
      </c>
      <c r="I2537" s="34" t="s">
        <v>937</v>
      </c>
      <c r="J2537" s="34" t="s">
        <v>1030</v>
      </c>
      <c r="K2537" s="34"/>
      <c r="L2537" s="34" t="s">
        <v>800</v>
      </c>
      <c r="M2537" s="1">
        <v>14.6</v>
      </c>
      <c r="N2537" s="297" t="s">
        <v>1132</v>
      </c>
    </row>
    <row r="2538" spans="1:14" s="32" customFormat="1" ht="14.25" customHeight="1">
      <c r="A2538" s="26" t="s">
        <v>715</v>
      </c>
      <c r="B2538" s="36" t="s">
        <v>206</v>
      </c>
      <c r="C2538" s="215">
        <v>4050300646152</v>
      </c>
      <c r="D2538" s="215"/>
      <c r="E2538" s="215"/>
      <c r="F2538" s="256" t="s">
        <v>4096</v>
      </c>
      <c r="G2538" s="66" t="str">
        <f>HYPERLINK("https://ledvance.com/pt/product-datasheet/7340/105832","Ficha de Produto")</f>
        <v>Ficha de Produto</v>
      </c>
      <c r="H2538" s="34">
        <v>20</v>
      </c>
      <c r="I2538" s="34" t="s">
        <v>849</v>
      </c>
      <c r="J2538" s="34" t="s">
        <v>1032</v>
      </c>
      <c r="K2538" s="34"/>
      <c r="L2538" s="34" t="s">
        <v>800</v>
      </c>
      <c r="M2538" s="1">
        <v>13.9</v>
      </c>
      <c r="N2538" s="297" t="s">
        <v>1132</v>
      </c>
    </row>
    <row r="2539" spans="1:14" s="32" customFormat="1" ht="14.25" customHeight="1">
      <c r="A2539" s="26" t="s">
        <v>715</v>
      </c>
      <c r="B2539" s="36" t="s">
        <v>207</v>
      </c>
      <c r="C2539" s="215">
        <v>4050300591605</v>
      </c>
      <c r="D2539" s="215"/>
      <c r="E2539" s="215"/>
      <c r="F2539" s="256" t="s">
        <v>4096</v>
      </c>
      <c r="G2539" s="66" t="str">
        <f>HYPERLINK("https://ledvance.com/pt/product-datasheet/7340/105842","Ficha de Produto")</f>
        <v>Ficha de Produto</v>
      </c>
      <c r="H2539" s="34">
        <v>20</v>
      </c>
      <c r="I2539" s="34" t="s">
        <v>849</v>
      </c>
      <c r="J2539" s="34" t="s">
        <v>1032</v>
      </c>
      <c r="K2539" s="34"/>
      <c r="L2539" s="34" t="s">
        <v>793</v>
      </c>
      <c r="M2539" s="1">
        <v>13.9</v>
      </c>
      <c r="N2539" s="297" t="s">
        <v>1132</v>
      </c>
    </row>
    <row r="2540" spans="1:14" s="32" customFormat="1" ht="14.25" customHeight="1">
      <c r="A2540" s="26" t="s">
        <v>715</v>
      </c>
      <c r="B2540" s="36" t="s">
        <v>208</v>
      </c>
      <c r="C2540" s="215">
        <v>4050300591582</v>
      </c>
      <c r="D2540" s="215"/>
      <c r="E2540" s="215"/>
      <c r="F2540" s="256" t="s">
        <v>4096</v>
      </c>
      <c r="G2540" s="66" t="str">
        <f>HYPERLINK("https://ledvance.com/pt/product-datasheet/7340/105854","Ficha de Produto")</f>
        <v>Ficha de Produto</v>
      </c>
      <c r="H2540" s="34">
        <v>20</v>
      </c>
      <c r="I2540" s="34" t="s">
        <v>849</v>
      </c>
      <c r="J2540" s="34" t="s">
        <v>1032</v>
      </c>
      <c r="K2540" s="34"/>
      <c r="L2540" s="34" t="s">
        <v>793</v>
      </c>
      <c r="M2540" s="1">
        <v>13.9</v>
      </c>
      <c r="N2540" s="297" t="s">
        <v>1132</v>
      </c>
    </row>
    <row r="2541" spans="1:14" s="32" customFormat="1" ht="14.25" customHeight="1">
      <c r="A2541" s="26" t="s">
        <v>715</v>
      </c>
      <c r="B2541" s="36" t="s">
        <v>209</v>
      </c>
      <c r="C2541" s="215">
        <v>4050300591568</v>
      </c>
      <c r="D2541" s="215"/>
      <c r="E2541" s="215"/>
      <c r="F2541" s="256" t="s">
        <v>4096</v>
      </c>
      <c r="G2541" s="66" t="str">
        <f>HYPERLINK("https://ledvance.com/pt/product-datasheet/7340/105863","Ficha de Produto")</f>
        <v>Ficha de Produto</v>
      </c>
      <c r="H2541" s="34">
        <v>20</v>
      </c>
      <c r="I2541" s="34" t="s">
        <v>6434</v>
      </c>
      <c r="J2541" s="34" t="s">
        <v>1032</v>
      </c>
      <c r="K2541" s="34"/>
      <c r="L2541" s="34" t="s">
        <v>800</v>
      </c>
      <c r="M2541" s="1">
        <v>13.9</v>
      </c>
      <c r="N2541" s="297" t="s">
        <v>1132</v>
      </c>
    </row>
    <row r="2542" spans="1:14" s="32" customFormat="1" ht="14.25" customHeight="1">
      <c r="A2542" s="26" t="s">
        <v>715</v>
      </c>
      <c r="B2542" s="36" t="s">
        <v>210</v>
      </c>
      <c r="C2542" s="215">
        <v>4050300591827</v>
      </c>
      <c r="D2542" s="215"/>
      <c r="E2542" s="215"/>
      <c r="F2542" s="256" t="s">
        <v>4096</v>
      </c>
      <c r="G2542" s="66" t="str">
        <f>HYPERLINK("https://ledvance.com/pt/product-datasheet/7340/105887","Ficha de Produto")</f>
        <v>Ficha de Produto</v>
      </c>
      <c r="H2542" s="34">
        <v>20</v>
      </c>
      <c r="I2542" s="34" t="s">
        <v>6347</v>
      </c>
      <c r="J2542" s="34" t="s">
        <v>892</v>
      </c>
      <c r="K2542" s="34"/>
      <c r="L2542" s="34" t="s">
        <v>800</v>
      </c>
      <c r="M2542" s="1">
        <v>15.6</v>
      </c>
      <c r="N2542" s="297" t="s">
        <v>1132</v>
      </c>
    </row>
    <row r="2543" spans="1:14" s="32" customFormat="1" ht="14.25" customHeight="1">
      <c r="A2543" s="26" t="s">
        <v>715</v>
      </c>
      <c r="B2543" s="36" t="s">
        <v>211</v>
      </c>
      <c r="C2543" s="215">
        <v>4050300591841</v>
      </c>
      <c r="D2543" s="215"/>
      <c r="E2543" s="215"/>
      <c r="F2543" s="256" t="s">
        <v>4096</v>
      </c>
      <c r="G2543" s="66" t="str">
        <f>HYPERLINK("https://ledvance.com/pt/product-datasheet/7340/105896","Ficha de Produto")</f>
        <v>Ficha de Produto</v>
      </c>
      <c r="H2543" s="34">
        <v>20</v>
      </c>
      <c r="I2543" s="34" t="s">
        <v>6347</v>
      </c>
      <c r="J2543" s="34" t="s">
        <v>892</v>
      </c>
      <c r="K2543" s="34"/>
      <c r="L2543" s="34" t="s">
        <v>800</v>
      </c>
      <c r="M2543" s="1">
        <v>15.6</v>
      </c>
      <c r="N2543" s="297" t="s">
        <v>1132</v>
      </c>
    </row>
    <row r="2544" spans="1:14" s="32" customFormat="1" ht="14.25" customHeight="1">
      <c r="A2544" s="26" t="s">
        <v>715</v>
      </c>
      <c r="B2544" s="36" t="s">
        <v>212</v>
      </c>
      <c r="C2544" s="215">
        <v>4050300591803</v>
      </c>
      <c r="D2544" s="215"/>
      <c r="E2544" s="215"/>
      <c r="F2544" s="256" t="s">
        <v>4096</v>
      </c>
      <c r="G2544" s="66" t="str">
        <f>HYPERLINK("https://ledvance.com/pt/product-datasheet/7340/105905","Ficha de Produto")</f>
        <v>Ficha de Produto</v>
      </c>
      <c r="H2544" s="34">
        <v>20</v>
      </c>
      <c r="I2544" s="34" t="s">
        <v>6435</v>
      </c>
      <c r="J2544" s="34" t="s">
        <v>892</v>
      </c>
      <c r="K2544" s="34"/>
      <c r="L2544" s="34" t="s">
        <v>800</v>
      </c>
      <c r="M2544" s="1">
        <v>15.6</v>
      </c>
      <c r="N2544" s="297" t="s">
        <v>1132</v>
      </c>
    </row>
    <row r="2545" spans="1:14" s="32" customFormat="1" ht="14.25" customHeight="1">
      <c r="A2545" s="26" t="s">
        <v>715</v>
      </c>
      <c r="B2545" s="36" t="s">
        <v>213</v>
      </c>
      <c r="C2545" s="215">
        <v>4008321233042</v>
      </c>
      <c r="D2545" s="215"/>
      <c r="E2545" s="215"/>
      <c r="F2545" s="256" t="s">
        <v>4096</v>
      </c>
      <c r="G2545" s="66" t="str">
        <f>HYPERLINK("https://ledvance.com/pt/product-datasheet/7346/45574","Ficha de Produto")</f>
        <v>Ficha de Produto</v>
      </c>
      <c r="H2545" s="34">
        <v>10</v>
      </c>
      <c r="I2545" s="34" t="s">
        <v>6436</v>
      </c>
      <c r="J2545" s="34" t="s">
        <v>821</v>
      </c>
      <c r="K2545" s="34"/>
      <c r="L2545" s="34" t="s">
        <v>800</v>
      </c>
      <c r="M2545" s="27">
        <v>34</v>
      </c>
      <c r="N2545" s="298" t="s">
        <v>732</v>
      </c>
    </row>
    <row r="2546" spans="1:14" s="32" customFormat="1" ht="14.25" customHeight="1">
      <c r="A2546" s="26" t="s">
        <v>715</v>
      </c>
      <c r="B2546" s="36" t="s">
        <v>214</v>
      </c>
      <c r="C2546" s="215">
        <v>4008321959874</v>
      </c>
      <c r="D2546" s="215"/>
      <c r="E2546" s="215"/>
      <c r="F2546" s="256" t="s">
        <v>4096</v>
      </c>
      <c r="G2546" s="66" t="str">
        <f>HYPERLINK("https://ledvance.com/pt/product-datasheet/7356/89165","Ficha de Produto")</f>
        <v>Ficha de Produto</v>
      </c>
      <c r="H2546" s="34">
        <v>25</v>
      </c>
      <c r="I2546" s="34" t="s">
        <v>1036</v>
      </c>
      <c r="J2546" s="34" t="s">
        <v>795</v>
      </c>
      <c r="K2546" s="34"/>
      <c r="L2546" s="34" t="s">
        <v>800</v>
      </c>
      <c r="M2546" s="27">
        <v>11.4</v>
      </c>
      <c r="N2546" s="298" t="s">
        <v>732</v>
      </c>
    </row>
    <row r="2547" spans="1:14" s="32" customFormat="1" ht="14.25" customHeight="1">
      <c r="A2547" s="26" t="s">
        <v>715</v>
      </c>
      <c r="B2547" s="36" t="s">
        <v>215</v>
      </c>
      <c r="C2547" s="215">
        <v>4050300008943</v>
      </c>
      <c r="D2547" s="215"/>
      <c r="E2547" s="215"/>
      <c r="F2547" s="256" t="s">
        <v>4096</v>
      </c>
      <c r="G2547" s="66" t="str">
        <f>HYPERLINK("https://ledvance.com/pt/product-datasheet/7356/44279","Ficha de Produto")</f>
        <v>Ficha de Produto</v>
      </c>
      <c r="H2547" s="34">
        <v>25</v>
      </c>
      <c r="I2547" s="34" t="s">
        <v>794</v>
      </c>
      <c r="J2547" s="34" t="s">
        <v>807</v>
      </c>
      <c r="K2547" s="34"/>
      <c r="L2547" s="34" t="s">
        <v>800</v>
      </c>
      <c r="M2547" s="1">
        <v>12.9</v>
      </c>
      <c r="N2547" s="297" t="s">
        <v>1132</v>
      </c>
    </row>
    <row r="2548" spans="1:14" s="32" customFormat="1" ht="14.25" customHeight="1">
      <c r="A2548" s="26" t="s">
        <v>715</v>
      </c>
      <c r="B2548" s="36" t="s">
        <v>216</v>
      </c>
      <c r="C2548" s="215">
        <v>4008321959881</v>
      </c>
      <c r="D2548" s="215"/>
      <c r="E2548" s="215"/>
      <c r="F2548" s="256" t="s">
        <v>4096</v>
      </c>
      <c r="G2548" s="66" t="str">
        <f>HYPERLINK("https://ledvance.com/pt/product-datasheet/7356/43613","Ficha de Produto")</f>
        <v>Ficha de Produto</v>
      </c>
      <c r="H2548" s="34">
        <v>25</v>
      </c>
      <c r="I2548" s="34" t="s">
        <v>794</v>
      </c>
      <c r="J2548" s="34" t="s">
        <v>807</v>
      </c>
      <c r="K2548" s="34"/>
      <c r="L2548" s="34" t="s">
        <v>800</v>
      </c>
      <c r="M2548" s="1">
        <v>12.9</v>
      </c>
      <c r="N2548" s="297" t="s">
        <v>1132</v>
      </c>
    </row>
    <row r="2549" spans="1:14" s="32" customFormat="1" ht="14.25" customHeight="1">
      <c r="A2549" s="26" t="s">
        <v>715</v>
      </c>
      <c r="B2549" s="36" t="s">
        <v>217</v>
      </c>
      <c r="C2549" s="215">
        <v>4050300241623</v>
      </c>
      <c r="D2549" s="215"/>
      <c r="E2549" s="215"/>
      <c r="F2549" s="256" t="s">
        <v>4096</v>
      </c>
      <c r="G2549" s="66" t="str">
        <f>HYPERLINK("https://ledvance.com/pt/product-datasheet/7356/44323","Ficha de Produto")</f>
        <v>Ficha de Produto</v>
      </c>
      <c r="H2549" s="34">
        <v>25</v>
      </c>
      <c r="I2549" s="34" t="s">
        <v>794</v>
      </c>
      <c r="J2549" s="34" t="s">
        <v>807</v>
      </c>
      <c r="K2549" s="34"/>
      <c r="L2549" s="34" t="s">
        <v>800</v>
      </c>
      <c r="M2549" s="1">
        <v>12.9</v>
      </c>
      <c r="N2549" s="297" t="s">
        <v>1132</v>
      </c>
    </row>
    <row r="2550" spans="1:14" s="32" customFormat="1" ht="14.25" customHeight="1">
      <c r="A2550" s="26" t="s">
        <v>715</v>
      </c>
      <c r="B2550" s="36" t="s">
        <v>218</v>
      </c>
      <c r="C2550" s="215">
        <v>4050300008967</v>
      </c>
      <c r="D2550" s="215"/>
      <c r="E2550" s="215"/>
      <c r="F2550" s="256" t="s">
        <v>4096</v>
      </c>
      <c r="G2550" s="66" t="str">
        <f>HYPERLINK("https://ledvance.com/pt/product-datasheet/7356/112508","Ficha de Produto")</f>
        <v>Ficha de Produto</v>
      </c>
      <c r="H2550" s="34">
        <v>25</v>
      </c>
      <c r="I2550" s="34" t="s">
        <v>1034</v>
      </c>
      <c r="J2550" s="34" t="s">
        <v>771</v>
      </c>
      <c r="K2550" s="34"/>
      <c r="L2550" s="34" t="s">
        <v>800</v>
      </c>
      <c r="M2550" s="1">
        <v>14.2</v>
      </c>
      <c r="N2550" s="297" t="s">
        <v>1132</v>
      </c>
    </row>
    <row r="2551" spans="1:14" s="32" customFormat="1" ht="14.25" customHeight="1">
      <c r="A2551" s="26" t="s">
        <v>715</v>
      </c>
      <c r="B2551" s="36" t="s">
        <v>219</v>
      </c>
      <c r="C2551" s="215">
        <v>4008321959898</v>
      </c>
      <c r="D2551" s="215"/>
      <c r="E2551" s="215"/>
      <c r="F2551" s="256" t="s">
        <v>4096</v>
      </c>
      <c r="G2551" s="66" t="str">
        <f>HYPERLINK("https://ledvance.com/pt/product-datasheet/7356/89168","Ficha de Produto")</f>
        <v>Ficha de Produto</v>
      </c>
      <c r="H2551" s="34">
        <v>25</v>
      </c>
      <c r="I2551" s="34" t="s">
        <v>823</v>
      </c>
      <c r="J2551" s="34" t="s">
        <v>771</v>
      </c>
      <c r="K2551" s="34"/>
      <c r="L2551" s="34" t="s">
        <v>800</v>
      </c>
      <c r="M2551" s="1">
        <v>14.2</v>
      </c>
      <c r="N2551" s="297" t="s">
        <v>1132</v>
      </c>
    </row>
    <row r="2552" spans="1:14" s="32" customFormat="1" ht="14.25" customHeight="1">
      <c r="A2552" s="26" t="s">
        <v>715</v>
      </c>
      <c r="B2552" s="36" t="s">
        <v>220</v>
      </c>
      <c r="C2552" s="215">
        <v>4050300241647</v>
      </c>
      <c r="D2552" s="215"/>
      <c r="E2552" s="215"/>
      <c r="F2552" s="256" t="s">
        <v>4096</v>
      </c>
      <c r="G2552" s="66" t="str">
        <f>HYPERLINK("https://ledvance.com/pt/product-datasheet/7356/113374","Ficha de Produto")</f>
        <v>Ficha de Produto</v>
      </c>
      <c r="H2552" s="34">
        <v>25</v>
      </c>
      <c r="I2552" s="34" t="s">
        <v>823</v>
      </c>
      <c r="J2552" s="34" t="s">
        <v>771</v>
      </c>
      <c r="K2552" s="34"/>
      <c r="L2552" s="34" t="s">
        <v>800</v>
      </c>
      <c r="M2552" s="1">
        <v>14.2</v>
      </c>
      <c r="N2552" s="297" t="s">
        <v>1132</v>
      </c>
    </row>
    <row r="2553" spans="1:14" s="32" customFormat="1" ht="14.25" customHeight="1">
      <c r="A2553" s="26" t="s">
        <v>715</v>
      </c>
      <c r="B2553" s="36" t="s">
        <v>221</v>
      </c>
      <c r="C2553" s="215">
        <v>4050300008875</v>
      </c>
      <c r="D2553" s="215"/>
      <c r="E2553" s="215"/>
      <c r="F2553" s="256" t="s">
        <v>4096</v>
      </c>
      <c r="G2553" s="66" t="str">
        <f>HYPERLINK("https://ledvance.com/pt/product-datasheet/7358/113329","Ficha de Produto")</f>
        <v>Ficha de Produto</v>
      </c>
      <c r="H2553" s="34">
        <v>25</v>
      </c>
      <c r="I2553" s="34" t="s">
        <v>1035</v>
      </c>
      <c r="J2553" s="34" t="s">
        <v>855</v>
      </c>
      <c r="K2553" s="34"/>
      <c r="L2553" s="34" t="s">
        <v>800</v>
      </c>
      <c r="M2553" s="1">
        <v>8.1</v>
      </c>
      <c r="N2553" s="297" t="s">
        <v>1132</v>
      </c>
    </row>
    <row r="2554" spans="1:14" s="32" customFormat="1" ht="14.25" customHeight="1">
      <c r="A2554" s="26" t="s">
        <v>715</v>
      </c>
      <c r="B2554" s="36" t="s">
        <v>222</v>
      </c>
      <c r="C2554" s="215">
        <v>4050300008899</v>
      </c>
      <c r="D2554" s="215"/>
      <c r="E2554" s="215"/>
      <c r="F2554" s="256" t="s">
        <v>4096</v>
      </c>
      <c r="G2554" s="66" t="str">
        <f>HYPERLINK("https://ledvance.com/pt/product-datasheet/7358/44273","Ficha de Produto")</f>
        <v>Ficha de Produto</v>
      </c>
      <c r="H2554" s="34">
        <v>25</v>
      </c>
      <c r="I2554" s="34" t="s">
        <v>1036</v>
      </c>
      <c r="J2554" s="34" t="s">
        <v>795</v>
      </c>
      <c r="K2554" s="34"/>
      <c r="L2554" s="34" t="s">
        <v>800</v>
      </c>
      <c r="M2554" s="1">
        <v>8.1</v>
      </c>
      <c r="N2554" s="297" t="s">
        <v>1132</v>
      </c>
    </row>
    <row r="2555" spans="1:14" s="32" customFormat="1" ht="14.25" customHeight="1">
      <c r="A2555" s="26" t="s">
        <v>715</v>
      </c>
      <c r="B2555" s="36" t="s">
        <v>223</v>
      </c>
      <c r="C2555" s="215">
        <v>4050300008912</v>
      </c>
      <c r="D2555" s="215"/>
      <c r="E2555" s="215"/>
      <c r="F2555" s="256" t="s">
        <v>4096</v>
      </c>
      <c r="G2555" s="66" t="str">
        <f>HYPERLINK("https://ledvance.com/pt/product-datasheet/7358/90419","Ficha de Produto")</f>
        <v>Ficha de Produto</v>
      </c>
      <c r="H2555" s="34">
        <v>25</v>
      </c>
      <c r="I2555" s="34" t="s">
        <v>1037</v>
      </c>
      <c r="J2555" s="34" t="s">
        <v>807</v>
      </c>
      <c r="K2555" s="34"/>
      <c r="L2555" s="34" t="s">
        <v>800</v>
      </c>
      <c r="M2555" s="1">
        <v>8.1</v>
      </c>
      <c r="N2555" s="297" t="s">
        <v>1132</v>
      </c>
    </row>
    <row r="2556" spans="1:14" s="32" customFormat="1" ht="14.25" customHeight="1">
      <c r="A2556" s="26" t="s">
        <v>715</v>
      </c>
      <c r="B2556" s="36" t="s">
        <v>224</v>
      </c>
      <c r="C2556" s="215">
        <v>4050300035475</v>
      </c>
      <c r="D2556" s="215"/>
      <c r="E2556" s="215"/>
      <c r="F2556" s="256" t="s">
        <v>4096</v>
      </c>
      <c r="G2556" s="66" t="str">
        <f>HYPERLINK("https://ledvance.com/pt/product-datasheet/7358/43941","Ficha de Produto")</f>
        <v>Ficha de Produto</v>
      </c>
      <c r="H2556" s="34">
        <v>25</v>
      </c>
      <c r="I2556" s="34" t="s">
        <v>1038</v>
      </c>
      <c r="J2556" s="34" t="s">
        <v>807</v>
      </c>
      <c r="K2556" s="34"/>
      <c r="L2556" s="34" t="s">
        <v>800</v>
      </c>
      <c r="M2556" s="1">
        <v>8.1</v>
      </c>
      <c r="N2556" s="297" t="s">
        <v>1132</v>
      </c>
    </row>
    <row r="2557" spans="1:14" s="32" customFormat="1" ht="14.25" customHeight="1">
      <c r="A2557" s="26" t="s">
        <v>715</v>
      </c>
      <c r="B2557" s="36" t="s">
        <v>225</v>
      </c>
      <c r="C2557" s="215">
        <v>4050300008974</v>
      </c>
      <c r="D2557" s="215"/>
      <c r="E2557" s="215"/>
      <c r="F2557" s="256" t="s">
        <v>4096</v>
      </c>
      <c r="G2557" s="66" t="str">
        <f>HYPERLINK("https://ledvance.com/pt/product-datasheet/7358/113361","Ficha de Produto")</f>
        <v>Ficha de Produto</v>
      </c>
      <c r="H2557" s="34">
        <v>25</v>
      </c>
      <c r="I2557" s="34" t="s">
        <v>1039</v>
      </c>
      <c r="J2557" s="34" t="s">
        <v>771</v>
      </c>
      <c r="K2557" s="34"/>
      <c r="L2557" s="34" t="s">
        <v>800</v>
      </c>
      <c r="M2557" s="1">
        <v>12.1</v>
      </c>
      <c r="N2557" s="297" t="s">
        <v>1132</v>
      </c>
    </row>
    <row r="2558" spans="1:14" s="32" customFormat="1" ht="14.25" customHeight="1">
      <c r="A2558" s="26" t="s">
        <v>715</v>
      </c>
      <c r="B2558" s="36" t="s">
        <v>226</v>
      </c>
      <c r="C2558" s="215">
        <v>4050300035536</v>
      </c>
      <c r="D2558" s="215"/>
      <c r="E2558" s="215"/>
      <c r="F2558" s="256" t="s">
        <v>4096</v>
      </c>
      <c r="G2558" s="66" t="str">
        <f>HYPERLINK("https://ledvance.com/pt/product-datasheet/7358/110565","Ficha de Produto")</f>
        <v>Ficha de Produto</v>
      </c>
      <c r="H2558" s="34">
        <v>25</v>
      </c>
      <c r="I2558" s="34" t="s">
        <v>808</v>
      </c>
      <c r="J2558" s="34" t="s">
        <v>771</v>
      </c>
      <c r="K2558" s="34"/>
      <c r="L2558" s="34" t="s">
        <v>800</v>
      </c>
      <c r="M2558" s="1">
        <v>12.1</v>
      </c>
      <c r="N2558" s="297" t="s">
        <v>1132</v>
      </c>
    </row>
    <row r="2559" spans="1:14" s="32" customFormat="1" ht="14.25" customHeight="1">
      <c r="A2559" s="26" t="s">
        <v>715</v>
      </c>
      <c r="B2559" s="36" t="s">
        <v>227</v>
      </c>
      <c r="C2559" s="215">
        <v>4008321325662</v>
      </c>
      <c r="D2559" s="215"/>
      <c r="E2559" s="215"/>
      <c r="F2559" s="256" t="s">
        <v>4096</v>
      </c>
      <c r="G2559" s="66" t="str">
        <f>HYPERLINK("https://ledvance.com/pt/product-datasheet/7360/44121","Ficha de Produto")</f>
        <v>Ficha de Produto</v>
      </c>
      <c r="H2559" s="34">
        <v>25</v>
      </c>
      <c r="I2559" s="34" t="s">
        <v>1033</v>
      </c>
      <c r="J2559" s="34" t="s">
        <v>795</v>
      </c>
      <c r="K2559" s="34"/>
      <c r="L2559" s="34" t="s">
        <v>800</v>
      </c>
      <c r="M2559" s="27">
        <v>9.6999999999999993</v>
      </c>
      <c r="N2559" s="298" t="s">
        <v>732</v>
      </c>
    </row>
    <row r="2560" spans="1:14" s="32" customFormat="1" ht="14.25" customHeight="1">
      <c r="A2560" s="26" t="s">
        <v>715</v>
      </c>
      <c r="B2560" s="36" t="s">
        <v>228</v>
      </c>
      <c r="C2560" s="215">
        <v>4008321325846</v>
      </c>
      <c r="D2560" s="215"/>
      <c r="E2560" s="215"/>
      <c r="F2560" s="256" t="s">
        <v>4096</v>
      </c>
      <c r="G2560" s="66" t="str">
        <f>HYPERLINK("https://ledvance.com/pt/product-datasheet/7360/44163","Ficha de Produto")</f>
        <v>Ficha de Produto</v>
      </c>
      <c r="H2560" s="34">
        <v>25</v>
      </c>
      <c r="I2560" s="34" t="s">
        <v>856</v>
      </c>
      <c r="J2560" s="34" t="s">
        <v>807</v>
      </c>
      <c r="K2560" s="34"/>
      <c r="L2560" s="34" t="s">
        <v>800</v>
      </c>
      <c r="M2560" s="27">
        <v>9.9</v>
      </c>
      <c r="N2560" s="298" t="s">
        <v>732</v>
      </c>
    </row>
    <row r="2561" spans="1:14" s="32" customFormat="1" ht="14.25" customHeight="1">
      <c r="A2561" s="26" t="s">
        <v>715</v>
      </c>
      <c r="B2561" s="36" t="s">
        <v>229</v>
      </c>
      <c r="C2561" s="215">
        <v>4008321152381</v>
      </c>
      <c r="D2561" s="215"/>
      <c r="E2561" s="215"/>
      <c r="F2561" s="256" t="s">
        <v>4096</v>
      </c>
      <c r="G2561" s="66" t="str">
        <f>HYPERLINK("https://ledvance.com/pt/product-datasheet/7359/43944","Ficha de Produto")</f>
        <v>Ficha de Produto</v>
      </c>
      <c r="H2561" s="34">
        <v>25</v>
      </c>
      <c r="I2561" s="34" t="s">
        <v>1036</v>
      </c>
      <c r="J2561" s="34" t="s">
        <v>795</v>
      </c>
      <c r="K2561" s="34"/>
      <c r="L2561" s="34" t="s">
        <v>800</v>
      </c>
      <c r="M2561" s="27">
        <v>6.5</v>
      </c>
      <c r="N2561" s="298" t="s">
        <v>732</v>
      </c>
    </row>
    <row r="2562" spans="1:14" s="32" customFormat="1" ht="14.25" customHeight="1">
      <c r="A2562" s="26" t="s">
        <v>715</v>
      </c>
      <c r="B2562" s="36" t="s">
        <v>230</v>
      </c>
      <c r="C2562" s="215">
        <v>4050300606644</v>
      </c>
      <c r="D2562" s="215"/>
      <c r="E2562" s="215"/>
      <c r="F2562" s="256" t="s">
        <v>4096</v>
      </c>
      <c r="G2562" s="66" t="str">
        <f>HYPERLINK("https://ledvance.com/pt/product-datasheet/7359/43353","Ficha de Produto")</f>
        <v>Ficha de Produto</v>
      </c>
      <c r="H2562" s="34">
        <v>25</v>
      </c>
      <c r="I2562" s="34" t="s">
        <v>1037</v>
      </c>
      <c r="J2562" s="34" t="s">
        <v>807</v>
      </c>
      <c r="K2562" s="34"/>
      <c r="L2562" s="34" t="s">
        <v>800</v>
      </c>
      <c r="M2562" s="27">
        <v>6.3</v>
      </c>
      <c r="N2562" s="298" t="s">
        <v>732</v>
      </c>
    </row>
    <row r="2563" spans="1:14" s="32" customFormat="1" ht="14.25" customHeight="1">
      <c r="A2563" s="26" t="s">
        <v>715</v>
      </c>
      <c r="B2563" s="36" t="s">
        <v>231</v>
      </c>
      <c r="C2563" s="215">
        <v>4050300528489</v>
      </c>
      <c r="D2563" s="215"/>
      <c r="E2563" s="215"/>
      <c r="F2563" s="256" t="s">
        <v>4096</v>
      </c>
      <c r="G2563" s="66" t="str">
        <f>HYPERLINK("https://ledvance.com/pt/product-datasheet/7361/95345","Ficha de Produto")</f>
        <v>Ficha de Produto</v>
      </c>
      <c r="H2563" s="34">
        <v>12</v>
      </c>
      <c r="I2563" s="34" t="s">
        <v>820</v>
      </c>
      <c r="J2563" s="34" t="s">
        <v>791</v>
      </c>
      <c r="K2563" s="34"/>
      <c r="L2563" s="34" t="s">
        <v>800</v>
      </c>
      <c r="M2563" s="27">
        <v>43.7</v>
      </c>
      <c r="N2563" s="298" t="s">
        <v>732</v>
      </c>
    </row>
    <row r="2564" spans="1:14" s="32" customFormat="1" ht="14.25" customHeight="1">
      <c r="A2564" s="26" t="s">
        <v>715</v>
      </c>
      <c r="B2564" s="36" t="s">
        <v>232</v>
      </c>
      <c r="C2564" s="215">
        <v>4050300528465</v>
      </c>
      <c r="D2564" s="215"/>
      <c r="E2564" s="215"/>
      <c r="F2564" s="256" t="s">
        <v>4096</v>
      </c>
      <c r="G2564" s="66" t="str">
        <f>HYPERLINK("https://ledvance.com/pt/product-datasheet/7361/95351","Ficha de Produto")</f>
        <v>Ficha de Produto</v>
      </c>
      <c r="H2564" s="34">
        <v>12</v>
      </c>
      <c r="I2564" s="34" t="s">
        <v>820</v>
      </c>
      <c r="J2564" s="34" t="s">
        <v>791</v>
      </c>
      <c r="K2564" s="34"/>
      <c r="L2564" s="34" t="s">
        <v>800</v>
      </c>
      <c r="M2564" s="27">
        <v>43.7</v>
      </c>
      <c r="N2564" s="298" t="s">
        <v>732</v>
      </c>
    </row>
    <row r="2565" spans="1:14" s="32" customFormat="1" ht="14.25" customHeight="1">
      <c r="A2565" s="26" t="s">
        <v>715</v>
      </c>
      <c r="B2565" s="36" t="s">
        <v>233</v>
      </c>
      <c r="C2565" s="215">
        <v>4050300528540</v>
      </c>
      <c r="D2565" s="215"/>
      <c r="E2565" s="215"/>
      <c r="F2565" s="256" t="s">
        <v>4096</v>
      </c>
      <c r="G2565" s="66" t="str">
        <f>HYPERLINK("https://ledvance.com/pt/product-datasheet/7361/47533","Ficha de Produto")</f>
        <v>Ficha de Produto</v>
      </c>
      <c r="H2565" s="34">
        <v>12</v>
      </c>
      <c r="I2565" s="34" t="s">
        <v>841</v>
      </c>
      <c r="J2565" s="34" t="s">
        <v>888</v>
      </c>
      <c r="K2565" s="34"/>
      <c r="L2565" s="34" t="s">
        <v>800</v>
      </c>
      <c r="M2565" s="27">
        <v>45.5</v>
      </c>
      <c r="N2565" s="298" t="s">
        <v>732</v>
      </c>
    </row>
    <row r="2566" spans="1:14" s="32" customFormat="1" ht="14.25" customHeight="1">
      <c r="A2566" s="26" t="s">
        <v>715</v>
      </c>
      <c r="B2566" s="36" t="s">
        <v>234</v>
      </c>
      <c r="C2566" s="215">
        <v>4050300528526</v>
      </c>
      <c r="D2566" s="215"/>
      <c r="E2566" s="215"/>
      <c r="F2566" s="256" t="s">
        <v>4096</v>
      </c>
      <c r="G2566" s="66" t="str">
        <f>HYPERLINK("https://ledvance.com/pt/product-datasheet/7361/34790","Ficha de Produto")</f>
        <v>Ficha de Produto</v>
      </c>
      <c r="H2566" s="34">
        <v>12</v>
      </c>
      <c r="I2566" s="34" t="s">
        <v>841</v>
      </c>
      <c r="J2566" s="34" t="s">
        <v>888</v>
      </c>
      <c r="K2566" s="34"/>
      <c r="L2566" s="34" t="s">
        <v>800</v>
      </c>
      <c r="M2566" s="27">
        <v>45.5</v>
      </c>
      <c r="N2566" s="298" t="s">
        <v>732</v>
      </c>
    </row>
    <row r="2567" spans="1:14" s="32" customFormat="1" ht="14.25" customHeight="1">
      <c r="A2567" s="26" t="s">
        <v>715</v>
      </c>
      <c r="B2567" s="36" t="s">
        <v>235</v>
      </c>
      <c r="C2567" s="215">
        <v>4050300528601</v>
      </c>
      <c r="D2567" s="215"/>
      <c r="E2567" s="215"/>
      <c r="F2567" s="256" t="s">
        <v>4096</v>
      </c>
      <c r="G2567" s="66" t="str">
        <f>HYPERLINK("https://ledvance.com/pt/product-datasheet/7361/86492","Ficha de Produto")</f>
        <v>Ficha de Produto</v>
      </c>
      <c r="H2567" s="34">
        <v>12</v>
      </c>
      <c r="I2567" s="34" t="s">
        <v>6437</v>
      </c>
      <c r="J2567" s="34" t="s">
        <v>816</v>
      </c>
      <c r="K2567" s="34"/>
      <c r="L2567" s="34" t="s">
        <v>800</v>
      </c>
      <c r="M2567" s="27">
        <v>47.7</v>
      </c>
      <c r="N2567" s="298" t="s">
        <v>732</v>
      </c>
    </row>
    <row r="2568" spans="1:14" s="32" customFormat="1" ht="14.25" customHeight="1">
      <c r="A2568" s="26" t="s">
        <v>715</v>
      </c>
      <c r="B2568" s="36" t="s">
        <v>236</v>
      </c>
      <c r="C2568" s="215">
        <v>4050300446042</v>
      </c>
      <c r="D2568" s="215"/>
      <c r="E2568" s="215"/>
      <c r="F2568" s="256" t="s">
        <v>4096</v>
      </c>
      <c r="G2568" s="66" t="str">
        <f>HYPERLINK("https://ledvance.com/pt/product-datasheet/7366/103352","Ficha de Produto")</f>
        <v>Ficha de Produto</v>
      </c>
      <c r="H2568" s="34">
        <v>25</v>
      </c>
      <c r="I2568" s="34" t="s">
        <v>1034</v>
      </c>
      <c r="J2568" s="34" t="s">
        <v>860</v>
      </c>
      <c r="K2568" s="34"/>
      <c r="L2568" s="34" t="s">
        <v>800</v>
      </c>
      <c r="M2568" s="1">
        <v>16</v>
      </c>
      <c r="N2568" s="297" t="s">
        <v>1132</v>
      </c>
    </row>
    <row r="2569" spans="1:14" s="32" customFormat="1" ht="14.25" customHeight="1">
      <c r="A2569" s="26" t="s">
        <v>715</v>
      </c>
      <c r="B2569" s="36" t="s">
        <v>237</v>
      </c>
      <c r="C2569" s="215">
        <v>4050300446028</v>
      </c>
      <c r="D2569" s="215"/>
      <c r="E2569" s="215"/>
      <c r="F2569" s="256" t="s">
        <v>4096</v>
      </c>
      <c r="G2569" s="66" t="str">
        <f>HYPERLINK("https://ledvance.com/pt/product-datasheet/7366/105684","Ficha de Produto")</f>
        <v>Ficha de Produto</v>
      </c>
      <c r="H2569" s="34">
        <v>25</v>
      </c>
      <c r="I2569" s="34" t="s">
        <v>1034</v>
      </c>
      <c r="J2569" s="34" t="s">
        <v>860</v>
      </c>
      <c r="K2569" s="34"/>
      <c r="L2569" s="34" t="s">
        <v>800</v>
      </c>
      <c r="M2569" s="1">
        <v>16</v>
      </c>
      <c r="N2569" s="297" t="s">
        <v>1132</v>
      </c>
    </row>
    <row r="2570" spans="1:14" s="32" customFormat="1" ht="14.25" customHeight="1">
      <c r="A2570" s="26" t="s">
        <v>715</v>
      </c>
      <c r="B2570" s="36" t="s">
        <v>238</v>
      </c>
      <c r="C2570" s="215">
        <v>4050300446004</v>
      </c>
      <c r="D2570" s="215"/>
      <c r="E2570" s="215"/>
      <c r="F2570" s="256" t="s">
        <v>4096</v>
      </c>
      <c r="G2570" s="66" t="str">
        <f>HYPERLINK("https://ledvance.com/pt/product-datasheet/7366/105690","Ficha de Produto")</f>
        <v>Ficha de Produto</v>
      </c>
      <c r="H2570" s="34">
        <v>25</v>
      </c>
      <c r="I2570" s="34" t="s">
        <v>1034</v>
      </c>
      <c r="J2570" s="34" t="s">
        <v>860</v>
      </c>
      <c r="K2570" s="34"/>
      <c r="L2570" s="34" t="s">
        <v>800</v>
      </c>
      <c r="M2570" s="1">
        <v>16</v>
      </c>
      <c r="N2570" s="297" t="s">
        <v>1132</v>
      </c>
    </row>
    <row r="2571" spans="1:14" s="32" customFormat="1" ht="14.25" customHeight="1">
      <c r="A2571" s="26" t="s">
        <v>715</v>
      </c>
      <c r="B2571" s="36" t="s">
        <v>239</v>
      </c>
      <c r="C2571" s="215">
        <v>4050300446189</v>
      </c>
      <c r="D2571" s="215"/>
      <c r="E2571" s="215"/>
      <c r="F2571" s="256" t="s">
        <v>4096</v>
      </c>
      <c r="G2571" s="66" t="str">
        <f>HYPERLINK("https://ledvance.com/pt/product-datasheet/7366/44583","Ficha de Produto")</f>
        <v>Ficha de Produto</v>
      </c>
      <c r="H2571" s="34">
        <v>25</v>
      </c>
      <c r="I2571" s="34" t="s">
        <v>1042</v>
      </c>
      <c r="J2571" s="34" t="s">
        <v>860</v>
      </c>
      <c r="K2571" s="34"/>
      <c r="L2571" s="34" t="s">
        <v>800</v>
      </c>
      <c r="M2571" s="1">
        <v>16</v>
      </c>
      <c r="N2571" s="297" t="s">
        <v>1132</v>
      </c>
    </row>
    <row r="2572" spans="1:14" s="32" customFormat="1" ht="14.25" customHeight="1">
      <c r="A2572" s="26" t="s">
        <v>715</v>
      </c>
      <c r="B2572" s="36" t="s">
        <v>240</v>
      </c>
      <c r="C2572" s="215">
        <v>4050300446080</v>
      </c>
      <c r="D2572" s="215"/>
      <c r="E2572" s="215"/>
      <c r="F2572" s="256" t="s">
        <v>4096</v>
      </c>
      <c r="G2572" s="66" t="str">
        <f>HYPERLINK("https://ledvance.com/pt/product-datasheet/7366/109397","Ficha de Produto")</f>
        <v>Ficha de Produto</v>
      </c>
      <c r="H2572" s="34">
        <v>25</v>
      </c>
      <c r="I2572" s="34" t="s">
        <v>1043</v>
      </c>
      <c r="J2572" s="34" t="s">
        <v>1044</v>
      </c>
      <c r="K2572" s="34"/>
      <c r="L2572" s="34" t="s">
        <v>800</v>
      </c>
      <c r="M2572" s="1">
        <v>16</v>
      </c>
      <c r="N2572" s="297" t="s">
        <v>1132</v>
      </c>
    </row>
    <row r="2573" spans="1:14" s="32" customFormat="1" ht="14.25" customHeight="1">
      <c r="A2573" s="26" t="s">
        <v>715</v>
      </c>
      <c r="B2573" s="36" t="s">
        <v>241</v>
      </c>
      <c r="C2573" s="215">
        <v>4008321959065</v>
      </c>
      <c r="D2573" s="215"/>
      <c r="E2573" s="215"/>
      <c r="F2573" s="256" t="s">
        <v>4096</v>
      </c>
      <c r="G2573" s="66" t="str">
        <f>HYPERLINK("https://ledvance.com/pt/product-datasheet/7366/109400","Ficha de Produto")</f>
        <v>Ficha de Produto</v>
      </c>
      <c r="H2573" s="34">
        <v>25</v>
      </c>
      <c r="I2573" s="34" t="s">
        <v>1043</v>
      </c>
      <c r="J2573" s="34" t="s">
        <v>1044</v>
      </c>
      <c r="K2573" s="34"/>
      <c r="L2573" s="34" t="s">
        <v>800</v>
      </c>
      <c r="M2573" s="1">
        <v>16</v>
      </c>
      <c r="N2573" s="297" t="s">
        <v>1132</v>
      </c>
    </row>
    <row r="2574" spans="1:14" s="32" customFormat="1" ht="14.25" customHeight="1">
      <c r="A2574" s="26" t="s">
        <v>715</v>
      </c>
      <c r="B2574" s="36" t="s">
        <v>242</v>
      </c>
      <c r="C2574" s="215">
        <v>4050300446066</v>
      </c>
      <c r="D2574" s="215"/>
      <c r="E2574" s="215"/>
      <c r="F2574" s="256" t="s">
        <v>4096</v>
      </c>
      <c r="G2574" s="66" t="str">
        <f>HYPERLINK("https://ledvance.com/pt/product-datasheet/7366/109404","Ficha de Produto")</f>
        <v>Ficha de Produto</v>
      </c>
      <c r="H2574" s="34">
        <v>25</v>
      </c>
      <c r="I2574" s="34" t="s">
        <v>1043</v>
      </c>
      <c r="J2574" s="34" t="s">
        <v>1044</v>
      </c>
      <c r="K2574" s="34"/>
      <c r="L2574" s="34" t="s">
        <v>800</v>
      </c>
      <c r="M2574" s="1">
        <v>16</v>
      </c>
      <c r="N2574" s="297" t="s">
        <v>1132</v>
      </c>
    </row>
    <row r="2575" spans="1:14" s="32" customFormat="1" ht="14.25" customHeight="1">
      <c r="A2575" s="26" t="s">
        <v>715</v>
      </c>
      <c r="B2575" s="36" t="s">
        <v>243</v>
      </c>
      <c r="C2575" s="215">
        <v>4050300517834</v>
      </c>
      <c r="D2575" s="215"/>
      <c r="E2575" s="215"/>
      <c r="F2575" s="256" t="s">
        <v>4096</v>
      </c>
      <c r="G2575" s="66" t="str">
        <f>HYPERLINK("https://ledvance.com/pt/product-datasheet/7366/102454","Ficha de Produto")</f>
        <v>Ficha de Produto</v>
      </c>
      <c r="H2575" s="34">
        <v>25</v>
      </c>
      <c r="I2575" s="34" t="s">
        <v>1045</v>
      </c>
      <c r="J2575" s="34" t="s">
        <v>773</v>
      </c>
      <c r="K2575" s="34"/>
      <c r="L2575" s="34" t="s">
        <v>800</v>
      </c>
      <c r="M2575" s="1">
        <v>9.1999999999999993</v>
      </c>
      <c r="N2575" s="297" t="s">
        <v>1132</v>
      </c>
    </row>
    <row r="2576" spans="1:14" s="32" customFormat="1" ht="14.25" customHeight="1">
      <c r="A2576" s="26" t="s">
        <v>715</v>
      </c>
      <c r="B2576" s="36" t="s">
        <v>244</v>
      </c>
      <c r="C2576" s="215">
        <v>4050300517810</v>
      </c>
      <c r="D2576" s="215"/>
      <c r="E2576" s="215"/>
      <c r="F2576" s="256" t="s">
        <v>4096</v>
      </c>
      <c r="G2576" s="66" t="str">
        <f>HYPERLINK("https://ledvance.com/pt/product-datasheet/7366/105335","Ficha de Produto")</f>
        <v>Ficha de Produto</v>
      </c>
      <c r="H2576" s="34">
        <v>25</v>
      </c>
      <c r="I2576" s="34" t="s">
        <v>1045</v>
      </c>
      <c r="J2576" s="34" t="s">
        <v>773</v>
      </c>
      <c r="K2576" s="34"/>
      <c r="L2576" s="34" t="s">
        <v>800</v>
      </c>
      <c r="M2576" s="1">
        <v>9.1999999999999993</v>
      </c>
      <c r="N2576" s="297" t="s">
        <v>1132</v>
      </c>
    </row>
    <row r="2577" spans="1:14" s="32" customFormat="1" ht="14.25" customHeight="1">
      <c r="A2577" s="26" t="s">
        <v>715</v>
      </c>
      <c r="B2577" s="36" t="s">
        <v>245</v>
      </c>
      <c r="C2577" s="215">
        <v>4050300517797</v>
      </c>
      <c r="D2577" s="215"/>
      <c r="E2577" s="215"/>
      <c r="F2577" s="256" t="s">
        <v>4096</v>
      </c>
      <c r="G2577" s="66" t="str">
        <f>HYPERLINK("https://ledvance.com/pt/product-datasheet/7366/105341","Ficha de Produto")</f>
        <v>Ficha de Produto</v>
      </c>
      <c r="H2577" s="34">
        <v>25</v>
      </c>
      <c r="I2577" s="34" t="s">
        <v>1045</v>
      </c>
      <c r="J2577" s="34" t="s">
        <v>773</v>
      </c>
      <c r="K2577" s="34"/>
      <c r="L2577" s="34" t="s">
        <v>800</v>
      </c>
      <c r="M2577" s="1">
        <v>9.1999999999999993</v>
      </c>
      <c r="N2577" s="297" t="s">
        <v>1132</v>
      </c>
    </row>
    <row r="2578" spans="1:14" s="32" customFormat="1" ht="14.25" customHeight="1">
      <c r="A2578" s="26" t="s">
        <v>715</v>
      </c>
      <c r="B2578" s="40" t="s">
        <v>246</v>
      </c>
      <c r="C2578" s="239">
        <v>4050300517773</v>
      </c>
      <c r="D2578" s="239"/>
      <c r="E2578" s="239"/>
      <c r="F2578" s="256" t="s">
        <v>4096</v>
      </c>
      <c r="G2578" s="66" t="str">
        <f>HYPERLINK("https://ledvance.com/pt/product-datasheet/7366/105344","Ficha de Produto")</f>
        <v>Ficha de Produto</v>
      </c>
      <c r="H2578" s="34">
        <v>25</v>
      </c>
      <c r="I2578" s="34" t="s">
        <v>1043</v>
      </c>
      <c r="J2578" s="34" t="s">
        <v>773</v>
      </c>
      <c r="K2578" s="34"/>
      <c r="L2578" s="34" t="s">
        <v>800</v>
      </c>
      <c r="M2578" s="1">
        <v>9.1999999999999993</v>
      </c>
      <c r="N2578" s="297" t="s">
        <v>1132</v>
      </c>
    </row>
    <row r="2579" spans="1:14" s="32" customFormat="1" ht="14.25" customHeight="1">
      <c r="A2579" s="26" t="s">
        <v>715</v>
      </c>
      <c r="B2579" s="40" t="s">
        <v>247</v>
      </c>
      <c r="C2579" s="239">
        <v>4050300446240</v>
      </c>
      <c r="D2579" s="239"/>
      <c r="E2579" s="239"/>
      <c r="F2579" s="256" t="s">
        <v>4096</v>
      </c>
      <c r="G2579" s="66" t="str">
        <f>HYPERLINK("https://ledvance.com/pt/product-datasheet/7366/103355","Ficha de Produto")</f>
        <v>Ficha de Produto</v>
      </c>
      <c r="H2579" s="34">
        <v>25</v>
      </c>
      <c r="I2579" s="34" t="s">
        <v>812</v>
      </c>
      <c r="J2579" s="34" t="s">
        <v>875</v>
      </c>
      <c r="K2579" s="34"/>
      <c r="L2579" s="34" t="s">
        <v>800</v>
      </c>
      <c r="M2579" s="1">
        <v>29.9</v>
      </c>
      <c r="N2579" s="297" t="s">
        <v>1132</v>
      </c>
    </row>
    <row r="2580" spans="1:14" s="32" customFormat="1" ht="14.25" customHeight="1">
      <c r="A2580" s="26" t="s">
        <v>715</v>
      </c>
      <c r="B2580" s="40" t="s">
        <v>248</v>
      </c>
      <c r="C2580" s="239">
        <v>4050300518077</v>
      </c>
      <c r="D2580" s="239"/>
      <c r="E2580" s="239"/>
      <c r="F2580" s="256" t="s">
        <v>4096</v>
      </c>
      <c r="G2580" s="66" t="str">
        <f>HYPERLINK("https://ledvance.com/pt/product-datasheet/7366/97962","Ficha de Produto")</f>
        <v>Ficha de Produto</v>
      </c>
      <c r="H2580" s="34">
        <v>25</v>
      </c>
      <c r="I2580" s="34" t="s">
        <v>767</v>
      </c>
      <c r="J2580" s="34" t="s">
        <v>804</v>
      </c>
      <c r="K2580" s="34"/>
      <c r="L2580" s="34" t="s">
        <v>800</v>
      </c>
      <c r="M2580" s="1">
        <v>20.2</v>
      </c>
      <c r="N2580" s="297" t="s">
        <v>1132</v>
      </c>
    </row>
    <row r="2581" spans="1:14" s="32" customFormat="1" ht="14.25" customHeight="1">
      <c r="A2581" s="26" t="s">
        <v>715</v>
      </c>
      <c r="B2581" s="40" t="s">
        <v>249</v>
      </c>
      <c r="C2581" s="239">
        <v>4050300518053</v>
      </c>
      <c r="D2581" s="239"/>
      <c r="E2581" s="239"/>
      <c r="F2581" s="256" t="s">
        <v>4096</v>
      </c>
      <c r="G2581" s="66" t="str">
        <f>HYPERLINK("https://ledvance.com/pt/product-datasheet/7366/103358","Ficha de Produto")</f>
        <v>Ficha de Produto</v>
      </c>
      <c r="H2581" s="34">
        <v>25</v>
      </c>
      <c r="I2581" s="34" t="s">
        <v>767</v>
      </c>
      <c r="J2581" s="34" t="s">
        <v>804</v>
      </c>
      <c r="K2581" s="34"/>
      <c r="L2581" s="34" t="s">
        <v>800</v>
      </c>
      <c r="M2581" s="1">
        <v>20.2</v>
      </c>
      <c r="N2581" s="297" t="s">
        <v>1132</v>
      </c>
    </row>
    <row r="2582" spans="1:14" s="32" customFormat="1" ht="14.25" customHeight="1">
      <c r="A2582" s="26" t="s">
        <v>715</v>
      </c>
      <c r="B2582" s="40" t="s">
        <v>250</v>
      </c>
      <c r="C2582" s="239">
        <v>4050300518039</v>
      </c>
      <c r="D2582" s="239"/>
      <c r="E2582" s="239"/>
      <c r="F2582" s="256" t="s">
        <v>4096</v>
      </c>
      <c r="G2582" s="66" t="str">
        <f>HYPERLINK("https://ledvance.com/pt/product-datasheet/7366/105347","Ficha de Produto")</f>
        <v>Ficha de Produto</v>
      </c>
      <c r="H2582" s="34">
        <v>25</v>
      </c>
      <c r="I2582" s="34" t="s">
        <v>767</v>
      </c>
      <c r="J2582" s="34" t="s">
        <v>804</v>
      </c>
      <c r="K2582" s="34"/>
      <c r="L2582" s="34" t="s">
        <v>800</v>
      </c>
      <c r="M2582" s="1">
        <v>20.2</v>
      </c>
      <c r="N2582" s="297" t="s">
        <v>1132</v>
      </c>
    </row>
    <row r="2583" spans="1:14" s="32" customFormat="1" ht="14.25" customHeight="1">
      <c r="A2583" s="26" t="s">
        <v>715</v>
      </c>
      <c r="B2583" s="40" t="s">
        <v>251</v>
      </c>
      <c r="C2583" s="239">
        <v>4050300518015</v>
      </c>
      <c r="D2583" s="239"/>
      <c r="E2583" s="239"/>
      <c r="F2583" s="256" t="s">
        <v>4096</v>
      </c>
      <c r="G2583" s="66" t="str">
        <f>HYPERLINK("https://ledvance.com/pt/product-datasheet/7366/106647","Ficha de Produto")</f>
        <v>Ficha de Produto</v>
      </c>
      <c r="H2583" s="34">
        <v>25</v>
      </c>
      <c r="I2583" s="34" t="s">
        <v>1046</v>
      </c>
      <c r="J2583" s="34" t="s">
        <v>804</v>
      </c>
      <c r="K2583" s="34"/>
      <c r="L2583" s="34" t="s">
        <v>800</v>
      </c>
      <c r="M2583" s="1">
        <v>20.2</v>
      </c>
      <c r="N2583" s="297" t="s">
        <v>1132</v>
      </c>
    </row>
    <row r="2584" spans="1:14" s="32" customFormat="1" ht="14.25" customHeight="1">
      <c r="A2584" s="26" t="s">
        <v>715</v>
      </c>
      <c r="B2584" s="40" t="s">
        <v>252</v>
      </c>
      <c r="C2584" s="239">
        <v>4050300517919</v>
      </c>
      <c r="D2584" s="239"/>
      <c r="E2584" s="239"/>
      <c r="F2584" s="256" t="s">
        <v>4096</v>
      </c>
      <c r="G2584" s="66" t="str">
        <f>HYPERLINK("https://ledvance.com/pt/product-datasheet/7366/44575","Ficha de Produto")</f>
        <v>Ficha de Produto</v>
      </c>
      <c r="H2584" s="34">
        <v>25</v>
      </c>
      <c r="I2584" s="34" t="s">
        <v>959</v>
      </c>
      <c r="J2584" s="34" t="s">
        <v>831</v>
      </c>
      <c r="K2584" s="34"/>
      <c r="L2584" s="34" t="s">
        <v>800</v>
      </c>
      <c r="M2584" s="1">
        <v>11.5</v>
      </c>
      <c r="N2584" s="297" t="s">
        <v>1132</v>
      </c>
    </row>
    <row r="2585" spans="1:14" s="32" customFormat="1" ht="14.25" customHeight="1">
      <c r="A2585" s="26" t="s">
        <v>715</v>
      </c>
      <c r="B2585" s="40" t="s">
        <v>253</v>
      </c>
      <c r="C2585" s="239">
        <v>4050300517896</v>
      </c>
      <c r="D2585" s="239"/>
      <c r="E2585" s="239"/>
      <c r="F2585" s="256" t="s">
        <v>4096</v>
      </c>
      <c r="G2585" s="66" t="str">
        <f>HYPERLINK("https://ledvance.com/pt/product-datasheet/7366/105541","Ficha de Produto")</f>
        <v>Ficha de Produto</v>
      </c>
      <c r="H2585" s="34">
        <v>25</v>
      </c>
      <c r="I2585" s="34" t="s">
        <v>959</v>
      </c>
      <c r="J2585" s="34" t="s">
        <v>831</v>
      </c>
      <c r="K2585" s="34"/>
      <c r="L2585" s="34" t="s">
        <v>800</v>
      </c>
      <c r="M2585" s="1">
        <v>11.5</v>
      </c>
      <c r="N2585" s="297" t="s">
        <v>1132</v>
      </c>
    </row>
    <row r="2586" spans="1:14" s="32" customFormat="1" ht="14.25" customHeight="1">
      <c r="A2586" s="26" t="s">
        <v>715</v>
      </c>
      <c r="B2586" s="40" t="s">
        <v>254</v>
      </c>
      <c r="C2586" s="239">
        <v>4050300517872</v>
      </c>
      <c r="D2586" s="239"/>
      <c r="E2586" s="239"/>
      <c r="F2586" s="256" t="s">
        <v>4096</v>
      </c>
      <c r="G2586" s="66" t="str">
        <f>HYPERLINK("https://ledvance.com/pt/product-datasheet/7366/105544","Ficha de Produto")</f>
        <v>Ficha de Produto</v>
      </c>
      <c r="H2586" s="34">
        <v>25</v>
      </c>
      <c r="I2586" s="34" t="s">
        <v>959</v>
      </c>
      <c r="J2586" s="34" t="s">
        <v>831</v>
      </c>
      <c r="K2586" s="34"/>
      <c r="L2586" s="34" t="s">
        <v>800</v>
      </c>
      <c r="M2586" s="1">
        <v>11.5</v>
      </c>
      <c r="N2586" s="297" t="s">
        <v>1132</v>
      </c>
    </row>
    <row r="2587" spans="1:14" s="32" customFormat="1" ht="14.25" customHeight="1">
      <c r="A2587" s="26" t="s">
        <v>715</v>
      </c>
      <c r="B2587" s="40" t="s">
        <v>255</v>
      </c>
      <c r="C2587" s="239">
        <v>4050300517858</v>
      </c>
      <c r="D2587" s="239"/>
      <c r="E2587" s="239"/>
      <c r="F2587" s="256" t="s">
        <v>4096</v>
      </c>
      <c r="G2587" s="66" t="str">
        <f>HYPERLINK("https://ledvance.com/pt/product-datasheet/7366/105658","Ficha de Produto")</f>
        <v>Ficha de Produto</v>
      </c>
      <c r="H2587" s="34">
        <v>25</v>
      </c>
      <c r="I2587" s="34" t="s">
        <v>785</v>
      </c>
      <c r="J2587" s="34" t="s">
        <v>831</v>
      </c>
      <c r="K2587" s="34"/>
      <c r="L2587" s="34" t="s">
        <v>800</v>
      </c>
      <c r="M2587" s="1">
        <v>11.5</v>
      </c>
      <c r="N2587" s="297" t="s">
        <v>1132</v>
      </c>
    </row>
    <row r="2588" spans="1:14" s="32" customFormat="1" ht="14.25" customHeight="1">
      <c r="A2588" s="26" t="s">
        <v>715</v>
      </c>
      <c r="B2588" s="40" t="s">
        <v>256</v>
      </c>
      <c r="C2588" s="239">
        <v>4008321002976</v>
      </c>
      <c r="D2588" s="239"/>
      <c r="E2588" s="239"/>
      <c r="F2588" s="256" t="s">
        <v>4096</v>
      </c>
      <c r="G2588" s="66" t="str">
        <f>HYPERLINK("https://ledvance.com/pt/product-datasheet/7366/108261","Ficha de Produto")</f>
        <v>Ficha de Produto</v>
      </c>
      <c r="H2588" s="34">
        <v>25</v>
      </c>
      <c r="I2588" s="34" t="s">
        <v>832</v>
      </c>
      <c r="J2588" s="34" t="s">
        <v>831</v>
      </c>
      <c r="K2588" s="34"/>
      <c r="L2588" s="34" t="s">
        <v>800</v>
      </c>
      <c r="M2588" s="1">
        <v>16.2</v>
      </c>
      <c r="N2588" s="297" t="s">
        <v>1132</v>
      </c>
    </row>
    <row r="2589" spans="1:14" s="32" customFormat="1" ht="14.25" customHeight="1">
      <c r="A2589" s="26" t="s">
        <v>715</v>
      </c>
      <c r="B2589" s="40" t="s">
        <v>257</v>
      </c>
      <c r="C2589" s="239">
        <v>4050300518138</v>
      </c>
      <c r="D2589" s="239"/>
      <c r="E2589" s="239"/>
      <c r="F2589" s="256" t="s">
        <v>4096</v>
      </c>
      <c r="G2589" s="66" t="str">
        <f>HYPERLINK("https://ledvance.com/pt/product-datasheet/7366/105350","Ficha de Produto")</f>
        <v>Ficha de Produto</v>
      </c>
      <c r="H2589" s="34">
        <v>25</v>
      </c>
      <c r="I2589" s="34" t="s">
        <v>841</v>
      </c>
      <c r="J2589" s="34" t="s">
        <v>1029</v>
      </c>
      <c r="K2589" s="34"/>
      <c r="L2589" s="34" t="s">
        <v>800</v>
      </c>
      <c r="M2589" s="1">
        <v>25</v>
      </c>
      <c r="N2589" s="297" t="s">
        <v>1132</v>
      </c>
    </row>
    <row r="2590" spans="1:14" s="32" customFormat="1" ht="14.25" customHeight="1">
      <c r="A2590" s="26" t="s">
        <v>715</v>
      </c>
      <c r="B2590" s="40" t="s">
        <v>258</v>
      </c>
      <c r="C2590" s="239">
        <v>4050300603049</v>
      </c>
      <c r="D2590" s="239"/>
      <c r="E2590" s="239"/>
      <c r="F2590" s="256" t="s">
        <v>4096</v>
      </c>
      <c r="G2590" s="66" t="str">
        <f>HYPERLINK("https://ledvance.com/pt/product-datasheet/7366/102460","Ficha de Produto")</f>
        <v>Ficha de Produto</v>
      </c>
      <c r="H2590" s="34">
        <v>25</v>
      </c>
      <c r="I2590" s="34" t="s">
        <v>968</v>
      </c>
      <c r="J2590" s="34" t="s">
        <v>883</v>
      </c>
      <c r="K2590" s="34"/>
      <c r="L2590" s="34" t="s">
        <v>800</v>
      </c>
      <c r="M2590" s="1">
        <v>12.4</v>
      </c>
      <c r="N2590" s="297" t="s">
        <v>1132</v>
      </c>
    </row>
    <row r="2591" spans="1:14" s="32" customFormat="1" ht="14.25" customHeight="1">
      <c r="A2591" s="26" t="s">
        <v>715</v>
      </c>
      <c r="B2591" s="40" t="s">
        <v>259</v>
      </c>
      <c r="C2591" s="239">
        <v>4050300517971</v>
      </c>
      <c r="D2591" s="239"/>
      <c r="E2591" s="239"/>
      <c r="F2591" s="256" t="s">
        <v>4096</v>
      </c>
      <c r="G2591" s="66" t="str">
        <f>HYPERLINK("https://ledvance.com/pt/product-datasheet/7366/102962","Ficha de Produto")</f>
        <v>Ficha de Produto</v>
      </c>
      <c r="H2591" s="34">
        <v>25</v>
      </c>
      <c r="I2591" s="34" t="s">
        <v>968</v>
      </c>
      <c r="J2591" s="34" t="s">
        <v>883</v>
      </c>
      <c r="K2591" s="34"/>
      <c r="L2591" s="34" t="s">
        <v>800</v>
      </c>
      <c r="M2591" s="1">
        <v>12.4</v>
      </c>
      <c r="N2591" s="297" t="s">
        <v>1132</v>
      </c>
    </row>
    <row r="2592" spans="1:14" s="32" customFormat="1" ht="14.25" customHeight="1">
      <c r="A2592" s="26" t="s">
        <v>715</v>
      </c>
      <c r="B2592" s="40" t="s">
        <v>260</v>
      </c>
      <c r="C2592" s="239">
        <v>4050300517957</v>
      </c>
      <c r="D2592" s="239"/>
      <c r="E2592" s="239"/>
      <c r="F2592" s="256" t="s">
        <v>4096</v>
      </c>
      <c r="G2592" s="66" t="str">
        <f>HYPERLINK("https://ledvance.com/pt/product-datasheet/7366/102605","Ficha de Produto")</f>
        <v>Ficha de Produto</v>
      </c>
      <c r="H2592" s="34">
        <v>25</v>
      </c>
      <c r="I2592" s="34" t="s">
        <v>968</v>
      </c>
      <c r="J2592" s="34" t="s">
        <v>883</v>
      </c>
      <c r="K2592" s="34"/>
      <c r="L2592" s="34" t="s">
        <v>800</v>
      </c>
      <c r="M2592" s="1">
        <v>12.4</v>
      </c>
      <c r="N2592" s="297" t="s">
        <v>1132</v>
      </c>
    </row>
    <row r="2593" spans="1:14" s="32" customFormat="1" ht="14.25" customHeight="1">
      <c r="A2593" s="26" t="s">
        <v>715</v>
      </c>
      <c r="B2593" s="40" t="s">
        <v>261</v>
      </c>
      <c r="C2593" s="239">
        <v>4050300517933</v>
      </c>
      <c r="D2593" s="239"/>
      <c r="E2593" s="239"/>
      <c r="F2593" s="256" t="s">
        <v>4096</v>
      </c>
      <c r="G2593" s="66" t="str">
        <f>HYPERLINK("https://ledvance.com/pt/product-datasheet/7366/42829","Ficha de Produto")</f>
        <v>Ficha de Produto</v>
      </c>
      <c r="H2593" s="34">
        <v>25</v>
      </c>
      <c r="I2593" s="34" t="s">
        <v>1173</v>
      </c>
      <c r="J2593" s="34" t="s">
        <v>883</v>
      </c>
      <c r="K2593" s="34"/>
      <c r="L2593" s="34" t="s">
        <v>800</v>
      </c>
      <c r="M2593" s="1">
        <v>12.4</v>
      </c>
      <c r="N2593" s="297" t="s">
        <v>1132</v>
      </c>
    </row>
    <row r="2594" spans="1:14" s="32" customFormat="1" ht="14.25" customHeight="1">
      <c r="A2594" s="26" t="s">
        <v>715</v>
      </c>
      <c r="B2594" s="40" t="s">
        <v>262</v>
      </c>
      <c r="C2594" s="239">
        <v>4008321002990</v>
      </c>
      <c r="D2594" s="239"/>
      <c r="E2594" s="239"/>
      <c r="F2594" s="256" t="s">
        <v>4096</v>
      </c>
      <c r="G2594" s="66" t="str">
        <f>HYPERLINK("https://ledvance.com/pt/product-datasheet/7366/105353","Ficha de Produto")</f>
        <v>Ficha de Produto</v>
      </c>
      <c r="H2594" s="34">
        <v>25</v>
      </c>
      <c r="I2594" s="34" t="s">
        <v>1173</v>
      </c>
      <c r="J2594" s="34" t="s">
        <v>883</v>
      </c>
      <c r="K2594" s="34"/>
      <c r="L2594" s="34" t="s">
        <v>800</v>
      </c>
      <c r="M2594" s="1">
        <v>16.7</v>
      </c>
      <c r="N2594" s="297" t="s">
        <v>1132</v>
      </c>
    </row>
    <row r="2595" spans="1:14" ht="14.25" customHeight="1">
      <c r="A2595" s="26" t="s">
        <v>715</v>
      </c>
      <c r="B2595" s="280" t="s">
        <v>263</v>
      </c>
      <c r="C2595" s="257">
        <v>4008321003959</v>
      </c>
      <c r="D2595" s="257"/>
      <c r="E2595" s="257"/>
      <c r="F2595" s="256" t="s">
        <v>4129</v>
      </c>
      <c r="G2595" s="66" t="str">
        <f>HYPERLINK("https://ledvance.com/pt/product-datasheet/7366/114781","Ficha de Produto")</f>
        <v>Ficha de Produto</v>
      </c>
      <c r="H2595" s="4">
        <v>25</v>
      </c>
      <c r="I2595" s="34" t="s">
        <v>868</v>
      </c>
      <c r="J2595" s="34" t="s">
        <v>866</v>
      </c>
      <c r="K2595" s="34"/>
      <c r="L2595" s="34" t="s">
        <v>800</v>
      </c>
      <c r="M2595" s="1">
        <v>22.4</v>
      </c>
      <c r="N2595" s="297" t="s">
        <v>1132</v>
      </c>
    </row>
    <row r="2596" spans="1:14" s="32" customFormat="1" ht="14.25" customHeight="1">
      <c r="A2596" s="26" t="s">
        <v>715</v>
      </c>
      <c r="B2596" s="36" t="s">
        <v>264</v>
      </c>
      <c r="C2596" s="215">
        <v>4050300518114</v>
      </c>
      <c r="D2596" s="215"/>
      <c r="E2596" s="215"/>
      <c r="F2596" s="256" t="s">
        <v>4130</v>
      </c>
      <c r="G2596" s="66" t="str">
        <f>HYPERLINK("https://ledvance.com/pt/product-datasheet/7378/108254","Ficha de Produto")</f>
        <v>Ficha de Produto</v>
      </c>
      <c r="H2596" s="34">
        <v>25</v>
      </c>
      <c r="I2596" s="34" t="s">
        <v>840</v>
      </c>
      <c r="J2596" s="34" t="s">
        <v>831</v>
      </c>
      <c r="K2596" s="34"/>
      <c r="L2596" s="34" t="s">
        <v>800</v>
      </c>
      <c r="M2596" s="1">
        <v>25.7</v>
      </c>
      <c r="N2596" s="297" t="s">
        <v>1132</v>
      </c>
    </row>
    <row r="2597" spans="1:14" s="32" customFormat="1" ht="14.25" customHeight="1">
      <c r="A2597" s="26" t="s">
        <v>715</v>
      </c>
      <c r="B2597" s="36" t="s">
        <v>265</v>
      </c>
      <c r="C2597" s="215">
        <v>4050300518091</v>
      </c>
      <c r="D2597" s="215"/>
      <c r="E2597" s="215"/>
      <c r="F2597" s="256" t="s">
        <v>4131</v>
      </c>
      <c r="G2597" s="66" t="str">
        <f>HYPERLINK("https://ledvance.com/pt/product-datasheet/7378/108257","Ficha de Produto")</f>
        <v>Ficha de Produto</v>
      </c>
      <c r="H2597" s="34">
        <v>25</v>
      </c>
      <c r="I2597" s="34" t="s">
        <v>840</v>
      </c>
      <c r="J2597" s="34" t="s">
        <v>831</v>
      </c>
      <c r="K2597" s="34"/>
      <c r="L2597" s="34" t="s">
        <v>800</v>
      </c>
      <c r="M2597" s="1">
        <v>25.7</v>
      </c>
      <c r="N2597" s="297" t="s">
        <v>1132</v>
      </c>
    </row>
    <row r="2598" spans="1:14" s="32" customFormat="1" ht="14.25" customHeight="1">
      <c r="A2598" s="26" t="s">
        <v>715</v>
      </c>
      <c r="B2598" s="36" t="s">
        <v>266</v>
      </c>
      <c r="C2598" s="215">
        <v>4050300018263</v>
      </c>
      <c r="D2598" s="215"/>
      <c r="E2598" s="215"/>
      <c r="F2598" s="256" t="s">
        <v>4096</v>
      </c>
      <c r="G2598" s="66" t="str">
        <f>HYPERLINK("https://ledvance.com/pt/product-datasheet/7370/102594","Ficha de Produto")</f>
        <v>Ficha de Produto</v>
      </c>
      <c r="H2598" s="34">
        <v>25</v>
      </c>
      <c r="I2598" s="34" t="s">
        <v>845</v>
      </c>
      <c r="J2598" s="34" t="s">
        <v>831</v>
      </c>
      <c r="K2598" s="34"/>
      <c r="L2598" s="34" t="s">
        <v>800</v>
      </c>
      <c r="M2598" s="27">
        <v>27.3</v>
      </c>
      <c r="N2598" s="298" t="s">
        <v>732</v>
      </c>
    </row>
    <row r="2599" spans="1:14" s="32" customFormat="1" ht="14.25" customHeight="1">
      <c r="A2599" s="26" t="s">
        <v>715</v>
      </c>
      <c r="B2599" s="36" t="s">
        <v>267</v>
      </c>
      <c r="C2599" s="215">
        <v>4008321111395</v>
      </c>
      <c r="D2599" s="215"/>
      <c r="E2599" s="215"/>
      <c r="F2599" s="256" t="s">
        <v>4129</v>
      </c>
      <c r="G2599" s="66" t="str">
        <f>HYPERLINK("https://ledvance.com/pt/product-datasheet/7370/111233","Ficha de Produto")</f>
        <v>Ficha de Produto</v>
      </c>
      <c r="H2599" s="34">
        <v>25</v>
      </c>
      <c r="I2599" s="34" t="s">
        <v>845</v>
      </c>
      <c r="J2599" s="34" t="s">
        <v>831</v>
      </c>
      <c r="K2599" s="34"/>
      <c r="L2599" s="34" t="s">
        <v>800</v>
      </c>
      <c r="M2599" s="27">
        <v>27.3</v>
      </c>
      <c r="N2599" s="298" t="s">
        <v>732</v>
      </c>
    </row>
    <row r="2600" spans="1:14" s="32" customFormat="1" ht="14.25" customHeight="1">
      <c r="A2600" s="26" t="s">
        <v>715</v>
      </c>
      <c r="B2600" s="36" t="s">
        <v>717</v>
      </c>
      <c r="C2600" s="215">
        <v>4050300010519</v>
      </c>
      <c r="D2600" s="215"/>
      <c r="E2600" s="215"/>
      <c r="F2600" s="256" t="s">
        <v>4130</v>
      </c>
      <c r="G2600" s="66" t="str">
        <f>HYPERLINK("https://ledvance.com/pt/product-datasheet/7376/105402","Ficha de Produto")</f>
        <v>Ficha de Produto</v>
      </c>
      <c r="H2600" s="34">
        <v>10</v>
      </c>
      <c r="I2600" s="34" t="s">
        <v>1048</v>
      </c>
      <c r="J2600" s="34" t="s">
        <v>773</v>
      </c>
      <c r="K2600" s="34"/>
      <c r="L2600" s="34" t="s">
        <v>800</v>
      </c>
      <c r="M2600" s="27">
        <v>26.6</v>
      </c>
      <c r="N2600" s="298" t="s">
        <v>732</v>
      </c>
    </row>
    <row r="2601" spans="1:14" ht="14.25" customHeight="1">
      <c r="A2601" s="26" t="s">
        <v>715</v>
      </c>
      <c r="B2601" s="2" t="s">
        <v>718</v>
      </c>
      <c r="C2601" s="229">
        <v>4050300010540</v>
      </c>
      <c r="D2601" s="229"/>
      <c r="E2601" s="229"/>
      <c r="F2601" s="256" t="s">
        <v>4131</v>
      </c>
      <c r="G2601" s="66" t="str">
        <f>HYPERLINK("https://ledvance.com/pt/product-datasheet/7376/105414","Ficha de Produto")</f>
        <v>Ficha de Produto</v>
      </c>
      <c r="H2601" s="4">
        <v>10</v>
      </c>
      <c r="I2601" s="34" t="s">
        <v>1045</v>
      </c>
      <c r="J2601" s="34" t="s">
        <v>804</v>
      </c>
      <c r="K2601" s="34"/>
      <c r="L2601" s="34" t="s">
        <v>800</v>
      </c>
      <c r="M2601" s="27">
        <v>30.5</v>
      </c>
      <c r="N2601" s="298" t="s">
        <v>732</v>
      </c>
    </row>
    <row r="2602" spans="1:14" s="32" customFormat="1" ht="14.25" customHeight="1">
      <c r="A2602" s="26" t="s">
        <v>715</v>
      </c>
      <c r="B2602" s="36" t="s">
        <v>719</v>
      </c>
      <c r="C2602" s="215">
        <v>4050300010526</v>
      </c>
      <c r="D2602" s="215"/>
      <c r="E2602" s="215"/>
      <c r="F2602" s="256" t="s">
        <v>4132</v>
      </c>
      <c r="G2602" s="66" t="str">
        <f>HYPERLINK("https://ledvance.com/pt/product-datasheet/7376/108245","Ficha de Produto")</f>
        <v>Ficha de Produto</v>
      </c>
      <c r="H2602" s="34">
        <v>10</v>
      </c>
      <c r="I2602" s="34" t="s">
        <v>820</v>
      </c>
      <c r="J2602" s="34" t="s">
        <v>831</v>
      </c>
      <c r="K2602" s="34"/>
      <c r="L2602" s="34" t="s">
        <v>800</v>
      </c>
      <c r="M2602" s="27">
        <v>31.5</v>
      </c>
      <c r="N2602" s="298" t="s">
        <v>732</v>
      </c>
    </row>
    <row r="2603" spans="1:14" s="32" customFormat="1" ht="14.25" customHeight="1">
      <c r="A2603" s="26" t="s">
        <v>715</v>
      </c>
      <c r="B2603" s="36" t="s">
        <v>720</v>
      </c>
      <c r="C2603" s="215">
        <v>4050300010533</v>
      </c>
      <c r="D2603" s="215"/>
      <c r="E2603" s="215"/>
      <c r="F2603" s="256" t="s">
        <v>4133</v>
      </c>
      <c r="G2603" s="66" t="str">
        <f>HYPERLINK("https://ledvance.com/pt/product-datasheet/7376/108048","Ficha de Produto")</f>
        <v>Ficha de Produto</v>
      </c>
      <c r="H2603" s="34">
        <v>10</v>
      </c>
      <c r="I2603" s="34" t="s">
        <v>845</v>
      </c>
      <c r="J2603" s="34" t="s">
        <v>883</v>
      </c>
      <c r="K2603" s="34"/>
      <c r="L2603" s="34" t="s">
        <v>800</v>
      </c>
      <c r="M2603" s="27">
        <v>32.299999999999997</v>
      </c>
      <c r="N2603" s="298" t="s">
        <v>732</v>
      </c>
    </row>
    <row r="2604" spans="1:14" ht="14.25" customHeight="1">
      <c r="A2604" s="26" t="s">
        <v>715</v>
      </c>
      <c r="B2604" s="2" t="s">
        <v>268</v>
      </c>
      <c r="C2604" s="229">
        <v>4008321232922</v>
      </c>
      <c r="D2604" s="229"/>
      <c r="E2604" s="229"/>
      <c r="F2604" s="256" t="s">
        <v>4134</v>
      </c>
      <c r="G2604" s="66" t="str">
        <f>HYPERLINK("https://ledvance.com/pt/product-datasheet/7379/107930","Ficha de Produto")</f>
        <v>Ficha de Produto</v>
      </c>
      <c r="H2604" s="4">
        <v>12</v>
      </c>
      <c r="I2604" s="34" t="s">
        <v>1049</v>
      </c>
      <c r="J2604" s="34" t="s">
        <v>883</v>
      </c>
      <c r="K2604" s="34"/>
      <c r="L2604" s="34" t="s">
        <v>800</v>
      </c>
      <c r="M2604" s="27">
        <v>61.5</v>
      </c>
      <c r="N2604" s="298" t="s">
        <v>732</v>
      </c>
    </row>
    <row r="2605" spans="1:14" s="32" customFormat="1" ht="14.25" customHeight="1">
      <c r="A2605" s="26" t="s">
        <v>715</v>
      </c>
      <c r="B2605" s="36" t="s">
        <v>723</v>
      </c>
      <c r="C2605" s="215">
        <v>4008321581068</v>
      </c>
      <c r="D2605" s="215"/>
      <c r="E2605" s="215"/>
      <c r="F2605" s="256" t="s">
        <v>4135</v>
      </c>
      <c r="G2605" s="66" t="str">
        <f>HYPERLINK("https://ledvance.com/pt/product-datasheet/7391/106667","Ficha de Produto")</f>
        <v>Ficha de Produto</v>
      </c>
      <c r="H2605" s="34">
        <v>12</v>
      </c>
      <c r="I2605" s="34" t="s">
        <v>1043</v>
      </c>
      <c r="J2605" s="34" t="s">
        <v>791</v>
      </c>
      <c r="K2605" s="34"/>
      <c r="L2605" s="34" t="s">
        <v>800</v>
      </c>
      <c r="M2605" s="1">
        <v>24.8</v>
      </c>
      <c r="N2605" s="297" t="s">
        <v>1132</v>
      </c>
    </row>
    <row r="2606" spans="1:14" s="32" customFormat="1" ht="14.25" customHeight="1">
      <c r="A2606" s="26" t="s">
        <v>715</v>
      </c>
      <c r="B2606" s="36" t="s">
        <v>724</v>
      </c>
      <c r="C2606" s="215">
        <v>4008321581082</v>
      </c>
      <c r="D2606" s="215"/>
      <c r="E2606" s="215"/>
      <c r="F2606" s="256" t="s">
        <v>4136</v>
      </c>
      <c r="G2606" s="66" t="str">
        <f>HYPERLINK("https://ledvance.com/pt/product-datasheet/7391/106673","Ficha de Produto")</f>
        <v>Ficha de Produto</v>
      </c>
      <c r="H2606" s="34">
        <v>12</v>
      </c>
      <c r="I2606" s="34" t="s">
        <v>1043</v>
      </c>
      <c r="J2606" s="34" t="s">
        <v>791</v>
      </c>
      <c r="K2606" s="34"/>
      <c r="L2606" s="34" t="s">
        <v>800</v>
      </c>
      <c r="M2606" s="1">
        <v>24.8</v>
      </c>
      <c r="N2606" s="297" t="s">
        <v>1132</v>
      </c>
    </row>
    <row r="2607" spans="1:14" s="32" customFormat="1" ht="14.25" customHeight="1">
      <c r="A2607" s="26" t="s">
        <v>715</v>
      </c>
      <c r="B2607" s="36" t="s">
        <v>725</v>
      </c>
      <c r="C2607" s="215">
        <v>4008321581105</v>
      </c>
      <c r="D2607" s="215"/>
      <c r="E2607" s="215"/>
      <c r="F2607" s="256" t="s">
        <v>4137</v>
      </c>
      <c r="G2607" s="66" t="str">
        <f>HYPERLINK("https://ledvance.com/pt/product-datasheet/7391/106676","Ficha de Produto")</f>
        <v>Ficha de Produto</v>
      </c>
      <c r="H2607" s="34">
        <v>12</v>
      </c>
      <c r="I2607" s="34" t="s">
        <v>6438</v>
      </c>
      <c r="J2607" s="34" t="s">
        <v>791</v>
      </c>
      <c r="K2607" s="34"/>
      <c r="L2607" s="34" t="s">
        <v>800</v>
      </c>
      <c r="M2607" s="1">
        <v>24.8</v>
      </c>
      <c r="N2607" s="297" t="s">
        <v>1132</v>
      </c>
    </row>
    <row r="2608" spans="1:14" s="32" customFormat="1" ht="14.25" customHeight="1">
      <c r="A2608" s="26" t="s">
        <v>715</v>
      </c>
      <c r="B2608" s="36" t="s">
        <v>726</v>
      </c>
      <c r="C2608" s="215">
        <v>4008321581129</v>
      </c>
      <c r="D2608" s="215"/>
      <c r="E2608" s="215"/>
      <c r="F2608" s="256" t="s">
        <v>4138</v>
      </c>
      <c r="G2608" s="66" t="str">
        <f>HYPERLINK("https://ledvance.com/pt/product-datasheet/7391/106679","Ficha de Produto")</f>
        <v>Ficha de Produto</v>
      </c>
      <c r="H2608" s="34">
        <v>12</v>
      </c>
      <c r="I2608" s="34" t="s">
        <v>6304</v>
      </c>
      <c r="J2608" s="34" t="s">
        <v>879</v>
      </c>
      <c r="K2608" s="34"/>
      <c r="L2608" s="34" t="s">
        <v>800</v>
      </c>
      <c r="M2608" s="1">
        <v>32.6</v>
      </c>
      <c r="N2608" s="297" t="s">
        <v>1132</v>
      </c>
    </row>
    <row r="2609" spans="1:14" s="32" customFormat="1" ht="14.25" customHeight="1">
      <c r="A2609" s="26" t="s">
        <v>715</v>
      </c>
      <c r="B2609" s="36" t="s">
        <v>727</v>
      </c>
      <c r="C2609" s="215">
        <v>4008321581143</v>
      </c>
      <c r="D2609" s="215"/>
      <c r="E2609" s="215"/>
      <c r="F2609" s="256" t="s">
        <v>4097</v>
      </c>
      <c r="G2609" s="66" t="str">
        <f>HYPERLINK("https://ledvance.com/pt/product-datasheet/7391/106685","Ficha de Produto")</f>
        <v>Ficha de Produto</v>
      </c>
      <c r="H2609" s="34">
        <v>12</v>
      </c>
      <c r="I2609" s="34" t="s">
        <v>6304</v>
      </c>
      <c r="J2609" s="34" t="s">
        <v>879</v>
      </c>
      <c r="K2609" s="34"/>
      <c r="L2609" s="34" t="s">
        <v>800</v>
      </c>
      <c r="M2609" s="1">
        <v>32.6</v>
      </c>
      <c r="N2609" s="297" t="s">
        <v>1132</v>
      </c>
    </row>
    <row r="2610" spans="1:14" s="32" customFormat="1" ht="14.25" customHeight="1">
      <c r="A2610" s="26" t="s">
        <v>715</v>
      </c>
      <c r="B2610" s="36" t="s">
        <v>728</v>
      </c>
      <c r="C2610" s="215">
        <v>4008321581167</v>
      </c>
      <c r="D2610" s="215"/>
      <c r="E2610" s="215"/>
      <c r="F2610" s="256" t="s">
        <v>4097</v>
      </c>
      <c r="G2610" s="66" t="str">
        <f>HYPERLINK("https://ledvance.com/pt/product-datasheet/7391/106688","Ficha de Produto")</f>
        <v>Ficha de Produto</v>
      </c>
      <c r="H2610" s="34">
        <v>12</v>
      </c>
      <c r="I2610" s="34" t="s">
        <v>861</v>
      </c>
      <c r="J2610" s="34" t="s">
        <v>879</v>
      </c>
      <c r="K2610" s="34"/>
      <c r="L2610" s="34" t="s">
        <v>800</v>
      </c>
      <c r="M2610" s="1">
        <v>32.6</v>
      </c>
      <c r="N2610" s="297" t="s">
        <v>1132</v>
      </c>
    </row>
    <row r="2611" spans="1:14" s="32" customFormat="1" ht="14.25" customHeight="1">
      <c r="A2611" s="26" t="s">
        <v>715</v>
      </c>
      <c r="B2611" s="36" t="s">
        <v>729</v>
      </c>
      <c r="C2611" s="215">
        <v>4050300014845</v>
      </c>
      <c r="D2611" s="215"/>
      <c r="E2611" s="215"/>
      <c r="F2611" s="256" t="s">
        <v>4097</v>
      </c>
      <c r="G2611" s="66" t="str">
        <f>HYPERLINK("https://ledvance.com/pt/product-datasheet/7391/112869","Ficha de Produto")</f>
        <v>Ficha de Produto</v>
      </c>
      <c r="H2611" s="34">
        <v>12</v>
      </c>
      <c r="I2611" s="34" t="s">
        <v>1047</v>
      </c>
      <c r="J2611" s="34" t="s">
        <v>888</v>
      </c>
      <c r="K2611" s="34"/>
      <c r="L2611" s="34" t="s">
        <v>800</v>
      </c>
      <c r="M2611" s="1">
        <v>46.3</v>
      </c>
      <c r="N2611" s="297" t="s">
        <v>1132</v>
      </c>
    </row>
    <row r="2612" spans="1:14" s="32" customFormat="1" ht="14.25" customHeight="1">
      <c r="A2612" s="26" t="s">
        <v>715</v>
      </c>
      <c r="B2612" s="36" t="s">
        <v>730</v>
      </c>
      <c r="C2612" s="215">
        <v>4008321960139</v>
      </c>
      <c r="D2612" s="215"/>
      <c r="E2612" s="215"/>
      <c r="F2612" s="256" t="s">
        <v>4097</v>
      </c>
      <c r="G2612" s="66" t="str">
        <f>HYPERLINK("https://ledvance.com/pt/product-datasheet/7391/112872","Ficha de Produto")</f>
        <v>Ficha de Produto</v>
      </c>
      <c r="H2612" s="34">
        <v>12</v>
      </c>
      <c r="I2612" s="34" t="s">
        <v>814</v>
      </c>
      <c r="J2612" s="34" t="s">
        <v>888</v>
      </c>
      <c r="K2612" s="34"/>
      <c r="L2612" s="34" t="s">
        <v>800</v>
      </c>
      <c r="M2612" s="1">
        <v>46.3</v>
      </c>
      <c r="N2612" s="297" t="s">
        <v>1132</v>
      </c>
    </row>
    <row r="2613" spans="1:14" s="32" customFormat="1" ht="14.25" customHeight="1">
      <c r="A2613" s="26" t="s">
        <v>715</v>
      </c>
      <c r="B2613" s="36" t="s">
        <v>269</v>
      </c>
      <c r="C2613" s="215">
        <v>4050300270166</v>
      </c>
      <c r="D2613" s="215"/>
      <c r="E2613" s="215"/>
      <c r="F2613" s="214"/>
      <c r="G2613" s="66" t="str">
        <f>HYPERLINK("https://ledvance.com/pt/product-datasheet/7404/44672","Ficha de Produto")</f>
        <v>Ficha de Produto</v>
      </c>
      <c r="H2613" s="34">
        <v>1200</v>
      </c>
      <c r="I2613" s="34"/>
      <c r="J2613" s="34" t="s">
        <v>6213</v>
      </c>
      <c r="K2613" s="34"/>
      <c r="L2613" s="34" t="s">
        <v>800</v>
      </c>
      <c r="M2613" s="1">
        <v>2.4</v>
      </c>
      <c r="N2613" s="297" t="s">
        <v>1132</v>
      </c>
    </row>
    <row r="2614" spans="1:14" s="32" customFormat="1" ht="14.25" customHeight="1">
      <c r="A2614" s="26" t="s">
        <v>715</v>
      </c>
      <c r="B2614" s="36" t="s">
        <v>269</v>
      </c>
      <c r="C2614" s="215">
        <v>4050300854045</v>
      </c>
      <c r="D2614" s="215"/>
      <c r="E2614" s="215"/>
      <c r="F2614" s="214"/>
      <c r="G2614" s="66" t="str">
        <f>HYPERLINK("https://ledvance.com/pt/product-datasheet/7404/42609","Ficha de Produto")</f>
        <v>Ficha de Produto</v>
      </c>
      <c r="H2614" s="34">
        <v>400</v>
      </c>
      <c r="I2614" s="34"/>
      <c r="J2614" s="34" t="s">
        <v>6213</v>
      </c>
      <c r="K2614" s="34"/>
      <c r="L2614" s="34" t="s">
        <v>800</v>
      </c>
      <c r="M2614" s="1">
        <v>2.4</v>
      </c>
      <c r="N2614" s="297" t="s">
        <v>1132</v>
      </c>
    </row>
    <row r="2615" spans="1:14" s="32" customFormat="1" ht="14.25" customHeight="1">
      <c r="A2615" s="26" t="s">
        <v>715</v>
      </c>
      <c r="B2615" s="36" t="s">
        <v>270</v>
      </c>
      <c r="C2615" s="215">
        <v>4050300422855</v>
      </c>
      <c r="D2615" s="215"/>
      <c r="E2615" s="215"/>
      <c r="F2615" s="214"/>
      <c r="G2615" s="66" t="str">
        <f>HYPERLINK("https://ledvance.com/pt/product-datasheet/7404/56003","Ficha de Produto")</f>
        <v>Ficha de Produto</v>
      </c>
      <c r="H2615" s="34">
        <v>1200</v>
      </c>
      <c r="I2615" s="34"/>
      <c r="J2615" s="34" t="s">
        <v>6213</v>
      </c>
      <c r="K2615" s="34"/>
      <c r="L2615" s="34" t="s">
        <v>800</v>
      </c>
      <c r="M2615" s="27">
        <v>11.5</v>
      </c>
      <c r="N2615" s="298" t="s">
        <v>732</v>
      </c>
    </row>
    <row r="2616" spans="1:14" s="32" customFormat="1" ht="14.25" customHeight="1">
      <c r="A2616" s="26" t="s">
        <v>715</v>
      </c>
      <c r="B2616" s="36" t="s">
        <v>270</v>
      </c>
      <c r="C2616" s="215">
        <v>4050300854106</v>
      </c>
      <c r="D2616" s="215"/>
      <c r="E2616" s="215"/>
      <c r="F2616" s="214"/>
      <c r="G2616" s="66" t="str">
        <f>HYPERLINK("https://ledvance.com/pt/product-datasheet/7404/55999","Ficha de Produto")</f>
        <v>Ficha de Produto</v>
      </c>
      <c r="H2616" s="34">
        <v>200</v>
      </c>
      <c r="I2616" s="34"/>
      <c r="J2616" s="34" t="s">
        <v>6213</v>
      </c>
      <c r="K2616" s="34"/>
      <c r="L2616" s="34" t="s">
        <v>800</v>
      </c>
      <c r="M2616" s="27">
        <v>11.3</v>
      </c>
      <c r="N2616" s="298" t="s">
        <v>732</v>
      </c>
    </row>
    <row r="2617" spans="1:14" s="32" customFormat="1" ht="14.25" customHeight="1">
      <c r="A2617" s="26" t="s">
        <v>715</v>
      </c>
      <c r="B2617" s="36" t="s">
        <v>271</v>
      </c>
      <c r="C2617" s="215">
        <v>4050300854120</v>
      </c>
      <c r="D2617" s="215"/>
      <c r="E2617" s="215"/>
      <c r="F2617" s="214"/>
      <c r="G2617" s="66" t="str">
        <f>HYPERLINK("https://ledvance.com/pt/product-datasheet/7404/56017","Ficha de Produto")</f>
        <v>Ficha de Produto</v>
      </c>
      <c r="H2617" s="34">
        <v>200</v>
      </c>
      <c r="I2617" s="34"/>
      <c r="J2617" s="34" t="s">
        <v>6170</v>
      </c>
      <c r="K2617" s="34"/>
      <c r="L2617" s="34" t="s">
        <v>800</v>
      </c>
      <c r="M2617" s="27">
        <v>11.3</v>
      </c>
      <c r="N2617" s="298" t="s">
        <v>732</v>
      </c>
    </row>
    <row r="2618" spans="1:14" s="32" customFormat="1" ht="14.25" customHeight="1">
      <c r="A2618" s="26" t="s">
        <v>715</v>
      </c>
      <c r="B2618" s="36" t="s">
        <v>272</v>
      </c>
      <c r="C2618" s="215">
        <v>4050300012803</v>
      </c>
      <c r="D2618" s="215"/>
      <c r="E2618" s="215"/>
      <c r="F2618" s="214"/>
      <c r="G2618" s="66" t="str">
        <f>HYPERLINK("https://ledvance.com/pt/product-datasheet/7405/44565","Ficha de Produto")</f>
        <v>Ficha de Produto</v>
      </c>
      <c r="H2618" s="34">
        <v>1200</v>
      </c>
      <c r="I2618" s="34"/>
      <c r="J2618" s="34" t="s">
        <v>6127</v>
      </c>
      <c r="K2618" s="34"/>
      <c r="L2618" s="34" t="s">
        <v>800</v>
      </c>
      <c r="M2618" s="1">
        <v>2.6</v>
      </c>
      <c r="N2618" s="297" t="s">
        <v>1132</v>
      </c>
    </row>
    <row r="2619" spans="1:14" s="32" customFormat="1" ht="14.25" customHeight="1">
      <c r="A2619" s="26" t="s">
        <v>715</v>
      </c>
      <c r="B2619" s="36" t="s">
        <v>272</v>
      </c>
      <c r="C2619" s="215">
        <v>4050300854083</v>
      </c>
      <c r="D2619" s="215"/>
      <c r="E2619" s="215"/>
      <c r="F2619" s="214"/>
      <c r="G2619" s="66" t="str">
        <f>HYPERLINK("https://ledvance.com/pt/product-datasheet/7405/42621","Ficha de Produto")</f>
        <v>Ficha de Produto</v>
      </c>
      <c r="H2619" s="34">
        <v>400</v>
      </c>
      <c r="I2619" s="34"/>
      <c r="J2619" s="34" t="s">
        <v>6127</v>
      </c>
      <c r="K2619" s="34"/>
      <c r="L2619" s="34" t="s">
        <v>800</v>
      </c>
      <c r="M2619" s="1">
        <v>2.6</v>
      </c>
      <c r="N2619" s="297" t="s">
        <v>1132</v>
      </c>
    </row>
    <row r="2620" spans="1:14" s="32" customFormat="1" ht="14.25" customHeight="1">
      <c r="A2620" s="26" t="s">
        <v>715</v>
      </c>
      <c r="B2620" s="36" t="s">
        <v>273</v>
      </c>
      <c r="C2620" s="215">
        <v>4050300854069</v>
      </c>
      <c r="D2620" s="215"/>
      <c r="E2620" s="215"/>
      <c r="F2620" s="214"/>
      <c r="G2620" s="66" t="str">
        <f>HYPERLINK("https://ledvance.com/pt/product-datasheet/7405/56013","Ficha de Produto")</f>
        <v>Ficha de Produto</v>
      </c>
      <c r="H2620" s="34">
        <v>200</v>
      </c>
      <c r="I2620" s="34"/>
      <c r="J2620" s="34" t="s">
        <v>6127</v>
      </c>
      <c r="K2620" s="34"/>
      <c r="L2620" s="34" t="s">
        <v>800</v>
      </c>
      <c r="M2620" s="27">
        <v>11.4</v>
      </c>
      <c r="N2620" s="298" t="s">
        <v>732</v>
      </c>
    </row>
    <row r="2621" spans="1:14" s="32" customFormat="1" ht="14.25" customHeight="1">
      <c r="A2621" s="25" t="s">
        <v>715</v>
      </c>
      <c r="B2621" s="276" t="s">
        <v>731</v>
      </c>
      <c r="C2621" s="7"/>
      <c r="D2621" s="7"/>
      <c r="E2621" s="7"/>
      <c r="F2621" s="231"/>
      <c r="G2621" s="68"/>
      <c r="H2621" s="7"/>
      <c r="I2621" s="7"/>
      <c r="J2621" s="7"/>
      <c r="K2621" s="7"/>
      <c r="L2621" s="7"/>
      <c r="M2621" s="248"/>
      <c r="N2621" s="284"/>
    </row>
    <row r="2622" spans="1:14" s="32" customFormat="1" ht="14.25" customHeight="1">
      <c r="A2622" s="26" t="s">
        <v>715</v>
      </c>
      <c r="B2622" s="36" t="s">
        <v>274</v>
      </c>
      <c r="C2622" s="215">
        <v>4050300005997</v>
      </c>
      <c r="D2622" s="215"/>
      <c r="E2622" s="215"/>
      <c r="F2622" s="256" t="s">
        <v>4097</v>
      </c>
      <c r="G2622" s="66" t="str">
        <f>HYPERLINK("https://ledvance.com/pt/product-datasheet/7241/88568","Ficha de Produto")</f>
        <v>Ficha de Produto</v>
      </c>
      <c r="H2622" s="34">
        <v>10</v>
      </c>
      <c r="I2622" s="34" t="s">
        <v>854</v>
      </c>
      <c r="J2622" s="34" t="s">
        <v>809</v>
      </c>
      <c r="K2622" s="34"/>
      <c r="L2622" s="34" t="s">
        <v>800</v>
      </c>
      <c r="M2622" s="27">
        <v>7.4</v>
      </c>
      <c r="N2622" s="298" t="s">
        <v>732</v>
      </c>
    </row>
    <row r="2623" spans="1:14" s="32" customFormat="1" ht="14.25" customHeight="1">
      <c r="A2623" s="26" t="s">
        <v>715</v>
      </c>
      <c r="B2623" s="36" t="s">
        <v>275</v>
      </c>
      <c r="C2623" s="215">
        <v>4050300025735</v>
      </c>
      <c r="D2623" s="215"/>
      <c r="E2623" s="215"/>
      <c r="F2623" s="256" t="s">
        <v>4097</v>
      </c>
      <c r="G2623" s="66" t="str">
        <f>HYPERLINK("https://ledvance.com/pt/product-datasheet/7241/88574","Ficha de Produto")</f>
        <v>Ficha de Produto</v>
      </c>
      <c r="H2623" s="34">
        <v>10</v>
      </c>
      <c r="I2623" s="34" t="s">
        <v>854</v>
      </c>
      <c r="J2623" s="34" t="s">
        <v>809</v>
      </c>
      <c r="K2623" s="34"/>
      <c r="L2623" s="34" t="s">
        <v>800</v>
      </c>
      <c r="M2623" s="27">
        <v>7.4</v>
      </c>
      <c r="N2623" s="298" t="s">
        <v>732</v>
      </c>
    </row>
    <row r="2624" spans="1:14" s="32" customFormat="1" ht="14.25" customHeight="1">
      <c r="A2624" s="26" t="s">
        <v>715</v>
      </c>
      <c r="B2624" s="36" t="s">
        <v>276</v>
      </c>
      <c r="C2624" s="215">
        <v>4050300010571</v>
      </c>
      <c r="D2624" s="215"/>
      <c r="E2624" s="215"/>
      <c r="F2624" s="256" t="s">
        <v>4097</v>
      </c>
      <c r="G2624" s="66" t="str">
        <f>HYPERLINK("https://ledvance.com/pt/product-datasheet/7241/88577","Ficha de Produto")</f>
        <v>Ficha de Produto</v>
      </c>
      <c r="H2624" s="34">
        <v>10</v>
      </c>
      <c r="I2624" s="34" t="s">
        <v>854</v>
      </c>
      <c r="J2624" s="34" t="s">
        <v>809</v>
      </c>
      <c r="K2624" s="34"/>
      <c r="L2624" s="34" t="s">
        <v>800</v>
      </c>
      <c r="M2624" s="27">
        <v>7.4</v>
      </c>
      <c r="N2624" s="298" t="s">
        <v>732</v>
      </c>
    </row>
    <row r="2625" spans="1:14" s="32" customFormat="1" ht="14.25" customHeight="1">
      <c r="A2625" s="26" t="s">
        <v>715</v>
      </c>
      <c r="B2625" s="36" t="s">
        <v>277</v>
      </c>
      <c r="C2625" s="215">
        <v>4050300006000</v>
      </c>
      <c r="D2625" s="215"/>
      <c r="E2625" s="215"/>
      <c r="F2625" s="256" t="s">
        <v>4097</v>
      </c>
      <c r="G2625" s="66" t="str">
        <f>HYPERLINK("https://ledvance.com/pt/product-datasheet/7241/92135","Ficha de Produto")</f>
        <v>Ficha de Produto</v>
      </c>
      <c r="H2625" s="34">
        <v>10</v>
      </c>
      <c r="I2625" s="34" t="s">
        <v>1052</v>
      </c>
      <c r="J2625" s="34" t="s">
        <v>886</v>
      </c>
      <c r="K2625" s="34"/>
      <c r="L2625" s="34" t="s">
        <v>800</v>
      </c>
      <c r="M2625" s="27">
        <v>7.4</v>
      </c>
      <c r="N2625" s="298" t="s">
        <v>732</v>
      </c>
    </row>
    <row r="2626" spans="1:14" s="32" customFormat="1" ht="14.25" customHeight="1">
      <c r="A2626" s="26" t="s">
        <v>715</v>
      </c>
      <c r="B2626" s="36" t="s">
        <v>278</v>
      </c>
      <c r="C2626" s="215">
        <v>4050300025742</v>
      </c>
      <c r="D2626" s="215"/>
      <c r="E2626" s="215"/>
      <c r="F2626" s="256" t="s">
        <v>4097</v>
      </c>
      <c r="G2626" s="66" t="str">
        <f>HYPERLINK("https://ledvance.com/pt/product-datasheet/7241/90442","Ficha de Produto")</f>
        <v>Ficha de Produto</v>
      </c>
      <c r="H2626" s="34">
        <v>10</v>
      </c>
      <c r="I2626" s="34" t="s">
        <v>1052</v>
      </c>
      <c r="J2626" s="34" t="s">
        <v>886</v>
      </c>
      <c r="K2626" s="34"/>
      <c r="L2626" s="34" t="s">
        <v>800</v>
      </c>
      <c r="M2626" s="27">
        <v>7.4</v>
      </c>
      <c r="N2626" s="298" t="s">
        <v>732</v>
      </c>
    </row>
    <row r="2627" spans="1:14" s="32" customFormat="1" ht="14.25" customHeight="1">
      <c r="A2627" s="26" t="s">
        <v>715</v>
      </c>
      <c r="B2627" s="36" t="s">
        <v>279</v>
      </c>
      <c r="C2627" s="215">
        <v>4050300010588</v>
      </c>
      <c r="D2627" s="215"/>
      <c r="E2627" s="215"/>
      <c r="F2627" s="256" t="s">
        <v>4097</v>
      </c>
      <c r="G2627" s="66" t="str">
        <f>HYPERLINK("https://ledvance.com/pt/product-datasheet/7241/90445","Ficha de Produto")</f>
        <v>Ficha de Produto</v>
      </c>
      <c r="H2627" s="34">
        <v>10</v>
      </c>
      <c r="I2627" s="34" t="s">
        <v>1052</v>
      </c>
      <c r="J2627" s="34" t="s">
        <v>886</v>
      </c>
      <c r="K2627" s="34"/>
      <c r="L2627" s="34" t="s">
        <v>800</v>
      </c>
      <c r="M2627" s="27">
        <v>7.4</v>
      </c>
      <c r="N2627" s="298" t="s">
        <v>732</v>
      </c>
    </row>
    <row r="2628" spans="1:14" s="32" customFormat="1" ht="14.25" customHeight="1">
      <c r="A2628" s="26" t="s">
        <v>715</v>
      </c>
      <c r="B2628" s="36" t="s">
        <v>280</v>
      </c>
      <c r="C2628" s="215">
        <v>4050300006017</v>
      </c>
      <c r="D2628" s="215"/>
      <c r="E2628" s="215"/>
      <c r="F2628" s="256" t="s">
        <v>4097</v>
      </c>
      <c r="G2628" s="66" t="str">
        <f>HYPERLINK("https://ledvance.com/pt/product-datasheet/7241/92141","Ficha de Produto")</f>
        <v>Ficha de Produto</v>
      </c>
      <c r="H2628" s="34">
        <v>10</v>
      </c>
      <c r="I2628" s="34" t="s">
        <v>1042</v>
      </c>
      <c r="J2628" s="34" t="s">
        <v>1053</v>
      </c>
      <c r="K2628" s="34"/>
      <c r="L2628" s="34" t="s">
        <v>800</v>
      </c>
      <c r="M2628" s="27">
        <v>7.4</v>
      </c>
      <c r="N2628" s="298" t="s">
        <v>732</v>
      </c>
    </row>
    <row r="2629" spans="1:14" s="32" customFormat="1" ht="14.25" customHeight="1">
      <c r="A2629" s="26" t="s">
        <v>715</v>
      </c>
      <c r="B2629" s="36" t="s">
        <v>281</v>
      </c>
      <c r="C2629" s="215">
        <v>4050300025759</v>
      </c>
      <c r="D2629" s="215"/>
      <c r="E2629" s="215"/>
      <c r="F2629" s="256" t="s">
        <v>4097</v>
      </c>
      <c r="G2629" s="66" t="str">
        <f>HYPERLINK("https://ledvance.com/pt/product-datasheet/7241/90438","Ficha de Produto")</f>
        <v>Ficha de Produto</v>
      </c>
      <c r="H2629" s="34">
        <v>10</v>
      </c>
      <c r="I2629" s="34" t="s">
        <v>1042</v>
      </c>
      <c r="J2629" s="34" t="s">
        <v>1053</v>
      </c>
      <c r="K2629" s="34"/>
      <c r="L2629" s="34" t="s">
        <v>800</v>
      </c>
      <c r="M2629" s="27">
        <v>7.4</v>
      </c>
      <c r="N2629" s="298" t="s">
        <v>732</v>
      </c>
    </row>
    <row r="2630" spans="1:14" s="32" customFormat="1" ht="14.25" customHeight="1">
      <c r="A2630" s="26" t="s">
        <v>715</v>
      </c>
      <c r="B2630" s="36" t="s">
        <v>282</v>
      </c>
      <c r="C2630" s="215">
        <v>4050300010618</v>
      </c>
      <c r="D2630" s="215"/>
      <c r="E2630" s="215"/>
      <c r="F2630" s="256" t="s">
        <v>4097</v>
      </c>
      <c r="G2630" s="66" t="str">
        <f>HYPERLINK("https://ledvance.com/pt/product-datasheet/7241/92144","Ficha de Produto")</f>
        <v>Ficha de Produto</v>
      </c>
      <c r="H2630" s="34">
        <v>10</v>
      </c>
      <c r="I2630" s="34" t="s">
        <v>1042</v>
      </c>
      <c r="J2630" s="34" t="s">
        <v>1053</v>
      </c>
      <c r="K2630" s="34"/>
      <c r="L2630" s="34" t="s">
        <v>800</v>
      </c>
      <c r="M2630" s="27">
        <v>7.4</v>
      </c>
      <c r="N2630" s="298" t="s">
        <v>732</v>
      </c>
    </row>
    <row r="2631" spans="1:14" s="32" customFormat="1" ht="14.25" customHeight="1">
      <c r="A2631" s="26" t="s">
        <v>715</v>
      </c>
      <c r="B2631" s="36" t="s">
        <v>283</v>
      </c>
      <c r="C2631" s="215">
        <v>4050300017648</v>
      </c>
      <c r="D2631" s="215"/>
      <c r="E2631" s="215"/>
      <c r="F2631" s="256" t="s">
        <v>4097</v>
      </c>
      <c r="G2631" s="66" t="str">
        <f>HYPERLINK("https://ledvance.com/pt/product-datasheet/7242/33551","Ficha de Produto")</f>
        <v>Ficha de Produto</v>
      </c>
      <c r="H2631" s="34">
        <v>10</v>
      </c>
      <c r="I2631" s="34" t="s">
        <v>854</v>
      </c>
      <c r="J2631" s="34" t="s">
        <v>809</v>
      </c>
      <c r="K2631" s="34"/>
      <c r="L2631" s="34" t="s">
        <v>800</v>
      </c>
      <c r="M2631" s="27">
        <v>7.4</v>
      </c>
      <c r="N2631" s="298" t="s">
        <v>732</v>
      </c>
    </row>
    <row r="2632" spans="1:14" s="32" customFormat="1" ht="14.25" customHeight="1">
      <c r="A2632" s="26" t="s">
        <v>715</v>
      </c>
      <c r="B2632" s="36" t="s">
        <v>284</v>
      </c>
      <c r="C2632" s="215">
        <v>4050300017655</v>
      </c>
      <c r="D2632" s="215"/>
      <c r="E2632" s="215"/>
      <c r="F2632" s="256" t="s">
        <v>4097</v>
      </c>
      <c r="G2632" s="66" t="str">
        <f>HYPERLINK("https://ledvance.com/pt/product-datasheet/7242/104276","Ficha de Produto")</f>
        <v>Ficha de Produto</v>
      </c>
      <c r="H2632" s="34">
        <v>10</v>
      </c>
      <c r="I2632" s="34" t="s">
        <v>1052</v>
      </c>
      <c r="J2632" s="34" t="s">
        <v>886</v>
      </c>
      <c r="K2632" s="34"/>
      <c r="L2632" s="34" t="s">
        <v>800</v>
      </c>
      <c r="M2632" s="27">
        <v>7.4</v>
      </c>
      <c r="N2632" s="298" t="s">
        <v>732</v>
      </c>
    </row>
    <row r="2633" spans="1:14" s="32" customFormat="1" ht="14.25" customHeight="1">
      <c r="A2633" s="26" t="s">
        <v>715</v>
      </c>
      <c r="B2633" s="36" t="s">
        <v>285</v>
      </c>
      <c r="C2633" s="215">
        <v>4050300017662</v>
      </c>
      <c r="D2633" s="215"/>
      <c r="E2633" s="215"/>
      <c r="F2633" s="256" t="s">
        <v>4097</v>
      </c>
      <c r="G2633" s="66" t="str">
        <f>HYPERLINK("https://ledvance.com/pt/product-datasheet/7242/104283","Ficha de Produto")</f>
        <v>Ficha de Produto</v>
      </c>
      <c r="H2633" s="34">
        <v>10</v>
      </c>
      <c r="I2633" s="34" t="s">
        <v>1042</v>
      </c>
      <c r="J2633" s="34" t="s">
        <v>1053</v>
      </c>
      <c r="K2633" s="34"/>
      <c r="L2633" s="34" t="s">
        <v>800</v>
      </c>
      <c r="M2633" s="27">
        <v>7.4</v>
      </c>
      <c r="N2633" s="298" t="s">
        <v>732</v>
      </c>
    </row>
    <row r="2634" spans="1:14" s="32" customFormat="1" ht="14.25" customHeight="1">
      <c r="A2634" s="26" t="s">
        <v>715</v>
      </c>
      <c r="B2634" s="36" t="s">
        <v>286</v>
      </c>
      <c r="C2634" s="215">
        <v>4050300020181</v>
      </c>
      <c r="D2634" s="215"/>
      <c r="E2634" s="215"/>
      <c r="F2634" s="256" t="s">
        <v>4097</v>
      </c>
      <c r="G2634" s="66" t="str">
        <f>HYPERLINK("https://ledvance.com/pt/product-datasheet/7242/88559","Ficha de Produto")</f>
        <v>Ficha de Produto</v>
      </c>
      <c r="H2634" s="34">
        <v>10</v>
      </c>
      <c r="I2634" s="34" t="s">
        <v>1042</v>
      </c>
      <c r="J2634" s="34" t="s">
        <v>1053</v>
      </c>
      <c r="K2634" s="34"/>
      <c r="L2634" s="34" t="s">
        <v>800</v>
      </c>
      <c r="M2634" s="27">
        <v>7.4</v>
      </c>
      <c r="N2634" s="298" t="s">
        <v>732</v>
      </c>
    </row>
    <row r="2635" spans="1:14" s="32" customFormat="1" ht="14.25" customHeight="1">
      <c r="A2635" s="26" t="s">
        <v>715</v>
      </c>
      <c r="B2635" s="36" t="s">
        <v>287</v>
      </c>
      <c r="C2635" s="215">
        <v>4050300008110</v>
      </c>
      <c r="D2635" s="215"/>
      <c r="E2635" s="215"/>
      <c r="F2635" s="256" t="s">
        <v>4097</v>
      </c>
      <c r="G2635" s="66" t="str">
        <f>HYPERLINK("https://ledvance.com/pt/product-datasheet/7236/88406","Ficha de Produto")</f>
        <v>Ficha de Produto</v>
      </c>
      <c r="H2635" s="34">
        <v>10</v>
      </c>
      <c r="I2635" s="34" t="s">
        <v>1052</v>
      </c>
      <c r="J2635" s="34" t="s">
        <v>859</v>
      </c>
      <c r="K2635" s="34"/>
      <c r="L2635" s="34" t="s">
        <v>800</v>
      </c>
      <c r="M2635" s="27">
        <v>11.1</v>
      </c>
      <c r="N2635" s="298" t="s">
        <v>732</v>
      </c>
    </row>
    <row r="2636" spans="1:14" s="32" customFormat="1" ht="14.25" customHeight="1">
      <c r="A2636" s="26" t="s">
        <v>715</v>
      </c>
      <c r="B2636" s="36" t="s">
        <v>288</v>
      </c>
      <c r="C2636" s="215">
        <v>4050300025681</v>
      </c>
      <c r="D2636" s="215"/>
      <c r="E2636" s="215"/>
      <c r="F2636" s="256" t="s">
        <v>4097</v>
      </c>
      <c r="G2636" s="66" t="str">
        <f>HYPERLINK("https://ledvance.com/pt/product-datasheet/7236/107697","Ficha de Produto")</f>
        <v>Ficha de Produto</v>
      </c>
      <c r="H2636" s="34">
        <v>50</v>
      </c>
      <c r="I2636" s="34" t="s">
        <v>1052</v>
      </c>
      <c r="J2636" s="34" t="s">
        <v>859</v>
      </c>
      <c r="K2636" s="34"/>
      <c r="L2636" s="34" t="s">
        <v>800</v>
      </c>
      <c r="M2636" s="27">
        <v>11.1</v>
      </c>
      <c r="N2636" s="298" t="s">
        <v>732</v>
      </c>
    </row>
    <row r="2637" spans="1:14" s="32" customFormat="1" ht="14.25" customHeight="1">
      <c r="A2637" s="26" t="s">
        <v>715</v>
      </c>
      <c r="B2637" s="36" t="s">
        <v>289</v>
      </c>
      <c r="C2637" s="215">
        <v>4050300010595</v>
      </c>
      <c r="D2637" s="215"/>
      <c r="E2637" s="215"/>
      <c r="F2637" s="256" t="s">
        <v>4097</v>
      </c>
      <c r="G2637" s="66" t="str">
        <f>HYPERLINK("https://ledvance.com/pt/product-datasheet/7236/88409","Ficha de Produto")</f>
        <v>Ficha de Produto</v>
      </c>
      <c r="H2637" s="34">
        <v>50</v>
      </c>
      <c r="I2637" s="34" t="s">
        <v>1052</v>
      </c>
      <c r="J2637" s="34" t="s">
        <v>859</v>
      </c>
      <c r="K2637" s="34"/>
      <c r="L2637" s="34" t="s">
        <v>800</v>
      </c>
      <c r="M2637" s="27">
        <v>11.1</v>
      </c>
      <c r="N2637" s="298" t="s">
        <v>732</v>
      </c>
    </row>
    <row r="2638" spans="1:14" s="32" customFormat="1" ht="14.25" customHeight="1">
      <c r="A2638" s="26" t="s">
        <v>715</v>
      </c>
      <c r="B2638" s="36" t="s">
        <v>290</v>
      </c>
      <c r="C2638" s="215">
        <v>4050300008127</v>
      </c>
      <c r="D2638" s="215"/>
      <c r="E2638" s="215"/>
      <c r="F2638" s="256" t="s">
        <v>4097</v>
      </c>
      <c r="G2638" s="66" t="str">
        <f>HYPERLINK("https://ledvance.com/pt/product-datasheet/7236/88412","Ficha de Produto")</f>
        <v>Ficha de Produto</v>
      </c>
      <c r="H2638" s="34">
        <v>10</v>
      </c>
      <c r="I2638" s="34" t="s">
        <v>6336</v>
      </c>
      <c r="J2638" s="34" t="s">
        <v>771</v>
      </c>
      <c r="K2638" s="34"/>
      <c r="L2638" s="34" t="s">
        <v>800</v>
      </c>
      <c r="M2638" s="27">
        <v>11.1</v>
      </c>
      <c r="N2638" s="298" t="s">
        <v>732</v>
      </c>
    </row>
    <row r="2639" spans="1:14" s="32" customFormat="1" ht="14.25" customHeight="1">
      <c r="A2639" s="26" t="s">
        <v>715</v>
      </c>
      <c r="B2639" s="36" t="s">
        <v>291</v>
      </c>
      <c r="C2639" s="215">
        <v>4050300025698</v>
      </c>
      <c r="D2639" s="215"/>
      <c r="E2639" s="215"/>
      <c r="F2639" s="256" t="s">
        <v>4097</v>
      </c>
      <c r="G2639" s="66" t="str">
        <f>HYPERLINK("https://ledvance.com/pt/product-datasheet/7236/88415","Ficha de Produto")</f>
        <v>Ficha de Produto</v>
      </c>
      <c r="H2639" s="34">
        <v>10</v>
      </c>
      <c r="I2639" s="34" t="s">
        <v>6336</v>
      </c>
      <c r="J2639" s="34" t="s">
        <v>771</v>
      </c>
      <c r="K2639" s="34"/>
      <c r="L2639" s="34" t="s">
        <v>800</v>
      </c>
      <c r="M2639" s="27">
        <v>11.1</v>
      </c>
      <c r="N2639" s="298" t="s">
        <v>732</v>
      </c>
    </row>
    <row r="2640" spans="1:14" s="32" customFormat="1" ht="14.25" customHeight="1">
      <c r="A2640" s="26" t="s">
        <v>715</v>
      </c>
      <c r="B2640" s="36" t="s">
        <v>292</v>
      </c>
      <c r="C2640" s="215">
        <v>4050300010625</v>
      </c>
      <c r="D2640" s="215"/>
      <c r="E2640" s="215"/>
      <c r="F2640" s="256" t="s">
        <v>4097</v>
      </c>
      <c r="G2640" s="66" t="str">
        <f>HYPERLINK("https://ledvance.com/pt/product-datasheet/7236/88418","Ficha de Produto")</f>
        <v>Ficha de Produto</v>
      </c>
      <c r="H2640" s="34">
        <v>10</v>
      </c>
      <c r="I2640" s="34" t="s">
        <v>6336</v>
      </c>
      <c r="J2640" s="34" t="s">
        <v>771</v>
      </c>
      <c r="K2640" s="34"/>
      <c r="L2640" s="34" t="s">
        <v>800</v>
      </c>
      <c r="M2640" s="27">
        <v>11.1</v>
      </c>
      <c r="N2640" s="298" t="s">
        <v>732</v>
      </c>
    </row>
    <row r="2641" spans="1:14" s="32" customFormat="1" ht="14.25" customHeight="1">
      <c r="A2641" s="26" t="s">
        <v>715</v>
      </c>
      <c r="B2641" s="36" t="s">
        <v>293</v>
      </c>
      <c r="C2641" s="215">
        <v>4050300487106</v>
      </c>
      <c r="D2641" s="215"/>
      <c r="E2641" s="215"/>
      <c r="F2641" s="256" t="s">
        <v>4097</v>
      </c>
      <c r="G2641" s="66" t="str">
        <f>HYPERLINK("https://ledvance.com/pt/product-datasheet/7236/92160","Ficha de Produto")</f>
        <v>Ficha de Produto</v>
      </c>
      <c r="H2641" s="34">
        <v>10</v>
      </c>
      <c r="I2641" s="34" t="s">
        <v>6439</v>
      </c>
      <c r="J2641" s="34" t="s">
        <v>771</v>
      </c>
      <c r="K2641" s="34"/>
      <c r="L2641" s="34" t="s">
        <v>800</v>
      </c>
      <c r="M2641" s="27">
        <v>11.1</v>
      </c>
      <c r="N2641" s="298" t="s">
        <v>732</v>
      </c>
    </row>
    <row r="2642" spans="1:14" s="32" customFormat="1" ht="14.25" customHeight="1">
      <c r="A2642" s="26" t="s">
        <v>715</v>
      </c>
      <c r="B2642" s="36" t="s">
        <v>294</v>
      </c>
      <c r="C2642" s="215">
        <v>4050300011462</v>
      </c>
      <c r="D2642" s="215"/>
      <c r="E2642" s="215"/>
      <c r="F2642" s="256" t="s">
        <v>4097</v>
      </c>
      <c r="G2642" s="66" t="str">
        <f>HYPERLINK("https://ledvance.com/pt/product-datasheet/7236/116661","Ficha de Produto")</f>
        <v>Ficha de Produto</v>
      </c>
      <c r="H2642" s="34">
        <v>10</v>
      </c>
      <c r="I2642" s="34" t="s">
        <v>857</v>
      </c>
      <c r="J2642" s="34" t="s">
        <v>773</v>
      </c>
      <c r="K2642" s="34"/>
      <c r="L2642" s="34" t="s">
        <v>800</v>
      </c>
      <c r="M2642" s="27">
        <v>11.1</v>
      </c>
      <c r="N2642" s="298" t="s">
        <v>732</v>
      </c>
    </row>
    <row r="2643" spans="1:14" s="32" customFormat="1" ht="14.25" customHeight="1">
      <c r="A2643" s="26" t="s">
        <v>715</v>
      </c>
      <c r="B2643" s="36" t="s">
        <v>295</v>
      </c>
      <c r="C2643" s="215">
        <v>4050300025704</v>
      </c>
      <c r="D2643" s="215"/>
      <c r="E2643" s="215"/>
      <c r="F2643" s="256" t="s">
        <v>4097</v>
      </c>
      <c r="G2643" s="66" t="str">
        <f>HYPERLINK("https://ledvance.com/pt/product-datasheet/7236/116658","Ficha de Produto")</f>
        <v>Ficha de Produto</v>
      </c>
      <c r="H2643" s="34">
        <v>10</v>
      </c>
      <c r="I2643" s="34" t="s">
        <v>857</v>
      </c>
      <c r="J2643" s="34" t="s">
        <v>773</v>
      </c>
      <c r="K2643" s="34"/>
      <c r="L2643" s="34" t="s">
        <v>800</v>
      </c>
      <c r="M2643" s="27">
        <v>11.1</v>
      </c>
      <c r="N2643" s="298" t="s">
        <v>732</v>
      </c>
    </row>
    <row r="2644" spans="1:14" s="32" customFormat="1" ht="14.25" customHeight="1">
      <c r="A2644" s="26" t="s">
        <v>715</v>
      </c>
      <c r="B2644" s="36" t="s">
        <v>296</v>
      </c>
      <c r="C2644" s="215">
        <v>4050300012056</v>
      </c>
      <c r="D2644" s="215"/>
      <c r="E2644" s="215"/>
      <c r="F2644" s="256" t="s">
        <v>4097</v>
      </c>
      <c r="G2644" s="66" t="str">
        <f>HYPERLINK("https://ledvance.com/pt/product-datasheet/7236/116652","Ficha de Produto")</f>
        <v>Ficha de Produto</v>
      </c>
      <c r="H2644" s="34">
        <v>10</v>
      </c>
      <c r="I2644" s="34" t="s">
        <v>857</v>
      </c>
      <c r="J2644" s="34" t="s">
        <v>773</v>
      </c>
      <c r="K2644" s="34"/>
      <c r="L2644" s="34" t="s">
        <v>800</v>
      </c>
      <c r="M2644" s="27">
        <v>11.1</v>
      </c>
      <c r="N2644" s="298" t="s">
        <v>732</v>
      </c>
    </row>
    <row r="2645" spans="1:14" s="32" customFormat="1" ht="14.25" customHeight="1">
      <c r="A2645" s="26" t="s">
        <v>715</v>
      </c>
      <c r="B2645" s="36" t="s">
        <v>297</v>
      </c>
      <c r="C2645" s="215">
        <v>4050300487120</v>
      </c>
      <c r="D2645" s="215"/>
      <c r="E2645" s="215"/>
      <c r="F2645" s="256" t="s">
        <v>4097</v>
      </c>
      <c r="G2645" s="66" t="str">
        <f>HYPERLINK("https://ledvance.com/pt/product-datasheet/7236/92157","Ficha de Produto")</f>
        <v>Ficha de Produto</v>
      </c>
      <c r="H2645" s="34">
        <v>10</v>
      </c>
      <c r="I2645" s="34" t="s">
        <v>929</v>
      </c>
      <c r="J2645" s="34" t="s">
        <v>773</v>
      </c>
      <c r="K2645" s="34"/>
      <c r="L2645" s="34" t="s">
        <v>800</v>
      </c>
      <c r="M2645" s="27">
        <v>11.1</v>
      </c>
      <c r="N2645" s="298" t="s">
        <v>732</v>
      </c>
    </row>
    <row r="2646" spans="1:14" s="32" customFormat="1" ht="14.25" customHeight="1">
      <c r="A2646" s="26" t="s">
        <v>715</v>
      </c>
      <c r="B2646" s="36" t="s">
        <v>298</v>
      </c>
      <c r="C2646" s="215">
        <v>4050300011912</v>
      </c>
      <c r="D2646" s="215"/>
      <c r="E2646" s="215"/>
      <c r="F2646" s="256" t="s">
        <v>4097</v>
      </c>
      <c r="G2646" s="66" t="str">
        <f>HYPERLINK("https://ledvance.com/pt/product-datasheet/7236/88421","Ficha de Produto")</f>
        <v>Ficha de Produto</v>
      </c>
      <c r="H2646" s="34">
        <v>10</v>
      </c>
      <c r="I2646" s="34" t="s">
        <v>811</v>
      </c>
      <c r="J2646" s="34" t="s">
        <v>881</v>
      </c>
      <c r="K2646" s="34"/>
      <c r="L2646" s="34" t="s">
        <v>800</v>
      </c>
      <c r="M2646" s="27">
        <v>11.1</v>
      </c>
      <c r="N2646" s="298" t="s">
        <v>732</v>
      </c>
    </row>
    <row r="2647" spans="1:14" s="32" customFormat="1" ht="14.25" customHeight="1">
      <c r="A2647" s="26" t="s">
        <v>715</v>
      </c>
      <c r="B2647" s="36" t="s">
        <v>299</v>
      </c>
      <c r="C2647" s="215">
        <v>4050300025711</v>
      </c>
      <c r="D2647" s="215"/>
      <c r="E2647" s="215"/>
      <c r="F2647" s="256" t="s">
        <v>4097</v>
      </c>
      <c r="G2647" s="66" t="str">
        <f>HYPERLINK("https://ledvance.com/pt/product-datasheet/7236/88424","Ficha de Produto")</f>
        <v>Ficha de Produto</v>
      </c>
      <c r="H2647" s="34">
        <v>10</v>
      </c>
      <c r="I2647" s="34" t="s">
        <v>811</v>
      </c>
      <c r="J2647" s="34" t="s">
        <v>881</v>
      </c>
      <c r="K2647" s="34"/>
      <c r="L2647" s="34" t="s">
        <v>800</v>
      </c>
      <c r="M2647" s="27">
        <v>11.1</v>
      </c>
      <c r="N2647" s="298" t="s">
        <v>732</v>
      </c>
    </row>
    <row r="2648" spans="1:14" s="32" customFormat="1" ht="14.25" customHeight="1">
      <c r="A2648" s="26" t="s">
        <v>715</v>
      </c>
      <c r="B2648" s="36" t="s">
        <v>300</v>
      </c>
      <c r="C2648" s="215">
        <v>4050300012049</v>
      </c>
      <c r="D2648" s="215"/>
      <c r="E2648" s="215"/>
      <c r="F2648" s="256" t="s">
        <v>4097</v>
      </c>
      <c r="G2648" s="66" t="str">
        <f>HYPERLINK("https://ledvance.com/pt/product-datasheet/7236/88427","Ficha de Produto")</f>
        <v>Ficha de Produto</v>
      </c>
      <c r="H2648" s="34">
        <v>10</v>
      </c>
      <c r="I2648" s="34" t="s">
        <v>811</v>
      </c>
      <c r="J2648" s="34" t="s">
        <v>881</v>
      </c>
      <c r="K2648" s="34"/>
      <c r="L2648" s="34" t="s">
        <v>800</v>
      </c>
      <c r="M2648" s="27">
        <v>11.1</v>
      </c>
      <c r="N2648" s="298" t="s">
        <v>732</v>
      </c>
    </row>
    <row r="2649" spans="1:14" s="32" customFormat="1" ht="14.25" customHeight="1">
      <c r="A2649" s="26" t="s">
        <v>715</v>
      </c>
      <c r="B2649" s="36" t="s">
        <v>301</v>
      </c>
      <c r="C2649" s="215">
        <v>4050300486987</v>
      </c>
      <c r="D2649" s="215"/>
      <c r="E2649" s="215"/>
      <c r="F2649" s="256" t="s">
        <v>4097</v>
      </c>
      <c r="G2649" s="66" t="str">
        <f>HYPERLINK("https://ledvance.com/pt/product-datasheet/7236/92163","Ficha de Produto")</f>
        <v>Ficha de Produto</v>
      </c>
      <c r="H2649" s="34">
        <v>10</v>
      </c>
      <c r="I2649" s="34" t="s">
        <v>766</v>
      </c>
      <c r="J2649" s="34" t="s">
        <v>881</v>
      </c>
      <c r="K2649" s="34"/>
      <c r="L2649" s="34" t="s">
        <v>800</v>
      </c>
      <c r="M2649" s="27">
        <v>11.1</v>
      </c>
      <c r="N2649" s="298" t="s">
        <v>732</v>
      </c>
    </row>
    <row r="2650" spans="1:14" s="32" customFormat="1" ht="14.25" customHeight="1">
      <c r="A2650" s="26" t="s">
        <v>715</v>
      </c>
      <c r="B2650" s="36" t="s">
        <v>302</v>
      </c>
      <c r="C2650" s="215">
        <v>4050300419435</v>
      </c>
      <c r="D2650" s="215"/>
      <c r="E2650" s="215"/>
      <c r="F2650" s="256" t="s">
        <v>4097</v>
      </c>
      <c r="G2650" s="66" t="str">
        <f>HYPERLINK("https://ledvance.com/pt/product-datasheet/7237/113292","Ficha de Produto")</f>
        <v>Ficha de Produto</v>
      </c>
      <c r="H2650" s="34">
        <v>10</v>
      </c>
      <c r="I2650" s="34" t="s">
        <v>1052</v>
      </c>
      <c r="J2650" s="34" t="s">
        <v>859</v>
      </c>
      <c r="K2650" s="34"/>
      <c r="L2650" s="34" t="s">
        <v>800</v>
      </c>
      <c r="M2650" s="27">
        <v>11.1</v>
      </c>
      <c r="N2650" s="298" t="s">
        <v>732</v>
      </c>
    </row>
    <row r="2651" spans="1:14" s="32" customFormat="1" ht="14.25" customHeight="1">
      <c r="A2651" s="26" t="s">
        <v>715</v>
      </c>
      <c r="B2651" s="36" t="s">
        <v>303</v>
      </c>
      <c r="C2651" s="215">
        <v>4050300017587</v>
      </c>
      <c r="D2651" s="215"/>
      <c r="E2651" s="215"/>
      <c r="F2651" s="256" t="s">
        <v>4097</v>
      </c>
      <c r="G2651" s="66" t="str">
        <f>HYPERLINK("https://ledvance.com/pt/product-datasheet/7237/113295","Ficha de Produto")</f>
        <v>Ficha de Produto</v>
      </c>
      <c r="H2651" s="34">
        <v>10</v>
      </c>
      <c r="I2651" s="34" t="s">
        <v>1052</v>
      </c>
      <c r="J2651" s="34" t="s">
        <v>859</v>
      </c>
      <c r="K2651" s="34"/>
      <c r="L2651" s="34" t="s">
        <v>800</v>
      </c>
      <c r="M2651" s="27">
        <v>11.1</v>
      </c>
      <c r="N2651" s="298" t="s">
        <v>732</v>
      </c>
    </row>
    <row r="2652" spans="1:14" s="32" customFormat="1" ht="14.25" customHeight="1">
      <c r="A2652" s="26" t="s">
        <v>715</v>
      </c>
      <c r="B2652" s="36" t="s">
        <v>304</v>
      </c>
      <c r="C2652" s="215">
        <v>4050300012131</v>
      </c>
      <c r="D2652" s="215"/>
      <c r="E2652" s="215"/>
      <c r="F2652" s="256" t="s">
        <v>4097</v>
      </c>
      <c r="G2652" s="66" t="str">
        <f>HYPERLINK("https://ledvance.com/pt/product-datasheet/7237/88430","Ficha de Produto")</f>
        <v>Ficha de Produto</v>
      </c>
      <c r="H2652" s="34">
        <v>10</v>
      </c>
      <c r="I2652" s="34" t="s">
        <v>6336</v>
      </c>
      <c r="J2652" s="34" t="s">
        <v>771</v>
      </c>
      <c r="K2652" s="34"/>
      <c r="L2652" s="34" t="s">
        <v>800</v>
      </c>
      <c r="M2652" s="27">
        <v>11.1</v>
      </c>
      <c r="N2652" s="298" t="s">
        <v>732</v>
      </c>
    </row>
    <row r="2653" spans="1:14" s="32" customFormat="1" ht="14.25" customHeight="1">
      <c r="A2653" s="26" t="s">
        <v>715</v>
      </c>
      <c r="B2653" s="36" t="s">
        <v>305</v>
      </c>
      <c r="C2653" s="215">
        <v>4050300389059</v>
      </c>
      <c r="D2653" s="215"/>
      <c r="E2653" s="215"/>
      <c r="F2653" s="256" t="s">
        <v>4097</v>
      </c>
      <c r="G2653" s="66" t="str">
        <f>HYPERLINK("https://ledvance.com/pt/product-datasheet/7237/88433","Ficha de Produto")</f>
        <v>Ficha de Produto</v>
      </c>
      <c r="H2653" s="34">
        <v>10</v>
      </c>
      <c r="I2653" s="34" t="s">
        <v>6336</v>
      </c>
      <c r="J2653" s="34" t="s">
        <v>771</v>
      </c>
      <c r="K2653" s="34"/>
      <c r="L2653" s="34" t="s">
        <v>800</v>
      </c>
      <c r="M2653" s="27">
        <v>11.1</v>
      </c>
      <c r="N2653" s="298" t="s">
        <v>732</v>
      </c>
    </row>
    <row r="2654" spans="1:14" s="32" customFormat="1" ht="14.25" customHeight="1">
      <c r="A2654" s="26" t="s">
        <v>715</v>
      </c>
      <c r="B2654" s="36" t="s">
        <v>306</v>
      </c>
      <c r="C2654" s="215">
        <v>4050300017594</v>
      </c>
      <c r="D2654" s="215"/>
      <c r="E2654" s="215"/>
      <c r="F2654" s="256" t="s">
        <v>4097</v>
      </c>
      <c r="G2654" s="66" t="str">
        <f>HYPERLINK("https://ledvance.com/pt/product-datasheet/7237/89294","Ficha de Produto")</f>
        <v>Ficha de Produto</v>
      </c>
      <c r="H2654" s="34">
        <v>10</v>
      </c>
      <c r="I2654" s="34" t="s">
        <v>6336</v>
      </c>
      <c r="J2654" s="34" t="s">
        <v>771</v>
      </c>
      <c r="K2654" s="34"/>
      <c r="L2654" s="34" t="s">
        <v>800</v>
      </c>
      <c r="M2654" s="27">
        <v>11.1</v>
      </c>
      <c r="N2654" s="298" t="s">
        <v>732</v>
      </c>
    </row>
    <row r="2655" spans="1:14" s="32" customFormat="1" ht="14.25" customHeight="1">
      <c r="A2655" s="26" t="s">
        <v>715</v>
      </c>
      <c r="B2655" s="36" t="s">
        <v>307</v>
      </c>
      <c r="C2655" s="215">
        <v>4050300012148</v>
      </c>
      <c r="D2655" s="215"/>
      <c r="E2655" s="215"/>
      <c r="F2655" s="256" t="s">
        <v>4097</v>
      </c>
      <c r="G2655" s="66" t="str">
        <f>HYPERLINK("https://ledvance.com/pt/product-datasheet/7237/87383","Ficha de Produto")</f>
        <v>Ficha de Produto</v>
      </c>
      <c r="H2655" s="34">
        <v>10</v>
      </c>
      <c r="I2655" s="34" t="s">
        <v>857</v>
      </c>
      <c r="J2655" s="34" t="s">
        <v>773</v>
      </c>
      <c r="K2655" s="34"/>
      <c r="L2655" s="34" t="s">
        <v>800</v>
      </c>
      <c r="M2655" s="27">
        <v>11.1</v>
      </c>
      <c r="N2655" s="298" t="s">
        <v>732</v>
      </c>
    </row>
    <row r="2656" spans="1:14" s="32" customFormat="1" ht="14.25" customHeight="1">
      <c r="A2656" s="26" t="s">
        <v>715</v>
      </c>
      <c r="B2656" s="36" t="s">
        <v>308</v>
      </c>
      <c r="C2656" s="215">
        <v>4050300327211</v>
      </c>
      <c r="D2656" s="215"/>
      <c r="E2656" s="215"/>
      <c r="F2656" s="256" t="s">
        <v>4097</v>
      </c>
      <c r="G2656" s="66" t="str">
        <f>HYPERLINK("https://ledvance.com/pt/product-datasheet/7237/88849","Ficha de Produto")</f>
        <v>Ficha de Produto</v>
      </c>
      <c r="H2656" s="34">
        <v>10</v>
      </c>
      <c r="I2656" s="34" t="s">
        <v>857</v>
      </c>
      <c r="J2656" s="34" t="s">
        <v>773</v>
      </c>
      <c r="K2656" s="34"/>
      <c r="L2656" s="34" t="s">
        <v>800</v>
      </c>
      <c r="M2656" s="27">
        <v>11.1</v>
      </c>
      <c r="N2656" s="298" t="s">
        <v>732</v>
      </c>
    </row>
    <row r="2657" spans="1:14" s="32" customFormat="1" ht="14.25" customHeight="1">
      <c r="A2657" s="26" t="s">
        <v>715</v>
      </c>
      <c r="B2657" s="36" t="s">
        <v>309</v>
      </c>
      <c r="C2657" s="215">
        <v>4050300017617</v>
      </c>
      <c r="D2657" s="215"/>
      <c r="E2657" s="215"/>
      <c r="F2657" s="256" t="s">
        <v>4097</v>
      </c>
      <c r="G2657" s="66" t="str">
        <f>HYPERLINK("https://ledvance.com/pt/product-datasheet/7237/88855","Ficha de Produto")</f>
        <v>Ficha de Produto</v>
      </c>
      <c r="H2657" s="34">
        <v>10</v>
      </c>
      <c r="I2657" s="34" t="s">
        <v>857</v>
      </c>
      <c r="J2657" s="34" t="s">
        <v>773</v>
      </c>
      <c r="K2657" s="34"/>
      <c r="L2657" s="34" t="s">
        <v>800</v>
      </c>
      <c r="M2657" s="27">
        <v>11.1</v>
      </c>
      <c r="N2657" s="298" t="s">
        <v>732</v>
      </c>
    </row>
    <row r="2658" spans="1:14" s="32" customFormat="1" ht="14.25" customHeight="1">
      <c r="A2658" s="26" t="s">
        <v>715</v>
      </c>
      <c r="B2658" s="36" t="s">
        <v>310</v>
      </c>
      <c r="C2658" s="215">
        <v>4050300564944</v>
      </c>
      <c r="D2658" s="215"/>
      <c r="E2658" s="215"/>
      <c r="F2658" s="256" t="s">
        <v>4097</v>
      </c>
      <c r="G2658" s="66" t="str">
        <f>HYPERLINK("https://ledvance.com/pt/product-datasheet/7237/113304","Ficha de Produto")</f>
        <v>Ficha de Produto</v>
      </c>
      <c r="H2658" s="34">
        <v>10</v>
      </c>
      <c r="I2658" s="34" t="s">
        <v>929</v>
      </c>
      <c r="J2658" s="34" t="s">
        <v>773</v>
      </c>
      <c r="K2658" s="34"/>
      <c r="L2658" s="34" t="s">
        <v>800</v>
      </c>
      <c r="M2658" s="27">
        <v>11.1</v>
      </c>
      <c r="N2658" s="298" t="s">
        <v>732</v>
      </c>
    </row>
    <row r="2659" spans="1:14" s="32" customFormat="1" ht="14.25" customHeight="1">
      <c r="A2659" s="26" t="s">
        <v>715</v>
      </c>
      <c r="B2659" s="36" t="s">
        <v>311</v>
      </c>
      <c r="C2659" s="215">
        <v>4050300012230</v>
      </c>
      <c r="D2659" s="215"/>
      <c r="E2659" s="215"/>
      <c r="F2659" s="256" t="s">
        <v>4097</v>
      </c>
      <c r="G2659" s="66" t="str">
        <f>HYPERLINK("https://ledvance.com/pt/product-datasheet/7237/89297","Ficha de Produto")</f>
        <v>Ficha de Produto</v>
      </c>
      <c r="H2659" s="34">
        <v>10</v>
      </c>
      <c r="I2659" s="34" t="s">
        <v>811</v>
      </c>
      <c r="J2659" s="34" t="s">
        <v>881</v>
      </c>
      <c r="K2659" s="34"/>
      <c r="L2659" s="34" t="s">
        <v>800</v>
      </c>
      <c r="M2659" s="27">
        <v>11.1</v>
      </c>
      <c r="N2659" s="298" t="s">
        <v>732</v>
      </c>
    </row>
    <row r="2660" spans="1:14" s="32" customFormat="1" ht="14.25" customHeight="1">
      <c r="A2660" s="26" t="s">
        <v>715</v>
      </c>
      <c r="B2660" s="36" t="s">
        <v>312</v>
      </c>
      <c r="C2660" s="215">
        <v>4050300327235</v>
      </c>
      <c r="D2660" s="215"/>
      <c r="E2660" s="215"/>
      <c r="F2660" s="256" t="s">
        <v>4097</v>
      </c>
      <c r="G2660" s="66" t="str">
        <f>HYPERLINK("https://ledvance.com/pt/product-datasheet/7237/89300","Ficha de Produto")</f>
        <v>Ficha de Produto</v>
      </c>
      <c r="H2660" s="34">
        <v>10</v>
      </c>
      <c r="I2660" s="34" t="s">
        <v>811</v>
      </c>
      <c r="J2660" s="34" t="s">
        <v>881</v>
      </c>
      <c r="K2660" s="34"/>
      <c r="L2660" s="34" t="s">
        <v>800</v>
      </c>
      <c r="M2660" s="27">
        <v>11.1</v>
      </c>
      <c r="N2660" s="298" t="s">
        <v>732</v>
      </c>
    </row>
    <row r="2661" spans="1:14" s="32" customFormat="1" ht="14.25" customHeight="1">
      <c r="A2661" s="26" t="s">
        <v>715</v>
      </c>
      <c r="B2661" s="36" t="s">
        <v>313</v>
      </c>
      <c r="C2661" s="215">
        <v>4050300020303</v>
      </c>
      <c r="D2661" s="215"/>
      <c r="E2661" s="215"/>
      <c r="F2661" s="256" t="s">
        <v>4097</v>
      </c>
      <c r="G2661" s="66" t="str">
        <f>HYPERLINK("https://ledvance.com/pt/product-datasheet/7237/89303","Ficha de Produto")</f>
        <v>Ficha de Produto</v>
      </c>
      <c r="H2661" s="34">
        <v>10</v>
      </c>
      <c r="I2661" s="34" t="s">
        <v>811</v>
      </c>
      <c r="J2661" s="34" t="s">
        <v>881</v>
      </c>
      <c r="K2661" s="34"/>
      <c r="L2661" s="34" t="s">
        <v>800</v>
      </c>
      <c r="M2661" s="27">
        <v>11.1</v>
      </c>
      <c r="N2661" s="298" t="s">
        <v>732</v>
      </c>
    </row>
    <row r="2662" spans="1:14" s="32" customFormat="1" ht="14.25" customHeight="1">
      <c r="A2662" s="26" t="s">
        <v>715</v>
      </c>
      <c r="B2662" s="36" t="s">
        <v>314</v>
      </c>
      <c r="C2662" s="215">
        <v>4008321185877</v>
      </c>
      <c r="D2662" s="215"/>
      <c r="E2662" s="215"/>
      <c r="F2662" s="256" t="s">
        <v>4097</v>
      </c>
      <c r="G2662" s="66" t="str">
        <f>HYPERLINK("https://ledvance.com/pt/product-datasheet/7237/113307","Ficha de Produto")</f>
        <v>Ficha de Produto</v>
      </c>
      <c r="H2662" s="34">
        <v>10</v>
      </c>
      <c r="I2662" s="34" t="s">
        <v>766</v>
      </c>
      <c r="J2662" s="34" t="s">
        <v>881</v>
      </c>
      <c r="K2662" s="34"/>
      <c r="L2662" s="34" t="s">
        <v>800</v>
      </c>
      <c r="M2662" s="27">
        <v>11.1</v>
      </c>
      <c r="N2662" s="298" t="s">
        <v>732</v>
      </c>
    </row>
    <row r="2663" spans="1:14" s="32" customFormat="1" ht="14.25" customHeight="1">
      <c r="A2663" s="26" t="s">
        <v>715</v>
      </c>
      <c r="B2663" s="36" t="s">
        <v>315</v>
      </c>
      <c r="C2663" s="215">
        <v>4050300446929</v>
      </c>
      <c r="D2663" s="215"/>
      <c r="E2663" s="215"/>
      <c r="F2663" s="256" t="s">
        <v>4097</v>
      </c>
      <c r="G2663" s="66" t="str">
        <f>HYPERLINK("https://ledvance.com/pt/product-datasheet/7230/110355","Ficha de Produto")</f>
        <v>Ficha de Produto</v>
      </c>
      <c r="H2663" s="34">
        <v>10</v>
      </c>
      <c r="I2663" s="34" t="s">
        <v>6316</v>
      </c>
      <c r="J2663" s="34" t="s">
        <v>771</v>
      </c>
      <c r="K2663" s="34"/>
      <c r="L2663" s="34" t="s">
        <v>800</v>
      </c>
      <c r="M2663" s="27">
        <v>18.399999999999999</v>
      </c>
      <c r="N2663" s="298" t="s">
        <v>732</v>
      </c>
    </row>
    <row r="2664" spans="1:14" s="32" customFormat="1" ht="14.25" customHeight="1">
      <c r="A2664" s="26" t="s">
        <v>715</v>
      </c>
      <c r="B2664" s="36" t="s">
        <v>316</v>
      </c>
      <c r="C2664" s="215">
        <v>4050300446905</v>
      </c>
      <c r="D2664" s="215"/>
      <c r="E2664" s="215"/>
      <c r="F2664" s="256" t="s">
        <v>4097</v>
      </c>
      <c r="G2664" s="66" t="str">
        <f>HYPERLINK("https://ledvance.com/pt/product-datasheet/7230/110358","Ficha de Produto")</f>
        <v>Ficha de Produto</v>
      </c>
      <c r="H2664" s="34">
        <v>10</v>
      </c>
      <c r="I2664" s="34" t="s">
        <v>6316</v>
      </c>
      <c r="J2664" s="34" t="s">
        <v>771</v>
      </c>
      <c r="K2664" s="34"/>
      <c r="L2664" s="34" t="s">
        <v>800</v>
      </c>
      <c r="M2664" s="27">
        <v>18.399999999999999</v>
      </c>
      <c r="N2664" s="298" t="s">
        <v>732</v>
      </c>
    </row>
    <row r="2665" spans="1:14" s="32" customFormat="1" ht="14.25" customHeight="1">
      <c r="A2665" s="26" t="s">
        <v>715</v>
      </c>
      <c r="B2665" s="36" t="s">
        <v>317</v>
      </c>
      <c r="C2665" s="215">
        <v>4050300333502</v>
      </c>
      <c r="D2665" s="215"/>
      <c r="E2665" s="215"/>
      <c r="F2665" s="256" t="s">
        <v>4097</v>
      </c>
      <c r="G2665" s="66" t="str">
        <f>HYPERLINK("https://ledvance.com/pt/product-datasheet/7230/124235","Ficha de Produto")</f>
        <v>Ficha de Produto</v>
      </c>
      <c r="H2665" s="34">
        <v>10</v>
      </c>
      <c r="I2665" s="34" t="s">
        <v>857</v>
      </c>
      <c r="J2665" s="34" t="s">
        <v>773</v>
      </c>
      <c r="K2665" s="34"/>
      <c r="L2665" s="34" t="s">
        <v>800</v>
      </c>
      <c r="M2665" s="27">
        <v>18.399999999999999</v>
      </c>
      <c r="N2665" s="298" t="s">
        <v>732</v>
      </c>
    </row>
    <row r="2666" spans="1:14" s="32" customFormat="1" ht="14.25" customHeight="1">
      <c r="A2666" s="26" t="s">
        <v>715</v>
      </c>
      <c r="B2666" s="36" t="s">
        <v>318</v>
      </c>
      <c r="C2666" s="215">
        <v>4050300333489</v>
      </c>
      <c r="D2666" s="215"/>
      <c r="E2666" s="215"/>
      <c r="F2666" s="256" t="s">
        <v>4097</v>
      </c>
      <c r="G2666" s="66" t="str">
        <f>HYPERLINK("https://ledvance.com/pt/product-datasheet/7230/124238","Ficha de Produto")</f>
        <v>Ficha de Produto</v>
      </c>
      <c r="H2666" s="34">
        <v>10</v>
      </c>
      <c r="I2666" s="34" t="s">
        <v>857</v>
      </c>
      <c r="J2666" s="34" t="s">
        <v>773</v>
      </c>
      <c r="K2666" s="34"/>
      <c r="L2666" s="34" t="s">
        <v>800</v>
      </c>
      <c r="M2666" s="27">
        <v>18.399999999999999</v>
      </c>
      <c r="N2666" s="298" t="s">
        <v>732</v>
      </c>
    </row>
    <row r="2667" spans="1:14" s="32" customFormat="1" ht="14.25" customHeight="1">
      <c r="A2667" s="26" t="s">
        <v>715</v>
      </c>
      <c r="B2667" s="36" t="s">
        <v>319</v>
      </c>
      <c r="C2667" s="215">
        <v>4050300333465</v>
      </c>
      <c r="D2667" s="215"/>
      <c r="E2667" s="215"/>
      <c r="F2667" s="256" t="s">
        <v>4097</v>
      </c>
      <c r="G2667" s="66" t="str">
        <f>HYPERLINK("https://ledvance.com/pt/product-datasheet/7230/124241","Ficha de Produto")</f>
        <v>Ficha de Produto</v>
      </c>
      <c r="H2667" s="34">
        <v>10</v>
      </c>
      <c r="I2667" s="34" t="s">
        <v>857</v>
      </c>
      <c r="J2667" s="34" t="s">
        <v>773</v>
      </c>
      <c r="K2667" s="34"/>
      <c r="L2667" s="34" t="s">
        <v>800</v>
      </c>
      <c r="M2667" s="27">
        <v>18.399999999999999</v>
      </c>
      <c r="N2667" s="298" t="s">
        <v>732</v>
      </c>
    </row>
    <row r="2668" spans="1:14" s="32" customFormat="1" ht="14.25" customHeight="1">
      <c r="A2668" s="26" t="s">
        <v>715</v>
      </c>
      <c r="B2668" s="36" t="s">
        <v>320</v>
      </c>
      <c r="C2668" s="215">
        <v>4050300342085</v>
      </c>
      <c r="D2668" s="215"/>
      <c r="E2668" s="215"/>
      <c r="F2668" s="256" t="s">
        <v>4097</v>
      </c>
      <c r="G2668" s="66" t="str">
        <f>HYPERLINK("https://ledvance.com/pt/product-datasheet/7230/113319","Ficha de Produto")</f>
        <v>Ficha de Produto</v>
      </c>
      <c r="H2668" s="34">
        <v>10</v>
      </c>
      <c r="I2668" s="34" t="s">
        <v>820</v>
      </c>
      <c r="J2668" s="34" t="s">
        <v>881</v>
      </c>
      <c r="K2668" s="34"/>
      <c r="L2668" s="34" t="s">
        <v>800</v>
      </c>
      <c r="M2668" s="27">
        <v>18.399999999999999</v>
      </c>
      <c r="N2668" s="298" t="s">
        <v>732</v>
      </c>
    </row>
    <row r="2669" spans="1:14" s="32" customFormat="1" ht="14.25" customHeight="1">
      <c r="A2669" s="26" t="s">
        <v>715</v>
      </c>
      <c r="B2669" s="36" t="s">
        <v>321</v>
      </c>
      <c r="C2669" s="215">
        <v>4050300342061</v>
      </c>
      <c r="D2669" s="215"/>
      <c r="E2669" s="215"/>
      <c r="F2669" s="256" t="s">
        <v>4097</v>
      </c>
      <c r="G2669" s="66" t="str">
        <f>HYPERLINK("https://ledvance.com/pt/product-datasheet/7230/113322","Ficha de Produto")</f>
        <v>Ficha de Produto</v>
      </c>
      <c r="H2669" s="34">
        <v>10</v>
      </c>
      <c r="I2669" s="34" t="s">
        <v>820</v>
      </c>
      <c r="J2669" s="34" t="s">
        <v>881</v>
      </c>
      <c r="K2669" s="34"/>
      <c r="L2669" s="34" t="s">
        <v>800</v>
      </c>
      <c r="M2669" s="27">
        <v>18.399999999999999</v>
      </c>
      <c r="N2669" s="298" t="s">
        <v>732</v>
      </c>
    </row>
    <row r="2670" spans="1:14" s="32" customFormat="1" ht="14.25" customHeight="1">
      <c r="A2670" s="26" t="s">
        <v>715</v>
      </c>
      <c r="B2670" s="36" t="s">
        <v>322</v>
      </c>
      <c r="C2670" s="215">
        <v>4050300342047</v>
      </c>
      <c r="D2670" s="215"/>
      <c r="E2670" s="215"/>
      <c r="F2670" s="256" t="s">
        <v>4097</v>
      </c>
      <c r="G2670" s="66" t="str">
        <f>HYPERLINK("https://ledvance.com/pt/product-datasheet/7230/113325","Ficha de Produto")</f>
        <v>Ficha de Produto</v>
      </c>
      <c r="H2670" s="34">
        <v>10</v>
      </c>
      <c r="I2670" s="34" t="s">
        <v>820</v>
      </c>
      <c r="J2670" s="34" t="s">
        <v>881</v>
      </c>
      <c r="K2670" s="34"/>
      <c r="L2670" s="34" t="s">
        <v>800</v>
      </c>
      <c r="M2670" s="27">
        <v>18.399999999999999</v>
      </c>
      <c r="N2670" s="298" t="s">
        <v>732</v>
      </c>
    </row>
    <row r="2671" spans="1:14" s="32" customFormat="1" ht="14.25" customHeight="1">
      <c r="A2671" s="26" t="s">
        <v>715</v>
      </c>
      <c r="B2671" s="36" t="s">
        <v>323</v>
      </c>
      <c r="C2671" s="215">
        <v>4050300447001</v>
      </c>
      <c r="D2671" s="215"/>
      <c r="E2671" s="215"/>
      <c r="F2671" s="256" t="s">
        <v>4097</v>
      </c>
      <c r="G2671" s="66" t="str">
        <f>HYPERLINK("https://ledvance.com/pt/product-datasheet/7231/113310","Ficha de Produto")</f>
        <v>Ficha de Produto</v>
      </c>
      <c r="H2671" s="34">
        <v>10</v>
      </c>
      <c r="I2671" s="34" t="s">
        <v>6316</v>
      </c>
      <c r="J2671" s="34" t="s">
        <v>771</v>
      </c>
      <c r="K2671" s="34"/>
      <c r="L2671" s="34" t="s">
        <v>800</v>
      </c>
      <c r="M2671" s="27">
        <v>18.5</v>
      </c>
      <c r="N2671" s="298" t="s">
        <v>732</v>
      </c>
    </row>
    <row r="2672" spans="1:14" s="32" customFormat="1" ht="14.25" customHeight="1">
      <c r="A2672" s="26" t="s">
        <v>715</v>
      </c>
      <c r="B2672" s="36" t="s">
        <v>324</v>
      </c>
      <c r="C2672" s="215">
        <v>4050300446981</v>
      </c>
      <c r="D2672" s="215"/>
      <c r="E2672" s="215"/>
      <c r="F2672" s="256" t="s">
        <v>4097</v>
      </c>
      <c r="G2672" s="66" t="str">
        <f>HYPERLINK("https://ledvance.com/pt/product-datasheet/7231/113313","Ficha de Produto")</f>
        <v>Ficha de Produto</v>
      </c>
      <c r="H2672" s="34">
        <v>10</v>
      </c>
      <c r="I2672" s="34" t="s">
        <v>6316</v>
      </c>
      <c r="J2672" s="34" t="s">
        <v>771</v>
      </c>
      <c r="K2672" s="34"/>
      <c r="L2672" s="34" t="s">
        <v>800</v>
      </c>
      <c r="M2672" s="27">
        <v>18.5</v>
      </c>
      <c r="N2672" s="298" t="s">
        <v>732</v>
      </c>
    </row>
    <row r="2673" spans="1:14" s="32" customFormat="1" ht="14.25" customHeight="1">
      <c r="A2673" s="26" t="s">
        <v>715</v>
      </c>
      <c r="B2673" s="36" t="s">
        <v>325</v>
      </c>
      <c r="C2673" s="215">
        <v>4050300342269</v>
      </c>
      <c r="D2673" s="215"/>
      <c r="E2673" s="215"/>
      <c r="F2673" s="256" t="s">
        <v>4097</v>
      </c>
      <c r="G2673" s="66" t="str">
        <f>HYPERLINK("https://ledvance.com/pt/product-datasheet/7231/124244","Ficha de Produto")</f>
        <v>Ficha de Produto</v>
      </c>
      <c r="H2673" s="34">
        <v>10</v>
      </c>
      <c r="I2673" s="34" t="s">
        <v>857</v>
      </c>
      <c r="J2673" s="34" t="s">
        <v>773</v>
      </c>
      <c r="K2673" s="34"/>
      <c r="L2673" s="34" t="s">
        <v>800</v>
      </c>
      <c r="M2673" s="27">
        <v>18.5</v>
      </c>
      <c r="N2673" s="298" t="s">
        <v>732</v>
      </c>
    </row>
    <row r="2674" spans="1:14" s="32" customFormat="1" ht="14.25" customHeight="1">
      <c r="A2674" s="26" t="s">
        <v>715</v>
      </c>
      <c r="B2674" s="36" t="s">
        <v>326</v>
      </c>
      <c r="C2674" s="215">
        <v>4050300342245</v>
      </c>
      <c r="D2674" s="215"/>
      <c r="E2674" s="215"/>
      <c r="F2674" s="256" t="s">
        <v>4097</v>
      </c>
      <c r="G2674" s="66" t="str">
        <f>HYPERLINK("https://ledvance.com/pt/product-datasheet/7231/124247","Ficha de Produto")</f>
        <v>Ficha de Produto</v>
      </c>
      <c r="H2674" s="34">
        <v>10</v>
      </c>
      <c r="I2674" s="34" t="s">
        <v>857</v>
      </c>
      <c r="J2674" s="34" t="s">
        <v>773</v>
      </c>
      <c r="K2674" s="34"/>
      <c r="L2674" s="34" t="s">
        <v>800</v>
      </c>
      <c r="M2674" s="27">
        <v>18.5</v>
      </c>
      <c r="N2674" s="298" t="s">
        <v>732</v>
      </c>
    </row>
    <row r="2675" spans="1:14" s="32" customFormat="1" ht="14.25" customHeight="1">
      <c r="A2675" s="26" t="s">
        <v>715</v>
      </c>
      <c r="B2675" s="36" t="s">
        <v>327</v>
      </c>
      <c r="C2675" s="215">
        <v>4050300342221</v>
      </c>
      <c r="D2675" s="215"/>
      <c r="E2675" s="215"/>
      <c r="F2675" s="256" t="s">
        <v>4097</v>
      </c>
      <c r="G2675" s="66" t="str">
        <f>HYPERLINK("https://ledvance.com/pt/product-datasheet/7231/124250","Ficha de Produto")</f>
        <v>Ficha de Produto</v>
      </c>
      <c r="H2675" s="34">
        <v>10</v>
      </c>
      <c r="I2675" s="34" t="s">
        <v>857</v>
      </c>
      <c r="J2675" s="34" t="s">
        <v>773</v>
      </c>
      <c r="K2675" s="34"/>
      <c r="L2675" s="34" t="s">
        <v>800</v>
      </c>
      <c r="M2675" s="27">
        <v>18.5</v>
      </c>
      <c r="N2675" s="298" t="s">
        <v>732</v>
      </c>
    </row>
    <row r="2676" spans="1:14" s="32" customFormat="1" ht="14.25" customHeight="1">
      <c r="A2676" s="26" t="s">
        <v>715</v>
      </c>
      <c r="B2676" s="36" t="s">
        <v>328</v>
      </c>
      <c r="C2676" s="215">
        <v>4050300342320</v>
      </c>
      <c r="D2676" s="215"/>
      <c r="E2676" s="215"/>
      <c r="F2676" s="256" t="s">
        <v>4097</v>
      </c>
      <c r="G2676" s="66" t="str">
        <f>HYPERLINK("https://ledvance.com/pt/product-datasheet/7231/91544","Ficha de Produto")</f>
        <v>Ficha de Produto</v>
      </c>
      <c r="H2676" s="34">
        <v>10</v>
      </c>
      <c r="I2676" s="34" t="s">
        <v>811</v>
      </c>
      <c r="J2676" s="34" t="s">
        <v>881</v>
      </c>
      <c r="K2676" s="34"/>
      <c r="L2676" s="34" t="s">
        <v>800</v>
      </c>
      <c r="M2676" s="27">
        <v>18.5</v>
      </c>
      <c r="N2676" s="298" t="s">
        <v>732</v>
      </c>
    </row>
    <row r="2677" spans="1:14" s="32" customFormat="1" ht="14.25" customHeight="1">
      <c r="A2677" s="26" t="s">
        <v>715</v>
      </c>
      <c r="B2677" s="36" t="s">
        <v>329</v>
      </c>
      <c r="C2677" s="215">
        <v>4050300342306</v>
      </c>
      <c r="D2677" s="215"/>
      <c r="E2677" s="215"/>
      <c r="F2677" s="256" t="s">
        <v>4097</v>
      </c>
      <c r="G2677" s="66" t="str">
        <f>HYPERLINK("https://ledvance.com/pt/product-datasheet/7231/91547","Ficha de Produto")</f>
        <v>Ficha de Produto</v>
      </c>
      <c r="H2677" s="34">
        <v>10</v>
      </c>
      <c r="I2677" s="34" t="s">
        <v>811</v>
      </c>
      <c r="J2677" s="34" t="s">
        <v>881</v>
      </c>
      <c r="K2677" s="34"/>
      <c r="L2677" s="34" t="s">
        <v>800</v>
      </c>
      <c r="M2677" s="27">
        <v>18.5</v>
      </c>
      <c r="N2677" s="298" t="s">
        <v>732</v>
      </c>
    </row>
    <row r="2678" spans="1:14" s="32" customFormat="1" ht="14.25" customHeight="1">
      <c r="A2678" s="26" t="s">
        <v>715</v>
      </c>
      <c r="B2678" s="36" t="s">
        <v>330</v>
      </c>
      <c r="C2678" s="215">
        <v>4050300342283</v>
      </c>
      <c r="D2678" s="215"/>
      <c r="E2678" s="215"/>
      <c r="F2678" s="256" t="s">
        <v>4097</v>
      </c>
      <c r="G2678" s="66" t="str">
        <f>HYPERLINK("https://ledvance.com/pt/product-datasheet/7231/89291","Ficha de Produto")</f>
        <v>Ficha de Produto</v>
      </c>
      <c r="H2678" s="34">
        <v>10</v>
      </c>
      <c r="I2678" s="34" t="s">
        <v>811</v>
      </c>
      <c r="J2678" s="34" t="s">
        <v>881</v>
      </c>
      <c r="K2678" s="34"/>
      <c r="L2678" s="34" t="s">
        <v>800</v>
      </c>
      <c r="M2678" s="27">
        <v>18.5</v>
      </c>
      <c r="N2678" s="298" t="s">
        <v>732</v>
      </c>
    </row>
    <row r="2679" spans="1:14" s="32" customFormat="1" ht="14.25" customHeight="1">
      <c r="A2679" s="26" t="s">
        <v>715</v>
      </c>
      <c r="B2679" s="36" t="s">
        <v>331</v>
      </c>
      <c r="C2679" s="215">
        <v>4050300348605</v>
      </c>
      <c r="D2679" s="215"/>
      <c r="E2679" s="215"/>
      <c r="F2679" s="256" t="s">
        <v>4097</v>
      </c>
      <c r="G2679" s="66" t="str">
        <f>HYPERLINK("https://ledvance.com/pt/product-datasheet/7231/91523","Ficha de Produto")</f>
        <v>Ficha de Produto</v>
      </c>
      <c r="H2679" s="34">
        <v>10</v>
      </c>
      <c r="I2679" s="34" t="s">
        <v>780</v>
      </c>
      <c r="J2679" s="34" t="s">
        <v>879</v>
      </c>
      <c r="K2679" s="34"/>
      <c r="L2679" s="34" t="s">
        <v>800</v>
      </c>
      <c r="M2679" s="27">
        <v>18.5</v>
      </c>
      <c r="N2679" s="298" t="s">
        <v>732</v>
      </c>
    </row>
    <row r="2680" spans="1:14" s="32" customFormat="1" ht="14.25" customHeight="1">
      <c r="A2680" s="26" t="s">
        <v>715</v>
      </c>
      <c r="B2680" s="36" t="s">
        <v>332</v>
      </c>
      <c r="C2680" s="215">
        <v>4050300348582</v>
      </c>
      <c r="D2680" s="215"/>
      <c r="E2680" s="215"/>
      <c r="F2680" s="256" t="s">
        <v>4097</v>
      </c>
      <c r="G2680" s="66" t="str">
        <f>HYPERLINK("https://ledvance.com/pt/product-datasheet/7231/91526","Ficha de Produto")</f>
        <v>Ficha de Produto</v>
      </c>
      <c r="H2680" s="34">
        <v>10</v>
      </c>
      <c r="I2680" s="34" t="s">
        <v>780</v>
      </c>
      <c r="J2680" s="34" t="s">
        <v>879</v>
      </c>
      <c r="K2680" s="34"/>
      <c r="L2680" s="34" t="s">
        <v>800</v>
      </c>
      <c r="M2680" s="27">
        <v>18.5</v>
      </c>
      <c r="N2680" s="298" t="s">
        <v>732</v>
      </c>
    </row>
    <row r="2681" spans="1:14" s="32" customFormat="1" ht="14.25" customHeight="1">
      <c r="A2681" s="26" t="s">
        <v>715</v>
      </c>
      <c r="B2681" s="36" t="s">
        <v>333</v>
      </c>
      <c r="C2681" s="215">
        <v>4050300348568</v>
      </c>
      <c r="D2681" s="215"/>
      <c r="E2681" s="215"/>
      <c r="F2681" s="256" t="s">
        <v>4097</v>
      </c>
      <c r="G2681" s="66" t="str">
        <f>HYPERLINK("https://ledvance.com/pt/product-datasheet/7231/91535","Ficha de Produto")</f>
        <v>Ficha de Produto</v>
      </c>
      <c r="H2681" s="34">
        <v>10</v>
      </c>
      <c r="I2681" s="34" t="s">
        <v>780</v>
      </c>
      <c r="J2681" s="34" t="s">
        <v>879</v>
      </c>
      <c r="K2681" s="34"/>
      <c r="L2681" s="34" t="s">
        <v>800</v>
      </c>
      <c r="M2681" s="27">
        <v>18.5</v>
      </c>
      <c r="N2681" s="298" t="s">
        <v>732</v>
      </c>
    </row>
    <row r="2682" spans="1:14" s="32" customFormat="1" ht="14.25" customHeight="1">
      <c r="A2682" s="26" t="s">
        <v>715</v>
      </c>
      <c r="B2682" s="36" t="s">
        <v>334</v>
      </c>
      <c r="C2682" s="215">
        <v>4050300425665</v>
      </c>
      <c r="D2682" s="215"/>
      <c r="E2682" s="215"/>
      <c r="F2682" s="256" t="s">
        <v>4097</v>
      </c>
      <c r="G2682" s="66" t="str">
        <f>HYPERLINK("https://ledvance.com/pt/product-datasheet/7231/91557","Ficha de Produto")</f>
        <v>Ficha de Produto</v>
      </c>
      <c r="H2682" s="34">
        <v>10</v>
      </c>
      <c r="I2682" s="34" t="s">
        <v>1028</v>
      </c>
      <c r="J2682" s="34" t="s">
        <v>836</v>
      </c>
      <c r="K2682" s="34"/>
      <c r="L2682" s="34" t="s">
        <v>800</v>
      </c>
      <c r="M2682" s="27">
        <v>18.5</v>
      </c>
      <c r="N2682" s="298" t="s">
        <v>732</v>
      </c>
    </row>
    <row r="2683" spans="1:14" s="32" customFormat="1" ht="14.25" customHeight="1">
      <c r="A2683" s="26" t="s">
        <v>715</v>
      </c>
      <c r="B2683" s="36" t="s">
        <v>335</v>
      </c>
      <c r="C2683" s="215">
        <v>4050300425641</v>
      </c>
      <c r="D2683" s="215"/>
      <c r="E2683" s="215"/>
      <c r="F2683" s="256" t="s">
        <v>4097</v>
      </c>
      <c r="G2683" s="66" t="str">
        <f>HYPERLINK("https://ledvance.com/pt/product-datasheet/7231/124254","Ficha de Produto")</f>
        <v>Ficha de Produto</v>
      </c>
      <c r="H2683" s="34">
        <v>10</v>
      </c>
      <c r="I2683" s="34" t="s">
        <v>1028</v>
      </c>
      <c r="J2683" s="34" t="s">
        <v>836</v>
      </c>
      <c r="K2683" s="34"/>
      <c r="L2683" s="34" t="s">
        <v>800</v>
      </c>
      <c r="M2683" s="27">
        <v>18.5</v>
      </c>
      <c r="N2683" s="298" t="s">
        <v>732</v>
      </c>
    </row>
    <row r="2684" spans="1:14" s="32" customFormat="1" ht="14.25" customHeight="1">
      <c r="A2684" s="26" t="s">
        <v>715</v>
      </c>
      <c r="B2684" s="36" t="s">
        <v>336</v>
      </c>
      <c r="C2684" s="215">
        <v>4050300425627</v>
      </c>
      <c r="D2684" s="215"/>
      <c r="E2684" s="215"/>
      <c r="F2684" s="256" t="s">
        <v>4097</v>
      </c>
      <c r="G2684" s="66" t="str">
        <f>HYPERLINK("https://ledvance.com/pt/product-datasheet/7231/89306","Ficha de Produto")</f>
        <v>Ficha de Produto</v>
      </c>
      <c r="H2684" s="34">
        <v>10</v>
      </c>
      <c r="I2684" s="34" t="s">
        <v>1028</v>
      </c>
      <c r="J2684" s="34" t="s">
        <v>836</v>
      </c>
      <c r="K2684" s="34"/>
      <c r="L2684" s="34" t="s">
        <v>800</v>
      </c>
      <c r="M2684" s="27">
        <v>18.5</v>
      </c>
      <c r="N2684" s="298" t="s">
        <v>732</v>
      </c>
    </row>
    <row r="2685" spans="1:14" s="32" customFormat="1" ht="14.25" customHeight="1">
      <c r="A2685" s="26" t="s">
        <v>715</v>
      </c>
      <c r="B2685" s="36" t="s">
        <v>337</v>
      </c>
      <c r="C2685" s="215">
        <v>4050300425467</v>
      </c>
      <c r="D2685" s="215"/>
      <c r="E2685" s="215"/>
      <c r="F2685" s="256" t="s">
        <v>4097</v>
      </c>
      <c r="G2685" s="66" t="str">
        <f>HYPERLINK("https://ledvance.com/pt/product-datasheet/7232/92628","Ficha de Produto")</f>
        <v>Ficha de Produto</v>
      </c>
      <c r="H2685" s="34">
        <v>10</v>
      </c>
      <c r="I2685" s="34" t="s">
        <v>811</v>
      </c>
      <c r="J2685" s="34" t="s">
        <v>881</v>
      </c>
      <c r="K2685" s="34"/>
      <c r="L2685" s="34" t="s">
        <v>800</v>
      </c>
      <c r="M2685" s="27">
        <v>24.1</v>
      </c>
      <c r="N2685" s="298" t="s">
        <v>732</v>
      </c>
    </row>
    <row r="2686" spans="1:14" s="32" customFormat="1" ht="14.25" customHeight="1">
      <c r="A2686" s="26" t="s">
        <v>715</v>
      </c>
      <c r="B2686" s="36" t="s">
        <v>338</v>
      </c>
      <c r="C2686" s="215">
        <v>4050300425443</v>
      </c>
      <c r="D2686" s="215"/>
      <c r="E2686" s="215"/>
      <c r="F2686" s="256" t="s">
        <v>4097</v>
      </c>
      <c r="G2686" s="66" t="str">
        <f>HYPERLINK("https://ledvance.com/pt/product-datasheet/7232/92631","Ficha de Produto")</f>
        <v>Ficha de Produto</v>
      </c>
      <c r="H2686" s="34">
        <v>10</v>
      </c>
      <c r="I2686" s="34" t="s">
        <v>811</v>
      </c>
      <c r="J2686" s="34" t="s">
        <v>881</v>
      </c>
      <c r="K2686" s="34"/>
      <c r="L2686" s="34" t="s">
        <v>800</v>
      </c>
      <c r="M2686" s="27">
        <v>24.1</v>
      </c>
      <c r="N2686" s="298" t="s">
        <v>732</v>
      </c>
    </row>
    <row r="2687" spans="1:14" s="32" customFormat="1" ht="14.25" customHeight="1">
      <c r="A2687" s="26" t="s">
        <v>715</v>
      </c>
      <c r="B2687" s="36" t="s">
        <v>339</v>
      </c>
      <c r="C2687" s="215">
        <v>4050300425528</v>
      </c>
      <c r="D2687" s="215"/>
      <c r="E2687" s="215"/>
      <c r="F2687" s="256" t="s">
        <v>4097</v>
      </c>
      <c r="G2687" s="66" t="str">
        <f>HYPERLINK("https://ledvance.com/pt/product-datasheet/7232/92634","Ficha de Produto")</f>
        <v>Ficha de Produto</v>
      </c>
      <c r="H2687" s="34">
        <v>10</v>
      </c>
      <c r="I2687" s="34" t="s">
        <v>780</v>
      </c>
      <c r="J2687" s="34" t="s">
        <v>879</v>
      </c>
      <c r="K2687" s="34"/>
      <c r="L2687" s="34" t="s">
        <v>800</v>
      </c>
      <c r="M2687" s="27">
        <v>28.2</v>
      </c>
      <c r="N2687" s="298" t="s">
        <v>732</v>
      </c>
    </row>
    <row r="2688" spans="1:14" s="32" customFormat="1" ht="14.25" customHeight="1">
      <c r="A2688" s="26" t="s">
        <v>715</v>
      </c>
      <c r="B2688" s="36" t="s">
        <v>340</v>
      </c>
      <c r="C2688" s="215">
        <v>4050300425504</v>
      </c>
      <c r="D2688" s="215"/>
      <c r="E2688" s="215"/>
      <c r="F2688" s="256" t="s">
        <v>4097</v>
      </c>
      <c r="G2688" s="66" t="str">
        <f>HYPERLINK("https://ledvance.com/pt/product-datasheet/7232/92637","Ficha de Produto")</f>
        <v>Ficha de Produto</v>
      </c>
      <c r="H2688" s="34">
        <v>10</v>
      </c>
      <c r="I2688" s="34" t="s">
        <v>780</v>
      </c>
      <c r="J2688" s="34" t="s">
        <v>879</v>
      </c>
      <c r="K2688" s="34"/>
      <c r="L2688" s="34" t="s">
        <v>800</v>
      </c>
      <c r="M2688" s="27">
        <v>28.2</v>
      </c>
      <c r="N2688" s="298" t="s">
        <v>732</v>
      </c>
    </row>
    <row r="2689" spans="1:14" s="32" customFormat="1" ht="14.25" customHeight="1">
      <c r="A2689" s="26" t="s">
        <v>715</v>
      </c>
      <c r="B2689" s="36" t="s">
        <v>341</v>
      </c>
      <c r="C2689" s="215">
        <v>4050300425580</v>
      </c>
      <c r="D2689" s="215"/>
      <c r="E2689" s="215"/>
      <c r="F2689" s="256" t="s">
        <v>4097</v>
      </c>
      <c r="G2689" s="66" t="str">
        <f>HYPERLINK("https://ledvance.com/pt/product-datasheet/7232/92640","Ficha de Produto")</f>
        <v>Ficha de Produto</v>
      </c>
      <c r="H2689" s="34">
        <v>10</v>
      </c>
      <c r="I2689" s="34" t="s">
        <v>1028</v>
      </c>
      <c r="J2689" s="34" t="s">
        <v>836</v>
      </c>
      <c r="K2689" s="34"/>
      <c r="L2689" s="34" t="s">
        <v>800</v>
      </c>
      <c r="M2689" s="27">
        <v>28.2</v>
      </c>
      <c r="N2689" s="298" t="s">
        <v>732</v>
      </c>
    </row>
    <row r="2690" spans="1:14" s="32" customFormat="1" ht="14.25" customHeight="1">
      <c r="A2690" s="26" t="s">
        <v>715</v>
      </c>
      <c r="B2690" s="36" t="s">
        <v>342</v>
      </c>
      <c r="C2690" s="215">
        <v>4050300425566</v>
      </c>
      <c r="D2690" s="215"/>
      <c r="E2690" s="215"/>
      <c r="F2690" s="256" t="s">
        <v>4097</v>
      </c>
      <c r="G2690" s="66" t="str">
        <f>HYPERLINK("https://ledvance.com/pt/product-datasheet/7232/92643","Ficha de Produto")</f>
        <v>Ficha de Produto</v>
      </c>
      <c r="H2690" s="34">
        <v>10</v>
      </c>
      <c r="I2690" s="34" t="s">
        <v>1028</v>
      </c>
      <c r="J2690" s="34" t="s">
        <v>836</v>
      </c>
      <c r="K2690" s="34"/>
      <c r="L2690" s="34" t="s">
        <v>800</v>
      </c>
      <c r="M2690" s="27">
        <v>28.2</v>
      </c>
      <c r="N2690" s="298" t="s">
        <v>732</v>
      </c>
    </row>
    <row r="2691" spans="1:14" s="32" customFormat="1" ht="14.25" customHeight="1">
      <c r="A2691" s="26" t="s">
        <v>715</v>
      </c>
      <c r="B2691" s="36" t="s">
        <v>343</v>
      </c>
      <c r="C2691" s="215">
        <v>4050300010748</v>
      </c>
      <c r="D2691" s="215"/>
      <c r="E2691" s="215"/>
      <c r="F2691" s="256" t="s">
        <v>4097</v>
      </c>
      <c r="G2691" s="66" t="str">
        <f>HYPERLINK("https://ledvance.com/pt/product-datasheet/7245/90355","Ficha de Produto")</f>
        <v>Ficha de Produto</v>
      </c>
      <c r="H2691" s="34">
        <v>10</v>
      </c>
      <c r="I2691" s="34" t="s">
        <v>6440</v>
      </c>
      <c r="J2691" s="34" t="s">
        <v>773</v>
      </c>
      <c r="K2691" s="34"/>
      <c r="L2691" s="34" t="s">
        <v>800</v>
      </c>
      <c r="M2691" s="27">
        <v>14.1</v>
      </c>
      <c r="N2691" s="298" t="s">
        <v>732</v>
      </c>
    </row>
    <row r="2692" spans="1:14" s="32" customFormat="1" ht="14.25" customHeight="1">
      <c r="A2692" s="26" t="s">
        <v>715</v>
      </c>
      <c r="B2692" s="36" t="s">
        <v>344</v>
      </c>
      <c r="C2692" s="215">
        <v>4050300010731</v>
      </c>
      <c r="D2692" s="215"/>
      <c r="E2692" s="215"/>
      <c r="F2692" s="256" t="s">
        <v>4097</v>
      </c>
      <c r="G2692" s="66" t="str">
        <f>HYPERLINK("https://ledvance.com/pt/product-datasheet/7245/90352","Ficha de Produto")</f>
        <v>Ficha de Produto</v>
      </c>
      <c r="H2692" s="34">
        <v>10</v>
      </c>
      <c r="I2692" s="34" t="s">
        <v>6440</v>
      </c>
      <c r="J2692" s="34" t="s">
        <v>773</v>
      </c>
      <c r="K2692" s="34"/>
      <c r="L2692" s="34" t="s">
        <v>800</v>
      </c>
      <c r="M2692" s="27">
        <v>14.1</v>
      </c>
      <c r="N2692" s="298" t="s">
        <v>732</v>
      </c>
    </row>
    <row r="2693" spans="1:14" s="32" customFormat="1" ht="14.25" customHeight="1">
      <c r="A2693" s="26" t="s">
        <v>715</v>
      </c>
      <c r="B2693" s="36" t="s">
        <v>345</v>
      </c>
      <c r="C2693" s="215">
        <v>4050300010724</v>
      </c>
      <c r="D2693" s="215"/>
      <c r="E2693" s="215"/>
      <c r="F2693" s="256" t="s">
        <v>4097</v>
      </c>
      <c r="G2693" s="66" t="str">
        <f>HYPERLINK("https://ledvance.com/pt/product-datasheet/7245/45418","Ficha de Produto")</f>
        <v>Ficha de Produto</v>
      </c>
      <c r="H2693" s="34">
        <v>10</v>
      </c>
      <c r="I2693" s="34" t="s">
        <v>6440</v>
      </c>
      <c r="J2693" s="34" t="s">
        <v>773</v>
      </c>
      <c r="K2693" s="34"/>
      <c r="L2693" s="34" t="s">
        <v>800</v>
      </c>
      <c r="M2693" s="27">
        <v>14.1</v>
      </c>
      <c r="N2693" s="298" t="s">
        <v>732</v>
      </c>
    </row>
    <row r="2694" spans="1:14" s="32" customFormat="1" ht="14.25" customHeight="1">
      <c r="A2694" s="26" t="s">
        <v>715</v>
      </c>
      <c r="B2694" s="36" t="s">
        <v>346</v>
      </c>
      <c r="C2694" s="215">
        <v>4050300010779</v>
      </c>
      <c r="D2694" s="215"/>
      <c r="E2694" s="215"/>
      <c r="F2694" s="256" t="s">
        <v>4097</v>
      </c>
      <c r="G2694" s="66" t="str">
        <f>HYPERLINK("https://ledvance.com/pt/product-datasheet/7245/90376","Ficha de Produto")</f>
        <v>Ficha de Produto</v>
      </c>
      <c r="H2694" s="34">
        <v>10</v>
      </c>
      <c r="I2694" s="34" t="s">
        <v>6318</v>
      </c>
      <c r="J2694" s="34" t="s">
        <v>821</v>
      </c>
      <c r="K2694" s="34"/>
      <c r="L2694" s="34" t="s">
        <v>800</v>
      </c>
      <c r="M2694" s="27">
        <v>14.1</v>
      </c>
      <c r="N2694" s="298" t="s">
        <v>732</v>
      </c>
    </row>
    <row r="2695" spans="1:14" s="32" customFormat="1" ht="14.25" customHeight="1">
      <c r="A2695" s="26" t="s">
        <v>715</v>
      </c>
      <c r="B2695" s="36" t="s">
        <v>347</v>
      </c>
      <c r="C2695" s="215">
        <v>4050300010762</v>
      </c>
      <c r="D2695" s="215"/>
      <c r="E2695" s="215"/>
      <c r="F2695" s="256" t="s">
        <v>4097</v>
      </c>
      <c r="G2695" s="66" t="str">
        <f>HYPERLINK("https://ledvance.com/pt/product-datasheet/7245/90373","Ficha de Produto")</f>
        <v>Ficha de Produto</v>
      </c>
      <c r="H2695" s="34">
        <v>10</v>
      </c>
      <c r="I2695" s="34" t="s">
        <v>6318</v>
      </c>
      <c r="J2695" s="34" t="s">
        <v>821</v>
      </c>
      <c r="K2695" s="34"/>
      <c r="L2695" s="34" t="s">
        <v>800</v>
      </c>
      <c r="M2695" s="27">
        <v>14.1</v>
      </c>
      <c r="N2695" s="298" t="s">
        <v>732</v>
      </c>
    </row>
    <row r="2696" spans="1:14" s="32" customFormat="1" ht="14.25" customHeight="1">
      <c r="A2696" s="26" t="s">
        <v>715</v>
      </c>
      <c r="B2696" s="36" t="s">
        <v>348</v>
      </c>
      <c r="C2696" s="215">
        <v>4050300010755</v>
      </c>
      <c r="D2696" s="215"/>
      <c r="E2696" s="215"/>
      <c r="F2696" s="256" t="s">
        <v>4097</v>
      </c>
      <c r="G2696" s="66" t="str">
        <f>HYPERLINK("https://ledvance.com/pt/product-datasheet/7245/90370","Ficha de Produto")</f>
        <v>Ficha de Produto</v>
      </c>
      <c r="H2696" s="34">
        <v>10</v>
      </c>
      <c r="I2696" s="34" t="s">
        <v>6318</v>
      </c>
      <c r="J2696" s="34" t="s">
        <v>821</v>
      </c>
      <c r="K2696" s="34"/>
      <c r="L2696" s="34" t="s">
        <v>800</v>
      </c>
      <c r="M2696" s="27">
        <v>14.1</v>
      </c>
      <c r="N2696" s="298" t="s">
        <v>732</v>
      </c>
    </row>
    <row r="2697" spans="1:14" s="32" customFormat="1" ht="14.25" customHeight="1">
      <c r="A2697" s="26" t="s">
        <v>715</v>
      </c>
      <c r="B2697" s="36" t="s">
        <v>349</v>
      </c>
      <c r="C2697" s="215">
        <v>4050300010809</v>
      </c>
      <c r="D2697" s="215"/>
      <c r="E2697" s="215"/>
      <c r="F2697" s="256" t="s">
        <v>4097</v>
      </c>
      <c r="G2697" s="66" t="str">
        <f>HYPERLINK("https://ledvance.com/pt/product-datasheet/7245/90343","Ficha de Produto")</f>
        <v>Ficha de Produto</v>
      </c>
      <c r="H2697" s="34">
        <v>10</v>
      </c>
      <c r="I2697" s="34" t="s">
        <v>874</v>
      </c>
      <c r="J2697" s="34" t="s">
        <v>831</v>
      </c>
      <c r="K2697" s="34"/>
      <c r="L2697" s="34" t="s">
        <v>800</v>
      </c>
      <c r="M2697" s="27">
        <v>15.3</v>
      </c>
      <c r="N2697" s="298" t="s">
        <v>732</v>
      </c>
    </row>
    <row r="2698" spans="1:14" s="32" customFormat="1" ht="14.25" customHeight="1">
      <c r="A2698" s="26" t="s">
        <v>715</v>
      </c>
      <c r="B2698" s="36" t="s">
        <v>350</v>
      </c>
      <c r="C2698" s="215">
        <v>4050300010793</v>
      </c>
      <c r="D2698" s="215"/>
      <c r="E2698" s="215"/>
      <c r="F2698" s="256" t="s">
        <v>4097</v>
      </c>
      <c r="G2698" s="66" t="str">
        <f>HYPERLINK("https://ledvance.com/pt/product-datasheet/7245/90337","Ficha de Produto")</f>
        <v>Ficha de Produto</v>
      </c>
      <c r="H2698" s="34">
        <v>10</v>
      </c>
      <c r="I2698" s="34" t="s">
        <v>874</v>
      </c>
      <c r="J2698" s="34" t="s">
        <v>831</v>
      </c>
      <c r="K2698" s="34"/>
      <c r="L2698" s="34" t="s">
        <v>800</v>
      </c>
      <c r="M2698" s="27">
        <v>15.3</v>
      </c>
      <c r="N2698" s="298" t="s">
        <v>732</v>
      </c>
    </row>
    <row r="2699" spans="1:14" s="32" customFormat="1" ht="14.25" customHeight="1">
      <c r="A2699" s="26" t="s">
        <v>715</v>
      </c>
      <c r="B2699" s="36" t="s">
        <v>351</v>
      </c>
      <c r="C2699" s="215">
        <v>4050300010786</v>
      </c>
      <c r="D2699" s="215"/>
      <c r="E2699" s="215"/>
      <c r="F2699" s="256" t="s">
        <v>4097</v>
      </c>
      <c r="G2699" s="66" t="str">
        <f>HYPERLINK("https://ledvance.com/pt/product-datasheet/7245/90328","Ficha de Produto")</f>
        <v>Ficha de Produto</v>
      </c>
      <c r="H2699" s="34">
        <v>10</v>
      </c>
      <c r="I2699" s="34" t="s">
        <v>874</v>
      </c>
      <c r="J2699" s="34" t="s">
        <v>831</v>
      </c>
      <c r="K2699" s="34"/>
      <c r="L2699" s="34" t="s">
        <v>800</v>
      </c>
      <c r="M2699" s="27">
        <v>15.3</v>
      </c>
      <c r="N2699" s="298" t="s">
        <v>732</v>
      </c>
    </row>
    <row r="2700" spans="1:14" s="32" customFormat="1" ht="14.25" customHeight="1">
      <c r="A2700" s="26" t="s">
        <v>715</v>
      </c>
      <c r="B2700" s="36" t="s">
        <v>352</v>
      </c>
      <c r="C2700" s="215">
        <v>4050300328263</v>
      </c>
      <c r="D2700" s="215"/>
      <c r="E2700" s="215"/>
      <c r="F2700" s="256" t="s">
        <v>4097</v>
      </c>
      <c r="G2700" s="66" t="str">
        <f>HYPERLINK("https://ledvance.com/pt/product-datasheet/7245/112108","Ficha de Produto")</f>
        <v>Ficha de Produto</v>
      </c>
      <c r="H2700" s="34">
        <v>10</v>
      </c>
      <c r="I2700" s="34" t="s">
        <v>862</v>
      </c>
      <c r="J2700" s="34" t="s">
        <v>831</v>
      </c>
      <c r="K2700" s="34"/>
      <c r="L2700" s="34" t="s">
        <v>800</v>
      </c>
      <c r="M2700" s="27">
        <v>15.3</v>
      </c>
      <c r="N2700" s="298" t="s">
        <v>732</v>
      </c>
    </row>
    <row r="2701" spans="1:14" s="32" customFormat="1" ht="14.25" customHeight="1">
      <c r="A2701" s="26" t="s">
        <v>715</v>
      </c>
      <c r="B2701" s="36" t="s">
        <v>353</v>
      </c>
      <c r="C2701" s="215">
        <v>4050300298894</v>
      </c>
      <c r="D2701" s="215"/>
      <c r="E2701" s="215"/>
      <c r="F2701" s="256" t="s">
        <v>4097</v>
      </c>
      <c r="G2701" s="66" t="str">
        <f>HYPERLINK("https://ledvance.com/pt/product-datasheet/7245/47453","Ficha de Produto")</f>
        <v>Ficha de Produto</v>
      </c>
      <c r="H2701" s="34">
        <v>10</v>
      </c>
      <c r="I2701" s="34" t="s">
        <v>785</v>
      </c>
      <c r="J2701" s="34" t="s">
        <v>888</v>
      </c>
      <c r="K2701" s="34"/>
      <c r="L2701" s="34" t="s">
        <v>800</v>
      </c>
      <c r="M2701" s="27">
        <v>15.3</v>
      </c>
      <c r="N2701" s="298" t="s">
        <v>732</v>
      </c>
    </row>
    <row r="2702" spans="1:14" s="32" customFormat="1" ht="14.25" customHeight="1">
      <c r="A2702" s="26" t="s">
        <v>715</v>
      </c>
      <c r="B2702" s="36" t="s">
        <v>354</v>
      </c>
      <c r="C2702" s="215">
        <v>4050300279909</v>
      </c>
      <c r="D2702" s="215"/>
      <c r="E2702" s="215"/>
      <c r="F2702" s="256" t="s">
        <v>4097</v>
      </c>
      <c r="G2702" s="66" t="str">
        <f>HYPERLINK("https://ledvance.com/pt/product-datasheet/7245/108147","Ficha de Produto")</f>
        <v>Ficha de Produto</v>
      </c>
      <c r="H2702" s="34">
        <v>10</v>
      </c>
      <c r="I2702" s="34" t="s">
        <v>785</v>
      </c>
      <c r="J2702" s="34" t="s">
        <v>888</v>
      </c>
      <c r="K2702" s="34"/>
      <c r="L2702" s="34" t="s">
        <v>800</v>
      </c>
      <c r="M2702" s="27">
        <v>15.3</v>
      </c>
      <c r="N2702" s="298" t="s">
        <v>732</v>
      </c>
    </row>
    <row r="2703" spans="1:14" s="32" customFormat="1" ht="14.25" customHeight="1">
      <c r="A2703" s="26" t="s">
        <v>715</v>
      </c>
      <c r="B2703" s="36" t="s">
        <v>355</v>
      </c>
      <c r="C2703" s="215">
        <v>4050300298917</v>
      </c>
      <c r="D2703" s="215"/>
      <c r="E2703" s="215"/>
      <c r="F2703" s="256" t="s">
        <v>4097</v>
      </c>
      <c r="G2703" s="66" t="str">
        <f>HYPERLINK("https://ledvance.com/pt/product-datasheet/7245/108157","Ficha de Produto")</f>
        <v>Ficha de Produto</v>
      </c>
      <c r="H2703" s="34">
        <v>10</v>
      </c>
      <c r="I2703" s="34" t="s">
        <v>830</v>
      </c>
      <c r="J2703" s="34" t="s">
        <v>816</v>
      </c>
      <c r="K2703" s="34"/>
      <c r="L2703" s="34" t="s">
        <v>800</v>
      </c>
      <c r="M2703" s="27">
        <v>15.8</v>
      </c>
      <c r="N2703" s="298" t="s">
        <v>732</v>
      </c>
    </row>
    <row r="2704" spans="1:14" s="32" customFormat="1" ht="14.25" customHeight="1">
      <c r="A2704" s="26" t="s">
        <v>715</v>
      </c>
      <c r="B2704" s="36" t="s">
        <v>356</v>
      </c>
      <c r="C2704" s="215">
        <v>4050300295879</v>
      </c>
      <c r="D2704" s="215"/>
      <c r="E2704" s="215"/>
      <c r="F2704" s="256" t="s">
        <v>4097</v>
      </c>
      <c r="G2704" s="66" t="str">
        <f>HYPERLINK("https://ledvance.com/pt/product-datasheet/7245/89543","Ficha de Produto")</f>
        <v>Ficha de Produto</v>
      </c>
      <c r="H2704" s="34">
        <v>10</v>
      </c>
      <c r="I2704" s="34" t="s">
        <v>830</v>
      </c>
      <c r="J2704" s="34" t="s">
        <v>816</v>
      </c>
      <c r="K2704" s="34"/>
      <c r="L2704" s="34" t="s">
        <v>800</v>
      </c>
      <c r="M2704" s="27">
        <v>15.8</v>
      </c>
      <c r="N2704" s="298" t="s">
        <v>732</v>
      </c>
    </row>
    <row r="2705" spans="1:14" s="32" customFormat="1" ht="14.25" customHeight="1">
      <c r="A2705" s="26" t="s">
        <v>715</v>
      </c>
      <c r="B2705" s="36" t="s">
        <v>357</v>
      </c>
      <c r="C2705" s="215">
        <v>4050300553900</v>
      </c>
      <c r="D2705" s="215"/>
      <c r="E2705" s="215"/>
      <c r="F2705" s="256" t="s">
        <v>4097</v>
      </c>
      <c r="G2705" s="66" t="str">
        <f>HYPERLINK("https://ledvance.com/pt/product-datasheet/7245/89549","Ficha de Produto")</f>
        <v>Ficha de Produto</v>
      </c>
      <c r="H2705" s="34">
        <v>10</v>
      </c>
      <c r="I2705" s="34" t="s">
        <v>1031</v>
      </c>
      <c r="J2705" s="34" t="s">
        <v>816</v>
      </c>
      <c r="K2705" s="34"/>
      <c r="L2705" s="34" t="s">
        <v>800</v>
      </c>
      <c r="M2705" s="27">
        <v>15.8</v>
      </c>
      <c r="N2705" s="298" t="s">
        <v>732</v>
      </c>
    </row>
    <row r="2706" spans="1:14" s="32" customFormat="1" ht="14.25" customHeight="1">
      <c r="A2706" s="26" t="s">
        <v>715</v>
      </c>
      <c r="B2706" s="36" t="s">
        <v>358</v>
      </c>
      <c r="C2706" s="215">
        <v>4050300321400</v>
      </c>
      <c r="D2706" s="215"/>
      <c r="E2706" s="215"/>
      <c r="F2706" s="256" t="s">
        <v>4097</v>
      </c>
      <c r="G2706" s="66" t="str">
        <f>HYPERLINK("https://ledvance.com/pt/product-datasheet/7247/108163","Ficha de Produto")</f>
        <v>Ficha de Produto</v>
      </c>
      <c r="H2706" s="34">
        <v>10</v>
      </c>
      <c r="I2706" s="34" t="s">
        <v>834</v>
      </c>
      <c r="J2706" s="34" t="s">
        <v>816</v>
      </c>
      <c r="K2706" s="34"/>
      <c r="L2706" s="34" t="s">
        <v>800</v>
      </c>
      <c r="M2706" s="27">
        <v>21.8</v>
      </c>
      <c r="N2706" s="298" t="s">
        <v>732</v>
      </c>
    </row>
    <row r="2707" spans="1:14" s="32" customFormat="1" ht="14.25" customHeight="1">
      <c r="A2707" s="26" t="s">
        <v>715</v>
      </c>
      <c r="B2707" s="36" t="s">
        <v>359</v>
      </c>
      <c r="C2707" s="215">
        <v>4050300333540</v>
      </c>
      <c r="D2707" s="215"/>
      <c r="E2707" s="215"/>
      <c r="F2707" s="256" t="s">
        <v>4097</v>
      </c>
      <c r="G2707" s="66" t="str">
        <f>HYPERLINK("https://ledvance.com/pt/product-datasheet/7251/92602","Ficha de Produto")</f>
        <v>Ficha de Produto</v>
      </c>
      <c r="H2707" s="34">
        <v>10</v>
      </c>
      <c r="I2707" s="34" t="s">
        <v>929</v>
      </c>
      <c r="J2707" s="34" t="s">
        <v>773</v>
      </c>
      <c r="K2707" s="34"/>
      <c r="L2707" s="34" t="s">
        <v>800</v>
      </c>
      <c r="M2707" s="27">
        <v>26.6</v>
      </c>
      <c r="N2707" s="298" t="s">
        <v>732</v>
      </c>
    </row>
    <row r="2708" spans="1:14" s="32" customFormat="1" ht="14.25" customHeight="1">
      <c r="A2708" s="26" t="s">
        <v>715</v>
      </c>
      <c r="B2708" s="36" t="s">
        <v>360</v>
      </c>
      <c r="C2708" s="215">
        <v>4050300333526</v>
      </c>
      <c r="D2708" s="215"/>
      <c r="E2708" s="215"/>
      <c r="F2708" s="256" t="s">
        <v>4097</v>
      </c>
      <c r="G2708" s="66" t="str">
        <f>HYPERLINK("https://ledvance.com/pt/product-datasheet/7251/92605","Ficha de Produto")</f>
        <v>Ficha de Produto</v>
      </c>
      <c r="H2708" s="34">
        <v>10</v>
      </c>
      <c r="I2708" s="34" t="s">
        <v>929</v>
      </c>
      <c r="J2708" s="34" t="s">
        <v>773</v>
      </c>
      <c r="K2708" s="34"/>
      <c r="L2708" s="34" t="s">
        <v>800</v>
      </c>
      <c r="M2708" s="27">
        <v>26.6</v>
      </c>
      <c r="N2708" s="298" t="s">
        <v>732</v>
      </c>
    </row>
    <row r="2709" spans="1:14" s="32" customFormat="1" ht="14.25" customHeight="1">
      <c r="A2709" s="26" t="s">
        <v>715</v>
      </c>
      <c r="B2709" s="36" t="s">
        <v>361</v>
      </c>
      <c r="C2709" s="215">
        <v>4050300333601</v>
      </c>
      <c r="D2709" s="215"/>
      <c r="E2709" s="215"/>
      <c r="F2709" s="256" t="s">
        <v>4097</v>
      </c>
      <c r="G2709" s="66" t="str">
        <f>HYPERLINK("https://ledvance.com/pt/product-datasheet/7251/92615","Ficha de Produto")</f>
        <v>Ficha de Produto</v>
      </c>
      <c r="H2709" s="34">
        <v>10</v>
      </c>
      <c r="I2709" s="34" t="s">
        <v>936</v>
      </c>
      <c r="J2709" s="34" t="s">
        <v>821</v>
      </c>
      <c r="K2709" s="34"/>
      <c r="L2709" s="34" t="s">
        <v>800</v>
      </c>
      <c r="M2709" s="27">
        <v>26.6</v>
      </c>
      <c r="N2709" s="298" t="s">
        <v>732</v>
      </c>
    </row>
    <row r="2710" spans="1:14" s="32" customFormat="1" ht="14.25" customHeight="1">
      <c r="A2710" s="26" t="s">
        <v>715</v>
      </c>
      <c r="B2710" s="36" t="s">
        <v>362</v>
      </c>
      <c r="C2710" s="215">
        <v>4050300333588</v>
      </c>
      <c r="D2710" s="215"/>
      <c r="E2710" s="215"/>
      <c r="F2710" s="256" t="s">
        <v>4097</v>
      </c>
      <c r="G2710" s="66" t="str">
        <f>HYPERLINK("https://ledvance.com/pt/product-datasheet/7251/92621","Ficha de Produto")</f>
        <v>Ficha de Produto</v>
      </c>
      <c r="H2710" s="34">
        <v>10</v>
      </c>
      <c r="I2710" s="34" t="s">
        <v>936</v>
      </c>
      <c r="J2710" s="34" t="s">
        <v>821</v>
      </c>
      <c r="K2710" s="34"/>
      <c r="L2710" s="34" t="s">
        <v>800</v>
      </c>
      <c r="M2710" s="27">
        <v>26.6</v>
      </c>
      <c r="N2710" s="298" t="s">
        <v>732</v>
      </c>
    </row>
    <row r="2711" spans="1:14" s="32" customFormat="1" ht="14.25" customHeight="1">
      <c r="A2711" s="26" t="s">
        <v>715</v>
      </c>
      <c r="B2711" s="36" t="s">
        <v>363</v>
      </c>
      <c r="C2711" s="215">
        <v>4050300312187</v>
      </c>
      <c r="D2711" s="215"/>
      <c r="E2711" s="215"/>
      <c r="F2711" s="256" t="s">
        <v>4097</v>
      </c>
      <c r="G2711" s="66" t="str">
        <f>HYPERLINK("https://ledvance.com/pt/product-datasheet/7251/94226","Ficha de Produto")</f>
        <v>Ficha de Produto</v>
      </c>
      <c r="H2711" s="34">
        <v>10</v>
      </c>
      <c r="I2711" s="34" t="s">
        <v>814</v>
      </c>
      <c r="J2711" s="34" t="s">
        <v>831</v>
      </c>
      <c r="K2711" s="34"/>
      <c r="L2711" s="34" t="s">
        <v>800</v>
      </c>
      <c r="M2711" s="27">
        <v>26.6</v>
      </c>
      <c r="N2711" s="298" t="s">
        <v>732</v>
      </c>
    </row>
    <row r="2712" spans="1:14" s="32" customFormat="1" ht="14.25" customHeight="1">
      <c r="A2712" s="26" t="s">
        <v>715</v>
      </c>
      <c r="B2712" s="36" t="s">
        <v>364</v>
      </c>
      <c r="C2712" s="215">
        <v>4050300299051</v>
      </c>
      <c r="D2712" s="215"/>
      <c r="E2712" s="215"/>
      <c r="F2712" s="256" t="s">
        <v>4097</v>
      </c>
      <c r="G2712" s="66" t="str">
        <f>HYPERLINK("https://ledvance.com/pt/product-datasheet/7251/94233","Ficha de Produto")</f>
        <v>Ficha de Produto</v>
      </c>
      <c r="H2712" s="34">
        <v>10</v>
      </c>
      <c r="I2712" s="34" t="s">
        <v>814</v>
      </c>
      <c r="J2712" s="34" t="s">
        <v>831</v>
      </c>
      <c r="K2712" s="34"/>
      <c r="L2712" s="34" t="s">
        <v>800</v>
      </c>
      <c r="M2712" s="27">
        <v>26.6</v>
      </c>
      <c r="N2712" s="298" t="s">
        <v>732</v>
      </c>
    </row>
    <row r="2713" spans="1:14" s="32" customFormat="1" ht="14.25" customHeight="1">
      <c r="A2713" s="26" t="s">
        <v>715</v>
      </c>
      <c r="B2713" s="36" t="s">
        <v>365</v>
      </c>
      <c r="C2713" s="215">
        <v>4050300299037</v>
      </c>
      <c r="D2713" s="215"/>
      <c r="E2713" s="215"/>
      <c r="F2713" s="256" t="s">
        <v>4097</v>
      </c>
      <c r="G2713" s="66" t="str">
        <f>HYPERLINK("https://ledvance.com/pt/product-datasheet/7251/94239","Ficha de Produto")</f>
        <v>Ficha de Produto</v>
      </c>
      <c r="H2713" s="34">
        <v>10</v>
      </c>
      <c r="I2713" s="34" t="s">
        <v>814</v>
      </c>
      <c r="J2713" s="34" t="s">
        <v>831</v>
      </c>
      <c r="K2713" s="34"/>
      <c r="L2713" s="34" t="s">
        <v>800</v>
      </c>
      <c r="M2713" s="27">
        <v>26.6</v>
      </c>
      <c r="N2713" s="298" t="s">
        <v>732</v>
      </c>
    </row>
    <row r="2714" spans="1:14" s="32" customFormat="1" ht="14.25" customHeight="1">
      <c r="A2714" s="26" t="s">
        <v>715</v>
      </c>
      <c r="B2714" s="36" t="s">
        <v>366</v>
      </c>
      <c r="C2714" s="215">
        <v>4050300816852</v>
      </c>
      <c r="D2714" s="215"/>
      <c r="E2714" s="215"/>
      <c r="F2714" s="256" t="s">
        <v>4139</v>
      </c>
      <c r="G2714" s="66" t="str">
        <f>HYPERLINK("https://ledvance.com/pt/product-datasheet/7253/116536","Ficha de Produto")</f>
        <v>Ficha de Produto</v>
      </c>
      <c r="H2714" s="34">
        <v>20</v>
      </c>
      <c r="I2714" s="34" t="s">
        <v>1054</v>
      </c>
      <c r="J2714" s="34" t="s">
        <v>1044</v>
      </c>
      <c r="K2714" s="34"/>
      <c r="L2714" s="34" t="s">
        <v>800</v>
      </c>
      <c r="M2714" s="27">
        <v>12.2</v>
      </c>
      <c r="N2714" s="298" t="s">
        <v>732</v>
      </c>
    </row>
    <row r="2715" spans="1:14" s="32" customFormat="1" ht="14.25" customHeight="1">
      <c r="A2715" s="26" t="s">
        <v>715</v>
      </c>
      <c r="B2715" s="36" t="s">
        <v>367</v>
      </c>
      <c r="C2715" s="215">
        <v>4050300816838</v>
      </c>
      <c r="D2715" s="215"/>
      <c r="E2715" s="215"/>
      <c r="F2715" s="256" t="s">
        <v>4140</v>
      </c>
      <c r="G2715" s="66" t="str">
        <f>HYPERLINK("https://ledvance.com/pt/product-datasheet/7253/116540","Ficha de Produto")</f>
        <v>Ficha de Produto</v>
      </c>
      <c r="H2715" s="34">
        <v>20</v>
      </c>
      <c r="I2715" s="34" t="s">
        <v>1054</v>
      </c>
      <c r="J2715" s="34" t="s">
        <v>1044</v>
      </c>
      <c r="K2715" s="34"/>
      <c r="L2715" s="34" t="s">
        <v>800</v>
      </c>
      <c r="M2715" s="27">
        <v>12.2</v>
      </c>
      <c r="N2715" s="298" t="s">
        <v>732</v>
      </c>
    </row>
    <row r="2716" spans="1:14" ht="14.25" customHeight="1">
      <c r="A2716" s="26" t="s">
        <v>715</v>
      </c>
      <c r="B2716" s="2" t="s">
        <v>368</v>
      </c>
      <c r="C2716" s="229">
        <v>4050300816913</v>
      </c>
      <c r="D2716" s="229"/>
      <c r="E2716" s="229"/>
      <c r="F2716" s="256" t="s">
        <v>4141</v>
      </c>
      <c r="G2716" s="66" t="str">
        <f>HYPERLINK("https://ledvance.com/pt/product-datasheet/7253/92116","Ficha de Produto")</f>
        <v>Ficha de Produto</v>
      </c>
      <c r="H2716" s="4">
        <v>20</v>
      </c>
      <c r="I2716" s="34" t="s">
        <v>812</v>
      </c>
      <c r="J2716" s="34" t="s">
        <v>818</v>
      </c>
      <c r="K2716" s="34"/>
      <c r="L2716" s="34" t="s">
        <v>800</v>
      </c>
      <c r="M2716" s="27">
        <v>12.2</v>
      </c>
      <c r="N2716" s="298" t="s">
        <v>732</v>
      </c>
    </row>
    <row r="2717" spans="1:14" s="32" customFormat="1" ht="14.25" customHeight="1">
      <c r="A2717" s="26" t="s">
        <v>715</v>
      </c>
      <c r="B2717" s="36" t="s">
        <v>369</v>
      </c>
      <c r="C2717" s="215">
        <v>4050300816890</v>
      </c>
      <c r="D2717" s="215"/>
      <c r="E2717" s="215"/>
      <c r="F2717" s="256" t="s">
        <v>4142</v>
      </c>
      <c r="G2717" s="66" t="str">
        <f>HYPERLINK("https://ledvance.com/pt/product-datasheet/7254/94892","Ficha de Produto")</f>
        <v>Ficha de Produto</v>
      </c>
      <c r="H2717" s="34">
        <v>20</v>
      </c>
      <c r="I2717" s="34" t="s">
        <v>1054</v>
      </c>
      <c r="J2717" s="34" t="s">
        <v>1044</v>
      </c>
      <c r="K2717" s="34"/>
      <c r="L2717" s="34" t="s">
        <v>800</v>
      </c>
      <c r="M2717" s="27">
        <v>12.2</v>
      </c>
      <c r="N2717" s="298" t="s">
        <v>732</v>
      </c>
    </row>
    <row r="2718" spans="1:14" s="32" customFormat="1" ht="14.25" customHeight="1">
      <c r="A2718" s="26" t="s">
        <v>715</v>
      </c>
      <c r="B2718" s="36" t="s">
        <v>370</v>
      </c>
      <c r="C2718" s="215">
        <v>4050300816876</v>
      </c>
      <c r="D2718" s="215"/>
      <c r="E2718" s="215"/>
      <c r="F2718" s="256" t="s">
        <v>4143</v>
      </c>
      <c r="G2718" s="66" t="str">
        <f>HYPERLINK("https://ledvance.com/pt/product-datasheet/7254/94896","Ficha de Produto")</f>
        <v>Ficha de Produto</v>
      </c>
      <c r="H2718" s="34">
        <v>20</v>
      </c>
      <c r="I2718" s="34" t="s">
        <v>1054</v>
      </c>
      <c r="J2718" s="34" t="s">
        <v>1044</v>
      </c>
      <c r="K2718" s="34"/>
      <c r="L2718" s="34" t="s">
        <v>800</v>
      </c>
      <c r="M2718" s="27">
        <v>12.2</v>
      </c>
      <c r="N2718" s="298" t="s">
        <v>732</v>
      </c>
    </row>
    <row r="2719" spans="1:14" s="32" customFormat="1" ht="14.25" customHeight="1">
      <c r="A2719" s="26" t="s">
        <v>715</v>
      </c>
      <c r="B2719" s="36" t="s">
        <v>371</v>
      </c>
      <c r="C2719" s="215">
        <v>4050300816951</v>
      </c>
      <c r="D2719" s="215"/>
      <c r="E2719" s="215"/>
      <c r="F2719" s="256" t="s">
        <v>4097</v>
      </c>
      <c r="G2719" s="66" t="str">
        <f>HYPERLINK("https://ledvance.com/pt/product-datasheet/7254/94900","Ficha de Produto")</f>
        <v>Ficha de Produto</v>
      </c>
      <c r="H2719" s="34">
        <v>20</v>
      </c>
      <c r="I2719" s="34" t="s">
        <v>812</v>
      </c>
      <c r="J2719" s="34" t="s">
        <v>818</v>
      </c>
      <c r="K2719" s="34"/>
      <c r="L2719" s="34" t="s">
        <v>800</v>
      </c>
      <c r="M2719" s="27">
        <v>19.399999999999999</v>
      </c>
      <c r="N2719" s="298" t="s">
        <v>732</v>
      </c>
    </row>
    <row r="2720" spans="1:14" s="32" customFormat="1" ht="14.25" customHeight="1">
      <c r="A2720" s="26" t="s">
        <v>715</v>
      </c>
      <c r="B2720" s="36" t="s">
        <v>372</v>
      </c>
      <c r="C2720" s="215">
        <v>4050300816982</v>
      </c>
      <c r="D2720" s="215"/>
      <c r="E2720" s="215"/>
      <c r="F2720" s="256" t="s">
        <v>4097</v>
      </c>
      <c r="G2720" s="66" t="str">
        <f>HYPERLINK("https://ledvance.com/pt/product-datasheet/7254/94904","Ficha de Produto")</f>
        <v>Ficha de Produto</v>
      </c>
      <c r="H2720" s="34">
        <v>20</v>
      </c>
      <c r="I2720" s="34" t="s">
        <v>812</v>
      </c>
      <c r="J2720" s="34" t="s">
        <v>818</v>
      </c>
      <c r="K2720" s="34"/>
      <c r="L2720" s="34" t="s">
        <v>800</v>
      </c>
      <c r="M2720" s="27">
        <v>19.399999999999999</v>
      </c>
      <c r="N2720" s="298" t="s">
        <v>732</v>
      </c>
    </row>
    <row r="2721" spans="1:14" s="32" customFormat="1" ht="14.25" customHeight="1">
      <c r="A2721" s="26" t="s">
        <v>715</v>
      </c>
      <c r="B2721" s="36" t="s">
        <v>373</v>
      </c>
      <c r="C2721" s="215">
        <v>4050300817002</v>
      </c>
      <c r="D2721" s="215"/>
      <c r="E2721" s="215"/>
      <c r="F2721" s="256" t="s">
        <v>4097</v>
      </c>
      <c r="G2721" s="66" t="str">
        <f>HYPERLINK("https://ledvance.com/pt/product-datasheet/7254/94909","Ficha de Produto")</f>
        <v>Ficha de Produto</v>
      </c>
      <c r="H2721" s="34">
        <v>20</v>
      </c>
      <c r="I2721" s="34" t="s">
        <v>874</v>
      </c>
      <c r="J2721" s="34" t="s">
        <v>1029</v>
      </c>
      <c r="K2721" s="34"/>
      <c r="L2721" s="34" t="s">
        <v>800</v>
      </c>
      <c r="M2721" s="27">
        <v>22.8</v>
      </c>
      <c r="N2721" s="298" t="s">
        <v>732</v>
      </c>
    </row>
    <row r="2722" spans="1:14" s="32" customFormat="1" ht="14.25" customHeight="1">
      <c r="A2722" s="26" t="s">
        <v>715</v>
      </c>
      <c r="B2722" s="36" t="s">
        <v>374</v>
      </c>
      <c r="C2722" s="215">
        <v>4050300817026</v>
      </c>
      <c r="D2722" s="215"/>
      <c r="E2722" s="215"/>
      <c r="F2722" s="256" t="s">
        <v>4097</v>
      </c>
      <c r="G2722" s="66" t="str">
        <f>HYPERLINK("https://ledvance.com/pt/product-datasheet/7254/94913","Ficha de Produto")</f>
        <v>Ficha de Produto</v>
      </c>
      <c r="H2722" s="34">
        <v>20</v>
      </c>
      <c r="I2722" s="34" t="s">
        <v>874</v>
      </c>
      <c r="J2722" s="34" t="s">
        <v>1029</v>
      </c>
      <c r="K2722" s="34"/>
      <c r="L2722" s="34" t="s">
        <v>800</v>
      </c>
      <c r="M2722" s="27">
        <v>22.8</v>
      </c>
      <c r="N2722" s="298" t="s">
        <v>732</v>
      </c>
    </row>
    <row r="2723" spans="1:14" s="32" customFormat="1" ht="14.25" customHeight="1">
      <c r="A2723" s="25" t="s">
        <v>715</v>
      </c>
      <c r="B2723" s="276" t="s">
        <v>733</v>
      </c>
      <c r="C2723" s="7"/>
      <c r="D2723" s="7"/>
      <c r="E2723" s="7"/>
      <c r="F2723" s="7"/>
      <c r="G2723" s="68"/>
      <c r="H2723" s="7"/>
      <c r="I2723" s="7"/>
      <c r="J2723" s="7"/>
      <c r="K2723" s="7"/>
      <c r="L2723" s="7"/>
      <c r="M2723" s="248"/>
      <c r="N2723" s="284"/>
    </row>
    <row r="2724" spans="1:14" s="32" customFormat="1" ht="14.25" customHeight="1">
      <c r="A2724" s="26" t="s">
        <v>715</v>
      </c>
      <c r="B2724" s="36" t="s">
        <v>375</v>
      </c>
      <c r="C2724" s="215">
        <v>4008321974341</v>
      </c>
      <c r="D2724" s="215"/>
      <c r="E2724" s="215"/>
      <c r="F2724" s="258" t="s">
        <v>4098</v>
      </c>
      <c r="G2724" s="66" t="str">
        <f>HYPERLINK("https://ledvance.com/pt/product-datasheet/7284/95385","Ficha de Produto")</f>
        <v>Ficha de Produto</v>
      </c>
      <c r="H2724" s="34">
        <v>12</v>
      </c>
      <c r="I2724" s="34" t="s">
        <v>878</v>
      </c>
      <c r="J2724" s="34" t="s">
        <v>866</v>
      </c>
      <c r="K2724" s="34"/>
      <c r="L2724" s="34" t="s">
        <v>800</v>
      </c>
      <c r="M2724" s="27">
        <v>105.8</v>
      </c>
      <c r="N2724" s="298" t="s">
        <v>732</v>
      </c>
    </row>
    <row r="2725" spans="1:14" s="32" customFormat="1" ht="14.25" customHeight="1">
      <c r="A2725" s="26" t="s">
        <v>715</v>
      </c>
      <c r="B2725" s="36" t="s">
        <v>376</v>
      </c>
      <c r="C2725" s="215">
        <v>4008321678300</v>
      </c>
      <c r="D2725" s="215"/>
      <c r="E2725" s="215"/>
      <c r="F2725" s="258" t="s">
        <v>4098</v>
      </c>
      <c r="G2725" s="66" t="str">
        <f>HYPERLINK("https://ledvance.com/pt/product-datasheet/7285/122027","Ficha de Produto")</f>
        <v>Ficha de Produto</v>
      </c>
      <c r="H2725" s="34">
        <v>12</v>
      </c>
      <c r="I2725" s="34" t="s">
        <v>1055</v>
      </c>
      <c r="J2725" s="34" t="s">
        <v>866</v>
      </c>
      <c r="K2725" s="34"/>
      <c r="L2725" s="34" t="s">
        <v>800</v>
      </c>
      <c r="M2725" s="1">
        <v>60.8</v>
      </c>
      <c r="N2725" s="297" t="s">
        <v>1132</v>
      </c>
    </row>
    <row r="2726" spans="1:14" s="32" customFormat="1" ht="14.25" customHeight="1">
      <c r="A2726" s="26" t="s">
        <v>715</v>
      </c>
      <c r="B2726" s="36" t="s">
        <v>377</v>
      </c>
      <c r="C2726" s="215">
        <v>4008321678324</v>
      </c>
      <c r="D2726" s="215"/>
      <c r="E2726" s="215"/>
      <c r="F2726" s="258" t="s">
        <v>4098</v>
      </c>
      <c r="G2726" s="66" t="str">
        <f>HYPERLINK("https://ledvance.com/pt/product-datasheet/7285/122033","Ficha de Produto")</f>
        <v>Ficha de Produto</v>
      </c>
      <c r="H2726" s="34">
        <v>12</v>
      </c>
      <c r="I2726" s="34" t="s">
        <v>872</v>
      </c>
      <c r="J2726" s="34" t="s">
        <v>866</v>
      </c>
      <c r="K2726" s="34"/>
      <c r="L2726" s="34" t="s">
        <v>800</v>
      </c>
      <c r="M2726" s="1">
        <v>60.8</v>
      </c>
      <c r="N2726" s="297" t="s">
        <v>1132</v>
      </c>
    </row>
    <row r="2727" spans="1:14" s="32" customFormat="1" ht="14.25" customHeight="1">
      <c r="A2727" s="26" t="s">
        <v>715</v>
      </c>
      <c r="B2727" s="36" t="s">
        <v>378</v>
      </c>
      <c r="C2727" s="215">
        <v>4008321678348</v>
      </c>
      <c r="D2727" s="215"/>
      <c r="E2727" s="215"/>
      <c r="F2727" s="258" t="s">
        <v>4098</v>
      </c>
      <c r="G2727" s="66" t="str">
        <f>HYPERLINK("https://ledvance.com/pt/product-datasheet/7285/122039","Ficha de Produto")</f>
        <v>Ficha de Produto</v>
      </c>
      <c r="H2727" s="34">
        <v>12</v>
      </c>
      <c r="I2727" s="34" t="s">
        <v>868</v>
      </c>
      <c r="J2727" s="34" t="s">
        <v>866</v>
      </c>
      <c r="K2727" s="34"/>
      <c r="L2727" s="34" t="s">
        <v>800</v>
      </c>
      <c r="M2727" s="1">
        <v>60.8</v>
      </c>
      <c r="N2727" s="297" t="s">
        <v>1132</v>
      </c>
    </row>
    <row r="2728" spans="1:14" s="32" customFormat="1" ht="14.25" customHeight="1">
      <c r="A2728" s="26" t="s">
        <v>715</v>
      </c>
      <c r="B2728" s="36" t="s">
        <v>379</v>
      </c>
      <c r="C2728" s="215">
        <v>4008321678362</v>
      </c>
      <c r="D2728" s="215"/>
      <c r="E2728" s="215"/>
      <c r="F2728" s="258" t="s">
        <v>4098</v>
      </c>
      <c r="G2728" s="66" t="str">
        <f>HYPERLINK("https://ledvance.com/pt/product-datasheet/7285/122045","Ficha de Produto")</f>
        <v>Ficha de Produto</v>
      </c>
      <c r="H2728" s="34">
        <v>12</v>
      </c>
      <c r="I2728" s="34" t="s">
        <v>1056</v>
      </c>
      <c r="J2728" s="34" t="s">
        <v>900</v>
      </c>
      <c r="K2728" s="34"/>
      <c r="L2728" s="34" t="s">
        <v>800</v>
      </c>
      <c r="M2728" s="1">
        <v>60.8</v>
      </c>
      <c r="N2728" s="297" t="s">
        <v>1132</v>
      </c>
    </row>
    <row r="2729" spans="1:14" s="32" customFormat="1" ht="14.25" customHeight="1">
      <c r="A2729" s="26" t="s">
        <v>715</v>
      </c>
      <c r="B2729" s="36" t="s">
        <v>380</v>
      </c>
      <c r="C2729" s="215">
        <v>4008321678386</v>
      </c>
      <c r="D2729" s="215"/>
      <c r="E2729" s="215"/>
      <c r="F2729" s="258" t="s">
        <v>4098</v>
      </c>
      <c r="G2729" s="66" t="str">
        <f>HYPERLINK("https://ledvance.com/pt/product-datasheet/7285/122051","Ficha de Produto")</f>
        <v>Ficha de Produto</v>
      </c>
      <c r="H2729" s="34">
        <v>12</v>
      </c>
      <c r="I2729" s="34" t="s">
        <v>1057</v>
      </c>
      <c r="J2729" s="34" t="s">
        <v>900</v>
      </c>
      <c r="K2729" s="34"/>
      <c r="L2729" s="34" t="s">
        <v>800</v>
      </c>
      <c r="M2729" s="1">
        <v>60.8</v>
      </c>
      <c r="N2729" s="297" t="s">
        <v>1132</v>
      </c>
    </row>
    <row r="2730" spans="1:14" s="32" customFormat="1" ht="14.25" customHeight="1">
      <c r="A2730" s="26" t="s">
        <v>715</v>
      </c>
      <c r="B2730" s="36" t="s">
        <v>381</v>
      </c>
      <c r="C2730" s="215">
        <v>4008321678409</v>
      </c>
      <c r="D2730" s="215"/>
      <c r="E2730" s="215"/>
      <c r="F2730" s="258" t="s">
        <v>4098</v>
      </c>
      <c r="G2730" s="66" t="str">
        <f>HYPERLINK("https://ledvance.com/pt/product-datasheet/7285/122057","Ficha de Produto")</f>
        <v>Ficha de Produto</v>
      </c>
      <c r="H2730" s="34">
        <v>12</v>
      </c>
      <c r="I2730" s="34" t="s">
        <v>893</v>
      </c>
      <c r="J2730" s="34" t="s">
        <v>900</v>
      </c>
      <c r="K2730" s="34"/>
      <c r="L2730" s="34" t="s">
        <v>800</v>
      </c>
      <c r="M2730" s="1">
        <v>60.8</v>
      </c>
      <c r="N2730" s="297" t="s">
        <v>1132</v>
      </c>
    </row>
    <row r="2731" spans="1:14" s="32" customFormat="1" ht="14.25" customHeight="1">
      <c r="A2731" s="26" t="s">
        <v>715</v>
      </c>
      <c r="B2731" s="36" t="s">
        <v>382</v>
      </c>
      <c r="C2731" s="215">
        <v>4008321689177</v>
      </c>
      <c r="D2731" s="215"/>
      <c r="E2731" s="215"/>
      <c r="F2731" s="258" t="s">
        <v>4098</v>
      </c>
      <c r="G2731" s="66" t="str">
        <f>HYPERLINK("https://ledvance.com/pt/product-datasheet/7286/122093","Ficha de Produto")</f>
        <v>Ficha de Produto</v>
      </c>
      <c r="H2731" s="34">
        <v>12</v>
      </c>
      <c r="I2731" s="34" t="s">
        <v>894</v>
      </c>
      <c r="J2731" s="34" t="s">
        <v>971</v>
      </c>
      <c r="K2731" s="34"/>
      <c r="L2731" s="34" t="s">
        <v>800</v>
      </c>
      <c r="M2731" s="27">
        <v>92.4</v>
      </c>
      <c r="N2731" s="298" t="s">
        <v>732</v>
      </c>
    </row>
    <row r="2732" spans="1:14" s="32" customFormat="1" ht="14.25" customHeight="1">
      <c r="A2732" s="26" t="s">
        <v>715</v>
      </c>
      <c r="B2732" s="36" t="s">
        <v>383</v>
      </c>
      <c r="C2732" s="215">
        <v>4008321591944</v>
      </c>
      <c r="D2732" s="215"/>
      <c r="E2732" s="215"/>
      <c r="F2732" s="258" t="s">
        <v>4098</v>
      </c>
      <c r="G2732" s="66" t="str">
        <f>HYPERLINK("https://ledvance.com/pt/product-datasheet/7287/89183","Ficha de Produto")</f>
        <v>Ficha de Produto</v>
      </c>
      <c r="H2732" s="34">
        <v>10</v>
      </c>
      <c r="I2732" s="34" t="s">
        <v>1059</v>
      </c>
      <c r="J2732" s="34" t="s">
        <v>6441</v>
      </c>
      <c r="K2732" s="34"/>
      <c r="L2732" s="34" t="s">
        <v>800</v>
      </c>
      <c r="M2732" s="27">
        <v>688.3</v>
      </c>
      <c r="N2732" s="298" t="s">
        <v>732</v>
      </c>
    </row>
    <row r="2733" spans="1:14" s="32" customFormat="1" ht="14.25" customHeight="1">
      <c r="A2733" s="26" t="s">
        <v>715</v>
      </c>
      <c r="B2733" s="36" t="s">
        <v>384</v>
      </c>
      <c r="C2733" s="215">
        <v>4008321525475</v>
      </c>
      <c r="D2733" s="215"/>
      <c r="E2733" s="215"/>
      <c r="F2733" s="258" t="s">
        <v>4098</v>
      </c>
      <c r="G2733" s="66" t="str">
        <f>HYPERLINK("https://ledvance.com/pt/product-datasheet/7287/105721","Ficha de Produto")</f>
        <v>Ficha de Produto</v>
      </c>
      <c r="H2733" s="34">
        <v>10</v>
      </c>
      <c r="I2733" s="34" t="s">
        <v>1059</v>
      </c>
      <c r="J2733" s="34" t="s">
        <v>6441</v>
      </c>
      <c r="K2733" s="34"/>
      <c r="L2733" s="34" t="s">
        <v>800</v>
      </c>
      <c r="M2733" s="27">
        <v>688.3</v>
      </c>
      <c r="N2733" s="298" t="s">
        <v>732</v>
      </c>
    </row>
    <row r="2734" spans="1:14" s="32" customFormat="1" ht="14.25" customHeight="1">
      <c r="A2734" s="26" t="s">
        <v>715</v>
      </c>
      <c r="B2734" s="36" t="s">
        <v>385</v>
      </c>
      <c r="C2734" s="215">
        <v>4008321525499</v>
      </c>
      <c r="D2734" s="215"/>
      <c r="E2734" s="215"/>
      <c r="F2734" s="258" t="s">
        <v>4098</v>
      </c>
      <c r="G2734" s="66" t="str">
        <f>HYPERLINK("https://ledvance.com/pt/product-datasheet/7287/89225","Ficha de Produto")</f>
        <v>Ficha de Produto</v>
      </c>
      <c r="H2734" s="34">
        <v>10</v>
      </c>
      <c r="I2734" s="34" t="s">
        <v>1061</v>
      </c>
      <c r="J2734" s="34" t="s">
        <v>1062</v>
      </c>
      <c r="K2734" s="34"/>
      <c r="L2734" s="34" t="s">
        <v>800</v>
      </c>
      <c r="M2734" s="27">
        <v>688.3</v>
      </c>
      <c r="N2734" s="298" t="s">
        <v>732</v>
      </c>
    </row>
    <row r="2735" spans="1:14" s="32" customFormat="1" ht="14.25" customHeight="1">
      <c r="A2735" s="26" t="s">
        <v>715</v>
      </c>
      <c r="B2735" s="36" t="s">
        <v>386</v>
      </c>
      <c r="C2735" s="215">
        <v>4050300271682</v>
      </c>
      <c r="D2735" s="215"/>
      <c r="E2735" s="215"/>
      <c r="F2735" s="258" t="s">
        <v>4098</v>
      </c>
      <c r="G2735" s="66" t="str">
        <f>HYPERLINK("https://ledvance.com/pt/product-datasheet/7287/87280","Ficha de Produto")</f>
        <v>Ficha de Produto</v>
      </c>
      <c r="H2735" s="34">
        <v>10</v>
      </c>
      <c r="I2735" s="34" t="s">
        <v>1063</v>
      </c>
      <c r="J2735" s="34" t="s">
        <v>1062</v>
      </c>
      <c r="K2735" s="34"/>
      <c r="L2735" s="34" t="s">
        <v>800</v>
      </c>
      <c r="M2735" s="27">
        <v>688.3</v>
      </c>
      <c r="N2735" s="298" t="s">
        <v>732</v>
      </c>
    </row>
    <row r="2736" spans="1:14" s="32" customFormat="1" ht="14.25" customHeight="1">
      <c r="A2736" s="26" t="s">
        <v>715</v>
      </c>
      <c r="B2736" s="36" t="s">
        <v>387</v>
      </c>
      <c r="C2736" s="215">
        <v>4008321338310</v>
      </c>
      <c r="D2736" s="215"/>
      <c r="E2736" s="215"/>
      <c r="F2736" s="258" t="s">
        <v>4098</v>
      </c>
      <c r="G2736" s="66" t="str">
        <f>HYPERLINK("https://ledvance.com/pt/product-datasheet/7287/102001","Ficha de Produto")</f>
        <v>Ficha de Produto</v>
      </c>
      <c r="H2736" s="34">
        <v>10</v>
      </c>
      <c r="I2736" s="34" t="s">
        <v>1064</v>
      </c>
      <c r="J2736" s="34" t="s">
        <v>1062</v>
      </c>
      <c r="K2736" s="34"/>
      <c r="L2736" s="34" t="s">
        <v>800</v>
      </c>
      <c r="M2736" s="27">
        <v>791.2</v>
      </c>
      <c r="N2736" s="298" t="s">
        <v>732</v>
      </c>
    </row>
    <row r="2737" spans="1:14" s="32" customFormat="1" ht="14.25" customHeight="1">
      <c r="A2737" s="26" t="s">
        <v>715</v>
      </c>
      <c r="B2737" s="36" t="s">
        <v>388</v>
      </c>
      <c r="C2737" s="215">
        <v>4008321530660</v>
      </c>
      <c r="D2737" s="215"/>
      <c r="E2737" s="215"/>
      <c r="F2737" s="258" t="s">
        <v>4098</v>
      </c>
      <c r="G2737" s="66" t="str">
        <f>HYPERLINK("https://ledvance.com/pt/product-datasheet/7288/89201","Ficha de Produto")</f>
        <v>Ficha de Produto</v>
      </c>
      <c r="H2737" s="34">
        <v>10</v>
      </c>
      <c r="I2737" s="34" t="s">
        <v>1064</v>
      </c>
      <c r="J2737" s="34" t="s">
        <v>1062</v>
      </c>
      <c r="K2737" s="34"/>
      <c r="L2737" s="34" t="s">
        <v>800</v>
      </c>
      <c r="M2737" s="27">
        <v>566.1</v>
      </c>
      <c r="N2737" s="298" t="s">
        <v>732</v>
      </c>
    </row>
    <row r="2738" spans="1:14" s="32" customFormat="1" ht="14.25" customHeight="1">
      <c r="A2738" s="26" t="s">
        <v>715</v>
      </c>
      <c r="B2738" s="36" t="s">
        <v>389</v>
      </c>
      <c r="C2738" s="215">
        <v>4008321527035</v>
      </c>
      <c r="D2738" s="215"/>
      <c r="E2738" s="215"/>
      <c r="F2738" s="258" t="s">
        <v>4098</v>
      </c>
      <c r="G2738" s="66" t="str">
        <f>HYPERLINK("https://ledvance.com/pt/product-datasheet/7290/105708","Ficha de Produto")</f>
        <v>Ficha de Produto</v>
      </c>
      <c r="H2738" s="34">
        <v>6</v>
      </c>
      <c r="I2738" s="34" t="s">
        <v>1065</v>
      </c>
      <c r="J2738" s="34" t="s">
        <v>1060</v>
      </c>
      <c r="K2738" s="34"/>
      <c r="L2738" s="34" t="s">
        <v>800</v>
      </c>
      <c r="M2738" s="27">
        <v>437.5</v>
      </c>
      <c r="N2738" s="298" t="s">
        <v>732</v>
      </c>
    </row>
    <row r="2739" spans="1:14" s="32" customFormat="1" ht="14.25" customHeight="1">
      <c r="A2739" s="26" t="s">
        <v>715</v>
      </c>
      <c r="B2739" s="36" t="s">
        <v>390</v>
      </c>
      <c r="C2739" s="215">
        <v>4058075388413</v>
      </c>
      <c r="D2739" s="215"/>
      <c r="E2739" s="215"/>
      <c r="F2739" s="258" t="s">
        <v>4098</v>
      </c>
      <c r="G2739" s="66" t="str">
        <f>HYPERLINK("https://ledvance.com/pt/product-datasheet/7290/116564","Ficha de Produto")</f>
        <v>Ficha de Produto</v>
      </c>
      <c r="H2739" s="34">
        <v>6</v>
      </c>
      <c r="I2739" s="34" t="s">
        <v>1066</v>
      </c>
      <c r="J2739" s="34" t="s">
        <v>1060</v>
      </c>
      <c r="K2739" s="34"/>
      <c r="L2739" s="34" t="s">
        <v>800</v>
      </c>
      <c r="M2739" s="27">
        <v>569.4</v>
      </c>
      <c r="N2739" s="298" t="s">
        <v>732</v>
      </c>
    </row>
    <row r="2740" spans="1:14" s="32" customFormat="1" ht="14.25" customHeight="1">
      <c r="A2740" s="26" t="s">
        <v>715</v>
      </c>
      <c r="B2740" s="36" t="s">
        <v>391</v>
      </c>
      <c r="C2740" s="215">
        <v>4008321979063</v>
      </c>
      <c r="D2740" s="215"/>
      <c r="E2740" s="215"/>
      <c r="F2740" s="258" t="s">
        <v>4098</v>
      </c>
      <c r="G2740" s="66" t="str">
        <f>HYPERLINK("https://ledvance.com/pt/product-datasheet/7290/93509","Ficha de Produto")</f>
        <v>Ficha de Produto</v>
      </c>
      <c r="H2740" s="34">
        <v>4</v>
      </c>
      <c r="I2740" s="34" t="s">
        <v>1067</v>
      </c>
      <c r="J2740" s="34" t="s">
        <v>1062</v>
      </c>
      <c r="K2740" s="34"/>
      <c r="L2740" s="34" t="s">
        <v>800</v>
      </c>
      <c r="M2740" s="27">
        <v>458.40000000000003</v>
      </c>
      <c r="N2740" s="298" t="s">
        <v>732</v>
      </c>
    </row>
    <row r="2741" spans="1:14" s="32" customFormat="1" ht="14.25" customHeight="1">
      <c r="A2741" s="26" t="s">
        <v>715</v>
      </c>
      <c r="B2741" s="36" t="s">
        <v>392</v>
      </c>
      <c r="C2741" s="215">
        <v>4008321979087</v>
      </c>
      <c r="D2741" s="215"/>
      <c r="E2741" s="215"/>
      <c r="F2741" s="258" t="s">
        <v>4098</v>
      </c>
      <c r="G2741" s="66" t="str">
        <f>HYPERLINK("https://ledvance.com/pt/product-datasheet/7290/93506","Ficha de Produto")</f>
        <v>Ficha de Produto</v>
      </c>
      <c r="H2741" s="34">
        <v>4</v>
      </c>
      <c r="I2741" s="34" t="s">
        <v>1068</v>
      </c>
      <c r="J2741" s="34" t="s">
        <v>1062</v>
      </c>
      <c r="K2741" s="34"/>
      <c r="L2741" s="34" t="s">
        <v>800</v>
      </c>
      <c r="M2741" s="27">
        <v>550</v>
      </c>
      <c r="N2741" s="298" t="s">
        <v>732</v>
      </c>
    </row>
    <row r="2742" spans="1:14" s="32" customFormat="1" ht="14.25" customHeight="1">
      <c r="A2742" s="26" t="s">
        <v>715</v>
      </c>
      <c r="B2742" s="36" t="s">
        <v>393</v>
      </c>
      <c r="C2742" s="215">
        <v>4008321526809</v>
      </c>
      <c r="D2742" s="215"/>
      <c r="E2742" s="215"/>
      <c r="F2742" s="258" t="s">
        <v>4098</v>
      </c>
      <c r="G2742" s="66" t="str">
        <f>HYPERLINK("https://ledvance.com/pt/product-datasheet/7290/93515","Ficha de Produto")</f>
        <v>Ficha de Produto</v>
      </c>
      <c r="H2742" s="34">
        <v>4</v>
      </c>
      <c r="I2742" s="34" t="s">
        <v>1069</v>
      </c>
      <c r="J2742" s="34" t="s">
        <v>1062</v>
      </c>
      <c r="K2742" s="34"/>
      <c r="L2742" s="34" t="s">
        <v>800</v>
      </c>
      <c r="M2742" s="27">
        <v>550</v>
      </c>
      <c r="N2742" s="298" t="s">
        <v>732</v>
      </c>
    </row>
    <row r="2743" spans="1:14" s="32" customFormat="1" ht="14.25" customHeight="1">
      <c r="A2743" s="26" t="s">
        <v>715</v>
      </c>
      <c r="B2743" s="36" t="s">
        <v>394</v>
      </c>
      <c r="C2743" s="215">
        <v>4008321665379</v>
      </c>
      <c r="D2743" s="215"/>
      <c r="E2743" s="215"/>
      <c r="F2743" s="258" t="s">
        <v>4098</v>
      </c>
      <c r="G2743" s="66" t="str">
        <f>HYPERLINK("https://ledvance.com/pt/product-datasheet/7290/88284","Ficha de Produto")</f>
        <v>Ficha de Produto</v>
      </c>
      <c r="H2743" s="34">
        <v>4</v>
      </c>
      <c r="I2743" s="34" t="s">
        <v>1070</v>
      </c>
      <c r="J2743" s="34" t="s">
        <v>1062</v>
      </c>
      <c r="K2743" s="34"/>
      <c r="L2743" s="34" t="s">
        <v>800</v>
      </c>
      <c r="M2743" s="27">
        <v>458.40000000000003</v>
      </c>
      <c r="N2743" s="298" t="s">
        <v>732</v>
      </c>
    </row>
    <row r="2744" spans="1:14" s="32" customFormat="1" ht="14.25" customHeight="1">
      <c r="A2744" s="26" t="s">
        <v>715</v>
      </c>
      <c r="B2744" s="36" t="s">
        <v>395</v>
      </c>
      <c r="C2744" s="215">
        <v>4008321527011</v>
      </c>
      <c r="D2744" s="215"/>
      <c r="E2744" s="215"/>
      <c r="F2744" s="258" t="s">
        <v>4098</v>
      </c>
      <c r="G2744" s="66" t="str">
        <f>HYPERLINK("https://ledvance.com/pt/product-datasheet/7290/88290","Ficha de Produto")</f>
        <v>Ficha de Produto</v>
      </c>
      <c r="H2744" s="34">
        <v>4</v>
      </c>
      <c r="I2744" s="34" t="s">
        <v>1069</v>
      </c>
      <c r="J2744" s="34" t="s">
        <v>1062</v>
      </c>
      <c r="K2744" s="34"/>
      <c r="L2744" s="34" t="s">
        <v>800</v>
      </c>
      <c r="M2744" s="27">
        <v>550</v>
      </c>
      <c r="N2744" s="298" t="s">
        <v>732</v>
      </c>
    </row>
    <row r="2745" spans="1:14" s="32" customFormat="1" ht="14.25" customHeight="1">
      <c r="A2745" s="26" t="s">
        <v>715</v>
      </c>
      <c r="B2745" s="36" t="s">
        <v>396</v>
      </c>
      <c r="C2745" s="215">
        <v>4008321677846</v>
      </c>
      <c r="D2745" s="215"/>
      <c r="E2745" s="215"/>
      <c r="F2745" s="258" t="s">
        <v>4098</v>
      </c>
      <c r="G2745" s="66" t="str">
        <f>HYPERLINK("https://ledvance.com/pt/product-datasheet/7291/35025","Ficha de Produto")</f>
        <v>Ficha de Produto</v>
      </c>
      <c r="H2745" s="34">
        <v>12</v>
      </c>
      <c r="I2745" s="34" t="s">
        <v>951</v>
      </c>
      <c r="J2745" s="34" t="s">
        <v>971</v>
      </c>
      <c r="K2745" s="34"/>
      <c r="L2745" s="34" t="s">
        <v>800</v>
      </c>
      <c r="M2745" s="27">
        <v>88</v>
      </c>
      <c r="N2745" s="298" t="s">
        <v>732</v>
      </c>
    </row>
    <row r="2746" spans="1:14" s="32" customFormat="1" ht="14.25" customHeight="1">
      <c r="A2746" s="26" t="s">
        <v>715</v>
      </c>
      <c r="B2746" s="36" t="s">
        <v>397</v>
      </c>
      <c r="C2746" s="215">
        <v>4008321677860</v>
      </c>
      <c r="D2746" s="215"/>
      <c r="E2746" s="215"/>
      <c r="F2746" s="258" t="s">
        <v>4098</v>
      </c>
      <c r="G2746" s="66" t="str">
        <f>HYPERLINK("https://ledvance.com/pt/product-datasheet/7291/45429","Ficha de Produto")</f>
        <v>Ficha de Produto</v>
      </c>
      <c r="H2746" s="34">
        <v>12</v>
      </c>
      <c r="I2746" s="34" t="s">
        <v>1071</v>
      </c>
      <c r="J2746" s="34" t="s">
        <v>1058</v>
      </c>
      <c r="K2746" s="34"/>
      <c r="L2746" s="34" t="s">
        <v>800</v>
      </c>
      <c r="M2746" s="27">
        <v>89.6</v>
      </c>
      <c r="N2746" s="298" t="s">
        <v>732</v>
      </c>
    </row>
    <row r="2747" spans="1:14" s="32" customFormat="1" ht="14.25" customHeight="1">
      <c r="A2747" s="26" t="s">
        <v>715</v>
      </c>
      <c r="B2747" s="36" t="s">
        <v>398</v>
      </c>
      <c r="C2747" s="215">
        <v>4058075039766</v>
      </c>
      <c r="D2747" s="215"/>
      <c r="E2747" s="215"/>
      <c r="F2747" s="258" t="s">
        <v>4098</v>
      </c>
      <c r="G2747" s="66" t="str">
        <f>HYPERLINK("https://ledvance.com/pt/product-datasheet/7291/92166","Ficha de Produto")</f>
        <v>Ficha de Produto</v>
      </c>
      <c r="H2747" s="34">
        <v>12</v>
      </c>
      <c r="I2747" s="34" t="s">
        <v>1072</v>
      </c>
      <c r="J2747" s="34" t="s">
        <v>1073</v>
      </c>
      <c r="K2747" s="34"/>
      <c r="L2747" s="34" t="s">
        <v>800</v>
      </c>
      <c r="M2747" s="27">
        <v>167.2</v>
      </c>
      <c r="N2747" s="298" t="s">
        <v>732</v>
      </c>
    </row>
    <row r="2748" spans="1:14" s="32" customFormat="1" ht="14.25" customHeight="1">
      <c r="A2748" s="26" t="s">
        <v>715</v>
      </c>
      <c r="B2748" s="36" t="s">
        <v>399</v>
      </c>
      <c r="C2748" s="215">
        <v>4058075039780</v>
      </c>
      <c r="D2748" s="215"/>
      <c r="E2748" s="215"/>
      <c r="F2748" s="258" t="s">
        <v>4098</v>
      </c>
      <c r="G2748" s="66" t="str">
        <f>HYPERLINK("https://ledvance.com/pt/product-datasheet/7296/89204","Ficha de Produto")</f>
        <v>Ficha de Produto</v>
      </c>
      <c r="H2748" s="34">
        <v>12</v>
      </c>
      <c r="I2748" s="34" t="s">
        <v>1074</v>
      </c>
      <c r="J2748" s="34" t="s">
        <v>1073</v>
      </c>
      <c r="K2748" s="34"/>
      <c r="L2748" s="34" t="s">
        <v>800</v>
      </c>
      <c r="M2748" s="27">
        <v>167.2</v>
      </c>
      <c r="N2748" s="298" t="s">
        <v>732</v>
      </c>
    </row>
    <row r="2749" spans="1:14" s="32" customFormat="1" ht="14.25" customHeight="1">
      <c r="A2749" s="26" t="s">
        <v>715</v>
      </c>
      <c r="B2749" s="36" t="s">
        <v>400</v>
      </c>
      <c r="C2749" s="215">
        <v>4008321677907</v>
      </c>
      <c r="D2749" s="215"/>
      <c r="E2749" s="215"/>
      <c r="F2749" s="258" t="s">
        <v>4098</v>
      </c>
      <c r="G2749" s="66" t="str">
        <f>HYPERLINK("https://ledvance.com/pt/product-datasheet/7297/93737","Ficha de Produto")</f>
        <v>Ficha de Produto</v>
      </c>
      <c r="H2749" s="34">
        <v>12</v>
      </c>
      <c r="I2749" s="34" t="s">
        <v>951</v>
      </c>
      <c r="J2749" s="34" t="s">
        <v>971</v>
      </c>
      <c r="K2749" s="34"/>
      <c r="L2749" s="34" t="s">
        <v>800</v>
      </c>
      <c r="M2749" s="27">
        <v>88</v>
      </c>
      <c r="N2749" s="298" t="s">
        <v>732</v>
      </c>
    </row>
    <row r="2750" spans="1:14" s="32" customFormat="1" ht="14.25" customHeight="1">
      <c r="A2750" s="26" t="s">
        <v>715</v>
      </c>
      <c r="B2750" s="36" t="s">
        <v>401</v>
      </c>
      <c r="C2750" s="215">
        <v>4058075039803</v>
      </c>
      <c r="D2750" s="215"/>
      <c r="E2750" s="215"/>
      <c r="F2750" s="258" t="s">
        <v>4098</v>
      </c>
      <c r="G2750" s="66" t="str">
        <f>HYPERLINK("https://ledvance.com/pt/product-datasheet/7297/89210","Ficha de Produto")</f>
        <v>Ficha de Produto</v>
      </c>
      <c r="H2750" s="34">
        <v>12</v>
      </c>
      <c r="I2750" s="34" t="s">
        <v>1072</v>
      </c>
      <c r="J2750" s="34" t="s">
        <v>1073</v>
      </c>
      <c r="K2750" s="34"/>
      <c r="L2750" s="34" t="s">
        <v>800</v>
      </c>
      <c r="M2750" s="27">
        <v>167.2</v>
      </c>
      <c r="N2750" s="298" t="s">
        <v>732</v>
      </c>
    </row>
    <row r="2751" spans="1:14" s="32" customFormat="1" ht="14.25" customHeight="1">
      <c r="A2751" s="26" t="s">
        <v>715</v>
      </c>
      <c r="B2751" s="36" t="s">
        <v>402</v>
      </c>
      <c r="C2751" s="215">
        <v>4008321677884</v>
      </c>
      <c r="D2751" s="215"/>
      <c r="E2751" s="215"/>
      <c r="F2751" s="258" t="s">
        <v>4098</v>
      </c>
      <c r="G2751" s="66" t="str">
        <f>HYPERLINK("https://ledvance.com/pt/product-datasheet/7297/123037","Ficha de Produto")</f>
        <v>Ficha de Produto</v>
      </c>
      <c r="H2751" s="34">
        <v>12</v>
      </c>
      <c r="I2751" s="34" t="s">
        <v>1071</v>
      </c>
      <c r="J2751" s="34" t="s">
        <v>1058</v>
      </c>
      <c r="K2751" s="34"/>
      <c r="L2751" s="34" t="s">
        <v>800</v>
      </c>
      <c r="M2751" s="27">
        <v>89.6</v>
      </c>
      <c r="N2751" s="298" t="s">
        <v>732</v>
      </c>
    </row>
    <row r="2752" spans="1:14" s="32" customFormat="1" ht="14.25" customHeight="1">
      <c r="A2752" s="26" t="s">
        <v>715</v>
      </c>
      <c r="B2752" s="36" t="s">
        <v>403</v>
      </c>
      <c r="C2752" s="215">
        <v>4008321528261</v>
      </c>
      <c r="D2752" s="215"/>
      <c r="E2752" s="215"/>
      <c r="F2752" s="258" t="s">
        <v>4098</v>
      </c>
      <c r="G2752" s="66" t="str">
        <f>HYPERLINK("https://ledvance.com/pt/product-datasheet/189786/89216","Ficha de Produto")</f>
        <v>Ficha de Produto</v>
      </c>
      <c r="H2752" s="34">
        <v>6</v>
      </c>
      <c r="I2752" s="34" t="s">
        <v>1075</v>
      </c>
      <c r="J2752" s="34" t="s">
        <v>1060</v>
      </c>
      <c r="K2752" s="34"/>
      <c r="L2752" s="34" t="s">
        <v>800</v>
      </c>
      <c r="M2752" s="27">
        <v>561</v>
      </c>
      <c r="N2752" s="298" t="s">
        <v>732</v>
      </c>
    </row>
    <row r="2753" spans="1:14" s="32" customFormat="1" ht="14.25" customHeight="1">
      <c r="A2753" s="26" t="s">
        <v>715</v>
      </c>
      <c r="B2753" s="36" t="s">
        <v>404</v>
      </c>
      <c r="C2753" s="215">
        <v>4008321356024</v>
      </c>
      <c r="D2753" s="215"/>
      <c r="E2753" s="215"/>
      <c r="F2753" s="258" t="s">
        <v>4098</v>
      </c>
      <c r="G2753" s="66" t="str">
        <f>HYPERLINK("https://ledvance.com/pt/product-datasheet/7307/46125","Ficha de Produto")</f>
        <v>Ficha de Produto</v>
      </c>
      <c r="H2753" s="34">
        <v>24</v>
      </c>
      <c r="I2753" s="34" t="s">
        <v>815</v>
      </c>
      <c r="J2753" s="34" t="s">
        <v>865</v>
      </c>
      <c r="K2753" s="34"/>
      <c r="L2753" s="34" t="s">
        <v>800</v>
      </c>
      <c r="M2753" s="1">
        <v>41.6</v>
      </c>
      <c r="N2753" s="297" t="s">
        <v>1132</v>
      </c>
    </row>
    <row r="2754" spans="1:14" s="32" customFormat="1" ht="14.25" customHeight="1">
      <c r="A2754" s="26" t="s">
        <v>715</v>
      </c>
      <c r="B2754" s="36" t="s">
        <v>405</v>
      </c>
      <c r="C2754" s="215">
        <v>4008321356048</v>
      </c>
      <c r="D2754" s="215"/>
      <c r="E2754" s="215"/>
      <c r="F2754" s="258" t="s">
        <v>4098</v>
      </c>
      <c r="G2754" s="66" t="str">
        <f>HYPERLINK("https://ledvance.com/pt/product-datasheet/7307/111548","Ficha de Produto")</f>
        <v>Ficha de Produto</v>
      </c>
      <c r="H2754" s="34">
        <v>24</v>
      </c>
      <c r="I2754" s="34" t="s">
        <v>851</v>
      </c>
      <c r="J2754" s="34" t="s">
        <v>866</v>
      </c>
      <c r="K2754" s="34"/>
      <c r="L2754" s="34" t="s">
        <v>800</v>
      </c>
      <c r="M2754" s="1">
        <v>41.6</v>
      </c>
      <c r="N2754" s="297" t="s">
        <v>1132</v>
      </c>
    </row>
    <row r="2755" spans="1:14" s="32" customFormat="1" ht="14.25" customHeight="1">
      <c r="A2755" s="26" t="s">
        <v>715</v>
      </c>
      <c r="B2755" s="36" t="s">
        <v>406</v>
      </c>
      <c r="C2755" s="215">
        <v>4050300015774</v>
      </c>
      <c r="D2755" s="215"/>
      <c r="E2755" s="215"/>
      <c r="F2755" s="258" t="s">
        <v>4098</v>
      </c>
      <c r="G2755" s="66" t="str">
        <f>HYPERLINK("https://ledvance.com/pt/product-datasheet/7307/70892","Ficha de Produto")</f>
        <v>Ficha de Produto</v>
      </c>
      <c r="H2755" s="34">
        <v>12</v>
      </c>
      <c r="I2755" s="34" t="s">
        <v>6442</v>
      </c>
      <c r="J2755" s="34" t="s">
        <v>898</v>
      </c>
      <c r="K2755" s="34"/>
      <c r="L2755" s="34" t="s">
        <v>800</v>
      </c>
      <c r="M2755" s="1">
        <v>49</v>
      </c>
      <c r="N2755" s="297" t="s">
        <v>1132</v>
      </c>
    </row>
    <row r="2756" spans="1:14" s="32" customFormat="1" ht="14.25" customHeight="1">
      <c r="A2756" s="26" t="s">
        <v>715</v>
      </c>
      <c r="B2756" s="36" t="s">
        <v>407</v>
      </c>
      <c r="C2756" s="215">
        <v>4052899418226</v>
      </c>
      <c r="D2756" s="215"/>
      <c r="E2756" s="215"/>
      <c r="F2756" s="258" t="s">
        <v>4098</v>
      </c>
      <c r="G2756" s="66" t="str">
        <f>HYPERLINK("https://ledvance.com/pt/product-datasheet/7307/83131","Ficha de Produto")</f>
        <v>Ficha de Produto</v>
      </c>
      <c r="H2756" s="34">
        <v>12</v>
      </c>
      <c r="I2756" s="34" t="s">
        <v>1078</v>
      </c>
      <c r="J2756" s="34" t="s">
        <v>900</v>
      </c>
      <c r="K2756" s="34"/>
      <c r="L2756" s="34" t="s">
        <v>800</v>
      </c>
      <c r="M2756" s="1">
        <v>49</v>
      </c>
      <c r="N2756" s="297" t="s">
        <v>1132</v>
      </c>
    </row>
    <row r="2757" spans="1:14" s="32" customFormat="1" ht="14.25" customHeight="1">
      <c r="A2757" s="26" t="s">
        <v>715</v>
      </c>
      <c r="B2757" s="36" t="s">
        <v>408</v>
      </c>
      <c r="C2757" s="215">
        <v>4050300024387</v>
      </c>
      <c r="D2757" s="215"/>
      <c r="E2757" s="215"/>
      <c r="F2757" s="258" t="s">
        <v>4098</v>
      </c>
      <c r="G2757" s="66" t="str">
        <f>HYPERLINK("https://ledvance.com/pt/product-datasheet/7307/103801","Ficha de Produto")</f>
        <v>Ficha de Produto</v>
      </c>
      <c r="H2757" s="34">
        <v>12</v>
      </c>
      <c r="I2757" s="34" t="s">
        <v>1076</v>
      </c>
      <c r="J2757" s="34" t="s">
        <v>971</v>
      </c>
      <c r="K2757" s="34"/>
      <c r="L2757" s="34" t="s">
        <v>800</v>
      </c>
      <c r="M2757" s="1">
        <v>64.099999999999994</v>
      </c>
      <c r="N2757" s="297" t="s">
        <v>1132</v>
      </c>
    </row>
    <row r="2758" spans="1:14" s="32" customFormat="1" ht="14.25" customHeight="1">
      <c r="A2758" s="26" t="s">
        <v>715</v>
      </c>
      <c r="B2758" s="36" t="s">
        <v>409</v>
      </c>
      <c r="C2758" s="215">
        <v>4050300024394</v>
      </c>
      <c r="D2758" s="215"/>
      <c r="E2758" s="215"/>
      <c r="F2758" s="258" t="s">
        <v>4098</v>
      </c>
      <c r="G2758" s="66" t="str">
        <f>HYPERLINK("https://ledvance.com/pt/product-datasheet/7307/30884","Ficha de Produto")</f>
        <v>Ficha de Produto</v>
      </c>
      <c r="H2758" s="34">
        <v>12</v>
      </c>
      <c r="I2758" s="34" t="s">
        <v>6443</v>
      </c>
      <c r="J2758" s="34" t="s">
        <v>1058</v>
      </c>
      <c r="K2758" s="34"/>
      <c r="L2758" s="34" t="s">
        <v>800</v>
      </c>
      <c r="M2758" s="1">
        <v>75.5</v>
      </c>
      <c r="N2758" s="297" t="s">
        <v>1132</v>
      </c>
    </row>
    <row r="2759" spans="1:14" s="32" customFormat="1" ht="14.25" customHeight="1">
      <c r="A2759" s="26" t="s">
        <v>715</v>
      </c>
      <c r="B2759" s="36" t="s">
        <v>410</v>
      </c>
      <c r="C2759" s="215">
        <v>4050300015750</v>
      </c>
      <c r="D2759" s="215"/>
      <c r="E2759" s="215"/>
      <c r="F2759" s="258" t="s">
        <v>4098</v>
      </c>
      <c r="G2759" s="66" t="str">
        <f>HYPERLINK("https://ledvance.com/pt/product-datasheet/7310/85384","Ficha de Produto")</f>
        <v>Ficha de Produto</v>
      </c>
      <c r="H2759" s="34">
        <v>24</v>
      </c>
      <c r="I2759" s="34" t="s">
        <v>847</v>
      </c>
      <c r="J2759" s="34" t="s">
        <v>865</v>
      </c>
      <c r="K2759" s="34"/>
      <c r="L2759" s="34" t="s">
        <v>800</v>
      </c>
      <c r="M2759" s="1">
        <v>37.700000000000003</v>
      </c>
      <c r="N2759" s="297" t="s">
        <v>1132</v>
      </c>
    </row>
    <row r="2760" spans="1:14" s="32" customFormat="1" ht="14.25" customHeight="1">
      <c r="A2760" s="26" t="s">
        <v>715</v>
      </c>
      <c r="B2760" s="36" t="s">
        <v>411</v>
      </c>
      <c r="C2760" s="215">
        <v>4050300015767</v>
      </c>
      <c r="D2760" s="215"/>
      <c r="E2760" s="215"/>
      <c r="F2760" s="258" t="s">
        <v>4098</v>
      </c>
      <c r="G2760" s="66" t="str">
        <f>HYPERLINK("https://ledvance.com/pt/product-datasheet/7310/50111","Ficha de Produto")</f>
        <v>Ficha de Produto</v>
      </c>
      <c r="H2760" s="34">
        <v>24</v>
      </c>
      <c r="I2760" s="34" t="s">
        <v>1079</v>
      </c>
      <c r="J2760" s="34" t="s">
        <v>866</v>
      </c>
      <c r="K2760" s="34"/>
      <c r="L2760" s="34" t="s">
        <v>800</v>
      </c>
      <c r="M2760" s="1">
        <v>37.700000000000003</v>
      </c>
      <c r="N2760" s="297" t="s">
        <v>1132</v>
      </c>
    </row>
    <row r="2761" spans="1:14" s="32" customFormat="1" ht="14.25" customHeight="1">
      <c r="A2761" s="26" t="s">
        <v>715</v>
      </c>
      <c r="B2761" s="36" t="s">
        <v>412</v>
      </c>
      <c r="C2761" s="215">
        <v>4050300015583</v>
      </c>
      <c r="D2761" s="215"/>
      <c r="E2761" s="215"/>
      <c r="F2761" s="258" t="s">
        <v>4098</v>
      </c>
      <c r="G2761" s="66" t="str">
        <f>HYPERLINK("https://ledvance.com/pt/product-datasheet/7311/107756","Ficha de Produto")</f>
        <v>Ficha de Produto</v>
      </c>
      <c r="H2761" s="34">
        <v>24</v>
      </c>
      <c r="I2761" s="34" t="s">
        <v>847</v>
      </c>
      <c r="J2761" s="34" t="s">
        <v>865</v>
      </c>
      <c r="K2761" s="34"/>
      <c r="L2761" s="34" t="s">
        <v>800</v>
      </c>
      <c r="M2761" s="1">
        <v>37.700000000000003</v>
      </c>
      <c r="N2761" s="297" t="s">
        <v>1132</v>
      </c>
    </row>
    <row r="2762" spans="1:14" s="32" customFormat="1" ht="14.25" customHeight="1">
      <c r="A2762" s="26" t="s">
        <v>715</v>
      </c>
      <c r="B2762" s="36" t="s">
        <v>413</v>
      </c>
      <c r="C2762" s="215">
        <v>4050300015590</v>
      </c>
      <c r="D2762" s="215"/>
      <c r="E2762" s="215"/>
      <c r="F2762" s="258" t="s">
        <v>4098</v>
      </c>
      <c r="G2762" s="66" t="str">
        <f>HYPERLINK("https://ledvance.com/pt/product-datasheet/7311/107762","Ficha de Produto")</f>
        <v>Ficha de Produto</v>
      </c>
      <c r="H2762" s="34">
        <v>24</v>
      </c>
      <c r="I2762" s="34" t="s">
        <v>1079</v>
      </c>
      <c r="J2762" s="34" t="s">
        <v>866</v>
      </c>
      <c r="K2762" s="34"/>
      <c r="L2762" s="34" t="s">
        <v>800</v>
      </c>
      <c r="M2762" s="1">
        <v>37.700000000000003</v>
      </c>
      <c r="N2762" s="297" t="s">
        <v>1132</v>
      </c>
    </row>
    <row r="2763" spans="1:14" s="32" customFormat="1" ht="14.25" customHeight="1">
      <c r="A2763" s="26" t="s">
        <v>715</v>
      </c>
      <c r="B2763" s="36" t="s">
        <v>414</v>
      </c>
      <c r="C2763" s="215">
        <v>4008321345462</v>
      </c>
      <c r="D2763" s="215"/>
      <c r="E2763" s="215"/>
      <c r="F2763" s="258" t="s">
        <v>4098</v>
      </c>
      <c r="G2763" s="66" t="str">
        <f>HYPERLINK("https://ledvance.com/pt/product-datasheet/7312/90607","Ficha de Produto")</f>
        <v>Ficha de Produto</v>
      </c>
      <c r="H2763" s="34">
        <v>24</v>
      </c>
      <c r="I2763" s="34" t="s">
        <v>878</v>
      </c>
      <c r="J2763" s="34" t="s">
        <v>1174</v>
      </c>
      <c r="K2763" s="34"/>
      <c r="L2763" s="34" t="s">
        <v>800</v>
      </c>
      <c r="M2763" s="1">
        <v>48</v>
      </c>
      <c r="N2763" s="297" t="s">
        <v>1132</v>
      </c>
    </row>
    <row r="2764" spans="1:14" s="32" customFormat="1" ht="14.25" customHeight="1">
      <c r="A2764" s="26" t="s">
        <v>715</v>
      </c>
      <c r="B2764" s="36" t="s">
        <v>415</v>
      </c>
      <c r="C2764" s="215">
        <v>4052899415379</v>
      </c>
      <c r="D2764" s="215"/>
      <c r="E2764" s="215"/>
      <c r="F2764" s="258" t="s">
        <v>4098</v>
      </c>
      <c r="G2764" s="66" t="str">
        <f>HYPERLINK("https://ledvance.com/pt/product-datasheet/7315/30996","Ficha de Produto")</f>
        <v>Ficha de Produto</v>
      </c>
      <c r="H2764" s="34">
        <v>12</v>
      </c>
      <c r="I2764" s="34" t="s">
        <v>817</v>
      </c>
      <c r="J2764" s="34" t="s">
        <v>865</v>
      </c>
      <c r="K2764" s="34"/>
      <c r="L2764" s="34" t="s">
        <v>800</v>
      </c>
      <c r="M2764" s="1">
        <v>41.6</v>
      </c>
      <c r="N2764" s="297" t="s">
        <v>1132</v>
      </c>
    </row>
    <row r="2765" spans="1:14" s="32" customFormat="1" ht="14.25" customHeight="1">
      <c r="A2765" s="26" t="s">
        <v>715</v>
      </c>
      <c r="B2765" s="36" t="s">
        <v>416</v>
      </c>
      <c r="C2765" s="215">
        <v>4052899415416</v>
      </c>
      <c r="D2765" s="215"/>
      <c r="E2765" s="215"/>
      <c r="F2765" s="258" t="s">
        <v>4098</v>
      </c>
      <c r="G2765" s="66" t="str">
        <f>HYPERLINK("https://ledvance.com/pt/product-datasheet/7315/44617","Ficha de Produto")</f>
        <v>Ficha de Produto</v>
      </c>
      <c r="H2765" s="34">
        <v>12</v>
      </c>
      <c r="I2765" s="34" t="s">
        <v>873</v>
      </c>
      <c r="J2765" s="34" t="s">
        <v>866</v>
      </c>
      <c r="K2765" s="34"/>
      <c r="L2765" s="34" t="s">
        <v>800</v>
      </c>
      <c r="M2765" s="1">
        <v>41.6</v>
      </c>
      <c r="N2765" s="297" t="s">
        <v>1132</v>
      </c>
    </row>
    <row r="2766" spans="1:14" s="32" customFormat="1" ht="14.25" customHeight="1">
      <c r="A2766" s="26" t="s">
        <v>715</v>
      </c>
      <c r="B2766" s="36" t="s">
        <v>417</v>
      </c>
      <c r="C2766" s="215">
        <v>4050300015743</v>
      </c>
      <c r="D2766" s="215"/>
      <c r="E2766" s="215"/>
      <c r="F2766" s="258" t="s">
        <v>4098</v>
      </c>
      <c r="G2766" s="66" t="str">
        <f>HYPERLINK("https://ledvance.com/pt/product-datasheet/7315/88921","Ficha de Produto")</f>
        <v>Ficha de Produto</v>
      </c>
      <c r="H2766" s="34">
        <v>12</v>
      </c>
      <c r="I2766" s="34" t="s">
        <v>1080</v>
      </c>
      <c r="J2766" s="34" t="s">
        <v>898</v>
      </c>
      <c r="K2766" s="34"/>
      <c r="L2766" s="34" t="s">
        <v>800</v>
      </c>
      <c r="M2766" s="1">
        <v>49</v>
      </c>
      <c r="N2766" s="297" t="s">
        <v>1132</v>
      </c>
    </row>
    <row r="2767" spans="1:14" s="32" customFormat="1" ht="14.25" customHeight="1">
      <c r="A2767" s="26" t="s">
        <v>715</v>
      </c>
      <c r="B2767" s="36" t="s">
        <v>418</v>
      </c>
      <c r="C2767" s="215">
        <v>4050300024400</v>
      </c>
      <c r="D2767" s="215"/>
      <c r="E2767" s="215"/>
      <c r="F2767" s="258" t="s">
        <v>4098</v>
      </c>
      <c r="G2767" s="66" t="str">
        <f>HYPERLINK("https://ledvance.com/pt/product-datasheet/7315/88927","Ficha de Produto")</f>
        <v>Ficha de Produto</v>
      </c>
      <c r="H2767" s="34">
        <v>12</v>
      </c>
      <c r="I2767" s="34" t="s">
        <v>1082</v>
      </c>
      <c r="J2767" s="34" t="s">
        <v>900</v>
      </c>
      <c r="K2767" s="34"/>
      <c r="L2767" s="34" t="s">
        <v>800</v>
      </c>
      <c r="M2767" s="1">
        <v>49</v>
      </c>
      <c r="N2767" s="297" t="s">
        <v>1132</v>
      </c>
    </row>
    <row r="2768" spans="1:14" s="32" customFormat="1" ht="14.25" customHeight="1">
      <c r="A2768" s="26" t="s">
        <v>715</v>
      </c>
      <c r="B2768" s="36" t="s">
        <v>419</v>
      </c>
      <c r="C2768" s="215">
        <v>4050300024417</v>
      </c>
      <c r="D2768" s="215"/>
      <c r="E2768" s="215"/>
      <c r="F2768" s="258" t="s">
        <v>4098</v>
      </c>
      <c r="G2768" s="66" t="str">
        <f>HYPERLINK("https://ledvance.com/pt/product-datasheet/7315/44654","Ficha de Produto")</f>
        <v>Ficha de Produto</v>
      </c>
      <c r="H2768" s="34">
        <v>12</v>
      </c>
      <c r="I2768" s="34" t="s">
        <v>6444</v>
      </c>
      <c r="J2768" s="34" t="s">
        <v>971</v>
      </c>
      <c r="K2768" s="34"/>
      <c r="L2768" s="34" t="s">
        <v>800</v>
      </c>
      <c r="M2768" s="1">
        <v>64.099999999999994</v>
      </c>
      <c r="N2768" s="297" t="s">
        <v>1132</v>
      </c>
    </row>
    <row r="2769" spans="1:14" s="32" customFormat="1" ht="14.25" customHeight="1">
      <c r="A2769" s="26" t="s">
        <v>715</v>
      </c>
      <c r="B2769" s="36" t="s">
        <v>420</v>
      </c>
      <c r="C2769" s="215">
        <v>4050300281179</v>
      </c>
      <c r="D2769" s="215"/>
      <c r="E2769" s="215"/>
      <c r="F2769" s="258" t="s">
        <v>4098</v>
      </c>
      <c r="G2769" s="66" t="str">
        <f>HYPERLINK("https://ledvance.com/pt/product-datasheet/7315/49813","Ficha de Produto")</f>
        <v>Ficha de Produto</v>
      </c>
      <c r="H2769" s="34">
        <v>12</v>
      </c>
      <c r="I2769" s="34" t="s">
        <v>6443</v>
      </c>
      <c r="J2769" s="34" t="s">
        <v>1058</v>
      </c>
      <c r="K2769" s="34"/>
      <c r="L2769" s="34" t="s">
        <v>800</v>
      </c>
      <c r="M2769" s="1">
        <v>75.5</v>
      </c>
      <c r="N2769" s="297" t="s">
        <v>1132</v>
      </c>
    </row>
    <row r="2770" spans="1:14" s="32" customFormat="1" ht="14.25" customHeight="1">
      <c r="A2770" s="26" t="s">
        <v>715</v>
      </c>
      <c r="B2770" s="36" t="s">
        <v>421</v>
      </c>
      <c r="C2770" s="215">
        <v>4050300275772</v>
      </c>
      <c r="D2770" s="215"/>
      <c r="E2770" s="215"/>
      <c r="F2770" s="258" t="s">
        <v>4098</v>
      </c>
      <c r="G2770" s="66" t="str">
        <f>HYPERLINK("https://ledvance.com/pt/product-datasheet/189487/30874","Ficha de Produto")</f>
        <v>Ficha de Produto</v>
      </c>
      <c r="H2770" s="34">
        <v>12</v>
      </c>
      <c r="I2770" s="34" t="s">
        <v>1059</v>
      </c>
      <c r="J2770" s="34" t="s">
        <v>1081</v>
      </c>
      <c r="K2770" s="34"/>
      <c r="L2770" s="34" t="s">
        <v>800</v>
      </c>
      <c r="M2770" s="1">
        <v>124.1</v>
      </c>
      <c r="N2770" s="297" t="s">
        <v>1132</v>
      </c>
    </row>
    <row r="2771" spans="1:14" s="32" customFormat="1" ht="14.25" customHeight="1">
      <c r="A2771" s="26" t="s">
        <v>715</v>
      </c>
      <c r="B2771" s="36" t="s">
        <v>422</v>
      </c>
      <c r="C2771" s="215">
        <v>4050300251417</v>
      </c>
      <c r="D2771" s="215"/>
      <c r="E2771" s="215"/>
      <c r="F2771" s="258" t="s">
        <v>4098</v>
      </c>
      <c r="G2771" s="66" t="str">
        <f>HYPERLINK("https://ledvance.com/pt/product-datasheet/7318/85526","Ficha de Produto")</f>
        <v>Ficha de Produto</v>
      </c>
      <c r="H2771" s="34">
        <v>12</v>
      </c>
      <c r="I2771" s="34" t="s">
        <v>1083</v>
      </c>
      <c r="J2771" s="34" t="s">
        <v>1060</v>
      </c>
      <c r="K2771" s="34"/>
      <c r="L2771" s="34" t="s">
        <v>800</v>
      </c>
      <c r="M2771" s="1">
        <v>260.60000000000002</v>
      </c>
      <c r="N2771" s="297" t="s">
        <v>1132</v>
      </c>
    </row>
    <row r="2772" spans="1:14" s="32" customFormat="1" ht="14.25" customHeight="1">
      <c r="A2772" s="26" t="s">
        <v>715</v>
      </c>
      <c r="B2772" s="36" t="s">
        <v>423</v>
      </c>
      <c r="C2772" s="215">
        <v>4008321240620</v>
      </c>
      <c r="D2772" s="215"/>
      <c r="E2772" s="215"/>
      <c r="F2772" s="258" t="s">
        <v>4098</v>
      </c>
      <c r="G2772" s="66" t="str">
        <f>HYPERLINK("https://ledvance.com/pt/product-datasheet/7322/106795","Ficha de Produto")</f>
        <v>Ficha de Produto</v>
      </c>
      <c r="H2772" s="34">
        <v>12</v>
      </c>
      <c r="I2772" s="34" t="s">
        <v>1092</v>
      </c>
      <c r="J2772" s="34" t="s">
        <v>971</v>
      </c>
      <c r="K2772" s="34"/>
      <c r="L2772" s="34" t="s">
        <v>800</v>
      </c>
      <c r="M2772" s="1">
        <v>88.699999999999989</v>
      </c>
      <c r="N2772" s="297" t="s">
        <v>1132</v>
      </c>
    </row>
    <row r="2773" spans="1:14" s="32" customFormat="1" ht="14.25" customHeight="1">
      <c r="A2773" s="26" t="s">
        <v>715</v>
      </c>
      <c r="B2773" s="36" t="s">
        <v>424</v>
      </c>
      <c r="C2773" s="215">
        <v>4050300620084</v>
      </c>
      <c r="D2773" s="215"/>
      <c r="E2773" s="215"/>
      <c r="F2773" s="258" t="s">
        <v>4098</v>
      </c>
      <c r="G2773" s="66" t="str">
        <f>HYPERLINK("https://ledvance.com/pt/product-datasheet/7322/30709","Ficha de Produto")</f>
        <v>Ficha de Produto</v>
      </c>
      <c r="H2773" s="34">
        <v>12</v>
      </c>
      <c r="I2773" s="34" t="s">
        <v>6443</v>
      </c>
      <c r="J2773" s="34" t="s">
        <v>1058</v>
      </c>
      <c r="K2773" s="34"/>
      <c r="L2773" s="34" t="s">
        <v>800</v>
      </c>
      <c r="M2773" s="1">
        <v>88.699999999999989</v>
      </c>
      <c r="N2773" s="297" t="s">
        <v>1132</v>
      </c>
    </row>
    <row r="2774" spans="1:14" s="32" customFormat="1" ht="14.25" customHeight="1">
      <c r="A2774" s="26" t="s">
        <v>715</v>
      </c>
      <c r="B2774" s="36" t="s">
        <v>425</v>
      </c>
      <c r="C2774" s="215">
        <v>4008321284303</v>
      </c>
      <c r="D2774" s="215"/>
      <c r="E2774" s="215"/>
      <c r="F2774" s="258" t="s">
        <v>4098</v>
      </c>
      <c r="G2774" s="66" t="str">
        <f>HYPERLINK("https://ledvance.com/pt/product-datasheet/7322/30189","Ficha de Produto")</f>
        <v>Ficha de Produto</v>
      </c>
      <c r="H2774" s="34">
        <v>12</v>
      </c>
      <c r="I2774" s="34" t="s">
        <v>6445</v>
      </c>
      <c r="J2774" s="34" t="s">
        <v>1081</v>
      </c>
      <c r="K2774" s="34"/>
      <c r="L2774" s="34" t="s">
        <v>800</v>
      </c>
      <c r="M2774" s="1">
        <v>142.79999999999998</v>
      </c>
      <c r="N2774" s="297" t="s">
        <v>1132</v>
      </c>
    </row>
    <row r="2775" spans="1:14" s="32" customFormat="1" ht="14.25" customHeight="1">
      <c r="A2775" s="26" t="s">
        <v>715</v>
      </c>
      <c r="B2775" s="36" t="s">
        <v>426</v>
      </c>
      <c r="C2775" s="215">
        <v>4050300620107</v>
      </c>
      <c r="D2775" s="215"/>
      <c r="E2775" s="215"/>
      <c r="F2775" s="258" t="s">
        <v>4098</v>
      </c>
      <c r="G2775" s="66" t="str">
        <f>HYPERLINK("https://ledvance.com/pt/product-datasheet/7322/31366","Ficha de Produto")</f>
        <v>Ficha de Produto</v>
      </c>
      <c r="H2775" s="34">
        <v>12</v>
      </c>
      <c r="I2775" s="34" t="s">
        <v>1059</v>
      </c>
      <c r="J2775" s="34" t="s">
        <v>1081</v>
      </c>
      <c r="K2775" s="34"/>
      <c r="L2775" s="34" t="s">
        <v>800</v>
      </c>
      <c r="M2775" s="1">
        <v>142.79999999999998</v>
      </c>
      <c r="N2775" s="297" t="s">
        <v>1132</v>
      </c>
    </row>
    <row r="2776" spans="1:14" s="32" customFormat="1" ht="14.25" customHeight="1">
      <c r="A2776" s="25" t="s">
        <v>715</v>
      </c>
      <c r="B2776" s="276" t="s">
        <v>734</v>
      </c>
      <c r="C2776" s="7"/>
      <c r="D2776" s="7"/>
      <c r="E2776" s="7"/>
      <c r="F2776" s="7"/>
      <c r="G2776" s="68" t="s">
        <v>6505</v>
      </c>
      <c r="H2776" s="7"/>
      <c r="I2776" s="7"/>
      <c r="J2776" s="7"/>
      <c r="K2776" s="7"/>
      <c r="L2776" s="7"/>
      <c r="M2776" s="248"/>
      <c r="N2776" s="284"/>
    </row>
    <row r="2777" spans="1:14" s="32" customFormat="1" ht="14.25" customHeight="1">
      <c r="A2777" s="26" t="s">
        <v>715</v>
      </c>
      <c r="B2777" s="36" t="s">
        <v>427</v>
      </c>
      <c r="C2777" s="215">
        <v>4008321945273</v>
      </c>
      <c r="D2777" s="215"/>
      <c r="E2777" s="215"/>
      <c r="F2777" s="258" t="s">
        <v>4098</v>
      </c>
      <c r="G2777" s="66" t="str">
        <f>HYPERLINK("https://ledvance.com/pt/product-datasheet/7102/124302","Ficha de Produto")</f>
        <v>Ficha de Produto</v>
      </c>
      <c r="H2777" s="34">
        <v>20</v>
      </c>
      <c r="I2777" s="34" t="s">
        <v>1086</v>
      </c>
      <c r="J2777" s="34" t="s">
        <v>775</v>
      </c>
      <c r="K2777" s="34"/>
      <c r="L2777" s="34" t="s">
        <v>800</v>
      </c>
      <c r="M2777" s="1">
        <v>11</v>
      </c>
      <c r="N2777" s="297" t="s">
        <v>1132</v>
      </c>
    </row>
    <row r="2778" spans="1:14" s="32" customFormat="1" ht="14.25" customHeight="1">
      <c r="A2778" s="26" t="s">
        <v>715</v>
      </c>
      <c r="B2778" s="36" t="s">
        <v>428</v>
      </c>
      <c r="C2778" s="215">
        <v>4008321208668</v>
      </c>
      <c r="D2778" s="215"/>
      <c r="E2778" s="215"/>
      <c r="F2778" s="258" t="s">
        <v>4098</v>
      </c>
      <c r="G2778" s="66" t="str">
        <f>HYPERLINK("https://ledvance.com/pt/product-datasheet/7102/105273","Ficha de Produto")</f>
        <v>Ficha de Produto</v>
      </c>
      <c r="H2778" s="34">
        <v>200</v>
      </c>
      <c r="I2778" s="34" t="s">
        <v>1087</v>
      </c>
      <c r="J2778" s="34" t="s">
        <v>784</v>
      </c>
      <c r="K2778" s="34"/>
      <c r="L2778" s="34" t="s">
        <v>800</v>
      </c>
      <c r="M2778" s="1">
        <v>11</v>
      </c>
      <c r="N2778" s="297" t="s">
        <v>1132</v>
      </c>
    </row>
    <row r="2779" spans="1:14" s="32" customFormat="1" ht="14.25" customHeight="1">
      <c r="A2779" s="26" t="s">
        <v>715</v>
      </c>
      <c r="B2779" s="36" t="s">
        <v>429</v>
      </c>
      <c r="C2779" s="215">
        <v>4008321945334</v>
      </c>
      <c r="D2779" s="215"/>
      <c r="E2779" s="215"/>
      <c r="F2779" s="258" t="s">
        <v>4098</v>
      </c>
      <c r="G2779" s="66" t="str">
        <f>HYPERLINK("https://ledvance.com/pt/product-datasheet/7102/88740","Ficha de Produto")</f>
        <v>Ficha de Produto</v>
      </c>
      <c r="H2779" s="34">
        <v>20</v>
      </c>
      <c r="I2779" s="34" t="s">
        <v>1088</v>
      </c>
      <c r="J2779" s="34" t="s">
        <v>865</v>
      </c>
      <c r="K2779" s="34"/>
      <c r="L2779" s="34" t="s">
        <v>800</v>
      </c>
      <c r="M2779" s="1">
        <v>11</v>
      </c>
      <c r="N2779" s="297" t="s">
        <v>1132</v>
      </c>
    </row>
    <row r="2780" spans="1:14" s="32" customFormat="1" ht="14.25" customHeight="1">
      <c r="A2780" s="26" t="s">
        <v>715</v>
      </c>
      <c r="B2780" s="36" t="s">
        <v>430</v>
      </c>
      <c r="C2780" s="215">
        <v>4008321945372</v>
      </c>
      <c r="D2780" s="215"/>
      <c r="E2780" s="215"/>
      <c r="F2780" s="258" t="s">
        <v>4098</v>
      </c>
      <c r="G2780" s="66" t="str">
        <f>HYPERLINK("https://ledvance.com/pt/product-datasheet/7102/88748","Ficha de Produto")</f>
        <v>Ficha de Produto</v>
      </c>
      <c r="H2780" s="34">
        <v>20</v>
      </c>
      <c r="I2780" s="34" t="s">
        <v>1089</v>
      </c>
      <c r="J2780" s="34" t="s">
        <v>852</v>
      </c>
      <c r="K2780" s="34"/>
      <c r="L2780" s="34" t="s">
        <v>800</v>
      </c>
      <c r="M2780" s="1">
        <v>11</v>
      </c>
      <c r="N2780" s="297" t="s">
        <v>1132</v>
      </c>
    </row>
    <row r="2781" spans="1:14" s="32" customFormat="1" ht="14.25" customHeight="1">
      <c r="A2781" s="26" t="s">
        <v>715</v>
      </c>
      <c r="B2781" s="36" t="s">
        <v>735</v>
      </c>
      <c r="C2781" s="215">
        <v>4008321703552</v>
      </c>
      <c r="D2781" s="215"/>
      <c r="E2781" s="215"/>
      <c r="F2781" s="258" t="s">
        <v>4098</v>
      </c>
      <c r="G2781" s="66" t="str">
        <f>HYPERLINK("https://ledvance.com/pt/product-datasheet/7106/109415","Ficha de Produto")</f>
        <v>Ficha de Produto</v>
      </c>
      <c r="H2781" s="34">
        <v>20</v>
      </c>
      <c r="I2781" s="34" t="s">
        <v>1084</v>
      </c>
      <c r="J2781" s="34" t="s">
        <v>781</v>
      </c>
      <c r="K2781" s="34"/>
      <c r="L2781" s="34" t="s">
        <v>800</v>
      </c>
      <c r="M2781" s="27">
        <v>9</v>
      </c>
      <c r="N2781" s="298" t="s">
        <v>732</v>
      </c>
    </row>
    <row r="2782" spans="1:14" s="32" customFormat="1" ht="14.25" customHeight="1">
      <c r="A2782" s="26" t="s">
        <v>715</v>
      </c>
      <c r="B2782" s="36" t="s">
        <v>736</v>
      </c>
      <c r="C2782" s="215">
        <v>4008321703576</v>
      </c>
      <c r="D2782" s="215"/>
      <c r="E2782" s="215"/>
      <c r="F2782" s="258" t="s">
        <v>4098</v>
      </c>
      <c r="G2782" s="66" t="str">
        <f>HYPERLINK("https://ledvance.com/pt/product-datasheet/7106/109421","Ficha de Produto")</f>
        <v>Ficha de Produto</v>
      </c>
      <c r="H2782" s="34">
        <v>20</v>
      </c>
      <c r="I2782" s="34" t="s">
        <v>1085</v>
      </c>
      <c r="J2782" s="34" t="s">
        <v>888</v>
      </c>
      <c r="K2782" s="34"/>
      <c r="L2782" s="34" t="s">
        <v>800</v>
      </c>
      <c r="M2782" s="27">
        <v>9</v>
      </c>
      <c r="N2782" s="298" t="s">
        <v>732</v>
      </c>
    </row>
    <row r="2783" spans="1:14" s="32" customFormat="1" ht="14.25" customHeight="1">
      <c r="A2783" s="26" t="s">
        <v>715</v>
      </c>
      <c r="B2783" s="36" t="s">
        <v>431</v>
      </c>
      <c r="C2783" s="215">
        <v>4008321977595</v>
      </c>
      <c r="D2783" s="215"/>
      <c r="E2783" s="215"/>
      <c r="F2783" s="258" t="s">
        <v>4098</v>
      </c>
      <c r="G2783" s="66" t="str">
        <f>HYPERLINK("https://ledvance.com/pt/product-datasheet/7124/110555","Ficha de Produto")</f>
        <v>Ficha de Produto</v>
      </c>
      <c r="H2783" s="34">
        <v>20</v>
      </c>
      <c r="I2783" s="34" t="s">
        <v>6334</v>
      </c>
      <c r="J2783" s="34" t="s">
        <v>842</v>
      </c>
      <c r="K2783" s="34"/>
      <c r="L2783" s="34" t="s">
        <v>800</v>
      </c>
      <c r="M2783" s="1">
        <v>19.399999999999999</v>
      </c>
      <c r="N2783" s="297" t="s">
        <v>1132</v>
      </c>
    </row>
    <row r="2784" spans="1:14" s="32" customFormat="1" ht="14.25" customHeight="1">
      <c r="A2784" s="26" t="s">
        <v>715</v>
      </c>
      <c r="B2784" s="36" t="s">
        <v>432</v>
      </c>
      <c r="C2784" s="215">
        <v>4008321928078</v>
      </c>
      <c r="D2784" s="215"/>
      <c r="E2784" s="215"/>
      <c r="F2784" s="258" t="s">
        <v>4098</v>
      </c>
      <c r="G2784" s="66" t="str">
        <f>HYPERLINK("https://ledvance.com/pt/product-datasheet/7124/93542","Ficha de Produto")</f>
        <v>Ficha de Produto</v>
      </c>
      <c r="H2784" s="34">
        <v>20</v>
      </c>
      <c r="I2784" s="34" t="s">
        <v>6446</v>
      </c>
      <c r="J2784" s="34" t="s">
        <v>892</v>
      </c>
      <c r="K2784" s="34"/>
      <c r="L2784" s="34" t="s">
        <v>800</v>
      </c>
      <c r="M2784" s="1">
        <v>19.399999999999999</v>
      </c>
      <c r="N2784" s="297" t="s">
        <v>1132</v>
      </c>
    </row>
    <row r="2785" spans="1:14" s="32" customFormat="1" ht="14.25" customHeight="1">
      <c r="A2785" s="26" t="s">
        <v>715</v>
      </c>
      <c r="B2785" s="36" t="s">
        <v>433</v>
      </c>
      <c r="C2785" s="215">
        <v>4008321928092</v>
      </c>
      <c r="D2785" s="215"/>
      <c r="E2785" s="215"/>
      <c r="F2785" s="258" t="s">
        <v>4098</v>
      </c>
      <c r="G2785" s="66" t="str">
        <f>HYPERLINK("https://ledvance.com/pt/product-datasheet/7124/91390","Ficha de Produto")</f>
        <v>Ficha de Produto</v>
      </c>
      <c r="H2785" s="34">
        <v>20</v>
      </c>
      <c r="I2785" s="34" t="s">
        <v>6447</v>
      </c>
      <c r="J2785" s="34" t="s">
        <v>949</v>
      </c>
      <c r="K2785" s="34"/>
      <c r="L2785" s="34" t="s">
        <v>800</v>
      </c>
      <c r="M2785" s="1">
        <v>19.399999999999999</v>
      </c>
      <c r="N2785" s="297" t="s">
        <v>1132</v>
      </c>
    </row>
    <row r="2786" spans="1:14" s="32" customFormat="1" ht="14.25" customHeight="1">
      <c r="A2786" s="26" t="s">
        <v>715</v>
      </c>
      <c r="B2786" s="36" t="s">
        <v>434</v>
      </c>
      <c r="C2786" s="215">
        <v>4050300004167</v>
      </c>
      <c r="D2786" s="215"/>
      <c r="E2786" s="215"/>
      <c r="F2786" s="258" t="s">
        <v>4098</v>
      </c>
      <c r="G2786" s="66" t="str">
        <f>HYPERLINK("https://ledvance.com/pt/product-datasheet/7126/87323","Ficha de Produto")</f>
        <v>Ficha de Produto</v>
      </c>
      <c r="H2786" s="34">
        <v>12</v>
      </c>
      <c r="I2786" s="34" t="s">
        <v>933</v>
      </c>
      <c r="J2786" s="34" t="s">
        <v>1091</v>
      </c>
      <c r="K2786" s="34"/>
      <c r="L2786" s="34" t="s">
        <v>800</v>
      </c>
      <c r="M2786" s="1">
        <v>34.799999999999997</v>
      </c>
      <c r="N2786" s="297" t="s">
        <v>1132</v>
      </c>
    </row>
    <row r="2787" spans="1:14" s="32" customFormat="1" ht="14.25" customHeight="1">
      <c r="A2787" s="26" t="s">
        <v>715</v>
      </c>
      <c r="B2787" s="36" t="s">
        <v>435</v>
      </c>
      <c r="C2787" s="215">
        <v>4050300004174</v>
      </c>
      <c r="D2787" s="215"/>
      <c r="E2787" s="215"/>
      <c r="F2787" s="258" t="s">
        <v>4098</v>
      </c>
      <c r="G2787" s="66" t="str">
        <f>HYPERLINK("https://ledvance.com/pt/product-datasheet/7126/89514","Ficha de Produto")</f>
        <v>Ficha de Produto</v>
      </c>
      <c r="H2787" s="34">
        <v>12</v>
      </c>
      <c r="I2787" s="34" t="s">
        <v>6448</v>
      </c>
      <c r="J2787" s="34" t="s">
        <v>6441</v>
      </c>
      <c r="K2787" s="34"/>
      <c r="L2787" s="34" t="s">
        <v>800</v>
      </c>
      <c r="M2787" s="1">
        <v>35.200000000000003</v>
      </c>
      <c r="N2787" s="297" t="s">
        <v>1132</v>
      </c>
    </row>
    <row r="2788" spans="1:14" s="32" customFormat="1" ht="14.25" customHeight="1">
      <c r="A2788" s="26" t="s">
        <v>715</v>
      </c>
      <c r="B2788" s="36" t="s">
        <v>436</v>
      </c>
      <c r="C2788" s="215">
        <v>4050300209906</v>
      </c>
      <c r="D2788" s="215"/>
      <c r="E2788" s="215"/>
      <c r="F2788" s="258" t="s">
        <v>4098</v>
      </c>
      <c r="G2788" s="66" t="str">
        <f>HYPERLINK("https://ledvance.com/pt/product-datasheet/7126/89523","Ficha de Produto")</f>
        <v>Ficha de Produto</v>
      </c>
      <c r="H2788" s="34">
        <v>12</v>
      </c>
      <c r="I2788" s="34" t="s">
        <v>925</v>
      </c>
      <c r="J2788" s="34" t="s">
        <v>6441</v>
      </c>
      <c r="K2788" s="34"/>
      <c r="L2788" s="34" t="s">
        <v>800</v>
      </c>
      <c r="M2788" s="1">
        <v>37.799999999999997</v>
      </c>
      <c r="N2788" s="297" t="s">
        <v>1132</v>
      </c>
    </row>
    <row r="2789" spans="1:14" s="32" customFormat="1" ht="14.25" customHeight="1">
      <c r="A2789" s="26" t="s">
        <v>715</v>
      </c>
      <c r="B2789" s="36" t="s">
        <v>437</v>
      </c>
      <c r="C2789" s="215">
        <v>4050300004181</v>
      </c>
      <c r="D2789" s="215"/>
      <c r="E2789" s="215"/>
      <c r="F2789" s="258" t="s">
        <v>4098</v>
      </c>
      <c r="G2789" s="66" t="str">
        <f>HYPERLINK("https://ledvance.com/pt/product-datasheet/7126/89520","Ficha de Produto")</f>
        <v>Ficha de Produto</v>
      </c>
      <c r="H2789" s="34">
        <v>12</v>
      </c>
      <c r="I2789" s="34" t="s">
        <v>6449</v>
      </c>
      <c r="J2789" s="34" t="s">
        <v>6450</v>
      </c>
      <c r="K2789" s="34"/>
      <c r="L2789" s="34" t="s">
        <v>800</v>
      </c>
      <c r="M2789" s="1">
        <v>56.8</v>
      </c>
      <c r="N2789" s="297" t="s">
        <v>1132</v>
      </c>
    </row>
    <row r="2790" spans="1:14" s="32" customFormat="1" ht="14.25" customHeight="1">
      <c r="A2790" s="26" t="s">
        <v>715</v>
      </c>
      <c r="B2790" s="36" t="s">
        <v>438</v>
      </c>
      <c r="C2790" s="215">
        <v>4050300209920</v>
      </c>
      <c r="D2790" s="215"/>
      <c r="E2790" s="215"/>
      <c r="F2790" s="258" t="s">
        <v>4098</v>
      </c>
      <c r="G2790" s="66" t="str">
        <f>HYPERLINK("https://ledvance.com/pt/product-datasheet/7126/89530","Ficha de Produto")</f>
        <v>Ficha de Produto</v>
      </c>
      <c r="H2790" s="34">
        <v>12</v>
      </c>
      <c r="I2790" s="34" t="s">
        <v>6449</v>
      </c>
      <c r="J2790" s="34" t="s">
        <v>6450</v>
      </c>
      <c r="K2790" s="34"/>
      <c r="L2790" s="34" t="s">
        <v>800</v>
      </c>
      <c r="M2790" s="1">
        <v>56.8</v>
      </c>
      <c r="N2790" s="297" t="s">
        <v>1132</v>
      </c>
    </row>
    <row r="2791" spans="1:14" s="32" customFormat="1" ht="14.25" customHeight="1">
      <c r="A2791" s="26" t="s">
        <v>715</v>
      </c>
      <c r="B2791" s="36" t="s">
        <v>439</v>
      </c>
      <c r="C2791" s="215">
        <v>4050300004204</v>
      </c>
      <c r="D2791" s="215"/>
      <c r="E2791" s="215"/>
      <c r="F2791" s="258" t="s">
        <v>4098</v>
      </c>
      <c r="G2791" s="66" t="str">
        <f>HYPERLINK("https://ledvance.com/pt/product-datasheet/7126/89533","Ficha de Produto")</f>
        <v>Ficha de Produto</v>
      </c>
      <c r="H2791" s="34">
        <v>12</v>
      </c>
      <c r="I2791" s="34" t="s">
        <v>1072</v>
      </c>
      <c r="J2791" s="34" t="s">
        <v>6451</v>
      </c>
      <c r="K2791" s="34"/>
      <c r="L2791" s="34" t="s">
        <v>800</v>
      </c>
      <c r="M2791" s="1">
        <v>73.5</v>
      </c>
      <c r="N2791" s="297" t="s">
        <v>1132</v>
      </c>
    </row>
    <row r="2792" spans="1:14" s="32" customFormat="1" ht="14.25" customHeight="1">
      <c r="A2792" s="26" t="s">
        <v>715</v>
      </c>
      <c r="B2792" s="36" t="s">
        <v>440</v>
      </c>
      <c r="C2792" s="215">
        <v>4008321963192</v>
      </c>
      <c r="D2792" s="215"/>
      <c r="E2792" s="215"/>
      <c r="F2792" s="258" t="s">
        <v>4098</v>
      </c>
      <c r="G2792" s="66" t="str">
        <f>HYPERLINK("https://ledvance.com/pt/product-datasheet/7128/104758","Ficha de Produto")</f>
        <v>Ficha de Produto</v>
      </c>
      <c r="H2792" s="34">
        <v>40</v>
      </c>
      <c r="I2792" s="34" t="s">
        <v>6452</v>
      </c>
      <c r="J2792" s="34" t="s">
        <v>809</v>
      </c>
      <c r="K2792" s="34"/>
      <c r="L2792" s="34" t="s">
        <v>800</v>
      </c>
      <c r="M2792" s="27">
        <v>15.3</v>
      </c>
      <c r="N2792" s="298" t="s">
        <v>732</v>
      </c>
    </row>
    <row r="2793" spans="1:14" s="32" customFormat="1" ht="14.25" customHeight="1">
      <c r="A2793" s="26" t="s">
        <v>715</v>
      </c>
      <c r="B2793" s="36" t="s">
        <v>441</v>
      </c>
      <c r="C2793" s="215">
        <v>4008321317964</v>
      </c>
      <c r="D2793" s="215"/>
      <c r="E2793" s="215"/>
      <c r="F2793" s="258" t="s">
        <v>4098</v>
      </c>
      <c r="G2793" s="66" t="str">
        <f>HYPERLINK("https://ledvance.com/pt/product-datasheet/7128/112076","Ficha de Produto")</f>
        <v>Ficha de Produto</v>
      </c>
      <c r="H2793" s="34">
        <v>40</v>
      </c>
      <c r="I2793" s="34" t="s">
        <v>6385</v>
      </c>
      <c r="J2793" s="34" t="s">
        <v>860</v>
      </c>
      <c r="K2793" s="34"/>
      <c r="L2793" s="34" t="s">
        <v>800</v>
      </c>
      <c r="M2793" s="27">
        <v>15.3</v>
      </c>
      <c r="N2793" s="298" t="s">
        <v>732</v>
      </c>
    </row>
    <row r="2794" spans="1:14" s="32" customFormat="1" ht="14.25" customHeight="1">
      <c r="A2794" s="26" t="s">
        <v>715</v>
      </c>
      <c r="B2794" s="36" t="s">
        <v>442</v>
      </c>
      <c r="C2794" s="215">
        <v>4050300987262</v>
      </c>
      <c r="D2794" s="215"/>
      <c r="E2794" s="215"/>
      <c r="F2794" s="258" t="s">
        <v>4098</v>
      </c>
      <c r="G2794" s="66" t="str">
        <f>HYPERLINK("https://ledvance.com/pt/product-datasheet/7128/91365","Ficha de Produto")</f>
        <v>Ficha de Produto</v>
      </c>
      <c r="H2794" s="34">
        <v>40</v>
      </c>
      <c r="I2794" s="34" t="s">
        <v>6453</v>
      </c>
      <c r="J2794" s="34" t="s">
        <v>781</v>
      </c>
      <c r="K2794" s="34"/>
      <c r="L2794" s="34" t="s">
        <v>800</v>
      </c>
      <c r="M2794" s="27">
        <v>15.3</v>
      </c>
      <c r="N2794" s="298" t="s">
        <v>732</v>
      </c>
    </row>
    <row r="2795" spans="1:14" s="32" customFormat="1" ht="14.25" customHeight="1">
      <c r="A2795" s="26" t="s">
        <v>715</v>
      </c>
      <c r="B2795" s="36" t="s">
        <v>443</v>
      </c>
      <c r="C2795" s="215">
        <v>4050300615905</v>
      </c>
      <c r="D2795" s="215"/>
      <c r="E2795" s="215"/>
      <c r="F2795" s="258" t="s">
        <v>4098</v>
      </c>
      <c r="G2795" s="66" t="str">
        <f>HYPERLINK("https://ledvance.com/pt/product-datasheet/7128/91371","Ficha de Produto")</f>
        <v>Ficha de Produto</v>
      </c>
      <c r="H2795" s="34">
        <v>40</v>
      </c>
      <c r="I2795" s="34" t="s">
        <v>827</v>
      </c>
      <c r="J2795" s="34" t="s">
        <v>6329</v>
      </c>
      <c r="K2795" s="34"/>
      <c r="L2795" s="34" t="s">
        <v>800</v>
      </c>
      <c r="M2795" s="27">
        <v>15.3</v>
      </c>
      <c r="N2795" s="298" t="s">
        <v>732</v>
      </c>
    </row>
    <row r="2796" spans="1:14" s="32" customFormat="1" ht="14.25" customHeight="1">
      <c r="A2796" s="26" t="s">
        <v>715</v>
      </c>
      <c r="B2796" s="36" t="s">
        <v>444</v>
      </c>
      <c r="C2796" s="215">
        <v>4050300615936</v>
      </c>
      <c r="D2796" s="215"/>
      <c r="E2796" s="215"/>
      <c r="F2796" s="258" t="s">
        <v>4098</v>
      </c>
      <c r="G2796" s="66" t="str">
        <f>HYPERLINK("https://ledvance.com/pt/product-datasheet/7128/91377","Ficha de Produto")</f>
        <v>Ficha de Produto</v>
      </c>
      <c r="H2796" s="34">
        <v>40</v>
      </c>
      <c r="I2796" s="34" t="s">
        <v>1054</v>
      </c>
      <c r="J2796" s="34" t="s">
        <v>865</v>
      </c>
      <c r="K2796" s="34"/>
      <c r="L2796" s="34" t="s">
        <v>800</v>
      </c>
      <c r="M2796" s="27">
        <v>15.3</v>
      </c>
      <c r="N2796" s="298" t="s">
        <v>732</v>
      </c>
    </row>
    <row r="2797" spans="1:14" s="32" customFormat="1" ht="14.25" customHeight="1">
      <c r="A2797" s="26" t="s">
        <v>715</v>
      </c>
      <c r="B2797" s="36" t="s">
        <v>445</v>
      </c>
      <c r="C2797" s="215">
        <v>4050300785400</v>
      </c>
      <c r="D2797" s="215"/>
      <c r="E2797" s="215"/>
      <c r="F2797" s="258" t="s">
        <v>4098</v>
      </c>
      <c r="G2797" s="66" t="str">
        <f>HYPERLINK("https://ledvance.com/pt/product-datasheet/7128/111256","Ficha de Produto")</f>
        <v>Ficha de Produto</v>
      </c>
      <c r="H2797" s="34">
        <v>40</v>
      </c>
      <c r="I2797" s="34" t="s">
        <v>6454</v>
      </c>
      <c r="J2797" s="34" t="s">
        <v>852</v>
      </c>
      <c r="K2797" s="34"/>
      <c r="L2797" s="34" t="s">
        <v>800</v>
      </c>
      <c r="M2797" s="27">
        <v>19.8</v>
      </c>
      <c r="N2797" s="298" t="s">
        <v>732</v>
      </c>
    </row>
    <row r="2798" spans="1:14" s="32" customFormat="1" ht="14.25" customHeight="1">
      <c r="A2798" s="26" t="s">
        <v>715</v>
      </c>
      <c r="B2798" s="36" t="s">
        <v>446</v>
      </c>
      <c r="C2798" s="215">
        <v>4058075094154</v>
      </c>
      <c r="D2798" s="215"/>
      <c r="E2798" s="215"/>
      <c r="F2798" s="258" t="s">
        <v>4098</v>
      </c>
      <c r="G2798" s="66" t="str">
        <f>HYPERLINK("https://ledvance.com/pt/product-datasheet/7131/113514","Ficha de Produto")</f>
        <v>Ficha de Produto</v>
      </c>
      <c r="H2798" s="34">
        <v>40</v>
      </c>
      <c r="I2798" s="34" t="s">
        <v>1093</v>
      </c>
      <c r="J2798" s="34" t="s">
        <v>1051</v>
      </c>
      <c r="K2798" s="34"/>
      <c r="L2798" s="34" t="s">
        <v>800</v>
      </c>
      <c r="M2798" s="1">
        <v>5</v>
      </c>
      <c r="N2798" s="297" t="s">
        <v>1132</v>
      </c>
    </row>
    <row r="2799" spans="1:14" s="32" customFormat="1" ht="14.25" customHeight="1">
      <c r="A2799" s="26" t="s">
        <v>715</v>
      </c>
      <c r="B2799" s="36" t="s">
        <v>447</v>
      </c>
      <c r="C2799" s="215">
        <v>4058075094178</v>
      </c>
      <c r="D2799" s="215"/>
      <c r="E2799" s="215"/>
      <c r="F2799" s="258" t="s">
        <v>4098</v>
      </c>
      <c r="G2799" s="66" t="str">
        <f>HYPERLINK("https://ledvance.com/pt/product-datasheet/7131/113588","Ficha de Produto")</f>
        <v>Ficha de Produto</v>
      </c>
      <c r="H2799" s="34">
        <v>40</v>
      </c>
      <c r="I2799" s="34" t="s">
        <v>6455</v>
      </c>
      <c r="J2799" s="34" t="s">
        <v>859</v>
      </c>
      <c r="K2799" s="34"/>
      <c r="L2799" s="34" t="s">
        <v>800</v>
      </c>
      <c r="M2799" s="1">
        <v>5</v>
      </c>
      <c r="N2799" s="297" t="s">
        <v>1132</v>
      </c>
    </row>
    <row r="2800" spans="1:14" s="32" customFormat="1" ht="14.25" customHeight="1">
      <c r="A2800" s="26" t="s">
        <v>715</v>
      </c>
      <c r="B2800" s="36" t="s">
        <v>448</v>
      </c>
      <c r="C2800" s="215">
        <v>4058075094192</v>
      </c>
      <c r="D2800" s="215"/>
      <c r="E2800" s="215"/>
      <c r="F2800" s="258" t="s">
        <v>4098</v>
      </c>
      <c r="G2800" s="66" t="str">
        <f>HYPERLINK("https://ledvance.com/pt/product-datasheet/7131/113526","Ficha de Produto")</f>
        <v>Ficha de Produto</v>
      </c>
      <c r="H2800" s="34">
        <v>40</v>
      </c>
      <c r="I2800" s="34" t="s">
        <v>6455</v>
      </c>
      <c r="J2800" s="34" t="s">
        <v>859</v>
      </c>
      <c r="K2800" s="34"/>
      <c r="L2800" s="34" t="s">
        <v>800</v>
      </c>
      <c r="M2800" s="1">
        <v>5</v>
      </c>
      <c r="N2800" s="297" t="s">
        <v>1132</v>
      </c>
    </row>
    <row r="2801" spans="1:14" s="32" customFormat="1" ht="14.25" customHeight="1">
      <c r="A2801" s="26" t="s">
        <v>715</v>
      </c>
      <c r="B2801" s="36" t="s">
        <v>449</v>
      </c>
      <c r="C2801" s="215">
        <v>4058075094215</v>
      </c>
      <c r="D2801" s="215"/>
      <c r="E2801" s="215"/>
      <c r="F2801" s="258" t="s">
        <v>4098</v>
      </c>
      <c r="G2801" s="66" t="str">
        <f>HYPERLINK("https://ledvance.com/pt/product-datasheet/7131/47765","Ficha de Produto")</f>
        <v>Ficha de Produto</v>
      </c>
      <c r="H2801" s="34">
        <v>40</v>
      </c>
      <c r="I2801" s="34" t="s">
        <v>1033</v>
      </c>
      <c r="J2801" s="34" t="s">
        <v>775</v>
      </c>
      <c r="K2801" s="34"/>
      <c r="L2801" s="34" t="s">
        <v>800</v>
      </c>
      <c r="M2801" s="1">
        <v>5.7</v>
      </c>
      <c r="N2801" s="297" t="s">
        <v>1132</v>
      </c>
    </row>
    <row r="2802" spans="1:14" s="32" customFormat="1" ht="14.25" customHeight="1">
      <c r="A2802" s="26" t="s">
        <v>715</v>
      </c>
      <c r="B2802" s="36" t="s">
        <v>450</v>
      </c>
      <c r="C2802" s="215">
        <v>4058075094239</v>
      </c>
      <c r="D2802" s="215"/>
      <c r="E2802" s="215"/>
      <c r="F2802" s="258" t="s">
        <v>4098</v>
      </c>
      <c r="G2802" s="66" t="str">
        <f>HYPERLINK("https://ledvance.com/pt/product-datasheet/7131/113585","Ficha de Produto")</f>
        <v>Ficha de Produto</v>
      </c>
      <c r="H2802" s="34">
        <v>40</v>
      </c>
      <c r="I2802" s="34" t="s">
        <v>1033</v>
      </c>
      <c r="J2802" s="34" t="s">
        <v>775</v>
      </c>
      <c r="K2802" s="34"/>
      <c r="L2802" s="34" t="s">
        <v>800</v>
      </c>
      <c r="M2802" s="1">
        <v>5.7</v>
      </c>
      <c r="N2802" s="297" t="s">
        <v>1132</v>
      </c>
    </row>
    <row r="2803" spans="1:14" s="32" customFormat="1" ht="14.25" customHeight="1">
      <c r="A2803" s="26" t="s">
        <v>715</v>
      </c>
      <c r="B2803" s="36" t="s">
        <v>451</v>
      </c>
      <c r="C2803" s="215">
        <v>4058075094253</v>
      </c>
      <c r="D2803" s="215"/>
      <c r="E2803" s="215"/>
      <c r="F2803" s="258" t="s">
        <v>4098</v>
      </c>
      <c r="G2803" s="66" t="str">
        <f>HYPERLINK("https://ledvance.com/pt/product-datasheet/7131/45995","Ficha de Produto")</f>
        <v>Ficha de Produto</v>
      </c>
      <c r="H2803" s="34">
        <v>40</v>
      </c>
      <c r="I2803" s="34" t="s">
        <v>6456</v>
      </c>
      <c r="J2803" s="34" t="s">
        <v>784</v>
      </c>
      <c r="K2803" s="34"/>
      <c r="L2803" s="34" t="s">
        <v>800</v>
      </c>
      <c r="M2803" s="1">
        <v>5.7</v>
      </c>
      <c r="N2803" s="297" t="s">
        <v>1132</v>
      </c>
    </row>
    <row r="2804" spans="1:14" s="32" customFormat="1" ht="14.25" customHeight="1">
      <c r="A2804" s="26" t="s">
        <v>715</v>
      </c>
      <c r="B2804" s="36" t="s">
        <v>452</v>
      </c>
      <c r="C2804" s="215">
        <v>4058075094277</v>
      </c>
      <c r="D2804" s="215"/>
      <c r="E2804" s="215"/>
      <c r="F2804" s="258" t="s">
        <v>4098</v>
      </c>
      <c r="G2804" s="66" t="str">
        <f>HYPERLINK("https://ledvance.com/pt/product-datasheet/7131/113560","Ficha de Produto")</f>
        <v>Ficha de Produto</v>
      </c>
      <c r="H2804" s="34">
        <v>40</v>
      </c>
      <c r="I2804" s="34" t="s">
        <v>6457</v>
      </c>
      <c r="J2804" s="34" t="s">
        <v>865</v>
      </c>
      <c r="K2804" s="34"/>
      <c r="L2804" s="34" t="s">
        <v>800</v>
      </c>
      <c r="M2804" s="1">
        <v>5.7</v>
      </c>
      <c r="N2804" s="297" t="s">
        <v>1132</v>
      </c>
    </row>
    <row r="2805" spans="1:14" ht="14.25" customHeight="1">
      <c r="A2805" s="26" t="s">
        <v>715</v>
      </c>
      <c r="B2805" s="2" t="s">
        <v>453</v>
      </c>
      <c r="C2805" s="229">
        <v>4058075094291</v>
      </c>
      <c r="D2805" s="229"/>
      <c r="E2805" s="229"/>
      <c r="F2805" s="258" t="s">
        <v>4098</v>
      </c>
      <c r="G2805" s="66" t="str">
        <f>HYPERLINK("https://ledvance.com/pt/product-datasheet/7131/113576","Ficha de Produto")</f>
        <v>Ficha de Produto</v>
      </c>
      <c r="H2805" s="4">
        <v>40</v>
      </c>
      <c r="I2805" s="34" t="s">
        <v>6458</v>
      </c>
      <c r="J2805" s="34" t="s">
        <v>1095</v>
      </c>
      <c r="K2805" s="34"/>
      <c r="L2805" s="34" t="s">
        <v>800</v>
      </c>
      <c r="M2805" s="1">
        <v>5.7</v>
      </c>
      <c r="N2805" s="297" t="s">
        <v>1132</v>
      </c>
    </row>
    <row r="2806" spans="1:14" s="32" customFormat="1" ht="14.25" customHeight="1">
      <c r="A2806" s="26" t="s">
        <v>715</v>
      </c>
      <c r="B2806" s="36" t="s">
        <v>454</v>
      </c>
      <c r="C2806" s="215">
        <v>4058075094314</v>
      </c>
      <c r="D2806" s="215"/>
      <c r="E2806" s="215"/>
      <c r="F2806" s="258" t="s">
        <v>4098</v>
      </c>
      <c r="G2806" s="66" t="str">
        <f>HYPERLINK("https://ledvance.com/pt/product-datasheet/7131/113582","Ficha de Produto")</f>
        <v>Ficha de Produto</v>
      </c>
      <c r="H2806" s="34">
        <v>40</v>
      </c>
      <c r="I2806" s="34" t="s">
        <v>820</v>
      </c>
      <c r="J2806" s="34" t="s">
        <v>938</v>
      </c>
      <c r="K2806" s="34"/>
      <c r="L2806" s="34" t="s">
        <v>800</v>
      </c>
      <c r="M2806" s="1">
        <v>9.8000000000000007</v>
      </c>
      <c r="N2806" s="297" t="s">
        <v>1132</v>
      </c>
    </row>
    <row r="2807" spans="1:14" s="32" customFormat="1" ht="14.25" customHeight="1">
      <c r="A2807" s="26" t="s">
        <v>715</v>
      </c>
      <c r="B2807" s="36" t="s">
        <v>455</v>
      </c>
      <c r="C2807" s="215">
        <v>4050300308029</v>
      </c>
      <c r="D2807" s="215"/>
      <c r="E2807" s="215"/>
      <c r="F2807" s="258" t="s">
        <v>4098</v>
      </c>
      <c r="G2807" s="66" t="str">
        <f>HYPERLINK("https://ledvance.com/pt/product-datasheet/7136/118324","Ficha de Produto")</f>
        <v>Ficha de Produto</v>
      </c>
      <c r="H2807" s="34">
        <v>40</v>
      </c>
      <c r="I2807" s="34" t="s">
        <v>1093</v>
      </c>
      <c r="J2807" s="34" t="s">
        <v>1051</v>
      </c>
      <c r="K2807" s="34"/>
      <c r="L2807" s="34" t="s">
        <v>800</v>
      </c>
      <c r="M2807" s="27">
        <v>6.7</v>
      </c>
      <c r="N2807" s="298" t="s">
        <v>732</v>
      </c>
    </row>
    <row r="2808" spans="1:14" s="32" customFormat="1" ht="14.25" customHeight="1">
      <c r="A2808" s="26" t="s">
        <v>715</v>
      </c>
      <c r="B2808" s="36" t="s">
        <v>456</v>
      </c>
      <c r="C2808" s="215">
        <v>4050300308081</v>
      </c>
      <c r="D2808" s="215"/>
      <c r="E2808" s="215"/>
      <c r="F2808" s="258" t="s">
        <v>4098</v>
      </c>
      <c r="G2808" s="66" t="str">
        <f>HYPERLINK("https://ledvance.com/pt/product-datasheet/7136/118330","Ficha de Produto")</f>
        <v>Ficha de Produto</v>
      </c>
      <c r="H2808" s="34">
        <v>40</v>
      </c>
      <c r="I2808" s="34" t="s">
        <v>6455</v>
      </c>
      <c r="J2808" s="34" t="s">
        <v>859</v>
      </c>
      <c r="K2808" s="34"/>
      <c r="L2808" s="34" t="s">
        <v>800</v>
      </c>
      <c r="M2808" s="27">
        <v>6.9</v>
      </c>
      <c r="N2808" s="298" t="s">
        <v>732</v>
      </c>
    </row>
    <row r="2809" spans="1:14" s="32" customFormat="1" ht="14.25" customHeight="1">
      <c r="A2809" s="26" t="s">
        <v>715</v>
      </c>
      <c r="B2809" s="36" t="s">
        <v>457</v>
      </c>
      <c r="C2809" s="215">
        <v>4050300308050</v>
      </c>
      <c r="D2809" s="215"/>
      <c r="E2809" s="215"/>
      <c r="F2809" s="258" t="s">
        <v>4098</v>
      </c>
      <c r="G2809" s="66" t="str">
        <f>HYPERLINK("https://ledvance.com/pt/product-datasheet/7136/118336","Ficha de Produto")</f>
        <v>Ficha de Produto</v>
      </c>
      <c r="H2809" s="34">
        <v>40</v>
      </c>
      <c r="I2809" s="34" t="s">
        <v>1033</v>
      </c>
      <c r="J2809" s="34" t="s">
        <v>775</v>
      </c>
      <c r="K2809" s="34"/>
      <c r="L2809" s="34" t="s">
        <v>800</v>
      </c>
      <c r="M2809" s="27">
        <v>8</v>
      </c>
      <c r="N2809" s="298" t="s">
        <v>732</v>
      </c>
    </row>
    <row r="2810" spans="1:14" s="32" customFormat="1" ht="14.25" customHeight="1">
      <c r="A2810" s="25" t="s">
        <v>715</v>
      </c>
      <c r="B2810" s="276" t="s">
        <v>737</v>
      </c>
      <c r="C2810" s="7"/>
      <c r="D2810" s="7"/>
      <c r="E2810" s="7"/>
      <c r="F2810" s="7"/>
      <c r="G2810" s="68"/>
      <c r="H2810" s="7"/>
      <c r="I2810" s="7"/>
      <c r="J2810" s="7"/>
      <c r="K2810" s="7"/>
      <c r="L2810" s="7"/>
      <c r="M2810" s="248"/>
      <c r="N2810" s="284"/>
    </row>
    <row r="2811" spans="1:14" s="32" customFormat="1" ht="14.25" customHeight="1">
      <c r="A2811" s="26" t="s">
        <v>715</v>
      </c>
      <c r="B2811" s="36" t="s">
        <v>458</v>
      </c>
      <c r="C2811" s="215">
        <v>4050300003108</v>
      </c>
      <c r="D2811" s="215"/>
      <c r="E2811" s="215"/>
      <c r="F2811" s="258" t="s">
        <v>4098</v>
      </c>
      <c r="G2811" s="66" t="str">
        <f>HYPERLINK("https://ledvance.com/pt/product-datasheet/7567/95019","Ficha de Produto")</f>
        <v>Ficha de Produto</v>
      </c>
      <c r="H2811" s="34">
        <v>100</v>
      </c>
      <c r="I2811" s="34" t="s">
        <v>1097</v>
      </c>
      <c r="J2811" s="34" t="s">
        <v>860</v>
      </c>
      <c r="K2811" s="34"/>
      <c r="L2811" s="34" t="s">
        <v>800</v>
      </c>
      <c r="M2811" s="27">
        <v>8</v>
      </c>
      <c r="N2811" s="298" t="s">
        <v>732</v>
      </c>
    </row>
    <row r="2812" spans="1:14" s="32" customFormat="1" ht="14.25" customHeight="1">
      <c r="A2812" s="26" t="s">
        <v>715</v>
      </c>
      <c r="B2812" s="36" t="s">
        <v>459</v>
      </c>
      <c r="C2812" s="215">
        <v>4050300066639</v>
      </c>
      <c r="D2812" s="215"/>
      <c r="E2812" s="215"/>
      <c r="F2812" s="258" t="s">
        <v>4098</v>
      </c>
      <c r="G2812" s="66" t="str">
        <f>HYPERLINK("https://ledvance.com/pt/product-datasheet/7567/106396","Ficha de Produto")</f>
        <v>Ficha de Produto</v>
      </c>
      <c r="H2812" s="34">
        <v>50</v>
      </c>
      <c r="I2812" s="34" t="s">
        <v>1096</v>
      </c>
      <c r="J2812" s="34" t="s">
        <v>860</v>
      </c>
      <c r="K2812" s="34"/>
      <c r="L2812" s="34" t="s">
        <v>800</v>
      </c>
      <c r="M2812" s="27">
        <v>10.5</v>
      </c>
      <c r="N2812" s="298" t="s">
        <v>732</v>
      </c>
    </row>
    <row r="2813" spans="1:14" s="32" customFormat="1" ht="14.25" customHeight="1">
      <c r="A2813" s="26" t="s">
        <v>715</v>
      </c>
      <c r="B2813" s="36" t="s">
        <v>738</v>
      </c>
      <c r="C2813" s="215">
        <v>4050300003085</v>
      </c>
      <c r="D2813" s="215"/>
      <c r="E2813" s="215"/>
      <c r="F2813" s="258" t="s">
        <v>4098</v>
      </c>
      <c r="G2813" s="66" t="str">
        <f>HYPERLINK("https://ledvance.com/pt/product-datasheet/7567/113255","Ficha de Produto")</f>
        <v>Ficha de Produto</v>
      </c>
      <c r="H2813" s="34">
        <v>100</v>
      </c>
      <c r="I2813" s="34" t="s">
        <v>1097</v>
      </c>
      <c r="J2813" s="34" t="s">
        <v>860</v>
      </c>
      <c r="K2813" s="34"/>
      <c r="L2813" s="34" t="s">
        <v>800</v>
      </c>
      <c r="M2813" s="27">
        <v>5.6</v>
      </c>
      <c r="N2813" s="298" t="s">
        <v>732</v>
      </c>
    </row>
    <row r="2814" spans="1:14" s="32" customFormat="1" ht="14.25" customHeight="1">
      <c r="A2814" s="26" t="s">
        <v>715</v>
      </c>
      <c r="B2814" s="36" t="s">
        <v>739</v>
      </c>
      <c r="C2814" s="215">
        <v>4050300310282</v>
      </c>
      <c r="D2814" s="215"/>
      <c r="E2814" s="215"/>
      <c r="F2814" s="258" t="s">
        <v>4098</v>
      </c>
      <c r="G2814" s="66" t="str">
        <f>HYPERLINK("https://ledvance.com/pt/product-datasheet/7567/33307","Ficha de Produto")</f>
        <v>Ficha de Produto</v>
      </c>
      <c r="H2814" s="34">
        <v>100</v>
      </c>
      <c r="I2814" s="34" t="s">
        <v>1097</v>
      </c>
      <c r="J2814" s="34" t="s">
        <v>860</v>
      </c>
      <c r="K2814" s="34"/>
      <c r="L2814" s="34" t="s">
        <v>800</v>
      </c>
      <c r="M2814" s="27">
        <v>5.6</v>
      </c>
      <c r="N2814" s="298" t="s">
        <v>732</v>
      </c>
    </row>
    <row r="2815" spans="1:14" s="32" customFormat="1" ht="14.25" customHeight="1">
      <c r="A2815" s="26" t="s">
        <v>715</v>
      </c>
      <c r="B2815" s="36" t="s">
        <v>740</v>
      </c>
      <c r="C2815" s="215">
        <v>4050300323596</v>
      </c>
      <c r="D2815" s="215"/>
      <c r="E2815" s="215"/>
      <c r="F2815" s="258" t="s">
        <v>4098</v>
      </c>
      <c r="G2815" s="66" t="str">
        <f>HYPERLINK("https://ledvance.com/pt/product-datasheet/7567/113278","Ficha de Produto")</f>
        <v>Ficha de Produto</v>
      </c>
      <c r="H2815" s="34">
        <v>100</v>
      </c>
      <c r="I2815" s="34" t="s">
        <v>1035</v>
      </c>
      <c r="J2815" s="34" t="s">
        <v>781</v>
      </c>
      <c r="K2815" s="34"/>
      <c r="L2815" s="34" t="s">
        <v>800</v>
      </c>
      <c r="M2815" s="27">
        <v>5.6</v>
      </c>
      <c r="N2815" s="298" t="s">
        <v>732</v>
      </c>
    </row>
    <row r="2816" spans="1:14" s="32" customFormat="1" ht="14.25" customHeight="1">
      <c r="A2816" s="26" t="s">
        <v>715</v>
      </c>
      <c r="B2816" s="36" t="s">
        <v>741</v>
      </c>
      <c r="C2816" s="215">
        <v>4050300309637</v>
      </c>
      <c r="D2816" s="215"/>
      <c r="E2816" s="215"/>
      <c r="F2816" s="258" t="s">
        <v>4098</v>
      </c>
      <c r="G2816" s="66" t="str">
        <f>HYPERLINK("https://ledvance.com/pt/product-datasheet/7570/33315","Ficha de Produto")</f>
        <v>Ficha de Produto</v>
      </c>
      <c r="H2816" s="34">
        <v>100</v>
      </c>
      <c r="I2816" s="34" t="s">
        <v>1035</v>
      </c>
      <c r="J2816" s="34" t="s">
        <v>781</v>
      </c>
      <c r="K2816" s="34"/>
      <c r="L2816" s="34" t="s">
        <v>800</v>
      </c>
      <c r="M2816" s="27">
        <v>5.6</v>
      </c>
      <c r="N2816" s="298" t="s">
        <v>732</v>
      </c>
    </row>
    <row r="2817" spans="1:14" s="32" customFormat="1" ht="14.25" customHeight="1">
      <c r="A2817" s="25" t="s">
        <v>749</v>
      </c>
      <c r="B2817" s="276" t="s">
        <v>750</v>
      </c>
      <c r="C2817" s="7"/>
      <c r="D2817" s="7"/>
      <c r="E2817" s="7"/>
      <c r="F2817" s="7"/>
      <c r="G2817" s="68"/>
      <c r="H2817" s="7"/>
      <c r="I2817" s="7"/>
      <c r="J2817" s="7"/>
      <c r="K2817" s="7"/>
      <c r="L2817" s="7"/>
      <c r="M2817" s="248"/>
      <c r="N2817" s="284"/>
    </row>
    <row r="2818" spans="1:14" s="32" customFormat="1" ht="14.25" customHeight="1">
      <c r="A2818" s="26" t="s">
        <v>749</v>
      </c>
      <c r="B2818" s="36" t="s">
        <v>491</v>
      </c>
      <c r="C2818" s="215">
        <v>4050300870366</v>
      </c>
      <c r="D2818" s="215"/>
      <c r="E2818" s="215"/>
      <c r="F2818" s="258" t="s">
        <v>4098</v>
      </c>
      <c r="G2818" s="66" t="str">
        <f>HYPERLINK("https://ledvance.com/pt/product-datasheet/7728/130763","Ficha de Produto")</f>
        <v>Ficha de Produto</v>
      </c>
      <c r="H2818" s="34">
        <v>20</v>
      </c>
      <c r="I2818" s="217" t="s">
        <v>1201</v>
      </c>
      <c r="J2818" s="34" t="s">
        <v>6138</v>
      </c>
      <c r="K2818" s="34" t="s">
        <v>788</v>
      </c>
      <c r="L2818" s="34" t="s">
        <v>800</v>
      </c>
      <c r="M2818" s="27">
        <v>132.4</v>
      </c>
      <c r="N2818" s="298" t="s">
        <v>732</v>
      </c>
    </row>
    <row r="2819" spans="1:14" s="32" customFormat="1" ht="14.25" customHeight="1">
      <c r="A2819" s="26" t="s">
        <v>749</v>
      </c>
      <c r="B2819" s="36" t="s">
        <v>492</v>
      </c>
      <c r="C2819" s="215">
        <v>4050300870809</v>
      </c>
      <c r="D2819" s="215"/>
      <c r="E2819" s="215"/>
      <c r="F2819" s="258" t="s">
        <v>4098</v>
      </c>
      <c r="G2819" s="66" t="str">
        <f>HYPERLINK("https://ledvance.com/pt/product-datasheet/7728/130766","Ficha de Produto")</f>
        <v>Ficha de Produto</v>
      </c>
      <c r="H2819" s="34">
        <v>20</v>
      </c>
      <c r="I2819" s="217" t="s">
        <v>1201</v>
      </c>
      <c r="J2819" s="34" t="s">
        <v>6459</v>
      </c>
      <c r="K2819" s="34" t="s">
        <v>788</v>
      </c>
      <c r="L2819" s="34" t="s">
        <v>800</v>
      </c>
      <c r="M2819" s="27">
        <v>132.4</v>
      </c>
      <c r="N2819" s="298" t="s">
        <v>732</v>
      </c>
    </row>
    <row r="2820" spans="1:14" s="32" customFormat="1" ht="14.25" customHeight="1">
      <c r="A2820" s="26" t="s">
        <v>749</v>
      </c>
      <c r="B2820" s="36" t="s">
        <v>493</v>
      </c>
      <c r="C2820" s="215">
        <v>4050300870342</v>
      </c>
      <c r="D2820" s="215"/>
      <c r="E2820" s="215"/>
      <c r="F2820" s="258" t="s">
        <v>4098</v>
      </c>
      <c r="G2820" s="66" t="str">
        <f>HYPERLINK("https://ledvance.com/pt/product-datasheet/7728/130773","Ficha de Produto")</f>
        <v>Ficha de Produto</v>
      </c>
      <c r="H2820" s="34">
        <v>20</v>
      </c>
      <c r="I2820" s="217" t="s">
        <v>1201</v>
      </c>
      <c r="J2820" s="34" t="s">
        <v>6460</v>
      </c>
      <c r="K2820" s="34" t="s">
        <v>788</v>
      </c>
      <c r="L2820" s="34" t="s">
        <v>800</v>
      </c>
      <c r="M2820" s="27">
        <v>132.4</v>
      </c>
      <c r="N2820" s="298" t="s">
        <v>732</v>
      </c>
    </row>
    <row r="2821" spans="1:14" s="32" customFormat="1" ht="14.25" customHeight="1">
      <c r="A2821" s="26" t="s">
        <v>749</v>
      </c>
      <c r="B2821" s="36" t="s">
        <v>494</v>
      </c>
      <c r="C2821" s="215">
        <v>4050300870861</v>
      </c>
      <c r="D2821" s="215"/>
      <c r="E2821" s="215"/>
      <c r="F2821" s="258" t="s">
        <v>4098</v>
      </c>
      <c r="G2821" s="66" t="str">
        <f>HYPERLINK("https://ledvance.com/pt/product-datasheet/7728/130777","Ficha de Produto")</f>
        <v>Ficha de Produto</v>
      </c>
      <c r="H2821" s="34">
        <v>20</v>
      </c>
      <c r="I2821" s="217" t="s">
        <v>1201</v>
      </c>
      <c r="J2821" s="34" t="s">
        <v>6171</v>
      </c>
      <c r="K2821" s="34" t="s">
        <v>788</v>
      </c>
      <c r="L2821" s="34" t="s">
        <v>800</v>
      </c>
      <c r="M2821" s="27">
        <v>158.80000000000001</v>
      </c>
      <c r="N2821" s="298" t="s">
        <v>732</v>
      </c>
    </row>
    <row r="2822" spans="1:14" s="32" customFormat="1" ht="14.25" customHeight="1">
      <c r="A2822" s="26" t="s">
        <v>749</v>
      </c>
      <c r="B2822" s="36" t="s">
        <v>495</v>
      </c>
      <c r="C2822" s="215">
        <v>4050300870489</v>
      </c>
      <c r="D2822" s="215"/>
      <c r="E2822" s="215"/>
      <c r="F2822" s="258" t="s">
        <v>4098</v>
      </c>
      <c r="G2822" s="66" t="str">
        <f>HYPERLINK("https://ledvance.com/pt/product-datasheet/7728/130789","Ficha de Produto")</f>
        <v>Ficha de Produto</v>
      </c>
      <c r="H2822" s="34">
        <v>20</v>
      </c>
      <c r="I2822" s="217" t="s">
        <v>1201</v>
      </c>
      <c r="J2822" s="34" t="s">
        <v>6461</v>
      </c>
      <c r="K2822" s="34" t="s">
        <v>788</v>
      </c>
      <c r="L2822" s="34" t="s">
        <v>800</v>
      </c>
      <c r="M2822" s="27">
        <v>158.80000000000001</v>
      </c>
      <c r="N2822" s="298" t="s">
        <v>732</v>
      </c>
    </row>
    <row r="2823" spans="1:14" s="32" customFormat="1" ht="14.25" customHeight="1">
      <c r="A2823" s="26" t="s">
        <v>749</v>
      </c>
      <c r="B2823" s="36" t="s">
        <v>496</v>
      </c>
      <c r="C2823" s="215">
        <v>4050300870502</v>
      </c>
      <c r="D2823" s="215"/>
      <c r="E2823" s="215"/>
      <c r="F2823" s="258" t="s">
        <v>4098</v>
      </c>
      <c r="G2823" s="66" t="str">
        <f>HYPERLINK("https://ledvance.com/pt/product-datasheet/7728/130794","Ficha de Produto")</f>
        <v>Ficha de Produto</v>
      </c>
      <c r="H2823" s="34">
        <v>20</v>
      </c>
      <c r="I2823" s="217" t="s">
        <v>1201</v>
      </c>
      <c r="J2823" s="34" t="s">
        <v>6462</v>
      </c>
      <c r="K2823" s="34" t="s">
        <v>788</v>
      </c>
      <c r="L2823" s="34" t="s">
        <v>800</v>
      </c>
      <c r="M2823" s="27">
        <v>158.80000000000001</v>
      </c>
      <c r="N2823" s="298" t="s">
        <v>732</v>
      </c>
    </row>
    <row r="2824" spans="1:14" s="32" customFormat="1" ht="14.25" customHeight="1">
      <c r="A2824" s="26" t="s">
        <v>749</v>
      </c>
      <c r="B2824" s="36" t="s">
        <v>497</v>
      </c>
      <c r="C2824" s="215">
        <v>4050300870465</v>
      </c>
      <c r="D2824" s="215"/>
      <c r="E2824" s="215"/>
      <c r="F2824" s="258" t="s">
        <v>4098</v>
      </c>
      <c r="G2824" s="66" t="str">
        <f>HYPERLINK("https://ledvance.com/pt/product-datasheet/7728/130801","Ficha de Produto")</f>
        <v>Ficha de Produto</v>
      </c>
      <c r="H2824" s="34">
        <v>20</v>
      </c>
      <c r="I2824" s="217" t="s">
        <v>1201</v>
      </c>
      <c r="J2824" s="34" t="s">
        <v>6463</v>
      </c>
      <c r="K2824" s="34" t="s">
        <v>788</v>
      </c>
      <c r="L2824" s="34" t="s">
        <v>800</v>
      </c>
      <c r="M2824" s="27">
        <v>176.5</v>
      </c>
      <c r="N2824" s="298" t="s">
        <v>732</v>
      </c>
    </row>
    <row r="2825" spans="1:14" s="32" customFormat="1" ht="14.25" customHeight="1">
      <c r="A2825" s="26" t="s">
        <v>749</v>
      </c>
      <c r="B2825" s="36" t="s">
        <v>498</v>
      </c>
      <c r="C2825" s="215">
        <v>4050300870441</v>
      </c>
      <c r="D2825" s="215"/>
      <c r="E2825" s="215"/>
      <c r="F2825" s="258" t="s">
        <v>4098</v>
      </c>
      <c r="G2825" s="66" t="str">
        <f>HYPERLINK("https://ledvance.com/pt/product-datasheet/7728/44991","Ficha de Produto")</f>
        <v>Ficha de Produto</v>
      </c>
      <c r="H2825" s="34">
        <v>20</v>
      </c>
      <c r="I2825" s="217" t="s">
        <v>1201</v>
      </c>
      <c r="J2825" s="34" t="s">
        <v>6215</v>
      </c>
      <c r="K2825" s="34" t="s">
        <v>788</v>
      </c>
      <c r="L2825" s="34" t="s">
        <v>800</v>
      </c>
      <c r="M2825" s="27">
        <v>176.5</v>
      </c>
      <c r="N2825" s="298" t="s">
        <v>732</v>
      </c>
    </row>
    <row r="2826" spans="1:14" s="32" customFormat="1" ht="14.25" customHeight="1">
      <c r="A2826" s="26" t="s">
        <v>749</v>
      </c>
      <c r="B2826" s="36" t="s">
        <v>499</v>
      </c>
      <c r="C2826" s="215">
        <v>4008321069955</v>
      </c>
      <c r="D2826" s="215"/>
      <c r="E2826" s="215"/>
      <c r="F2826" s="258" t="s">
        <v>4098</v>
      </c>
      <c r="G2826" s="66" t="str">
        <f>HYPERLINK("https://ledvance.com/pt/product-datasheet/7728/130805","Ficha de Produto")</f>
        <v>Ficha de Produto</v>
      </c>
      <c r="H2826" s="34">
        <v>20</v>
      </c>
      <c r="I2826" s="217" t="s">
        <v>1201</v>
      </c>
      <c r="J2826" s="34" t="s">
        <v>1101</v>
      </c>
      <c r="K2826" s="34" t="s">
        <v>788</v>
      </c>
      <c r="L2826" s="34" t="s">
        <v>800</v>
      </c>
      <c r="M2826" s="27">
        <v>173.4</v>
      </c>
      <c r="N2826" s="298" t="s">
        <v>732</v>
      </c>
    </row>
    <row r="2827" spans="1:14" s="32" customFormat="1" ht="14.25" customHeight="1">
      <c r="A2827" s="26" t="s">
        <v>749</v>
      </c>
      <c r="B2827" s="36" t="s">
        <v>500</v>
      </c>
      <c r="C2827" s="215">
        <v>4008321070036</v>
      </c>
      <c r="D2827" s="215"/>
      <c r="E2827" s="215"/>
      <c r="F2827" s="258" t="s">
        <v>4098</v>
      </c>
      <c r="G2827" s="66" t="str">
        <f>HYPERLINK("https://ledvance.com/pt/product-datasheet/7728/130813","Ficha de Produto")</f>
        <v>Ficha de Produto</v>
      </c>
      <c r="H2827" s="34">
        <v>20</v>
      </c>
      <c r="I2827" s="217" t="s">
        <v>1201</v>
      </c>
      <c r="J2827" s="34" t="s">
        <v>1102</v>
      </c>
      <c r="K2827" s="34" t="s">
        <v>788</v>
      </c>
      <c r="L2827" s="34" t="s">
        <v>800</v>
      </c>
      <c r="M2827" s="27">
        <v>173.4</v>
      </c>
      <c r="N2827" s="298" t="s">
        <v>732</v>
      </c>
    </row>
    <row r="2828" spans="1:14" s="32" customFormat="1" ht="14.25" customHeight="1">
      <c r="A2828" s="26" t="s">
        <v>749</v>
      </c>
      <c r="B2828" s="36" t="s">
        <v>501</v>
      </c>
      <c r="C2828" s="215">
        <v>4050300870427</v>
      </c>
      <c r="D2828" s="215"/>
      <c r="E2828" s="215"/>
      <c r="F2828" s="258" t="s">
        <v>4098</v>
      </c>
      <c r="G2828" s="66" t="str">
        <f>HYPERLINK("https://ledvance.com/pt/product-datasheet/7729/130759","Ficha de Produto")</f>
        <v>Ficha de Produto</v>
      </c>
      <c r="H2828" s="34">
        <v>20</v>
      </c>
      <c r="I2828" s="217" t="s">
        <v>1201</v>
      </c>
      <c r="J2828" s="34" t="s">
        <v>6143</v>
      </c>
      <c r="K2828" s="34" t="s">
        <v>788</v>
      </c>
      <c r="L2828" s="34" t="s">
        <v>800</v>
      </c>
      <c r="M2828" s="27">
        <v>151.19999999999999</v>
      </c>
      <c r="N2828" s="298" t="s">
        <v>732</v>
      </c>
    </row>
    <row r="2829" spans="1:14" s="32" customFormat="1" ht="14.25" customHeight="1">
      <c r="A2829" s="26" t="s">
        <v>749</v>
      </c>
      <c r="B2829" s="36" t="s">
        <v>502</v>
      </c>
      <c r="C2829" s="215">
        <v>4050300870823</v>
      </c>
      <c r="D2829" s="215"/>
      <c r="E2829" s="215"/>
      <c r="F2829" s="258" t="s">
        <v>4098</v>
      </c>
      <c r="G2829" s="66" t="str">
        <f>HYPERLINK("https://ledvance.com/pt/product-datasheet/7729/130769","Ficha de Produto")</f>
        <v>Ficha de Produto</v>
      </c>
      <c r="H2829" s="34">
        <v>20</v>
      </c>
      <c r="I2829" s="217" t="s">
        <v>1201</v>
      </c>
      <c r="J2829" s="34" t="s">
        <v>6464</v>
      </c>
      <c r="K2829" s="34" t="s">
        <v>788</v>
      </c>
      <c r="L2829" s="34" t="s">
        <v>800</v>
      </c>
      <c r="M2829" s="27">
        <v>151.19999999999999</v>
      </c>
      <c r="N2829" s="298" t="s">
        <v>732</v>
      </c>
    </row>
    <row r="2830" spans="1:14" s="32" customFormat="1" ht="14.25" customHeight="1">
      <c r="A2830" s="26" t="s">
        <v>749</v>
      </c>
      <c r="B2830" s="36" t="s">
        <v>503</v>
      </c>
      <c r="C2830" s="215">
        <v>4050300870885</v>
      </c>
      <c r="D2830" s="215"/>
      <c r="E2830" s="215"/>
      <c r="F2830" s="258" t="s">
        <v>4098</v>
      </c>
      <c r="G2830" s="66" t="str">
        <f>HYPERLINK("https://ledvance.com/pt/product-datasheet/7729/130785","Ficha de Produto")</f>
        <v>Ficha de Produto</v>
      </c>
      <c r="H2830" s="34">
        <v>20</v>
      </c>
      <c r="I2830" s="217" t="s">
        <v>1201</v>
      </c>
      <c r="J2830" s="34" t="s">
        <v>6162</v>
      </c>
      <c r="K2830" s="34" t="s">
        <v>788</v>
      </c>
      <c r="L2830" s="34" t="s">
        <v>800</v>
      </c>
      <c r="M2830" s="27">
        <v>152.5</v>
      </c>
      <c r="N2830" s="298" t="s">
        <v>732</v>
      </c>
    </row>
    <row r="2831" spans="1:14" s="32" customFormat="1" ht="14.25" customHeight="1">
      <c r="A2831" s="26" t="s">
        <v>749</v>
      </c>
      <c r="B2831" s="36" t="s">
        <v>504</v>
      </c>
      <c r="C2831" s="215">
        <v>4050300870847</v>
      </c>
      <c r="D2831" s="215"/>
      <c r="E2831" s="215"/>
      <c r="F2831" s="258" t="s">
        <v>4098</v>
      </c>
      <c r="G2831" s="66" t="str">
        <f>HYPERLINK("https://ledvance.com/pt/product-datasheet/7729/130797","Ficha de Produto")</f>
        <v>Ficha de Produto</v>
      </c>
      <c r="H2831" s="34">
        <v>20</v>
      </c>
      <c r="I2831" s="217" t="s">
        <v>1201</v>
      </c>
      <c r="J2831" s="34" t="s">
        <v>6244</v>
      </c>
      <c r="K2831" s="34" t="s">
        <v>788</v>
      </c>
      <c r="L2831" s="34" t="s">
        <v>800</v>
      </c>
      <c r="M2831" s="27">
        <v>152.5</v>
      </c>
      <c r="N2831" s="298" t="s">
        <v>732</v>
      </c>
    </row>
    <row r="2832" spans="1:14" s="32" customFormat="1" ht="14.25" customHeight="1">
      <c r="A2832" s="26" t="s">
        <v>749</v>
      </c>
      <c r="B2832" s="36" t="s">
        <v>505</v>
      </c>
      <c r="C2832" s="215">
        <v>4008321060808</v>
      </c>
      <c r="D2832" s="215"/>
      <c r="E2832" s="215"/>
      <c r="F2832" s="258" t="s">
        <v>4098</v>
      </c>
      <c r="G2832" s="66" t="str">
        <f>HYPERLINK("https://ledvance.com/pt/product-datasheet/7730/130748","Ficha de Produto")</f>
        <v>Ficha de Produto</v>
      </c>
      <c r="H2832" s="34">
        <v>20</v>
      </c>
      <c r="I2832" s="217" t="s">
        <v>1201</v>
      </c>
      <c r="J2832" s="34" t="s">
        <v>6465</v>
      </c>
      <c r="K2832" s="34" t="s">
        <v>788</v>
      </c>
      <c r="L2832" s="34" t="s">
        <v>800</v>
      </c>
      <c r="M2832" s="27">
        <v>176.5</v>
      </c>
      <c r="N2832" s="298" t="s">
        <v>732</v>
      </c>
    </row>
    <row r="2833" spans="1:14" s="32" customFormat="1" ht="14.25" customHeight="1">
      <c r="A2833" s="26" t="s">
        <v>749</v>
      </c>
      <c r="B2833" s="36" t="s">
        <v>506</v>
      </c>
      <c r="C2833" s="215">
        <v>4008321060822</v>
      </c>
      <c r="D2833" s="215"/>
      <c r="E2833" s="215"/>
      <c r="F2833" s="258" t="s">
        <v>4098</v>
      </c>
      <c r="G2833" s="66" t="str">
        <f>HYPERLINK("https://ledvance.com/pt/product-datasheet/7730/33931","Ficha de Produto")</f>
        <v>Ficha de Produto</v>
      </c>
      <c r="H2833" s="34">
        <v>20</v>
      </c>
      <c r="I2833" s="217" t="s">
        <v>1201</v>
      </c>
      <c r="J2833" s="34" t="s">
        <v>6216</v>
      </c>
      <c r="K2833" s="34" t="s">
        <v>788</v>
      </c>
      <c r="L2833" s="34" t="s">
        <v>800</v>
      </c>
      <c r="M2833" s="27">
        <v>176.5</v>
      </c>
      <c r="N2833" s="298" t="s">
        <v>732</v>
      </c>
    </row>
    <row r="2834" spans="1:14" s="32" customFormat="1" ht="14.25" customHeight="1">
      <c r="A2834" s="26" t="s">
        <v>749</v>
      </c>
      <c r="B2834" s="36" t="s">
        <v>507</v>
      </c>
      <c r="C2834" s="215">
        <v>4050300870922</v>
      </c>
      <c r="D2834" s="215"/>
      <c r="E2834" s="215"/>
      <c r="F2834" s="258" t="s">
        <v>4098</v>
      </c>
      <c r="G2834" s="66" t="str">
        <f>HYPERLINK("https://ledvance.com/pt/product-datasheet/7734/131454","Ficha de Produto")</f>
        <v>Ficha de Produto</v>
      </c>
      <c r="H2834" s="34">
        <v>20</v>
      </c>
      <c r="I2834" s="217" t="s">
        <v>1201</v>
      </c>
      <c r="J2834" s="34" t="s">
        <v>6184</v>
      </c>
      <c r="K2834" s="34" t="s">
        <v>788</v>
      </c>
      <c r="L2834" s="34" t="s">
        <v>800</v>
      </c>
      <c r="M2834" s="27">
        <v>141.9</v>
      </c>
      <c r="N2834" s="298" t="s">
        <v>732</v>
      </c>
    </row>
    <row r="2835" spans="1:14" s="32" customFormat="1" ht="14.25" customHeight="1">
      <c r="A2835" s="26" t="s">
        <v>749</v>
      </c>
      <c r="B2835" s="36" t="s">
        <v>508</v>
      </c>
      <c r="C2835" s="215">
        <v>4050300870564</v>
      </c>
      <c r="D2835" s="215"/>
      <c r="E2835" s="215"/>
      <c r="F2835" s="258" t="s">
        <v>4098</v>
      </c>
      <c r="G2835" s="66" t="str">
        <f>HYPERLINK("https://ledvance.com/pt/product-datasheet/7734/131457","Ficha de Produto")</f>
        <v>Ficha de Produto</v>
      </c>
      <c r="H2835" s="34">
        <v>20</v>
      </c>
      <c r="I2835" s="217" t="s">
        <v>1201</v>
      </c>
      <c r="J2835" s="34" t="s">
        <v>6138</v>
      </c>
      <c r="K2835" s="34" t="s">
        <v>788</v>
      </c>
      <c r="L2835" s="34" t="s">
        <v>800</v>
      </c>
      <c r="M2835" s="27">
        <v>141.9</v>
      </c>
      <c r="N2835" s="298" t="s">
        <v>732</v>
      </c>
    </row>
    <row r="2836" spans="1:14" s="32" customFormat="1" ht="14.25" customHeight="1">
      <c r="A2836" s="26" t="s">
        <v>749</v>
      </c>
      <c r="B2836" s="36" t="s">
        <v>509</v>
      </c>
      <c r="C2836" s="215">
        <v>4050300870588</v>
      </c>
      <c r="D2836" s="215"/>
      <c r="E2836" s="215"/>
      <c r="F2836" s="258" t="s">
        <v>4098</v>
      </c>
      <c r="G2836" s="66" t="str">
        <f>HYPERLINK("https://ledvance.com/pt/product-datasheet/7734/131461","Ficha de Produto")</f>
        <v>Ficha de Produto</v>
      </c>
      <c r="H2836" s="34">
        <v>20</v>
      </c>
      <c r="I2836" s="217" t="s">
        <v>1201</v>
      </c>
      <c r="J2836" s="34" t="s">
        <v>6459</v>
      </c>
      <c r="K2836" s="34" t="s">
        <v>788</v>
      </c>
      <c r="L2836" s="34" t="s">
        <v>800</v>
      </c>
      <c r="M2836" s="27">
        <v>141.9</v>
      </c>
      <c r="N2836" s="298" t="s">
        <v>732</v>
      </c>
    </row>
    <row r="2837" spans="1:14" s="32" customFormat="1" ht="14.25" customHeight="1">
      <c r="A2837" s="26" t="s">
        <v>749</v>
      </c>
      <c r="B2837" s="36" t="s">
        <v>510</v>
      </c>
      <c r="C2837" s="215">
        <v>4050300870540</v>
      </c>
      <c r="D2837" s="215"/>
      <c r="E2837" s="215"/>
      <c r="F2837" s="258" t="s">
        <v>4098</v>
      </c>
      <c r="G2837" s="66" t="str">
        <f>HYPERLINK("https://ledvance.com/pt/product-datasheet/7734/131465","Ficha de Produto")</f>
        <v>Ficha de Produto</v>
      </c>
      <c r="H2837" s="34">
        <v>20</v>
      </c>
      <c r="I2837" s="217" t="s">
        <v>1201</v>
      </c>
      <c r="J2837" s="34" t="s">
        <v>6460</v>
      </c>
      <c r="K2837" s="34" t="s">
        <v>788</v>
      </c>
      <c r="L2837" s="34" t="s">
        <v>800</v>
      </c>
      <c r="M2837" s="27">
        <v>141.9</v>
      </c>
      <c r="N2837" s="298" t="s">
        <v>732</v>
      </c>
    </row>
    <row r="2838" spans="1:14" s="32" customFormat="1" ht="14.25" customHeight="1">
      <c r="A2838" s="26" t="s">
        <v>749</v>
      </c>
      <c r="B2838" s="36" t="s">
        <v>511</v>
      </c>
      <c r="C2838" s="215">
        <v>4050300870717</v>
      </c>
      <c r="D2838" s="215"/>
      <c r="E2838" s="215"/>
      <c r="F2838" s="258" t="s">
        <v>4098</v>
      </c>
      <c r="G2838" s="66" t="str">
        <f>HYPERLINK("https://ledvance.com/pt/product-datasheet/7734/131472","Ficha de Produto")</f>
        <v>Ficha de Produto</v>
      </c>
      <c r="H2838" s="34">
        <v>20</v>
      </c>
      <c r="I2838" s="217" t="s">
        <v>1201</v>
      </c>
      <c r="J2838" s="34" t="s">
        <v>6466</v>
      </c>
      <c r="K2838" s="34" t="s">
        <v>788</v>
      </c>
      <c r="L2838" s="34" t="s">
        <v>800</v>
      </c>
      <c r="M2838" s="27">
        <v>186</v>
      </c>
      <c r="N2838" s="298" t="s">
        <v>732</v>
      </c>
    </row>
    <row r="2839" spans="1:14" s="32" customFormat="1" ht="14.25" customHeight="1">
      <c r="A2839" s="26" t="s">
        <v>749</v>
      </c>
      <c r="B2839" s="36" t="s">
        <v>512</v>
      </c>
      <c r="C2839" s="215">
        <v>4050300870670</v>
      </c>
      <c r="D2839" s="215"/>
      <c r="E2839" s="215"/>
      <c r="F2839" s="258" t="s">
        <v>4098</v>
      </c>
      <c r="G2839" s="66" t="str">
        <f>HYPERLINK("https://ledvance.com/pt/product-datasheet/7734/131475","Ficha de Produto")</f>
        <v>Ficha de Produto</v>
      </c>
      <c r="H2839" s="34">
        <v>20</v>
      </c>
      <c r="I2839" s="217" t="s">
        <v>1201</v>
      </c>
      <c r="J2839" s="34" t="s">
        <v>6463</v>
      </c>
      <c r="K2839" s="34" t="s">
        <v>788</v>
      </c>
      <c r="L2839" s="34" t="s">
        <v>800</v>
      </c>
      <c r="M2839" s="27">
        <v>186</v>
      </c>
      <c r="N2839" s="298" t="s">
        <v>732</v>
      </c>
    </row>
    <row r="2840" spans="1:14" s="32" customFormat="1" ht="14.25" customHeight="1">
      <c r="A2840" s="26" t="s">
        <v>749</v>
      </c>
      <c r="B2840" s="36" t="s">
        <v>513</v>
      </c>
      <c r="C2840" s="215">
        <v>4050300870984</v>
      </c>
      <c r="D2840" s="215"/>
      <c r="E2840" s="215"/>
      <c r="F2840" s="258" t="s">
        <v>4098</v>
      </c>
      <c r="G2840" s="66" t="str">
        <f>HYPERLINK("https://ledvance.com/pt/product-datasheet/7734/131478","Ficha de Produto")</f>
        <v>Ficha de Produto</v>
      </c>
      <c r="H2840" s="34">
        <v>20</v>
      </c>
      <c r="I2840" s="217" t="s">
        <v>1201</v>
      </c>
      <c r="J2840" s="34" t="s">
        <v>6215</v>
      </c>
      <c r="K2840" s="34" t="s">
        <v>788</v>
      </c>
      <c r="L2840" s="34" t="s">
        <v>800</v>
      </c>
      <c r="M2840" s="27">
        <v>204.8</v>
      </c>
      <c r="N2840" s="298" t="s">
        <v>732</v>
      </c>
    </row>
    <row r="2841" spans="1:14" s="32" customFormat="1" ht="14.25" customHeight="1">
      <c r="A2841" s="26" t="s">
        <v>749</v>
      </c>
      <c r="B2841" s="36" t="s">
        <v>514</v>
      </c>
      <c r="C2841" s="215">
        <v>4008321060860</v>
      </c>
      <c r="D2841" s="215"/>
      <c r="E2841" s="215"/>
      <c r="F2841" s="258" t="s">
        <v>4098</v>
      </c>
      <c r="G2841" s="66" t="str">
        <f>HYPERLINK("https://ledvance.com/pt/product-datasheet/7737/131482","Ficha de Produto")</f>
        <v>Ficha de Produto</v>
      </c>
      <c r="H2841" s="34">
        <v>20</v>
      </c>
      <c r="I2841" s="217" t="s">
        <v>1201</v>
      </c>
      <c r="J2841" s="34" t="s">
        <v>6465</v>
      </c>
      <c r="K2841" s="34" t="s">
        <v>788</v>
      </c>
      <c r="L2841" s="34" t="s">
        <v>800</v>
      </c>
      <c r="M2841" s="27">
        <v>189.1</v>
      </c>
      <c r="N2841" s="298" t="s">
        <v>732</v>
      </c>
    </row>
    <row r="2842" spans="1:14" s="32" customFormat="1" ht="14.25" customHeight="1">
      <c r="A2842" s="26" t="s">
        <v>749</v>
      </c>
      <c r="B2842" s="36" t="s">
        <v>515</v>
      </c>
      <c r="C2842" s="215">
        <v>4008321060846</v>
      </c>
      <c r="D2842" s="215"/>
      <c r="E2842" s="215"/>
      <c r="F2842" s="258" t="s">
        <v>4098</v>
      </c>
      <c r="G2842" s="66" t="str">
        <f>HYPERLINK("https://ledvance.com/pt/product-datasheet/7737/131486","Ficha de Produto")</f>
        <v>Ficha de Produto</v>
      </c>
      <c r="H2842" s="34">
        <v>20</v>
      </c>
      <c r="I2842" s="217" t="s">
        <v>1201</v>
      </c>
      <c r="J2842" s="34" t="s">
        <v>6216</v>
      </c>
      <c r="K2842" s="34" t="s">
        <v>788</v>
      </c>
      <c r="L2842" s="34" t="s">
        <v>800</v>
      </c>
      <c r="M2842" s="27">
        <v>198.6</v>
      </c>
      <c r="N2842" s="298" t="s">
        <v>732</v>
      </c>
    </row>
    <row r="2843" spans="1:14" s="32" customFormat="1" ht="14.25" customHeight="1">
      <c r="A2843" s="25" t="s">
        <v>749</v>
      </c>
      <c r="B2843" s="276" t="s">
        <v>751</v>
      </c>
      <c r="C2843" s="7"/>
      <c r="D2843" s="7"/>
      <c r="E2843" s="7"/>
      <c r="F2843" s="7"/>
      <c r="G2843" s="68" t="s">
        <v>6505</v>
      </c>
      <c r="H2843" s="7"/>
      <c r="I2843" s="7"/>
      <c r="J2843" s="7"/>
      <c r="K2843" s="7"/>
      <c r="L2843" s="7"/>
      <c r="M2843" s="248"/>
      <c r="N2843" s="284"/>
    </row>
    <row r="2844" spans="1:14" s="32" customFormat="1" ht="14.25" customHeight="1">
      <c r="A2844" s="26" t="s">
        <v>749</v>
      </c>
      <c r="B2844" s="36" t="s">
        <v>516</v>
      </c>
      <c r="C2844" s="215">
        <v>4008321383334</v>
      </c>
      <c r="D2844" s="215"/>
      <c r="E2844" s="215"/>
      <c r="F2844" s="258" t="s">
        <v>4098</v>
      </c>
      <c r="G2844" s="66" t="str">
        <f>HYPERLINK("https://ledvance.com/pt/product-datasheet/7741/140285","Ficha de Produto")</f>
        <v>Ficha de Produto</v>
      </c>
      <c r="H2844" s="34">
        <v>20</v>
      </c>
      <c r="I2844" s="217" t="s">
        <v>1201</v>
      </c>
      <c r="J2844" s="34" t="s">
        <v>6223</v>
      </c>
      <c r="K2844" s="34" t="s">
        <v>788</v>
      </c>
      <c r="L2844" s="34" t="s">
        <v>800</v>
      </c>
      <c r="M2844" s="27">
        <v>95.8</v>
      </c>
      <c r="N2844" s="298" t="s">
        <v>732</v>
      </c>
    </row>
    <row r="2845" spans="1:14" s="32" customFormat="1" ht="14.25" customHeight="1">
      <c r="A2845" s="26" t="s">
        <v>749</v>
      </c>
      <c r="B2845" s="36" t="s">
        <v>517</v>
      </c>
      <c r="C2845" s="215">
        <v>4008321383358</v>
      </c>
      <c r="D2845" s="215"/>
      <c r="E2845" s="215"/>
      <c r="F2845" s="258" t="s">
        <v>4098</v>
      </c>
      <c r="G2845" s="66" t="str">
        <f>HYPERLINK("https://ledvance.com/pt/product-datasheet/7741/140289","Ficha de Produto")</f>
        <v>Ficha de Produto</v>
      </c>
      <c r="H2845" s="34">
        <v>20</v>
      </c>
      <c r="I2845" s="217" t="s">
        <v>1201</v>
      </c>
      <c r="J2845" s="34" t="s">
        <v>6459</v>
      </c>
      <c r="K2845" s="34" t="s">
        <v>788</v>
      </c>
      <c r="L2845" s="34" t="s">
        <v>800</v>
      </c>
      <c r="M2845" s="27">
        <v>95.8</v>
      </c>
      <c r="N2845" s="298" t="s">
        <v>732</v>
      </c>
    </row>
    <row r="2846" spans="1:14" s="32" customFormat="1" ht="14.25" customHeight="1">
      <c r="A2846" s="26" t="s">
        <v>749</v>
      </c>
      <c r="B2846" s="36" t="s">
        <v>518</v>
      </c>
      <c r="C2846" s="215">
        <v>4008321383372</v>
      </c>
      <c r="D2846" s="215"/>
      <c r="E2846" s="215"/>
      <c r="F2846" s="258" t="s">
        <v>4098</v>
      </c>
      <c r="G2846" s="66" t="str">
        <f>HYPERLINK("https://ledvance.com/pt/product-datasheet/7741/140293","Ficha de Produto")</f>
        <v>Ficha de Produto</v>
      </c>
      <c r="H2846" s="34">
        <v>20</v>
      </c>
      <c r="I2846" s="217" t="s">
        <v>1201</v>
      </c>
      <c r="J2846" s="34" t="s">
        <v>6216</v>
      </c>
      <c r="K2846" s="34" t="s">
        <v>788</v>
      </c>
      <c r="L2846" s="34" t="s">
        <v>800</v>
      </c>
      <c r="M2846" s="27">
        <v>95.8</v>
      </c>
      <c r="N2846" s="298" t="s">
        <v>732</v>
      </c>
    </row>
    <row r="2847" spans="1:14" s="32" customFormat="1" ht="14.25" customHeight="1">
      <c r="A2847" s="26" t="s">
        <v>749</v>
      </c>
      <c r="B2847" s="36" t="s">
        <v>519</v>
      </c>
      <c r="C2847" s="215">
        <v>4008321383396</v>
      </c>
      <c r="D2847" s="215"/>
      <c r="E2847" s="215"/>
      <c r="F2847" s="258" t="s">
        <v>4098</v>
      </c>
      <c r="G2847" s="66" t="str">
        <f>HYPERLINK("https://ledvance.com/pt/product-datasheet/7741/140297","Ficha de Produto")</f>
        <v>Ficha de Produto</v>
      </c>
      <c r="H2847" s="34">
        <v>20</v>
      </c>
      <c r="I2847" s="217" t="s">
        <v>1201</v>
      </c>
      <c r="J2847" s="34" t="s">
        <v>6460</v>
      </c>
      <c r="K2847" s="34" t="s">
        <v>788</v>
      </c>
      <c r="L2847" s="34" t="s">
        <v>800</v>
      </c>
      <c r="M2847" s="27">
        <v>104</v>
      </c>
      <c r="N2847" s="298" t="s">
        <v>732</v>
      </c>
    </row>
    <row r="2848" spans="1:14" s="32" customFormat="1" ht="14.25" customHeight="1">
      <c r="A2848" s="26" t="s">
        <v>749</v>
      </c>
      <c r="B2848" s="36" t="s">
        <v>520</v>
      </c>
      <c r="C2848" s="215">
        <v>4008321383419</v>
      </c>
      <c r="D2848" s="215"/>
      <c r="E2848" s="215"/>
      <c r="F2848" s="258" t="s">
        <v>4098</v>
      </c>
      <c r="G2848" s="66" t="str">
        <f>HYPERLINK("https://ledvance.com/pt/product-datasheet/7741/140301","Ficha de Produto")</f>
        <v>Ficha de Produto</v>
      </c>
      <c r="H2848" s="34">
        <v>20</v>
      </c>
      <c r="I2848" s="217" t="s">
        <v>1201</v>
      </c>
      <c r="J2848" s="34" t="s">
        <v>6467</v>
      </c>
      <c r="K2848" s="34" t="s">
        <v>788</v>
      </c>
      <c r="L2848" s="34" t="s">
        <v>800</v>
      </c>
      <c r="M2848" s="27">
        <v>104</v>
      </c>
      <c r="N2848" s="298" t="s">
        <v>732</v>
      </c>
    </row>
    <row r="2849" spans="1:14" s="32" customFormat="1" ht="14.25" customHeight="1">
      <c r="A2849" s="26" t="s">
        <v>749</v>
      </c>
      <c r="B2849" s="36" t="s">
        <v>521</v>
      </c>
      <c r="C2849" s="215">
        <v>4008321658951</v>
      </c>
      <c r="D2849" s="215"/>
      <c r="E2849" s="215"/>
      <c r="F2849" s="258" t="s">
        <v>4098</v>
      </c>
      <c r="G2849" s="66" t="str">
        <f>HYPERLINK("https://ledvance.com/pt/product-datasheet/7741/128099","Ficha de Produto")</f>
        <v>Ficha de Produto</v>
      </c>
      <c r="H2849" s="34">
        <v>20</v>
      </c>
      <c r="I2849" s="217" t="s">
        <v>1201</v>
      </c>
      <c r="J2849" s="34" t="s">
        <v>6215</v>
      </c>
      <c r="K2849" s="34" t="s">
        <v>788</v>
      </c>
      <c r="L2849" s="34" t="s">
        <v>800</v>
      </c>
      <c r="M2849" s="27">
        <v>117.2</v>
      </c>
      <c r="N2849" s="298" t="s">
        <v>732</v>
      </c>
    </row>
    <row r="2850" spans="1:14" s="32" customFormat="1" ht="14.25" customHeight="1">
      <c r="A2850" s="26" t="s">
        <v>749</v>
      </c>
      <c r="B2850" s="36" t="s">
        <v>522</v>
      </c>
      <c r="C2850" s="215">
        <v>4008321329035</v>
      </c>
      <c r="D2850" s="215"/>
      <c r="E2850" s="215"/>
      <c r="F2850" s="258" t="s">
        <v>4098</v>
      </c>
      <c r="G2850" s="66" t="str">
        <f>HYPERLINK("https://ledvance.com/pt/product-datasheet/7742/133945","Ficha de Produto")</f>
        <v>Ficha de Produto</v>
      </c>
      <c r="H2850" s="34">
        <v>20</v>
      </c>
      <c r="I2850" s="217" t="s">
        <v>1201</v>
      </c>
      <c r="J2850" s="34" t="s">
        <v>6468</v>
      </c>
      <c r="K2850" s="34" t="s">
        <v>788</v>
      </c>
      <c r="L2850" s="34" t="s">
        <v>800</v>
      </c>
      <c r="M2850" s="27">
        <v>56.7</v>
      </c>
      <c r="N2850" s="298" t="s">
        <v>732</v>
      </c>
    </row>
    <row r="2851" spans="1:14" s="32" customFormat="1" ht="14.25" customHeight="1">
      <c r="A2851" s="26" t="s">
        <v>749</v>
      </c>
      <c r="B2851" s="36" t="s">
        <v>523</v>
      </c>
      <c r="C2851" s="215">
        <v>4008321329370</v>
      </c>
      <c r="D2851" s="215"/>
      <c r="E2851" s="215"/>
      <c r="F2851" s="258" t="s">
        <v>4098</v>
      </c>
      <c r="G2851" s="66" t="str">
        <f>HYPERLINK("https://ledvance.com/pt/product-datasheet/7742/126427","Ficha de Produto")</f>
        <v>Ficha de Produto</v>
      </c>
      <c r="H2851" s="34">
        <v>20</v>
      </c>
      <c r="I2851" s="217" t="s">
        <v>1201</v>
      </c>
      <c r="J2851" s="34" t="s">
        <v>6135</v>
      </c>
      <c r="K2851" s="34" t="s">
        <v>788</v>
      </c>
      <c r="L2851" s="34" t="s">
        <v>800</v>
      </c>
      <c r="M2851" s="27">
        <v>56.7</v>
      </c>
      <c r="N2851" s="298" t="s">
        <v>732</v>
      </c>
    </row>
    <row r="2852" spans="1:14" s="32" customFormat="1" ht="14.25" customHeight="1">
      <c r="A2852" s="26" t="s">
        <v>749</v>
      </c>
      <c r="B2852" s="36" t="s">
        <v>524</v>
      </c>
      <c r="C2852" s="215">
        <v>4008321329059</v>
      </c>
      <c r="D2852" s="215"/>
      <c r="E2852" s="215"/>
      <c r="F2852" s="258" t="s">
        <v>4098</v>
      </c>
      <c r="G2852" s="66" t="str">
        <f>HYPERLINK("https://ledvance.com/pt/product-datasheet/7742/126431","Ficha de Produto")</f>
        <v>Ficha de Produto</v>
      </c>
      <c r="H2852" s="34">
        <v>20</v>
      </c>
      <c r="I2852" s="217" t="s">
        <v>1201</v>
      </c>
      <c r="J2852" s="34" t="s">
        <v>6460</v>
      </c>
      <c r="K2852" s="34" t="s">
        <v>788</v>
      </c>
      <c r="L2852" s="34" t="s">
        <v>800</v>
      </c>
      <c r="M2852" s="27">
        <v>60.5</v>
      </c>
      <c r="N2852" s="298" t="s">
        <v>732</v>
      </c>
    </row>
    <row r="2853" spans="1:14" s="32" customFormat="1" ht="14.25" customHeight="1">
      <c r="A2853" s="26" t="s">
        <v>749</v>
      </c>
      <c r="B2853" s="36" t="s">
        <v>525</v>
      </c>
      <c r="C2853" s="215">
        <v>4008321329073</v>
      </c>
      <c r="D2853" s="215"/>
      <c r="E2853" s="215"/>
      <c r="F2853" s="258" t="s">
        <v>4098</v>
      </c>
      <c r="G2853" s="66" t="str">
        <f>HYPERLINK("https://ledvance.com/pt/product-datasheet/7742/133950","Ficha de Produto")</f>
        <v>Ficha de Produto</v>
      </c>
      <c r="H2853" s="34">
        <v>20</v>
      </c>
      <c r="I2853" s="217" t="s">
        <v>1201</v>
      </c>
      <c r="J2853" s="34" t="s">
        <v>6254</v>
      </c>
      <c r="K2853" s="34" t="s">
        <v>788</v>
      </c>
      <c r="L2853" s="34" t="s">
        <v>800</v>
      </c>
      <c r="M2853" s="27">
        <v>63.7</v>
      </c>
      <c r="N2853" s="298" t="s">
        <v>732</v>
      </c>
    </row>
    <row r="2854" spans="1:14" s="32" customFormat="1" ht="14.25" customHeight="1">
      <c r="A2854" s="26" t="s">
        <v>749</v>
      </c>
      <c r="B2854" s="36" t="s">
        <v>526</v>
      </c>
      <c r="C2854" s="215">
        <v>4008321329431</v>
      </c>
      <c r="D2854" s="215"/>
      <c r="E2854" s="215"/>
      <c r="F2854" s="258" t="s">
        <v>4098</v>
      </c>
      <c r="G2854" s="66" t="str">
        <f>HYPERLINK("https://ledvance.com/pt/product-datasheet/7742/129545","Ficha de Produto")</f>
        <v>Ficha de Produto</v>
      </c>
      <c r="H2854" s="34">
        <v>20</v>
      </c>
      <c r="I2854" s="217" t="s">
        <v>1201</v>
      </c>
      <c r="J2854" s="34" t="s">
        <v>6229</v>
      </c>
      <c r="K2854" s="34" t="s">
        <v>788</v>
      </c>
      <c r="L2854" s="34" t="s">
        <v>800</v>
      </c>
      <c r="M2854" s="27">
        <v>63.7</v>
      </c>
      <c r="N2854" s="298" t="s">
        <v>732</v>
      </c>
    </row>
    <row r="2855" spans="1:14" s="32" customFormat="1" ht="14.25" customHeight="1">
      <c r="A2855" s="26" t="s">
        <v>749</v>
      </c>
      <c r="B2855" s="36" t="s">
        <v>527</v>
      </c>
      <c r="C2855" s="215">
        <v>4008321484598</v>
      </c>
      <c r="D2855" s="215"/>
      <c r="E2855" s="215"/>
      <c r="F2855" s="258" t="s">
        <v>4098</v>
      </c>
      <c r="G2855" s="66" t="str">
        <f>HYPERLINK("https://ledvance.com/pt/product-datasheet/7742/126403","Ficha de Produto")</f>
        <v>Ficha de Produto</v>
      </c>
      <c r="H2855" s="34">
        <v>20</v>
      </c>
      <c r="I2855" s="217" t="s">
        <v>1201</v>
      </c>
      <c r="J2855" s="34" t="s">
        <v>6182</v>
      </c>
      <c r="K2855" s="34" t="s">
        <v>788</v>
      </c>
      <c r="L2855" s="34" t="s">
        <v>800</v>
      </c>
      <c r="M2855" s="27">
        <v>74.400000000000006</v>
      </c>
      <c r="N2855" s="298" t="s">
        <v>732</v>
      </c>
    </row>
    <row r="2856" spans="1:14" s="32" customFormat="1" ht="14.25" customHeight="1">
      <c r="A2856" s="26" t="s">
        <v>749</v>
      </c>
      <c r="B2856" s="36" t="s">
        <v>528</v>
      </c>
      <c r="C2856" s="215">
        <v>4050300825564</v>
      </c>
      <c r="D2856" s="215"/>
      <c r="E2856" s="215"/>
      <c r="F2856" s="258" t="s">
        <v>4098</v>
      </c>
      <c r="G2856" s="66" t="str">
        <f>HYPERLINK("https://ledvance.com/pt/product-datasheet/7744/127868","Ficha de Produto")</f>
        <v>Ficha de Produto</v>
      </c>
      <c r="H2856" s="34">
        <v>20</v>
      </c>
      <c r="I2856" s="217" t="s">
        <v>1201</v>
      </c>
      <c r="J2856" s="34" t="s">
        <v>6469</v>
      </c>
      <c r="K2856" s="34" t="s">
        <v>788</v>
      </c>
      <c r="L2856" s="34" t="s">
        <v>800</v>
      </c>
      <c r="M2856" s="27">
        <v>100.8</v>
      </c>
      <c r="N2856" s="298" t="s">
        <v>732</v>
      </c>
    </row>
    <row r="2857" spans="1:14" s="32" customFormat="1" ht="14.25" customHeight="1">
      <c r="A2857" s="26" t="s">
        <v>749</v>
      </c>
      <c r="B2857" s="36" t="s">
        <v>529</v>
      </c>
      <c r="C2857" s="215">
        <v>4008321873743</v>
      </c>
      <c r="D2857" s="215"/>
      <c r="E2857" s="215"/>
      <c r="F2857" s="258" t="s">
        <v>4098</v>
      </c>
      <c r="G2857" s="66" t="str">
        <f>HYPERLINK("https://ledvance.com/pt/product-datasheet/7743/131061","Ficha de Produto")</f>
        <v>Ficha de Produto</v>
      </c>
      <c r="H2857" s="34">
        <v>20</v>
      </c>
      <c r="I2857" s="217" t="s">
        <v>1201</v>
      </c>
      <c r="J2857" s="34" t="s">
        <v>6223</v>
      </c>
      <c r="K2857" s="34" t="s">
        <v>788</v>
      </c>
      <c r="L2857" s="34" t="s">
        <v>800</v>
      </c>
      <c r="M2857" s="27">
        <v>40.4</v>
      </c>
      <c r="N2857" s="298" t="s">
        <v>732</v>
      </c>
    </row>
    <row r="2858" spans="1:14" s="32" customFormat="1" ht="14.25" customHeight="1">
      <c r="A2858" s="26" t="s">
        <v>749</v>
      </c>
      <c r="B2858" s="36" t="s">
        <v>530</v>
      </c>
      <c r="C2858" s="215">
        <v>4008321873729</v>
      </c>
      <c r="D2858" s="215"/>
      <c r="E2858" s="215"/>
      <c r="F2858" s="258" t="s">
        <v>4098</v>
      </c>
      <c r="G2858" s="66" t="str">
        <f>HYPERLINK("https://ledvance.com/pt/product-datasheet/7743/138739","Ficha de Produto")</f>
        <v>Ficha de Produto</v>
      </c>
      <c r="H2858" s="34">
        <v>20</v>
      </c>
      <c r="I2858" s="217" t="s">
        <v>1201</v>
      </c>
      <c r="J2858" s="34" t="s">
        <v>6169</v>
      </c>
      <c r="K2858" s="34" t="s">
        <v>788</v>
      </c>
      <c r="L2858" s="34" t="s">
        <v>800</v>
      </c>
      <c r="M2858" s="27">
        <v>40.4</v>
      </c>
      <c r="N2858" s="298" t="s">
        <v>732</v>
      </c>
    </row>
    <row r="2859" spans="1:14" s="32" customFormat="1" ht="14.25" customHeight="1">
      <c r="A2859" s="26" t="s">
        <v>749</v>
      </c>
      <c r="B2859" s="36" t="s">
        <v>531</v>
      </c>
      <c r="C2859" s="215">
        <v>4008321873767</v>
      </c>
      <c r="D2859" s="215"/>
      <c r="E2859" s="215"/>
      <c r="F2859" s="258" t="s">
        <v>4098</v>
      </c>
      <c r="G2859" s="66" t="str">
        <f>HYPERLINK("https://ledvance.com/pt/product-datasheet/7743/138734","Ficha de Produto")</f>
        <v>Ficha de Produto</v>
      </c>
      <c r="H2859" s="34">
        <v>20</v>
      </c>
      <c r="I2859" s="217" t="s">
        <v>1201</v>
      </c>
      <c r="J2859" s="34" t="s">
        <v>6470</v>
      </c>
      <c r="K2859" s="34" t="s">
        <v>788</v>
      </c>
      <c r="L2859" s="34" t="s">
        <v>800</v>
      </c>
      <c r="M2859" s="27">
        <v>49.2</v>
      </c>
      <c r="N2859" s="298" t="s">
        <v>732</v>
      </c>
    </row>
    <row r="2860" spans="1:14" s="32" customFormat="1" ht="14.25" customHeight="1">
      <c r="A2860" s="26" t="s">
        <v>749</v>
      </c>
      <c r="B2860" s="36" t="s">
        <v>532</v>
      </c>
      <c r="C2860" s="215">
        <v>4008321880253</v>
      </c>
      <c r="D2860" s="215"/>
      <c r="E2860" s="215"/>
      <c r="F2860" s="258" t="s">
        <v>4098</v>
      </c>
      <c r="G2860" s="66" t="str">
        <f>HYPERLINK("https://ledvance.com/pt/product-datasheet/7743/136688","Ficha de Produto")</f>
        <v>Ficha de Produto</v>
      </c>
      <c r="H2860" s="34">
        <v>20</v>
      </c>
      <c r="I2860" s="217" t="s">
        <v>1201</v>
      </c>
      <c r="J2860" s="34" t="s">
        <v>6471</v>
      </c>
      <c r="K2860" s="34" t="s">
        <v>788</v>
      </c>
      <c r="L2860" s="34" t="s">
        <v>800</v>
      </c>
      <c r="M2860" s="27">
        <v>49.2</v>
      </c>
      <c r="N2860" s="298" t="s">
        <v>732</v>
      </c>
    </row>
    <row r="2861" spans="1:14" s="32" customFormat="1" ht="14.25" customHeight="1">
      <c r="A2861" s="26" t="s">
        <v>749</v>
      </c>
      <c r="B2861" s="36" t="s">
        <v>533</v>
      </c>
      <c r="C2861" s="215">
        <v>4008321971234</v>
      </c>
      <c r="D2861" s="215"/>
      <c r="E2861" s="215"/>
      <c r="F2861" s="258" t="s">
        <v>4098</v>
      </c>
      <c r="G2861" s="66" t="str">
        <f>HYPERLINK("https://ledvance.com/pt/product-datasheet/7751/134262","Ficha de Produto")</f>
        <v>Ficha de Produto</v>
      </c>
      <c r="H2861" s="34">
        <v>20</v>
      </c>
      <c r="I2861" s="217" t="s">
        <v>1201</v>
      </c>
      <c r="J2861" s="34" t="s">
        <v>6468</v>
      </c>
      <c r="K2861" s="34" t="s">
        <v>788</v>
      </c>
      <c r="L2861" s="34" t="s">
        <v>800</v>
      </c>
      <c r="M2861" s="27">
        <v>36</v>
      </c>
      <c r="N2861" s="298" t="s">
        <v>732</v>
      </c>
    </row>
    <row r="2862" spans="1:14" s="32" customFormat="1" ht="14.25" customHeight="1">
      <c r="A2862" s="26" t="s">
        <v>749</v>
      </c>
      <c r="B2862" s="36" t="s">
        <v>534</v>
      </c>
      <c r="C2862" s="215">
        <v>4008321832139</v>
      </c>
      <c r="D2862" s="215"/>
      <c r="E2862" s="215"/>
      <c r="F2862" s="258" t="s">
        <v>4098</v>
      </c>
      <c r="G2862" s="66" t="str">
        <f>HYPERLINK("https://ledvance.com/pt/product-datasheet/7751/134271","Ficha de Produto")</f>
        <v>Ficha de Produto</v>
      </c>
      <c r="H2862" s="34">
        <v>20</v>
      </c>
      <c r="I2862" s="217" t="s">
        <v>1201</v>
      </c>
      <c r="J2862" s="34" t="s">
        <v>6135</v>
      </c>
      <c r="K2862" s="34" t="s">
        <v>788</v>
      </c>
      <c r="L2862" s="34" t="s">
        <v>800</v>
      </c>
      <c r="M2862" s="27">
        <v>36</v>
      </c>
      <c r="N2862" s="298" t="s">
        <v>732</v>
      </c>
    </row>
    <row r="2863" spans="1:14" s="32" customFormat="1" ht="14.25" customHeight="1">
      <c r="A2863" s="26" t="s">
        <v>749</v>
      </c>
      <c r="B2863" s="36" t="s">
        <v>535</v>
      </c>
      <c r="C2863" s="215">
        <v>4008321971258</v>
      </c>
      <c r="D2863" s="215"/>
      <c r="E2863" s="215"/>
      <c r="F2863" s="258" t="s">
        <v>4098</v>
      </c>
      <c r="G2863" s="66" t="str">
        <f>HYPERLINK("https://ledvance.com/pt/product-datasheet/7751/134266","Ficha de Produto")</f>
        <v>Ficha de Produto</v>
      </c>
      <c r="H2863" s="34">
        <v>20</v>
      </c>
      <c r="I2863" s="217" t="s">
        <v>1201</v>
      </c>
      <c r="J2863" s="34" t="s">
        <v>6254</v>
      </c>
      <c r="K2863" s="34" t="s">
        <v>788</v>
      </c>
      <c r="L2863" s="34" t="s">
        <v>800</v>
      </c>
      <c r="M2863" s="27">
        <v>41</v>
      </c>
      <c r="N2863" s="298" t="s">
        <v>732</v>
      </c>
    </row>
    <row r="2864" spans="1:14" s="32" customFormat="1" ht="14.25" customHeight="1">
      <c r="A2864" s="26" t="s">
        <v>749</v>
      </c>
      <c r="B2864" s="36" t="s">
        <v>536</v>
      </c>
      <c r="C2864" s="215">
        <v>4008321832153</v>
      </c>
      <c r="D2864" s="215"/>
      <c r="E2864" s="215"/>
      <c r="F2864" s="258" t="s">
        <v>4098</v>
      </c>
      <c r="G2864" s="66" t="str">
        <f>HYPERLINK("https://ledvance.com/pt/product-datasheet/7751/129550","Ficha de Produto")</f>
        <v>Ficha de Produto</v>
      </c>
      <c r="H2864" s="34">
        <v>20</v>
      </c>
      <c r="I2864" s="217" t="s">
        <v>1201</v>
      </c>
      <c r="J2864" s="34" t="s">
        <v>6229</v>
      </c>
      <c r="K2864" s="34" t="s">
        <v>788</v>
      </c>
      <c r="L2864" s="34" t="s">
        <v>800</v>
      </c>
      <c r="M2864" s="27">
        <v>41</v>
      </c>
      <c r="N2864" s="298" t="s">
        <v>732</v>
      </c>
    </row>
    <row r="2865" spans="1:14" s="32" customFormat="1" ht="14.25" customHeight="1">
      <c r="A2865" s="26" t="s">
        <v>749</v>
      </c>
      <c r="B2865" s="36" t="s">
        <v>537</v>
      </c>
      <c r="C2865" s="215">
        <v>4008321971210</v>
      </c>
      <c r="D2865" s="215"/>
      <c r="E2865" s="215"/>
      <c r="F2865" s="258" t="s">
        <v>4098</v>
      </c>
      <c r="G2865" s="66" t="str">
        <f>HYPERLINK("https://ledvance.com/pt/product-datasheet/7751/42833","Ficha de Produto")</f>
        <v>Ficha de Produto</v>
      </c>
      <c r="H2865" s="34">
        <v>20</v>
      </c>
      <c r="I2865" s="217" t="s">
        <v>1201</v>
      </c>
      <c r="J2865" s="34" t="s">
        <v>6182</v>
      </c>
      <c r="K2865" s="34" t="s">
        <v>788</v>
      </c>
      <c r="L2865" s="34" t="s">
        <v>800</v>
      </c>
      <c r="M2865" s="27">
        <v>44.1</v>
      </c>
      <c r="N2865" s="298" t="s">
        <v>732</v>
      </c>
    </row>
    <row r="2866" spans="1:14" s="32" customFormat="1" ht="14.25" customHeight="1">
      <c r="A2866" s="26" t="s">
        <v>749</v>
      </c>
      <c r="B2866" s="36" t="s">
        <v>538</v>
      </c>
      <c r="C2866" s="215">
        <v>4008321873927</v>
      </c>
      <c r="D2866" s="215"/>
      <c r="E2866" s="215"/>
      <c r="F2866" s="258" t="s">
        <v>4098</v>
      </c>
      <c r="G2866" s="66" t="str">
        <f>HYPERLINK("https://ledvance.com/pt/product-datasheet/7752/134276","Ficha de Produto")</f>
        <v>Ficha de Produto</v>
      </c>
      <c r="H2866" s="34">
        <v>20</v>
      </c>
      <c r="I2866" s="217" t="s">
        <v>1201</v>
      </c>
      <c r="J2866" s="34" t="s">
        <v>6138</v>
      </c>
      <c r="K2866" s="34" t="s">
        <v>788</v>
      </c>
      <c r="L2866" s="34" t="s">
        <v>800</v>
      </c>
      <c r="M2866" s="27">
        <v>36</v>
      </c>
      <c r="N2866" s="298" t="s">
        <v>732</v>
      </c>
    </row>
    <row r="2867" spans="1:14" s="32" customFormat="1" ht="14.25" customHeight="1">
      <c r="A2867" s="26" t="s">
        <v>749</v>
      </c>
      <c r="B2867" s="36" t="s">
        <v>539</v>
      </c>
      <c r="C2867" s="215">
        <v>4008321873828</v>
      </c>
      <c r="D2867" s="215"/>
      <c r="E2867" s="215"/>
      <c r="F2867" s="258" t="s">
        <v>4098</v>
      </c>
      <c r="G2867" s="66" t="str">
        <f>HYPERLINK("https://ledvance.com/pt/product-datasheet/7752/134280","Ficha de Produto")</f>
        <v>Ficha de Produto</v>
      </c>
      <c r="H2867" s="34">
        <v>20</v>
      </c>
      <c r="I2867" s="217" t="s">
        <v>1201</v>
      </c>
      <c r="J2867" s="34" t="s">
        <v>6185</v>
      </c>
      <c r="K2867" s="34" t="s">
        <v>788</v>
      </c>
      <c r="L2867" s="34" t="s">
        <v>800</v>
      </c>
      <c r="M2867" s="27">
        <v>36</v>
      </c>
      <c r="N2867" s="298" t="s">
        <v>732</v>
      </c>
    </row>
    <row r="2868" spans="1:14" s="32" customFormat="1" ht="14.25" customHeight="1">
      <c r="A2868" s="26" t="s">
        <v>749</v>
      </c>
      <c r="B2868" s="36" t="s">
        <v>540</v>
      </c>
      <c r="C2868" s="215">
        <v>4008321873903</v>
      </c>
      <c r="D2868" s="215"/>
      <c r="E2868" s="215"/>
      <c r="F2868" s="258" t="s">
        <v>4098</v>
      </c>
      <c r="G2868" s="66" t="str">
        <f>HYPERLINK("https://ledvance.com/pt/product-datasheet/7752/131053","Ficha de Produto")</f>
        <v>Ficha de Produto</v>
      </c>
      <c r="H2868" s="34">
        <v>20</v>
      </c>
      <c r="I2868" s="217" t="s">
        <v>1201</v>
      </c>
      <c r="J2868" s="34" t="s">
        <v>6472</v>
      </c>
      <c r="K2868" s="34" t="s">
        <v>788</v>
      </c>
      <c r="L2868" s="34" t="s">
        <v>800</v>
      </c>
      <c r="M2868" s="27">
        <v>41</v>
      </c>
      <c r="N2868" s="298" t="s">
        <v>732</v>
      </c>
    </row>
    <row r="2869" spans="1:14" s="32" customFormat="1" ht="14.25" customHeight="1">
      <c r="A2869" s="26" t="s">
        <v>749</v>
      </c>
      <c r="B2869" s="36" t="s">
        <v>541</v>
      </c>
      <c r="C2869" s="215">
        <v>4008321873842</v>
      </c>
      <c r="D2869" s="215"/>
      <c r="E2869" s="215"/>
      <c r="F2869" s="258" t="s">
        <v>4098</v>
      </c>
      <c r="G2869" s="66" t="str">
        <f>HYPERLINK("https://ledvance.com/pt/product-datasheet/7752/125463","Ficha de Produto")</f>
        <v>Ficha de Produto</v>
      </c>
      <c r="H2869" s="34">
        <v>20</v>
      </c>
      <c r="I2869" s="217" t="s">
        <v>1201</v>
      </c>
      <c r="J2869" s="34" t="s">
        <v>6473</v>
      </c>
      <c r="K2869" s="34" t="s">
        <v>788</v>
      </c>
      <c r="L2869" s="34" t="s">
        <v>800</v>
      </c>
      <c r="M2869" s="27">
        <v>41</v>
      </c>
      <c r="N2869" s="298" t="s">
        <v>732</v>
      </c>
    </row>
    <row r="2870" spans="1:14" s="32" customFormat="1" ht="14.25" customHeight="1">
      <c r="A2870" s="26" t="s">
        <v>749</v>
      </c>
      <c r="B2870" s="36" t="s">
        <v>542</v>
      </c>
      <c r="C2870" s="215">
        <v>4008321294180</v>
      </c>
      <c r="D2870" s="215"/>
      <c r="E2870" s="215"/>
      <c r="F2870" s="258" t="s">
        <v>4098</v>
      </c>
      <c r="G2870" s="66" t="str">
        <f>HYPERLINK("https://ledvance.com/pt/product-datasheet/7750/35913","Ficha de Produto")</f>
        <v>Ficha de Produto</v>
      </c>
      <c r="H2870" s="34">
        <v>20</v>
      </c>
      <c r="I2870" s="217" t="s">
        <v>1201</v>
      </c>
      <c r="J2870" s="34" t="s">
        <v>6115</v>
      </c>
      <c r="K2870" s="34" t="s">
        <v>788</v>
      </c>
      <c r="L2870" s="34" t="s">
        <v>800</v>
      </c>
      <c r="M2870" s="27">
        <v>41</v>
      </c>
      <c r="N2870" s="298" t="s">
        <v>732</v>
      </c>
    </row>
    <row r="2871" spans="1:14" s="32" customFormat="1" ht="14.25" customHeight="1">
      <c r="A2871" s="26" t="s">
        <v>749</v>
      </c>
      <c r="B2871" s="36" t="s">
        <v>543</v>
      </c>
      <c r="C2871" s="215">
        <v>4008321294203</v>
      </c>
      <c r="D2871" s="215"/>
      <c r="E2871" s="215"/>
      <c r="F2871" s="258" t="s">
        <v>4098</v>
      </c>
      <c r="G2871" s="66" t="str">
        <f>HYPERLINK("https://ledvance.com/pt/product-datasheet/7750/131798","Ficha de Produto")</f>
        <v>Ficha de Produto</v>
      </c>
      <c r="H2871" s="34">
        <v>20</v>
      </c>
      <c r="I2871" s="217" t="s">
        <v>1201</v>
      </c>
      <c r="J2871" s="34" t="s">
        <v>6143</v>
      </c>
      <c r="K2871" s="34" t="s">
        <v>788</v>
      </c>
      <c r="L2871" s="34" t="s">
        <v>800</v>
      </c>
      <c r="M2871" s="27">
        <v>41</v>
      </c>
      <c r="N2871" s="298" t="s">
        <v>732</v>
      </c>
    </row>
    <row r="2872" spans="1:14" s="32" customFormat="1" ht="14.25" customHeight="1">
      <c r="A2872" s="26" t="s">
        <v>749</v>
      </c>
      <c r="B2872" s="36" t="s">
        <v>544</v>
      </c>
      <c r="C2872" s="215">
        <v>4008321294227</v>
      </c>
      <c r="D2872" s="215"/>
      <c r="E2872" s="215"/>
      <c r="F2872" s="258" t="s">
        <v>4098</v>
      </c>
      <c r="G2872" s="66" t="str">
        <f>HYPERLINK("https://ledvance.com/pt/product-datasheet/7750/131802","Ficha de Produto")</f>
        <v>Ficha de Produto</v>
      </c>
      <c r="H2872" s="34">
        <v>20</v>
      </c>
      <c r="I2872" s="217" t="s">
        <v>1201</v>
      </c>
      <c r="J2872" s="34" t="s">
        <v>6135</v>
      </c>
      <c r="K2872" s="34" t="s">
        <v>788</v>
      </c>
      <c r="L2872" s="34" t="s">
        <v>800</v>
      </c>
      <c r="M2872" s="27">
        <v>41</v>
      </c>
      <c r="N2872" s="298" t="s">
        <v>732</v>
      </c>
    </row>
    <row r="2873" spans="1:14" s="32" customFormat="1" ht="14.25" customHeight="1">
      <c r="A2873" s="26" t="s">
        <v>749</v>
      </c>
      <c r="B2873" s="36" t="s">
        <v>545</v>
      </c>
      <c r="C2873" s="215">
        <v>4008321294241</v>
      </c>
      <c r="D2873" s="215"/>
      <c r="E2873" s="215"/>
      <c r="F2873" s="258" t="s">
        <v>4098</v>
      </c>
      <c r="G2873" s="66" t="str">
        <f>HYPERLINK("https://ledvance.com/pt/product-datasheet/7750/35916","Ficha de Produto")</f>
        <v>Ficha de Produto</v>
      </c>
      <c r="H2873" s="34">
        <v>20</v>
      </c>
      <c r="I2873" s="217" t="s">
        <v>1201</v>
      </c>
      <c r="J2873" s="34" t="s">
        <v>6122</v>
      </c>
      <c r="K2873" s="34" t="s">
        <v>788</v>
      </c>
      <c r="L2873" s="34" t="s">
        <v>800</v>
      </c>
      <c r="M2873" s="27">
        <v>44.1</v>
      </c>
      <c r="N2873" s="298" t="s">
        <v>732</v>
      </c>
    </row>
    <row r="2874" spans="1:14" s="32" customFormat="1" ht="14.25" customHeight="1">
      <c r="A2874" s="26" t="s">
        <v>749</v>
      </c>
      <c r="B2874" s="36" t="s">
        <v>546</v>
      </c>
      <c r="C2874" s="215">
        <v>4008321294265</v>
      </c>
      <c r="D2874" s="215"/>
      <c r="E2874" s="215"/>
      <c r="F2874" s="258" t="s">
        <v>4098</v>
      </c>
      <c r="G2874" s="66" t="str">
        <f>HYPERLINK("https://ledvance.com/pt/product-datasheet/7750/131807","Ficha de Produto")</f>
        <v>Ficha de Produto</v>
      </c>
      <c r="H2874" s="34">
        <v>20</v>
      </c>
      <c r="I2874" s="217" t="s">
        <v>1201</v>
      </c>
      <c r="J2874" s="34" t="s">
        <v>6220</v>
      </c>
      <c r="K2874" s="34" t="s">
        <v>788</v>
      </c>
      <c r="L2874" s="34" t="s">
        <v>800</v>
      </c>
      <c r="M2874" s="27">
        <v>44.1</v>
      </c>
      <c r="N2874" s="298" t="s">
        <v>732</v>
      </c>
    </row>
    <row r="2875" spans="1:14" s="32" customFormat="1" ht="14.25" customHeight="1">
      <c r="A2875" s="26" t="s">
        <v>749</v>
      </c>
      <c r="B2875" s="36" t="s">
        <v>547</v>
      </c>
      <c r="C2875" s="215">
        <v>4052899151932</v>
      </c>
      <c r="D2875" s="215"/>
      <c r="E2875" s="215"/>
      <c r="F2875" s="258" t="s">
        <v>4098</v>
      </c>
      <c r="G2875" s="66" t="str">
        <f>HYPERLINK("https://ledvance.com/pt/product-datasheet/7750/131789","Ficha de Produto")</f>
        <v>Ficha de Produto</v>
      </c>
      <c r="H2875" s="34">
        <v>20</v>
      </c>
      <c r="I2875" s="217" t="s">
        <v>1201</v>
      </c>
      <c r="J2875" s="34" t="s">
        <v>6229</v>
      </c>
      <c r="K2875" s="34" t="s">
        <v>788</v>
      </c>
      <c r="L2875" s="34" t="s">
        <v>800</v>
      </c>
      <c r="M2875" s="27">
        <v>50.5</v>
      </c>
      <c r="N2875" s="298" t="s">
        <v>732</v>
      </c>
    </row>
    <row r="2876" spans="1:14" s="32" customFormat="1" ht="14.25" customHeight="1">
      <c r="A2876" s="26" t="s">
        <v>749</v>
      </c>
      <c r="B2876" s="36" t="s">
        <v>548</v>
      </c>
      <c r="C2876" s="215">
        <v>4008321294289</v>
      </c>
      <c r="D2876" s="215"/>
      <c r="E2876" s="215"/>
      <c r="F2876" s="258" t="s">
        <v>4098</v>
      </c>
      <c r="G2876" s="66" t="str">
        <f>HYPERLINK("https://ledvance.com/pt/product-datasheet/7750/131793","Ficha de Produto")</f>
        <v>Ficha de Produto</v>
      </c>
      <c r="H2876" s="34">
        <v>20</v>
      </c>
      <c r="I2876" s="217" t="s">
        <v>1201</v>
      </c>
      <c r="J2876" s="34" t="s">
        <v>6229</v>
      </c>
      <c r="K2876" s="34" t="s">
        <v>788</v>
      </c>
      <c r="L2876" s="34" t="s">
        <v>800</v>
      </c>
      <c r="M2876" s="27">
        <v>44.1</v>
      </c>
      <c r="N2876" s="298" t="s">
        <v>732</v>
      </c>
    </row>
    <row r="2877" spans="1:14" s="32" customFormat="1" ht="14.25" customHeight="1">
      <c r="A2877" s="26" t="s">
        <v>749</v>
      </c>
      <c r="B2877" s="36" t="s">
        <v>549</v>
      </c>
      <c r="C2877" s="215">
        <v>4008321294302</v>
      </c>
      <c r="D2877" s="215"/>
      <c r="E2877" s="215"/>
      <c r="F2877" s="258" t="s">
        <v>4098</v>
      </c>
      <c r="G2877" s="66" t="str">
        <f>HYPERLINK("https://ledvance.com/pt/product-datasheet/7750/134255","Ficha de Produto")</f>
        <v>Ficha de Produto</v>
      </c>
      <c r="H2877" s="34">
        <v>20</v>
      </c>
      <c r="I2877" s="217" t="s">
        <v>1201</v>
      </c>
      <c r="J2877" s="34" t="s">
        <v>6474</v>
      </c>
      <c r="K2877" s="34" t="s">
        <v>788</v>
      </c>
      <c r="L2877" s="34" t="s">
        <v>800</v>
      </c>
      <c r="M2877" s="27">
        <v>46.7</v>
      </c>
      <c r="N2877" s="298" t="s">
        <v>732</v>
      </c>
    </row>
    <row r="2878" spans="1:14" s="32" customFormat="1" ht="14.25" customHeight="1">
      <c r="A2878" s="26" t="s">
        <v>749</v>
      </c>
      <c r="B2878" s="36" t="s">
        <v>550</v>
      </c>
      <c r="C2878" s="215">
        <v>4008321863263</v>
      </c>
      <c r="D2878" s="215"/>
      <c r="E2878" s="215"/>
      <c r="F2878" s="258" t="s">
        <v>4098</v>
      </c>
      <c r="G2878" s="66" t="str">
        <f>HYPERLINK("https://ledvance.com/pt/product-datasheet/7754/125754","Ficha de Produto")</f>
        <v>Ficha de Produto</v>
      </c>
      <c r="H2878" s="34">
        <v>20</v>
      </c>
      <c r="I2878" s="217" t="s">
        <v>1201</v>
      </c>
      <c r="J2878" s="34" t="s">
        <v>6475</v>
      </c>
      <c r="K2878" s="34" t="s">
        <v>788</v>
      </c>
      <c r="L2878" s="34" t="s">
        <v>800</v>
      </c>
      <c r="M2878" s="27">
        <v>24.6</v>
      </c>
      <c r="N2878" s="298" t="s">
        <v>732</v>
      </c>
    </row>
    <row r="2879" spans="1:14" s="32" customFormat="1" ht="14.25" customHeight="1">
      <c r="A2879" s="26" t="s">
        <v>749</v>
      </c>
      <c r="B2879" s="36" t="s">
        <v>551</v>
      </c>
      <c r="C2879" s="215">
        <v>4008321863287</v>
      </c>
      <c r="D2879" s="215"/>
      <c r="E2879" s="215"/>
      <c r="F2879" s="258" t="s">
        <v>4098</v>
      </c>
      <c r="G2879" s="66" t="str">
        <f>HYPERLINK("https://ledvance.com/pt/product-datasheet/7754/125760","Ficha de Produto")</f>
        <v>Ficha de Produto</v>
      </c>
      <c r="H2879" s="34">
        <v>20</v>
      </c>
      <c r="I2879" s="217" t="s">
        <v>1201</v>
      </c>
      <c r="J2879" s="34" t="s">
        <v>6143</v>
      </c>
      <c r="K2879" s="34" t="s">
        <v>788</v>
      </c>
      <c r="L2879" s="34" t="s">
        <v>800</v>
      </c>
      <c r="M2879" s="27">
        <v>23.4</v>
      </c>
      <c r="N2879" s="298" t="s">
        <v>732</v>
      </c>
    </row>
    <row r="2880" spans="1:14" s="32" customFormat="1" ht="14.25" customHeight="1">
      <c r="A2880" s="26" t="s">
        <v>749</v>
      </c>
      <c r="B2880" s="36" t="s">
        <v>552</v>
      </c>
      <c r="C2880" s="215">
        <v>4008321863300</v>
      </c>
      <c r="D2880" s="215"/>
      <c r="E2880" s="215"/>
      <c r="F2880" s="258" t="s">
        <v>4098</v>
      </c>
      <c r="G2880" s="66" t="str">
        <f>HYPERLINK("https://ledvance.com/pt/product-datasheet/7754/125757","Ficha de Produto")</f>
        <v>Ficha de Produto</v>
      </c>
      <c r="H2880" s="34">
        <v>20</v>
      </c>
      <c r="I2880" s="217" t="s">
        <v>1201</v>
      </c>
      <c r="J2880" s="34" t="s">
        <v>6245</v>
      </c>
      <c r="K2880" s="34" t="s">
        <v>788</v>
      </c>
      <c r="L2880" s="34" t="s">
        <v>800</v>
      </c>
      <c r="M2880" s="27">
        <v>26.5</v>
      </c>
      <c r="N2880" s="298" t="s">
        <v>732</v>
      </c>
    </row>
    <row r="2881" spans="1:14" ht="14.25" customHeight="1">
      <c r="A2881" s="26" t="s">
        <v>749</v>
      </c>
      <c r="B2881" s="2" t="s">
        <v>553</v>
      </c>
      <c r="C2881" s="229">
        <v>4008321863324</v>
      </c>
      <c r="D2881" s="229"/>
      <c r="E2881" s="229"/>
      <c r="F2881" s="258" t="s">
        <v>4098</v>
      </c>
      <c r="G2881" s="66" t="str">
        <f>HYPERLINK("https://ledvance.com/pt/product-datasheet/7754/126321","Ficha de Produto")</f>
        <v>Ficha de Produto</v>
      </c>
      <c r="H2881" s="4">
        <v>20</v>
      </c>
      <c r="I2881" s="217" t="s">
        <v>1201</v>
      </c>
      <c r="J2881" s="34" t="s">
        <v>6220</v>
      </c>
      <c r="K2881" s="34" t="s">
        <v>788</v>
      </c>
      <c r="L2881" s="34" t="s">
        <v>800</v>
      </c>
      <c r="M2881" s="27">
        <v>26.5</v>
      </c>
      <c r="N2881" s="298" t="s">
        <v>732</v>
      </c>
    </row>
    <row r="2882" spans="1:14" s="32" customFormat="1" ht="14.25" customHeight="1">
      <c r="A2882" s="26" t="s">
        <v>749</v>
      </c>
      <c r="B2882" s="36" t="s">
        <v>554</v>
      </c>
      <c r="C2882" s="215">
        <v>4008321863362</v>
      </c>
      <c r="D2882" s="215"/>
      <c r="E2882" s="215"/>
      <c r="F2882" s="258" t="s">
        <v>4098</v>
      </c>
      <c r="G2882" s="66" t="str">
        <f>HYPERLINK("https://ledvance.com/pt/product-datasheet/7754/126324","Ficha de Produto")</f>
        <v>Ficha de Produto</v>
      </c>
      <c r="H2882" s="34">
        <v>20</v>
      </c>
      <c r="I2882" s="217" t="s">
        <v>1201</v>
      </c>
      <c r="J2882" s="34" t="s">
        <v>6220</v>
      </c>
      <c r="K2882" s="34" t="s">
        <v>788</v>
      </c>
      <c r="L2882" s="34" t="s">
        <v>800</v>
      </c>
      <c r="M2882" s="27">
        <v>28.5</v>
      </c>
      <c r="N2882" s="298" t="s">
        <v>732</v>
      </c>
    </row>
    <row r="2883" spans="1:14" s="32" customFormat="1" ht="14.25" customHeight="1">
      <c r="A2883" s="26" t="s">
        <v>749</v>
      </c>
      <c r="B2883" s="36" t="s">
        <v>555</v>
      </c>
      <c r="C2883" s="215">
        <v>4008321117922</v>
      </c>
      <c r="D2883" s="215"/>
      <c r="E2883" s="215"/>
      <c r="F2883" s="258" t="s">
        <v>4098</v>
      </c>
      <c r="G2883" s="66" t="str">
        <f>HYPERLINK("https://ledvance.com/pt/product-datasheet/7761/127861","Ficha de Produto")</f>
        <v>Ficha de Produto</v>
      </c>
      <c r="H2883" s="34">
        <v>20</v>
      </c>
      <c r="I2883" s="217" t="s">
        <v>1201</v>
      </c>
      <c r="J2883" s="34" t="s">
        <v>6197</v>
      </c>
      <c r="K2883" s="34" t="s">
        <v>788</v>
      </c>
      <c r="L2883" s="34" t="s">
        <v>800</v>
      </c>
      <c r="M2883" s="27">
        <v>82</v>
      </c>
      <c r="N2883" s="298" t="s">
        <v>732</v>
      </c>
    </row>
    <row r="2884" spans="1:14" s="32" customFormat="1" ht="14.25" customHeight="1">
      <c r="A2884" s="26" t="s">
        <v>749</v>
      </c>
      <c r="B2884" s="36" t="s">
        <v>556</v>
      </c>
      <c r="C2884" s="215">
        <v>4008321390172</v>
      </c>
      <c r="D2884" s="215"/>
      <c r="E2884" s="215"/>
      <c r="F2884" s="258" t="s">
        <v>4098</v>
      </c>
      <c r="G2884" s="66" t="str">
        <f>HYPERLINK("https://ledvance.com/pt/product-datasheet/7761/126384","Ficha de Produto")</f>
        <v>Ficha de Produto</v>
      </c>
      <c r="H2884" s="34">
        <v>20</v>
      </c>
      <c r="I2884" s="217" t="s">
        <v>1201</v>
      </c>
      <c r="J2884" s="34" t="s">
        <v>6476</v>
      </c>
      <c r="K2884" s="34" t="s">
        <v>788</v>
      </c>
      <c r="L2884" s="34" t="s">
        <v>800</v>
      </c>
      <c r="M2884" s="27">
        <v>82</v>
      </c>
      <c r="N2884" s="298" t="s">
        <v>732</v>
      </c>
    </row>
    <row r="2885" spans="1:14" s="32" customFormat="1" ht="14.25" customHeight="1">
      <c r="A2885" s="26" t="s">
        <v>749</v>
      </c>
      <c r="B2885" s="36" t="s">
        <v>557</v>
      </c>
      <c r="C2885" s="215">
        <v>4008321537041</v>
      </c>
      <c r="D2885" s="215"/>
      <c r="E2885" s="215"/>
      <c r="F2885" s="258" t="s">
        <v>4098</v>
      </c>
      <c r="G2885" s="66" t="str">
        <f>HYPERLINK("https://ledvance.com/pt/product-datasheet/7747/130998","Ficha de Produto")</f>
        <v>Ficha de Produto</v>
      </c>
      <c r="H2885" s="34">
        <v>20</v>
      </c>
      <c r="I2885" s="217" t="s">
        <v>1201</v>
      </c>
      <c r="J2885" s="34" t="s">
        <v>6459</v>
      </c>
      <c r="K2885" s="34" t="s">
        <v>788</v>
      </c>
      <c r="L2885" s="34" t="s">
        <v>800</v>
      </c>
      <c r="M2885" s="27">
        <v>93.3</v>
      </c>
      <c r="N2885" s="298" t="s">
        <v>732</v>
      </c>
    </row>
    <row r="2886" spans="1:14" s="32" customFormat="1" ht="14.25" customHeight="1">
      <c r="A2886" s="26" t="s">
        <v>749</v>
      </c>
      <c r="B2886" s="36" t="s">
        <v>558</v>
      </c>
      <c r="C2886" s="215">
        <v>4008321110022</v>
      </c>
      <c r="D2886" s="215"/>
      <c r="E2886" s="215"/>
      <c r="F2886" s="258" t="s">
        <v>4098</v>
      </c>
      <c r="G2886" s="66" t="str">
        <f>HYPERLINK("https://ledvance.com/pt/product-datasheet/7765/130733","Ficha de Produto")</f>
        <v>Ficha de Produto</v>
      </c>
      <c r="H2886" s="34">
        <v>20</v>
      </c>
      <c r="I2886" s="217" t="s">
        <v>1201</v>
      </c>
      <c r="J2886" s="34" t="s">
        <v>6477</v>
      </c>
      <c r="K2886" s="34" t="s">
        <v>788</v>
      </c>
      <c r="L2886" s="34" t="s">
        <v>800</v>
      </c>
      <c r="M2886" s="27">
        <v>88.2</v>
      </c>
      <c r="N2886" s="298" t="s">
        <v>732</v>
      </c>
    </row>
    <row r="2887" spans="1:14" s="32" customFormat="1" ht="14.25" customHeight="1">
      <c r="A2887" s="26" t="s">
        <v>749</v>
      </c>
      <c r="B2887" s="36" t="s">
        <v>559</v>
      </c>
      <c r="C2887" s="215">
        <v>4008321329134</v>
      </c>
      <c r="D2887" s="215"/>
      <c r="E2887" s="215"/>
      <c r="F2887" s="258" t="s">
        <v>4098</v>
      </c>
      <c r="G2887" s="66" t="str">
        <f>HYPERLINK("https://ledvance.com/pt/product-datasheet/7765/128080","Ficha de Produto")</f>
        <v>Ficha de Produto</v>
      </c>
      <c r="H2887" s="34">
        <v>20</v>
      </c>
      <c r="I2887" s="217" t="s">
        <v>1201</v>
      </c>
      <c r="J2887" s="34" t="s">
        <v>6478</v>
      </c>
      <c r="K2887" s="34" t="s">
        <v>788</v>
      </c>
      <c r="L2887" s="34" t="s">
        <v>800</v>
      </c>
      <c r="M2887" s="27">
        <v>70.599999999999994</v>
      </c>
      <c r="N2887" s="298" t="s">
        <v>732</v>
      </c>
    </row>
    <row r="2888" spans="1:14" s="32" customFormat="1" ht="14.25" customHeight="1">
      <c r="A2888" s="26" t="s">
        <v>749</v>
      </c>
      <c r="B2888" s="36" t="s">
        <v>560</v>
      </c>
      <c r="C2888" s="215">
        <v>4008321329158</v>
      </c>
      <c r="D2888" s="215"/>
      <c r="E2888" s="215"/>
      <c r="F2888" s="258" t="s">
        <v>4098</v>
      </c>
      <c r="G2888" s="66" t="str">
        <f>HYPERLINK("https://ledvance.com/pt/product-datasheet/7765/128088","Ficha de Produto")</f>
        <v>Ficha de Produto</v>
      </c>
      <c r="H2888" s="34">
        <v>20</v>
      </c>
      <c r="I2888" s="217" t="s">
        <v>1201</v>
      </c>
      <c r="J2888" s="34" t="s">
        <v>6479</v>
      </c>
      <c r="K2888" s="34" t="s">
        <v>788</v>
      </c>
      <c r="L2888" s="34" t="s">
        <v>800</v>
      </c>
      <c r="M2888" s="27">
        <v>72.599999999999994</v>
      </c>
      <c r="N2888" s="298" t="s">
        <v>732</v>
      </c>
    </row>
    <row r="2889" spans="1:14" s="32" customFormat="1" ht="14.25" customHeight="1">
      <c r="A2889" s="26" t="s">
        <v>749</v>
      </c>
      <c r="B2889" s="36" t="s">
        <v>561</v>
      </c>
      <c r="C2889" s="215">
        <v>4050300638584</v>
      </c>
      <c r="D2889" s="215"/>
      <c r="E2889" s="215"/>
      <c r="F2889" s="258" t="s">
        <v>4098</v>
      </c>
      <c r="G2889" s="66" t="str">
        <f>HYPERLINK("https://ledvance.com/pt/product-datasheet/7760/130981","Ficha de Produto")</f>
        <v>Ficha de Produto</v>
      </c>
      <c r="H2889" s="34">
        <v>50</v>
      </c>
      <c r="I2889" s="217" t="s">
        <v>1201</v>
      </c>
      <c r="J2889" s="34" t="s">
        <v>6114</v>
      </c>
      <c r="K2889" s="34" t="s">
        <v>788</v>
      </c>
      <c r="L2889" s="34" t="s">
        <v>800</v>
      </c>
      <c r="M2889" s="27">
        <v>39.1</v>
      </c>
      <c r="N2889" s="298" t="s">
        <v>732</v>
      </c>
    </row>
    <row r="2890" spans="1:14" s="32" customFormat="1" ht="14.25" customHeight="1">
      <c r="A2890" s="26" t="s">
        <v>749</v>
      </c>
      <c r="B2890" s="36" t="s">
        <v>562</v>
      </c>
      <c r="C2890" s="215">
        <v>4050300794907</v>
      </c>
      <c r="D2890" s="215"/>
      <c r="E2890" s="215"/>
      <c r="F2890" s="258" t="s">
        <v>4098</v>
      </c>
      <c r="G2890" s="66" t="str">
        <f>HYPERLINK("https://ledvance.com/pt/product-datasheet/7760/130977","Ficha de Produto")</f>
        <v>Ficha de Produto</v>
      </c>
      <c r="H2890" s="34">
        <v>50</v>
      </c>
      <c r="I2890" s="217" t="s">
        <v>1201</v>
      </c>
      <c r="J2890" s="34" t="s">
        <v>6173</v>
      </c>
      <c r="K2890" s="34" t="s">
        <v>788</v>
      </c>
      <c r="L2890" s="34" t="s">
        <v>800</v>
      </c>
      <c r="M2890" s="27">
        <v>41</v>
      </c>
      <c r="N2890" s="298" t="s">
        <v>732</v>
      </c>
    </row>
    <row r="2891" spans="1:14" s="32" customFormat="1" ht="14.25" customHeight="1">
      <c r="A2891" s="26" t="s">
        <v>749</v>
      </c>
      <c r="B2891" s="36" t="s">
        <v>563</v>
      </c>
      <c r="C2891" s="215">
        <v>4050300638560</v>
      </c>
      <c r="D2891" s="215"/>
      <c r="E2891" s="215"/>
      <c r="F2891" s="258" t="s">
        <v>4098</v>
      </c>
      <c r="G2891" s="66" t="str">
        <f>HYPERLINK("https://ledvance.com/pt/product-datasheet/7760/130971","Ficha de Produto")</f>
        <v>Ficha de Produto</v>
      </c>
      <c r="H2891" s="34">
        <v>50</v>
      </c>
      <c r="I2891" s="217" t="s">
        <v>1201</v>
      </c>
      <c r="J2891" s="34" t="s">
        <v>6173</v>
      </c>
      <c r="K2891" s="34" t="s">
        <v>788</v>
      </c>
      <c r="L2891" s="34" t="s">
        <v>800</v>
      </c>
      <c r="M2891" s="27">
        <v>41</v>
      </c>
      <c r="N2891" s="298" t="s">
        <v>732</v>
      </c>
    </row>
    <row r="2892" spans="1:14" s="32" customFormat="1" ht="14.25" customHeight="1">
      <c r="A2892" s="26" t="s">
        <v>749</v>
      </c>
      <c r="B2892" s="36" t="s">
        <v>564</v>
      </c>
      <c r="C2892" s="215">
        <v>4008321065971</v>
      </c>
      <c r="D2892" s="215"/>
      <c r="E2892" s="215"/>
      <c r="F2892" s="258" t="s">
        <v>4098</v>
      </c>
      <c r="G2892" s="66" t="str">
        <f>HYPERLINK("https://ledvance.com/pt/product-datasheet/7760/130967","Ficha de Produto")</f>
        <v>Ficha de Produto</v>
      </c>
      <c r="H2892" s="34">
        <v>50</v>
      </c>
      <c r="I2892" s="217" t="s">
        <v>1201</v>
      </c>
      <c r="J2892" s="34" t="s">
        <v>6173</v>
      </c>
      <c r="K2892" s="34" t="s">
        <v>788</v>
      </c>
      <c r="L2892" s="34" t="s">
        <v>800</v>
      </c>
      <c r="M2892" s="27">
        <v>42.3</v>
      </c>
      <c r="N2892" s="298" t="s">
        <v>732</v>
      </c>
    </row>
    <row r="2893" spans="1:14" s="32" customFormat="1" ht="14.25" customHeight="1">
      <c r="A2893" s="26" t="s">
        <v>749</v>
      </c>
      <c r="B2893" s="36" t="s">
        <v>565</v>
      </c>
      <c r="C2893" s="215">
        <v>4050300821504</v>
      </c>
      <c r="D2893" s="215"/>
      <c r="E2893" s="215"/>
      <c r="F2893" s="258" t="s">
        <v>4098</v>
      </c>
      <c r="G2893" s="66" t="str">
        <f>HYPERLINK("https://ledvance.com/pt/product-datasheet/7760/128095","Ficha de Produto")</f>
        <v>Ficha de Produto</v>
      </c>
      <c r="H2893" s="34">
        <v>50</v>
      </c>
      <c r="I2893" s="217" t="s">
        <v>1201</v>
      </c>
      <c r="J2893" s="34" t="s">
        <v>6173</v>
      </c>
      <c r="K2893" s="34" t="s">
        <v>788</v>
      </c>
      <c r="L2893" s="34" t="s">
        <v>800</v>
      </c>
      <c r="M2893" s="27">
        <v>67.5</v>
      </c>
      <c r="N2893" s="298" t="s">
        <v>732</v>
      </c>
    </row>
    <row r="2894" spans="1:14" s="32" customFormat="1" ht="14.25" customHeight="1">
      <c r="A2894" s="26" t="s">
        <v>749</v>
      </c>
      <c r="B2894" s="36" t="s">
        <v>566</v>
      </c>
      <c r="C2894" s="215">
        <v>4008321181572</v>
      </c>
      <c r="D2894" s="215"/>
      <c r="E2894" s="215"/>
      <c r="F2894" s="258" t="s">
        <v>4098</v>
      </c>
      <c r="G2894" s="66" t="str">
        <f>HYPERLINK("https://ledvance.com/pt/product-datasheet/7767/128075","Ficha de Produto")</f>
        <v>Ficha de Produto</v>
      </c>
      <c r="H2894" s="34">
        <v>20</v>
      </c>
      <c r="I2894" s="217" t="s">
        <v>1201</v>
      </c>
      <c r="J2894" s="34" t="s">
        <v>6176</v>
      </c>
      <c r="K2894" s="34" t="s">
        <v>788</v>
      </c>
      <c r="L2894" s="34" t="s">
        <v>800</v>
      </c>
      <c r="M2894" s="27">
        <v>70.599999999999994</v>
      </c>
      <c r="N2894" s="298" t="s">
        <v>732</v>
      </c>
    </row>
    <row r="2895" spans="1:14" s="32" customFormat="1" ht="14.25" customHeight="1">
      <c r="A2895" s="26" t="s">
        <v>749</v>
      </c>
      <c r="B2895" s="36" t="s">
        <v>567</v>
      </c>
      <c r="C2895" s="215">
        <v>4008321181596</v>
      </c>
      <c r="D2895" s="215"/>
      <c r="E2895" s="215"/>
      <c r="F2895" s="258" t="s">
        <v>4098</v>
      </c>
      <c r="G2895" s="66" t="str">
        <f>HYPERLINK("https://ledvance.com/pt/product-datasheet/7767/128083","Ficha de Produto")</f>
        <v>Ficha de Produto</v>
      </c>
      <c r="H2895" s="34">
        <v>20</v>
      </c>
      <c r="I2895" s="217" t="s">
        <v>1201</v>
      </c>
      <c r="J2895" s="34" t="s">
        <v>6148</v>
      </c>
      <c r="K2895" s="34" t="s">
        <v>788</v>
      </c>
      <c r="L2895" s="34" t="s">
        <v>800</v>
      </c>
      <c r="M2895" s="27">
        <v>86.4</v>
      </c>
      <c r="N2895" s="298" t="s">
        <v>732</v>
      </c>
    </row>
    <row r="2896" spans="1:14" s="32" customFormat="1" ht="14.25" customHeight="1">
      <c r="A2896" s="26" t="s">
        <v>749</v>
      </c>
      <c r="B2896" s="36" t="s">
        <v>568</v>
      </c>
      <c r="C2896" s="215">
        <v>4008321537065</v>
      </c>
      <c r="D2896" s="215"/>
      <c r="E2896" s="215"/>
      <c r="F2896" s="258" t="s">
        <v>4098</v>
      </c>
      <c r="G2896" s="66" t="str">
        <f>HYPERLINK("https://ledvance.com/pt/product-datasheet/7767/131001","Ficha de Produto")</f>
        <v>Ficha de Produto</v>
      </c>
      <c r="H2896" s="34">
        <v>20</v>
      </c>
      <c r="I2896" s="217" t="s">
        <v>1201</v>
      </c>
      <c r="J2896" s="34" t="s">
        <v>6245</v>
      </c>
      <c r="K2896" s="34" t="s">
        <v>788</v>
      </c>
      <c r="L2896" s="34" t="s">
        <v>800</v>
      </c>
      <c r="M2896" s="27">
        <v>60</v>
      </c>
      <c r="N2896" s="298" t="s">
        <v>732</v>
      </c>
    </row>
    <row r="2897" spans="1:14" s="32" customFormat="1" ht="14.25" customHeight="1">
      <c r="A2897" s="26" t="s">
        <v>749</v>
      </c>
      <c r="B2897" s="36" t="s">
        <v>569</v>
      </c>
      <c r="C2897" s="215">
        <v>4008321537089</v>
      </c>
      <c r="D2897" s="215"/>
      <c r="E2897" s="215"/>
      <c r="F2897" s="258" t="s">
        <v>4098</v>
      </c>
      <c r="G2897" s="66" t="str">
        <f>HYPERLINK("https://ledvance.com/pt/product-datasheet/7767/131005","Ficha de Produto")</f>
        <v>Ficha de Produto</v>
      </c>
      <c r="H2897" s="34">
        <v>20</v>
      </c>
      <c r="I2897" s="217" t="s">
        <v>1201</v>
      </c>
      <c r="J2897" s="34" t="s">
        <v>6164</v>
      </c>
      <c r="K2897" s="34" t="s">
        <v>788</v>
      </c>
      <c r="L2897" s="34" t="s">
        <v>800</v>
      </c>
      <c r="M2897" s="27">
        <v>61.2</v>
      </c>
      <c r="N2897" s="298" t="s">
        <v>732</v>
      </c>
    </row>
    <row r="2898" spans="1:14" s="32" customFormat="1" ht="14.25" customHeight="1">
      <c r="A2898" s="25" t="s">
        <v>749</v>
      </c>
      <c r="B2898" s="276" t="s">
        <v>752</v>
      </c>
      <c r="C2898" s="7"/>
      <c r="D2898" s="7"/>
      <c r="E2898" s="7"/>
      <c r="F2898" s="7"/>
      <c r="G2898" s="68"/>
      <c r="H2898" s="7"/>
      <c r="I2898" s="7"/>
      <c r="J2898" s="7"/>
      <c r="K2898" s="7"/>
      <c r="L2898" s="7"/>
      <c r="M2898" s="248"/>
      <c r="N2898" s="284"/>
    </row>
    <row r="2899" spans="1:14" s="32" customFormat="1" ht="14.25" customHeight="1">
      <c r="A2899" s="26" t="s">
        <v>749</v>
      </c>
      <c r="B2899" s="36" t="s">
        <v>570</v>
      </c>
      <c r="C2899" s="215">
        <v>4008321959355</v>
      </c>
      <c r="D2899" s="215"/>
      <c r="E2899" s="215"/>
      <c r="F2899" s="258" t="s">
        <v>4098</v>
      </c>
      <c r="G2899" s="66" t="str">
        <f>HYPERLINK("https://ledvance.com/pt/product-datasheet/7780/132047","Ficha de Produto")</f>
        <v>Ficha de Produto</v>
      </c>
      <c r="H2899" s="34">
        <v>20</v>
      </c>
      <c r="I2899" s="217" t="s">
        <v>1201</v>
      </c>
      <c r="J2899" s="34" t="s">
        <v>6197</v>
      </c>
      <c r="K2899" s="34" t="s">
        <v>788</v>
      </c>
      <c r="L2899" s="34" t="s">
        <v>800</v>
      </c>
      <c r="M2899" s="27">
        <v>250</v>
      </c>
      <c r="N2899" s="298" t="s">
        <v>732</v>
      </c>
    </row>
    <row r="2900" spans="1:14" s="32" customFormat="1" ht="14.25" customHeight="1">
      <c r="A2900" s="26" t="s">
        <v>749</v>
      </c>
      <c r="B2900" s="36" t="s">
        <v>571</v>
      </c>
      <c r="C2900" s="215">
        <v>4008321956361</v>
      </c>
      <c r="D2900" s="215"/>
      <c r="E2900" s="215"/>
      <c r="F2900" s="258" t="s">
        <v>4098</v>
      </c>
      <c r="G2900" s="66" t="str">
        <f>HYPERLINK("https://ledvance.com/pt/product-datasheet/7780/128577","Ficha de Produto")</f>
        <v>Ficha de Produto</v>
      </c>
      <c r="H2900" s="34">
        <v>10</v>
      </c>
      <c r="I2900" s="217" t="s">
        <v>1201</v>
      </c>
      <c r="J2900" s="34" t="s">
        <v>6473</v>
      </c>
      <c r="K2900" s="34" t="s">
        <v>788</v>
      </c>
      <c r="L2900" s="34" t="s">
        <v>800</v>
      </c>
      <c r="M2900" s="27">
        <v>299.89999999999998</v>
      </c>
      <c r="N2900" s="298" t="s">
        <v>732</v>
      </c>
    </row>
    <row r="2901" spans="1:14" s="32" customFormat="1" ht="14.25" customHeight="1">
      <c r="A2901" s="26" t="s">
        <v>749</v>
      </c>
      <c r="B2901" s="36" t="s">
        <v>572</v>
      </c>
      <c r="C2901" s="215">
        <v>4008321956385</v>
      </c>
      <c r="D2901" s="215"/>
      <c r="E2901" s="215"/>
      <c r="F2901" s="258" t="s">
        <v>4098</v>
      </c>
      <c r="G2901" s="66" t="str">
        <f>HYPERLINK("https://ledvance.com/pt/product-datasheet/7780/132054","Ficha de Produto")</f>
        <v>Ficha de Produto</v>
      </c>
      <c r="H2901" s="34">
        <v>10</v>
      </c>
      <c r="I2901" s="217" t="s">
        <v>1201</v>
      </c>
      <c r="J2901" s="34" t="s">
        <v>6480</v>
      </c>
      <c r="K2901" s="34" t="s">
        <v>788</v>
      </c>
      <c r="L2901" s="34" t="s">
        <v>800</v>
      </c>
      <c r="M2901" s="27">
        <v>299.89999999999998</v>
      </c>
      <c r="N2901" s="298" t="s">
        <v>732</v>
      </c>
    </row>
    <row r="2902" spans="1:14" s="32" customFormat="1" ht="14.25" customHeight="1">
      <c r="A2902" s="26" t="s">
        <v>749</v>
      </c>
      <c r="B2902" s="36" t="s">
        <v>573</v>
      </c>
      <c r="C2902" s="215">
        <v>4008321863669</v>
      </c>
      <c r="D2902" s="215"/>
      <c r="E2902" s="215"/>
      <c r="F2902" s="258" t="s">
        <v>4098</v>
      </c>
      <c r="G2902" s="66" t="str">
        <f>HYPERLINK("https://ledvance.com/pt/product-datasheet/7780/129566","Ficha de Produto")</f>
        <v>Ficha de Produto</v>
      </c>
      <c r="H2902" s="34">
        <v>10</v>
      </c>
      <c r="I2902" s="217" t="s">
        <v>1201</v>
      </c>
      <c r="J2902" s="34" t="s">
        <v>6481</v>
      </c>
      <c r="K2902" s="34" t="s">
        <v>788</v>
      </c>
      <c r="L2902" s="34" t="s">
        <v>800</v>
      </c>
      <c r="M2902" s="27">
        <v>434.7</v>
      </c>
      <c r="N2902" s="298" t="s">
        <v>732</v>
      </c>
    </row>
    <row r="2903" spans="1:14" s="32" customFormat="1" ht="14.25" customHeight="1">
      <c r="A2903" s="26" t="s">
        <v>749</v>
      </c>
      <c r="B2903" s="36" t="s">
        <v>574</v>
      </c>
      <c r="C2903" s="215">
        <v>4008321073112</v>
      </c>
      <c r="D2903" s="215"/>
      <c r="E2903" s="215"/>
      <c r="F2903" s="258" t="s">
        <v>4098</v>
      </c>
      <c r="G2903" s="66" t="str">
        <f>HYPERLINK("https://ledvance.com/pt/product-datasheet/7782/130848","Ficha de Produto")</f>
        <v>Ficha de Produto</v>
      </c>
      <c r="H2903" s="34">
        <v>20</v>
      </c>
      <c r="I2903" s="217" t="s">
        <v>1201</v>
      </c>
      <c r="J2903" s="34" t="s">
        <v>6223</v>
      </c>
      <c r="K2903" s="34" t="s">
        <v>788</v>
      </c>
      <c r="L2903" s="34" t="s">
        <v>800</v>
      </c>
      <c r="M2903" s="27">
        <v>100.9</v>
      </c>
      <c r="N2903" s="298" t="s">
        <v>732</v>
      </c>
    </row>
    <row r="2904" spans="1:14" s="32" customFormat="1" ht="14.25" customHeight="1">
      <c r="A2904" s="26" t="s">
        <v>749</v>
      </c>
      <c r="B2904" s="36" t="s">
        <v>575</v>
      </c>
      <c r="C2904" s="215">
        <v>4008321955906</v>
      </c>
      <c r="D2904" s="215"/>
      <c r="E2904" s="215"/>
      <c r="F2904" s="258" t="s">
        <v>4098</v>
      </c>
      <c r="G2904" s="66" t="str">
        <f>HYPERLINK("https://ledvance.com/pt/product-datasheet/7782/126381","Ficha de Produto")</f>
        <v>Ficha de Produto</v>
      </c>
      <c r="H2904" s="34">
        <v>20</v>
      </c>
      <c r="I2904" s="217" t="s">
        <v>1201</v>
      </c>
      <c r="J2904" s="34" t="s">
        <v>6223</v>
      </c>
      <c r="K2904" s="34" t="s">
        <v>788</v>
      </c>
      <c r="L2904" s="34" t="s">
        <v>800</v>
      </c>
      <c r="M2904" s="27">
        <v>96.5</v>
      </c>
      <c r="N2904" s="298" t="s">
        <v>732</v>
      </c>
    </row>
    <row r="2905" spans="1:14" s="32" customFormat="1" ht="14.25" customHeight="1">
      <c r="A2905" s="26" t="s">
        <v>749</v>
      </c>
      <c r="B2905" s="36" t="s">
        <v>576</v>
      </c>
      <c r="C2905" s="215">
        <v>4008321049629</v>
      </c>
      <c r="D2905" s="215"/>
      <c r="E2905" s="215"/>
      <c r="F2905" s="258" t="s">
        <v>4098</v>
      </c>
      <c r="G2905" s="66" t="str">
        <f>HYPERLINK("https://ledvance.com/pt/product-datasheet/7782/130855","Ficha de Produto")</f>
        <v>Ficha de Produto</v>
      </c>
      <c r="H2905" s="34">
        <v>20</v>
      </c>
      <c r="I2905" s="217" t="s">
        <v>1201</v>
      </c>
      <c r="J2905" s="34" t="s">
        <v>6482</v>
      </c>
      <c r="K2905" s="34" t="s">
        <v>788</v>
      </c>
      <c r="L2905" s="34" t="s">
        <v>800</v>
      </c>
      <c r="M2905" s="27">
        <v>100.8</v>
      </c>
      <c r="N2905" s="298" t="s">
        <v>732</v>
      </c>
    </row>
    <row r="2906" spans="1:14" s="32" customFormat="1" ht="14.25" customHeight="1">
      <c r="A2906" s="26" t="s">
        <v>749</v>
      </c>
      <c r="B2906" s="36" t="s">
        <v>577</v>
      </c>
      <c r="C2906" s="215">
        <v>4008321188090</v>
      </c>
      <c r="D2906" s="215"/>
      <c r="E2906" s="215"/>
      <c r="F2906" s="258" t="s">
        <v>4098</v>
      </c>
      <c r="G2906" s="66" t="str">
        <f>HYPERLINK("https://ledvance.com/pt/product-datasheet/7782/125330","Ficha de Produto")</f>
        <v>Ficha de Produto</v>
      </c>
      <c r="H2906" s="34">
        <v>20</v>
      </c>
      <c r="I2906" s="217" t="s">
        <v>1201</v>
      </c>
      <c r="J2906" s="34" t="s">
        <v>6480</v>
      </c>
      <c r="K2906" s="34" t="s">
        <v>788</v>
      </c>
      <c r="L2906" s="34" t="s">
        <v>800</v>
      </c>
      <c r="M2906" s="27">
        <v>167</v>
      </c>
      <c r="N2906" s="298" t="s">
        <v>732</v>
      </c>
    </row>
    <row r="2907" spans="1:14" s="32" customFormat="1" ht="14.25" customHeight="1">
      <c r="A2907" s="26" t="s">
        <v>749</v>
      </c>
      <c r="B2907" s="36" t="s">
        <v>578</v>
      </c>
      <c r="C2907" s="215">
        <v>4008321099488</v>
      </c>
      <c r="D2907" s="215"/>
      <c r="E2907" s="215"/>
      <c r="F2907" s="258" t="s">
        <v>4098</v>
      </c>
      <c r="G2907" s="66" t="str">
        <f>HYPERLINK("https://ledvance.com/pt/product-datasheet/7784/130858","Ficha de Produto")</f>
        <v>Ficha de Produto</v>
      </c>
      <c r="H2907" s="34">
        <v>20</v>
      </c>
      <c r="I2907" s="217" t="s">
        <v>1201</v>
      </c>
      <c r="J2907" s="34" t="s">
        <v>6223</v>
      </c>
      <c r="K2907" s="34" t="s">
        <v>788</v>
      </c>
      <c r="L2907" s="34" t="s">
        <v>800</v>
      </c>
      <c r="M2907" s="27">
        <v>105.4</v>
      </c>
      <c r="N2907" s="298" t="s">
        <v>732</v>
      </c>
    </row>
    <row r="2908" spans="1:14" s="32" customFormat="1" ht="14.25" customHeight="1">
      <c r="A2908" s="26" t="s">
        <v>749</v>
      </c>
      <c r="B2908" s="36" t="s">
        <v>579</v>
      </c>
      <c r="C2908" s="215">
        <v>4008321099501</v>
      </c>
      <c r="D2908" s="215"/>
      <c r="E2908" s="215"/>
      <c r="F2908" s="258" t="s">
        <v>4098</v>
      </c>
      <c r="G2908" s="66" t="str">
        <f>HYPERLINK("https://ledvance.com/pt/product-datasheet/7784/130865","Ficha de Produto")</f>
        <v>Ficha de Produto</v>
      </c>
      <c r="H2908" s="34">
        <v>20</v>
      </c>
      <c r="I2908" s="217" t="s">
        <v>1201</v>
      </c>
      <c r="J2908" s="34" t="s">
        <v>6482</v>
      </c>
      <c r="K2908" s="34" t="s">
        <v>788</v>
      </c>
      <c r="L2908" s="34" t="s">
        <v>800</v>
      </c>
      <c r="M2908" s="27">
        <v>105.4</v>
      </c>
      <c r="N2908" s="298" t="s">
        <v>732</v>
      </c>
    </row>
    <row r="2909" spans="1:14" s="32" customFormat="1" ht="14.25" customHeight="1">
      <c r="A2909" s="26" t="s">
        <v>749</v>
      </c>
      <c r="B2909" s="36" t="s">
        <v>580</v>
      </c>
      <c r="C2909" s="215">
        <v>4008321915535</v>
      </c>
      <c r="D2909" s="215"/>
      <c r="E2909" s="215"/>
      <c r="F2909" s="258" t="s">
        <v>4098</v>
      </c>
      <c r="G2909" s="66" t="str">
        <f>HYPERLINK("https://ledvance.com/pt/product-datasheet/7784/125023","Ficha de Produto")</f>
        <v>Ficha de Produto</v>
      </c>
      <c r="H2909" s="34">
        <v>20</v>
      </c>
      <c r="I2909" s="217" t="s">
        <v>1201</v>
      </c>
      <c r="J2909" s="34" t="s">
        <v>6480</v>
      </c>
      <c r="K2909" s="34" t="s">
        <v>788</v>
      </c>
      <c r="L2909" s="34" t="s">
        <v>800</v>
      </c>
      <c r="M2909" s="27">
        <v>173.9</v>
      </c>
      <c r="N2909" s="298" t="s">
        <v>732</v>
      </c>
    </row>
    <row r="2910" spans="1:14" s="32" customFormat="1" ht="14.25" customHeight="1">
      <c r="A2910" s="26" t="s">
        <v>749</v>
      </c>
      <c r="B2910" s="36" t="s">
        <v>581</v>
      </c>
      <c r="C2910" s="215">
        <v>4008321386625</v>
      </c>
      <c r="D2910" s="215"/>
      <c r="E2910" s="215"/>
      <c r="F2910" s="258" t="s">
        <v>4098</v>
      </c>
      <c r="G2910" s="66" t="str">
        <f>HYPERLINK("https://ledvance.com/pt/product-datasheet/7785/131038","Ficha de Produto")</f>
        <v>Ficha de Produto</v>
      </c>
      <c r="H2910" s="34">
        <v>20</v>
      </c>
      <c r="I2910" s="217" t="s">
        <v>1201</v>
      </c>
      <c r="J2910" s="34" t="s">
        <v>6223</v>
      </c>
      <c r="K2910" s="34" t="s">
        <v>788</v>
      </c>
      <c r="L2910" s="34" t="s">
        <v>800</v>
      </c>
      <c r="M2910" s="27">
        <v>75.7</v>
      </c>
      <c r="N2910" s="298" t="s">
        <v>732</v>
      </c>
    </row>
    <row r="2911" spans="1:14" s="32" customFormat="1" ht="14.25" customHeight="1">
      <c r="A2911" s="26" t="s">
        <v>749</v>
      </c>
      <c r="B2911" s="36" t="s">
        <v>582</v>
      </c>
      <c r="C2911" s="215">
        <v>4008321386649</v>
      </c>
      <c r="D2911" s="215"/>
      <c r="E2911" s="215"/>
      <c r="F2911" s="258" t="s">
        <v>4098</v>
      </c>
      <c r="G2911" s="66" t="str">
        <f>HYPERLINK("https://ledvance.com/pt/product-datasheet/7785/131041","Ficha de Produto")</f>
        <v>Ficha de Produto</v>
      </c>
      <c r="H2911" s="34">
        <v>20</v>
      </c>
      <c r="I2911" s="217" t="s">
        <v>1201</v>
      </c>
      <c r="J2911" s="34" t="s">
        <v>6197</v>
      </c>
      <c r="K2911" s="34" t="s">
        <v>788</v>
      </c>
      <c r="L2911" s="34" t="s">
        <v>800</v>
      </c>
      <c r="M2911" s="27">
        <v>75.7</v>
      </c>
      <c r="N2911" s="298" t="s">
        <v>732</v>
      </c>
    </row>
    <row r="2912" spans="1:14" s="32" customFormat="1" ht="14.25" customHeight="1">
      <c r="A2912" s="26" t="s">
        <v>749</v>
      </c>
      <c r="B2912" s="36" t="s">
        <v>583</v>
      </c>
      <c r="C2912" s="215">
        <v>4008321377661</v>
      </c>
      <c r="D2912" s="215"/>
      <c r="E2912" s="215"/>
      <c r="F2912" s="258" t="s">
        <v>4098</v>
      </c>
      <c r="G2912" s="66" t="str">
        <f>HYPERLINK("https://ledvance.com/pt/product-datasheet/7786/131044","Ficha de Produto")</f>
        <v>Ficha de Produto</v>
      </c>
      <c r="H2912" s="34">
        <v>20</v>
      </c>
      <c r="I2912" s="217" t="s">
        <v>1201</v>
      </c>
      <c r="J2912" s="34" t="s">
        <v>6223</v>
      </c>
      <c r="K2912" s="34" t="s">
        <v>788</v>
      </c>
      <c r="L2912" s="34" t="s">
        <v>800</v>
      </c>
      <c r="M2912" s="27">
        <v>85.2</v>
      </c>
      <c r="N2912" s="298" t="s">
        <v>732</v>
      </c>
    </row>
    <row r="2913" spans="1:14" s="32" customFormat="1" ht="14.25" customHeight="1">
      <c r="A2913" s="26" t="s">
        <v>749</v>
      </c>
      <c r="B2913" s="36" t="s">
        <v>584</v>
      </c>
      <c r="C2913" s="215">
        <v>4008321377685</v>
      </c>
      <c r="D2913" s="215"/>
      <c r="E2913" s="215"/>
      <c r="F2913" s="258" t="s">
        <v>4098</v>
      </c>
      <c r="G2913" s="66" t="str">
        <f>HYPERLINK("https://ledvance.com/pt/product-datasheet/7786/131048","Ficha de Produto")</f>
        <v>Ficha de Produto</v>
      </c>
      <c r="H2913" s="34">
        <v>20</v>
      </c>
      <c r="I2913" s="217" t="s">
        <v>1201</v>
      </c>
      <c r="J2913" s="34" t="s">
        <v>6197</v>
      </c>
      <c r="K2913" s="34" t="s">
        <v>788</v>
      </c>
      <c r="L2913" s="34" t="s">
        <v>800</v>
      </c>
      <c r="M2913" s="27">
        <v>85.2</v>
      </c>
      <c r="N2913" s="298" t="s">
        <v>732</v>
      </c>
    </row>
    <row r="2914" spans="1:14" s="32" customFormat="1" ht="14.25" customHeight="1">
      <c r="A2914" s="25" t="s">
        <v>749</v>
      </c>
      <c r="B2914" s="276" t="s">
        <v>753</v>
      </c>
      <c r="C2914" s="7"/>
      <c r="D2914" s="7"/>
      <c r="E2914" s="7"/>
      <c r="F2914" s="7"/>
      <c r="G2914" s="68" t="s">
        <v>6505</v>
      </c>
      <c r="H2914" s="7"/>
      <c r="I2914" s="7"/>
      <c r="J2914" s="7"/>
      <c r="K2914" s="7"/>
      <c r="L2914" s="7"/>
      <c r="M2914" s="248"/>
      <c r="N2914" s="284"/>
    </row>
    <row r="2915" spans="1:14" s="32" customFormat="1" ht="14.25" customHeight="1">
      <c r="A2915" s="26" t="s">
        <v>749</v>
      </c>
      <c r="B2915" s="36" t="s">
        <v>585</v>
      </c>
      <c r="C2915" s="215">
        <v>4008321420633</v>
      </c>
      <c r="D2915" s="215"/>
      <c r="E2915" s="215"/>
      <c r="F2915" s="216"/>
      <c r="G2915" s="66" t="str">
        <f>HYPERLINK("https://ledvance.com/pt/product-datasheet/7792/128629","Ficha de Produto")</f>
        <v>Ficha de Produto</v>
      </c>
      <c r="H2915" s="34">
        <v>10</v>
      </c>
      <c r="I2915" s="217" t="s">
        <v>1201</v>
      </c>
      <c r="J2915" s="34" t="s">
        <v>6244</v>
      </c>
      <c r="K2915" s="34" t="s">
        <v>788</v>
      </c>
      <c r="L2915" s="34" t="s">
        <v>800</v>
      </c>
      <c r="M2915" s="27">
        <v>182.8</v>
      </c>
      <c r="N2915" s="298" t="s">
        <v>732</v>
      </c>
    </row>
    <row r="2916" spans="1:14" s="32" customFormat="1" ht="14.25" customHeight="1">
      <c r="A2916" s="26" t="s">
        <v>749</v>
      </c>
      <c r="B2916" s="36" t="s">
        <v>586</v>
      </c>
      <c r="C2916" s="215">
        <v>4008321927019</v>
      </c>
      <c r="D2916" s="215"/>
      <c r="E2916" s="215"/>
      <c r="F2916" s="258" t="s">
        <v>4098</v>
      </c>
      <c r="G2916" s="66" t="str">
        <f>HYPERLINK("https://ledvance.com/pt/product-datasheet/7793/129970","Ficha de Produto")</f>
        <v>Ficha de Produto</v>
      </c>
      <c r="H2916" s="34">
        <v>10</v>
      </c>
      <c r="I2916" s="217" t="s">
        <v>1201</v>
      </c>
      <c r="J2916" s="34" t="s">
        <v>6244</v>
      </c>
      <c r="K2916" s="34" t="s">
        <v>788</v>
      </c>
      <c r="L2916" s="34" t="s">
        <v>800</v>
      </c>
      <c r="M2916" s="27">
        <v>78.900000000000006</v>
      </c>
      <c r="N2916" s="298" t="s">
        <v>732</v>
      </c>
    </row>
    <row r="2917" spans="1:14" s="32" customFormat="1" ht="14.25" customHeight="1">
      <c r="A2917" s="26" t="s">
        <v>749</v>
      </c>
      <c r="B2917" s="36" t="s">
        <v>587</v>
      </c>
      <c r="C2917" s="215">
        <v>4008321927026</v>
      </c>
      <c r="D2917" s="215"/>
      <c r="E2917" s="215"/>
      <c r="F2917" s="258" t="s">
        <v>4098</v>
      </c>
      <c r="G2917" s="66" t="str">
        <f>HYPERLINK("https://ledvance.com/pt/product-datasheet/7793/129974","Ficha de Produto")</f>
        <v>Ficha de Produto</v>
      </c>
      <c r="H2917" s="34">
        <v>10</v>
      </c>
      <c r="I2917" s="217" t="s">
        <v>1201</v>
      </c>
      <c r="J2917" s="34" t="s">
        <v>6483</v>
      </c>
      <c r="K2917" s="34" t="s">
        <v>788</v>
      </c>
      <c r="L2917" s="34" t="s">
        <v>800</v>
      </c>
      <c r="M2917" s="27">
        <v>157.5</v>
      </c>
      <c r="N2917" s="298" t="s">
        <v>732</v>
      </c>
    </row>
    <row r="2918" spans="1:14" s="32" customFormat="1" ht="14.25" customHeight="1">
      <c r="A2918" s="26" t="s">
        <v>749</v>
      </c>
      <c r="B2918" s="36" t="s">
        <v>588</v>
      </c>
      <c r="C2918" s="215">
        <v>4050300442310</v>
      </c>
      <c r="D2918" s="215"/>
      <c r="E2918" s="215"/>
      <c r="F2918" s="258" t="s">
        <v>4098</v>
      </c>
      <c r="G2918" s="66" t="str">
        <f>HYPERLINK("https://ledvance.com/pt/product-datasheet/7794/126375","Ficha de Produto")</f>
        <v>Ficha de Produto</v>
      </c>
      <c r="H2918" s="34">
        <v>20</v>
      </c>
      <c r="I2918" s="217" t="s">
        <v>1201</v>
      </c>
      <c r="J2918" s="34" t="s">
        <v>6484</v>
      </c>
      <c r="K2918" s="34" t="s">
        <v>788</v>
      </c>
      <c r="L2918" s="34" t="s">
        <v>800</v>
      </c>
      <c r="M2918" s="27">
        <v>41.4</v>
      </c>
      <c r="N2918" s="298" t="s">
        <v>732</v>
      </c>
    </row>
    <row r="2919" spans="1:14" s="32" customFormat="1" ht="14.25" customHeight="1">
      <c r="A2919" s="26" t="s">
        <v>749</v>
      </c>
      <c r="B2919" s="36" t="s">
        <v>589</v>
      </c>
      <c r="C2919" s="215">
        <v>4050300442334</v>
      </c>
      <c r="D2919" s="215"/>
      <c r="E2919" s="215"/>
      <c r="F2919" s="258" t="s">
        <v>4098</v>
      </c>
      <c r="G2919" s="66" t="str">
        <f>HYPERLINK("https://ledvance.com/pt/product-datasheet/7794/126372","Ficha de Produto")</f>
        <v>Ficha de Produto</v>
      </c>
      <c r="H2919" s="34">
        <v>20</v>
      </c>
      <c r="I2919" s="217" t="s">
        <v>1201</v>
      </c>
      <c r="J2919" s="34" t="s">
        <v>6485</v>
      </c>
      <c r="K2919" s="34" t="s">
        <v>788</v>
      </c>
      <c r="L2919" s="34" t="s">
        <v>800</v>
      </c>
      <c r="M2919" s="27">
        <v>46.1</v>
      </c>
      <c r="N2919" s="298" t="s">
        <v>732</v>
      </c>
    </row>
    <row r="2920" spans="1:14" s="32" customFormat="1" ht="14.25" customHeight="1">
      <c r="A2920" s="26" t="s">
        <v>749</v>
      </c>
      <c r="B2920" s="36" t="s">
        <v>590</v>
      </c>
      <c r="C2920" s="215">
        <v>4050300581415</v>
      </c>
      <c r="D2920" s="215"/>
      <c r="E2920" s="215"/>
      <c r="F2920" s="258" t="s">
        <v>4098</v>
      </c>
      <c r="G2920" s="66" t="str">
        <f>HYPERLINK("https://ledvance.com/pt/product-datasheet/7794/130984","Ficha de Produto")</f>
        <v>Ficha de Produto</v>
      </c>
      <c r="H2920" s="34">
        <v>10</v>
      </c>
      <c r="I2920" s="217" t="s">
        <v>1201</v>
      </c>
      <c r="J2920" s="34" t="s">
        <v>6486</v>
      </c>
      <c r="K2920" s="34" t="s">
        <v>788</v>
      </c>
      <c r="L2920" s="34" t="s">
        <v>800</v>
      </c>
      <c r="M2920" s="27">
        <v>75.099999999999994</v>
      </c>
      <c r="N2920" s="298" t="s">
        <v>732</v>
      </c>
    </row>
    <row r="2921" spans="1:14" s="32" customFormat="1" ht="14.25" customHeight="1">
      <c r="A2921" s="26" t="s">
        <v>749</v>
      </c>
      <c r="B2921" s="36" t="s">
        <v>591</v>
      </c>
      <c r="C2921" s="215">
        <v>4008321073037</v>
      </c>
      <c r="D2921" s="215"/>
      <c r="E2921" s="215"/>
      <c r="F2921" s="258" t="s">
        <v>4098</v>
      </c>
      <c r="G2921" s="66" t="str">
        <f>HYPERLINK("https://ledvance.com/pt/product-datasheet/7794/136655","Ficha de Produto")</f>
        <v>Ficha de Produto</v>
      </c>
      <c r="H2921" s="34">
        <v>20</v>
      </c>
      <c r="I2921" s="217" t="s">
        <v>1201</v>
      </c>
      <c r="J2921" s="34" t="s">
        <v>6482</v>
      </c>
      <c r="K2921" s="34" t="s">
        <v>788</v>
      </c>
      <c r="L2921" s="34" t="s">
        <v>800</v>
      </c>
      <c r="M2921" s="27">
        <v>60</v>
      </c>
      <c r="N2921" s="298" t="s">
        <v>732</v>
      </c>
    </row>
    <row r="2922" spans="1:14" s="32" customFormat="1" ht="14.25" customHeight="1">
      <c r="A2922" s="26" t="s">
        <v>749</v>
      </c>
      <c r="B2922" s="36" t="s">
        <v>592</v>
      </c>
      <c r="C2922" s="215">
        <v>4008321111593</v>
      </c>
      <c r="D2922" s="215"/>
      <c r="E2922" s="215"/>
      <c r="F2922" s="258" t="s">
        <v>4098</v>
      </c>
      <c r="G2922" s="66" t="str">
        <f>HYPERLINK("https://ledvance.com/pt/product-datasheet/7795/136658","Ficha de Produto")</f>
        <v>Ficha de Produto</v>
      </c>
      <c r="H2922" s="34">
        <v>50</v>
      </c>
      <c r="I2922" s="217" t="s">
        <v>1201</v>
      </c>
      <c r="J2922" s="34" t="s">
        <v>6484</v>
      </c>
      <c r="K2922" s="34" t="s">
        <v>788</v>
      </c>
      <c r="L2922" s="34" t="s">
        <v>800</v>
      </c>
      <c r="M2922" s="27">
        <v>26</v>
      </c>
      <c r="N2922" s="298" t="s">
        <v>732</v>
      </c>
    </row>
    <row r="2923" spans="1:14" s="32" customFormat="1" ht="14.25" customHeight="1">
      <c r="A2923" s="26" t="s">
        <v>749</v>
      </c>
      <c r="B2923" s="36" t="s">
        <v>593</v>
      </c>
      <c r="C2923" s="215">
        <v>4008321111579</v>
      </c>
      <c r="D2923" s="215"/>
      <c r="E2923" s="215"/>
      <c r="F2923" s="258" t="s">
        <v>4098</v>
      </c>
      <c r="G2923" s="66" t="str">
        <f>HYPERLINK("https://ledvance.com/pt/product-datasheet/7795/136662","Ficha de Produto")</f>
        <v>Ficha de Produto</v>
      </c>
      <c r="H2923" s="34">
        <v>50</v>
      </c>
      <c r="I2923" s="217" t="s">
        <v>1201</v>
      </c>
      <c r="J2923" s="34" t="s">
        <v>6485</v>
      </c>
      <c r="K2923" s="34" t="s">
        <v>788</v>
      </c>
      <c r="L2923" s="34" t="s">
        <v>800</v>
      </c>
      <c r="M2923" s="27">
        <v>67.400000000000006</v>
      </c>
      <c r="N2923" s="298" t="s">
        <v>732</v>
      </c>
    </row>
    <row r="2924" spans="1:14" s="32" customFormat="1" ht="14.25" customHeight="1">
      <c r="A2924" s="3" t="s">
        <v>749</v>
      </c>
      <c r="B2924" s="36" t="s">
        <v>594</v>
      </c>
      <c r="C2924" s="215">
        <v>4008321957344</v>
      </c>
      <c r="D2924" s="215"/>
      <c r="E2924" s="215"/>
      <c r="F2924" s="216"/>
      <c r="G2924" s="66" t="str">
        <f>HYPERLINK("https://ledvance.com/pt/product-datasheet/7798/126617","Ficha de Produto")</f>
        <v>Ficha de Produto</v>
      </c>
      <c r="H2924" s="34">
        <v>25</v>
      </c>
      <c r="I2924" s="217" t="s">
        <v>1201</v>
      </c>
      <c r="J2924" s="34" t="s">
        <v>6487</v>
      </c>
      <c r="K2924" s="34" t="s">
        <v>788</v>
      </c>
      <c r="L2924" s="34" t="s">
        <v>800</v>
      </c>
      <c r="M2924" s="27">
        <v>671</v>
      </c>
      <c r="N2924" s="298" t="s">
        <v>732</v>
      </c>
    </row>
    <row r="2925" spans="1:14" s="32" customFormat="1" ht="14.25" customHeight="1">
      <c r="A2925" s="8" t="s">
        <v>702</v>
      </c>
      <c r="B2925" s="276" t="s">
        <v>4099</v>
      </c>
      <c r="C2925" s="7"/>
      <c r="D2925" s="7"/>
      <c r="E2925" s="7"/>
      <c r="F2925" s="7"/>
      <c r="G2925" s="68"/>
      <c r="H2925" s="7"/>
      <c r="I2925" s="7"/>
      <c r="J2925" s="7"/>
      <c r="K2925" s="7"/>
      <c r="L2925" s="7"/>
      <c r="M2925" s="248"/>
      <c r="N2925" s="284"/>
    </row>
    <row r="2926" spans="1:14" s="32" customFormat="1" ht="14.25" customHeight="1">
      <c r="A2926" s="3" t="s">
        <v>702</v>
      </c>
      <c r="B2926" s="36" t="s">
        <v>460</v>
      </c>
      <c r="C2926" s="214">
        <v>4062172177900</v>
      </c>
      <c r="D2926" s="214"/>
      <c r="E2926" s="215"/>
      <c r="F2926" s="216"/>
      <c r="G2926" s="66" t="str">
        <f>HYPERLINK("https://ledvance.com/pt/product-datasheet/7653/180598","Ficha de Produto")</f>
        <v>Ficha de Produto</v>
      </c>
      <c r="H2926" s="34">
        <v>20</v>
      </c>
      <c r="I2926" s="217" t="s">
        <v>1201</v>
      </c>
      <c r="J2926" s="34" t="s">
        <v>6171</v>
      </c>
      <c r="K2926" s="34" t="s">
        <v>788</v>
      </c>
      <c r="L2926" s="34" t="s">
        <v>800</v>
      </c>
      <c r="M2926" s="30">
        <v>170</v>
      </c>
      <c r="N2926" s="283" t="s">
        <v>721</v>
      </c>
    </row>
    <row r="2927" spans="1:14" s="32" customFormat="1" ht="14.25" customHeight="1">
      <c r="A2927" s="3" t="s">
        <v>702</v>
      </c>
      <c r="B2927" s="274" t="s">
        <v>4117</v>
      </c>
      <c r="C2927" s="10">
        <v>4062172274289</v>
      </c>
      <c r="D2927" s="10"/>
      <c r="E2927" s="10"/>
      <c r="F2927" s="222" t="s">
        <v>2019</v>
      </c>
      <c r="G2927" s="66" t="str">
        <f>HYPERLINK("https://ledvance.com/pt/product-datasheet/7653/220102","Ficha de Produto")</f>
        <v>Ficha de Produto</v>
      </c>
      <c r="H2927" s="34"/>
      <c r="I2927" s="217" t="s">
        <v>1201</v>
      </c>
      <c r="J2927" s="34" t="s">
        <v>6171</v>
      </c>
      <c r="K2927" s="34" t="s">
        <v>788</v>
      </c>
      <c r="L2927" s="34" t="s">
        <v>800</v>
      </c>
      <c r="M2927" s="30">
        <v>160</v>
      </c>
      <c r="N2927" s="283" t="s">
        <v>721</v>
      </c>
    </row>
    <row r="2928" spans="1:14" s="32" customFormat="1" ht="14.25" customHeight="1">
      <c r="A2928" s="3" t="s">
        <v>702</v>
      </c>
      <c r="B2928" s="36" t="s">
        <v>4105</v>
      </c>
      <c r="C2928" s="214">
        <v>4062172177924</v>
      </c>
      <c r="D2928" s="214"/>
      <c r="E2928" s="215"/>
      <c r="F2928" s="216"/>
      <c r="G2928" s="66" t="str">
        <f>HYPERLINK("https://ledvance.com/pt/product-datasheet/7653/180595","Ficha de Produto")</f>
        <v>Ficha de Produto</v>
      </c>
      <c r="H2928" s="34">
        <v>20</v>
      </c>
      <c r="I2928" s="217" t="s">
        <v>1201</v>
      </c>
      <c r="J2928" s="34" t="s">
        <v>6197</v>
      </c>
      <c r="K2928" s="34" t="s">
        <v>788</v>
      </c>
      <c r="L2928" s="34" t="s">
        <v>800</v>
      </c>
      <c r="M2928" s="30">
        <v>207</v>
      </c>
      <c r="N2928" s="283" t="s">
        <v>721</v>
      </c>
    </row>
    <row r="2929" spans="1:14" s="32" customFormat="1" ht="14.25" customHeight="1">
      <c r="A2929" s="3" t="s">
        <v>702</v>
      </c>
      <c r="B2929" s="274" t="s">
        <v>4118</v>
      </c>
      <c r="C2929" s="10">
        <v>4062172274302</v>
      </c>
      <c r="D2929" s="10"/>
      <c r="E2929" s="10"/>
      <c r="F2929" s="222" t="s">
        <v>2019</v>
      </c>
      <c r="G2929" s="66" t="str">
        <f>HYPERLINK("https://ledvance.com/pt/product-datasheet/7653/219031","Ficha de Produto")</f>
        <v>Ficha de Produto</v>
      </c>
      <c r="H2929" s="34"/>
      <c r="I2929" s="217" t="s">
        <v>1201</v>
      </c>
      <c r="J2929" s="34" t="s">
        <v>6197</v>
      </c>
      <c r="K2929" s="34" t="s">
        <v>788</v>
      </c>
      <c r="L2929" s="34" t="s">
        <v>800</v>
      </c>
      <c r="M2929" s="30">
        <v>200</v>
      </c>
      <c r="N2929" s="283" t="s">
        <v>721</v>
      </c>
    </row>
    <row r="2930" spans="1:14" s="32" customFormat="1" ht="14.25" customHeight="1">
      <c r="A2930" s="3" t="s">
        <v>702</v>
      </c>
      <c r="B2930" s="36" t="s">
        <v>461</v>
      </c>
      <c r="C2930" s="214">
        <v>4062172177948</v>
      </c>
      <c r="D2930" s="214"/>
      <c r="E2930" s="10"/>
      <c r="F2930" s="216"/>
      <c r="G2930" s="66" t="str">
        <f>HYPERLINK("https://ledvance.com/pt/product-datasheet/7653/171804","Ficha de Produto")</f>
        <v>Ficha de Produto</v>
      </c>
      <c r="H2930" s="34">
        <v>20</v>
      </c>
      <c r="I2930" s="217" t="s">
        <v>1201</v>
      </c>
      <c r="J2930" s="34" t="s">
        <v>6480</v>
      </c>
      <c r="K2930" s="34" t="s">
        <v>788</v>
      </c>
      <c r="L2930" s="34" t="s">
        <v>800</v>
      </c>
      <c r="M2930" s="30">
        <v>354</v>
      </c>
      <c r="N2930" s="283" t="s">
        <v>721</v>
      </c>
    </row>
    <row r="2931" spans="1:14" s="32" customFormat="1" ht="14.25" customHeight="1">
      <c r="A2931" s="3" t="s">
        <v>702</v>
      </c>
      <c r="B2931" s="274" t="s">
        <v>4119</v>
      </c>
      <c r="C2931" s="10">
        <v>4062172274326</v>
      </c>
      <c r="D2931" s="10"/>
      <c r="E2931" s="10"/>
      <c r="F2931" s="222" t="s">
        <v>2019</v>
      </c>
      <c r="G2931" s="66" t="str">
        <f>HYPERLINK("https://ledvance.com/pt/product-datasheet/7653/220105","Ficha de Produto")</f>
        <v>Ficha de Produto</v>
      </c>
      <c r="H2931" s="34"/>
      <c r="I2931" s="217" t="s">
        <v>1201</v>
      </c>
      <c r="J2931" s="34" t="s">
        <v>6480</v>
      </c>
      <c r="K2931" s="34" t="s">
        <v>788</v>
      </c>
      <c r="L2931" s="34" t="s">
        <v>800</v>
      </c>
      <c r="M2931" s="30">
        <v>315</v>
      </c>
      <c r="N2931" s="283" t="s">
        <v>721</v>
      </c>
    </row>
    <row r="2932" spans="1:14" s="32" customFormat="1" ht="14.25" customHeight="1">
      <c r="A2932" s="3" t="s">
        <v>702</v>
      </c>
      <c r="B2932" s="36" t="s">
        <v>462</v>
      </c>
      <c r="C2932" s="10">
        <v>4062172032087</v>
      </c>
      <c r="D2932" s="10"/>
      <c r="E2932" s="239"/>
      <c r="F2932" s="216"/>
      <c r="G2932" s="66" t="str">
        <f>HYPERLINK("https://ledvance.com/pt/product-datasheet/7654/128056","Ficha de Produto")</f>
        <v>Ficha de Produto</v>
      </c>
      <c r="H2932" s="34">
        <v>6</v>
      </c>
      <c r="I2932" s="217" t="s">
        <v>1201</v>
      </c>
      <c r="J2932" s="34" t="s">
        <v>6201</v>
      </c>
      <c r="K2932" s="34" t="s">
        <v>6488</v>
      </c>
      <c r="L2932" s="34" t="s">
        <v>800</v>
      </c>
      <c r="M2932" s="30">
        <v>536</v>
      </c>
      <c r="N2932" s="283" t="s">
        <v>721</v>
      </c>
    </row>
    <row r="2933" spans="1:14" s="32" customFormat="1" ht="14.25" customHeight="1">
      <c r="A2933" s="8" t="s">
        <v>702</v>
      </c>
      <c r="B2933" s="276" t="s">
        <v>743</v>
      </c>
      <c r="C2933" s="7"/>
      <c r="D2933" s="7"/>
      <c r="E2933" s="7"/>
      <c r="F2933" s="7"/>
      <c r="G2933" s="68" t="s">
        <v>6505</v>
      </c>
      <c r="H2933" s="7"/>
      <c r="I2933" s="7"/>
      <c r="J2933" s="7"/>
      <c r="K2933" s="7"/>
      <c r="L2933" s="7"/>
      <c r="M2933" s="248"/>
      <c r="N2933" s="284"/>
    </row>
    <row r="2934" spans="1:14" s="32" customFormat="1" ht="14.25" customHeight="1">
      <c r="A2934" s="3" t="s">
        <v>702</v>
      </c>
      <c r="B2934" s="36" t="s">
        <v>463</v>
      </c>
      <c r="C2934" s="10">
        <v>4052899545885</v>
      </c>
      <c r="D2934" s="10"/>
      <c r="E2934" s="239"/>
      <c r="F2934" s="216"/>
      <c r="G2934" s="66" t="str">
        <f>HYPERLINK("https://ledvance.com/pt/product-datasheet/7715/132083","Ficha de Produto")</f>
        <v>Ficha de Produto</v>
      </c>
      <c r="H2934" s="34">
        <v>10</v>
      </c>
      <c r="I2934" s="217" t="s">
        <v>1201</v>
      </c>
      <c r="J2934" s="34" t="s">
        <v>6489</v>
      </c>
      <c r="K2934" s="34" t="s">
        <v>6488</v>
      </c>
      <c r="L2934" s="34" t="s">
        <v>800</v>
      </c>
      <c r="M2934" s="30">
        <v>206</v>
      </c>
      <c r="N2934" s="283" t="s">
        <v>721</v>
      </c>
    </row>
    <row r="2935" spans="1:14" s="32" customFormat="1" ht="14.25" customHeight="1">
      <c r="A2935" s="3" t="s">
        <v>702</v>
      </c>
      <c r="B2935" s="36" t="s">
        <v>464</v>
      </c>
      <c r="C2935" s="10">
        <v>4052899545908</v>
      </c>
      <c r="D2935" s="10"/>
      <c r="E2935" s="239"/>
      <c r="F2935" s="216"/>
      <c r="G2935" s="66" t="str">
        <f>HYPERLINK("https://ledvance.com/pt/product-datasheet/7715/132086","Ficha de Produto")</f>
        <v>Ficha de Produto</v>
      </c>
      <c r="H2935" s="34">
        <v>10</v>
      </c>
      <c r="I2935" s="217" t="s">
        <v>1201</v>
      </c>
      <c r="J2935" s="34" t="s">
        <v>6288</v>
      </c>
      <c r="K2935" s="34" t="s">
        <v>6488</v>
      </c>
      <c r="L2935" s="34" t="s">
        <v>800</v>
      </c>
      <c r="M2935" s="30">
        <v>234.2</v>
      </c>
      <c r="N2935" s="283" t="s">
        <v>721</v>
      </c>
    </row>
    <row r="2936" spans="1:14" s="32" customFormat="1" ht="14.25" customHeight="1">
      <c r="A2936" s="8" t="s">
        <v>702</v>
      </c>
      <c r="B2936" s="276" t="s">
        <v>742</v>
      </c>
      <c r="C2936" s="7"/>
      <c r="D2936" s="7"/>
      <c r="E2936" s="7"/>
      <c r="F2936" s="7"/>
      <c r="G2936" s="68"/>
      <c r="H2936" s="7"/>
      <c r="I2936" s="7"/>
      <c r="J2936" s="7"/>
      <c r="K2936" s="7"/>
      <c r="L2936" s="7"/>
      <c r="M2936" s="248"/>
      <c r="N2936" s="284"/>
    </row>
    <row r="2937" spans="1:14" s="32" customFormat="1" ht="14.25" customHeight="1">
      <c r="A2937" s="3" t="s">
        <v>702</v>
      </c>
      <c r="B2937" s="36" t="s">
        <v>465</v>
      </c>
      <c r="C2937" s="10">
        <v>4050300618111</v>
      </c>
      <c r="D2937" s="10"/>
      <c r="E2937" s="239"/>
      <c r="F2937" s="216"/>
      <c r="G2937" s="66" t="str">
        <f>HYPERLINK("https://ledvance.com/pt/product-datasheet/7663/125015","Ficha de Produto")</f>
        <v>Ficha de Produto</v>
      </c>
      <c r="H2937" s="34">
        <v>20</v>
      </c>
      <c r="I2937" s="217" t="s">
        <v>1201</v>
      </c>
      <c r="J2937" s="34" t="s">
        <v>6116</v>
      </c>
      <c r="K2937" s="34" t="s">
        <v>788</v>
      </c>
      <c r="L2937" s="34" t="s">
        <v>800</v>
      </c>
      <c r="M2937" s="30">
        <v>37</v>
      </c>
      <c r="N2937" s="283" t="s">
        <v>721</v>
      </c>
    </row>
    <row r="2938" spans="1:14" s="32" customFormat="1" ht="14.25" customHeight="1">
      <c r="A2938" s="3" t="s">
        <v>702</v>
      </c>
      <c r="B2938" s="36" t="s">
        <v>466</v>
      </c>
      <c r="C2938" s="10">
        <v>4052899545984</v>
      </c>
      <c r="D2938" s="10"/>
      <c r="E2938" s="239"/>
      <c r="F2938" s="216"/>
      <c r="G2938" s="66" t="str">
        <f>HYPERLINK("https://ledvance.com/pt/product-datasheet/7710/127767","Ficha de Produto")</f>
        <v>Ficha de Produto</v>
      </c>
      <c r="H2938" s="34">
        <v>10</v>
      </c>
      <c r="I2938" s="217" t="s">
        <v>1201</v>
      </c>
      <c r="J2938" s="34" t="s">
        <v>6473</v>
      </c>
      <c r="K2938" s="34" t="s">
        <v>6488</v>
      </c>
      <c r="L2938" s="34" t="s">
        <v>800</v>
      </c>
      <c r="M2938" s="30">
        <v>141.80000000000001</v>
      </c>
      <c r="N2938" s="283" t="s">
        <v>721</v>
      </c>
    </row>
    <row r="2939" spans="1:14" s="32" customFormat="1" ht="14.25" customHeight="1">
      <c r="A2939" s="3" t="s">
        <v>702</v>
      </c>
      <c r="B2939" s="36" t="s">
        <v>467</v>
      </c>
      <c r="C2939" s="10">
        <v>4052899546004</v>
      </c>
      <c r="D2939" s="10"/>
      <c r="E2939" s="239"/>
      <c r="F2939" s="216"/>
      <c r="G2939" s="66" t="str">
        <f>HYPERLINK("https://ledvance.com/pt/product-datasheet/7710/127770","Ficha de Produto")</f>
        <v>Ficha de Produto</v>
      </c>
      <c r="H2939" s="34">
        <v>10</v>
      </c>
      <c r="I2939" s="217" t="s">
        <v>1201</v>
      </c>
      <c r="J2939" s="34" t="s">
        <v>6489</v>
      </c>
      <c r="K2939" s="34" t="s">
        <v>6488</v>
      </c>
      <c r="L2939" s="34" t="s">
        <v>800</v>
      </c>
      <c r="M2939" s="30">
        <v>153.1</v>
      </c>
      <c r="N2939" s="283" t="s">
        <v>721</v>
      </c>
    </row>
    <row r="2940" spans="1:14" s="32" customFormat="1" ht="14.25" customHeight="1">
      <c r="A2940" s="3" t="s">
        <v>702</v>
      </c>
      <c r="B2940" s="36" t="s">
        <v>468</v>
      </c>
      <c r="C2940" s="10">
        <v>4052899546028</v>
      </c>
      <c r="D2940" s="10"/>
      <c r="E2940" s="239"/>
      <c r="F2940" s="216"/>
      <c r="G2940" s="66" t="str">
        <f>HYPERLINK("https://ledvance.com/pt/product-datasheet/7710/127773","Ficha de Produto")</f>
        <v>Ficha de Produto</v>
      </c>
      <c r="H2940" s="34">
        <v>10</v>
      </c>
      <c r="I2940" s="217" t="s">
        <v>1201</v>
      </c>
      <c r="J2940" s="34" t="s">
        <v>6490</v>
      </c>
      <c r="K2940" s="34" t="s">
        <v>6488</v>
      </c>
      <c r="L2940" s="34" t="s">
        <v>800</v>
      </c>
      <c r="M2940" s="30">
        <v>224</v>
      </c>
      <c r="N2940" s="283" t="s">
        <v>721</v>
      </c>
    </row>
    <row r="2941" spans="1:14" s="32" customFormat="1" ht="14.25" customHeight="1">
      <c r="A2941" s="3" t="s">
        <v>702</v>
      </c>
      <c r="B2941" s="36" t="s">
        <v>4100</v>
      </c>
      <c r="C2941" s="214">
        <v>4062172135733</v>
      </c>
      <c r="D2941" s="214"/>
      <c r="E2941" s="215"/>
      <c r="F2941" s="216"/>
      <c r="G2941" s="66" t="str">
        <f>HYPERLINK("https://ledvance.com/pt/product-datasheet/7663/162862","Ficha de Produto")</f>
        <v>Ficha de Produto</v>
      </c>
      <c r="H2941" s="34">
        <v>50</v>
      </c>
      <c r="I2941" s="217" t="s">
        <v>1201</v>
      </c>
      <c r="J2941" s="34" t="s">
        <v>6122</v>
      </c>
      <c r="K2941" s="34" t="s">
        <v>788</v>
      </c>
      <c r="L2941" s="34" t="s">
        <v>800</v>
      </c>
      <c r="M2941" s="30">
        <v>54</v>
      </c>
      <c r="N2941" s="283" t="s">
        <v>721</v>
      </c>
    </row>
    <row r="2942" spans="1:14" s="32" customFormat="1" ht="14.25" customHeight="1">
      <c r="A2942" s="3" t="s">
        <v>702</v>
      </c>
      <c r="B2942" s="36" t="s">
        <v>4101</v>
      </c>
      <c r="C2942" s="214">
        <v>4062172135856</v>
      </c>
      <c r="D2942" s="214"/>
      <c r="E2942" s="215"/>
      <c r="F2942" s="216"/>
      <c r="G2942" s="66" t="str">
        <f>HYPERLINK("https://ledvance.com/pt/product-datasheet/7663/162865","Ficha de Produto")</f>
        <v>Ficha de Produto</v>
      </c>
      <c r="H2942" s="34">
        <v>30</v>
      </c>
      <c r="I2942" s="217" t="s">
        <v>1201</v>
      </c>
      <c r="J2942" s="34" t="s">
        <v>6491</v>
      </c>
      <c r="K2942" s="34" t="s">
        <v>788</v>
      </c>
      <c r="L2942" s="34" t="s">
        <v>800</v>
      </c>
      <c r="M2942" s="30">
        <v>70.900000000000006</v>
      </c>
      <c r="N2942" s="283" t="s">
        <v>721</v>
      </c>
    </row>
    <row r="2943" spans="1:14" s="32" customFormat="1" ht="14.25" customHeight="1">
      <c r="A2943" s="3" t="s">
        <v>702</v>
      </c>
      <c r="B2943" s="36" t="s">
        <v>4102</v>
      </c>
      <c r="C2943" s="214">
        <v>4062172135870</v>
      </c>
      <c r="D2943" s="214"/>
      <c r="E2943" s="215"/>
      <c r="F2943" s="216"/>
      <c r="G2943" s="66" t="str">
        <f>HYPERLINK("https://ledvance.com/pt/product-datasheet/7663/162874","Ficha de Produto")</f>
        <v>Ficha de Produto</v>
      </c>
      <c r="H2943" s="34">
        <v>30</v>
      </c>
      <c r="I2943" s="217" t="s">
        <v>1201</v>
      </c>
      <c r="J2943" s="34" t="s">
        <v>6229</v>
      </c>
      <c r="K2943" s="34" t="s">
        <v>788</v>
      </c>
      <c r="L2943" s="34" t="s">
        <v>800</v>
      </c>
      <c r="M2943" s="30">
        <v>99.3</v>
      </c>
      <c r="N2943" s="283" t="s">
        <v>721</v>
      </c>
    </row>
    <row r="2944" spans="1:14" s="32" customFormat="1" ht="14.25" customHeight="1">
      <c r="A2944" s="3" t="s">
        <v>702</v>
      </c>
      <c r="B2944" s="36" t="s">
        <v>4103</v>
      </c>
      <c r="C2944" s="214">
        <v>4062172135894</v>
      </c>
      <c r="D2944" s="214"/>
      <c r="E2944" s="215"/>
      <c r="F2944" s="216"/>
      <c r="G2944" s="66" t="str">
        <f>HYPERLINK("https://ledvance.com/pt/product-datasheet/7663/162868","Ficha de Produto")</f>
        <v>Ficha de Produto</v>
      </c>
      <c r="H2944" s="34">
        <v>30</v>
      </c>
      <c r="I2944" s="217" t="s">
        <v>1201</v>
      </c>
      <c r="J2944" s="34" t="s">
        <v>6492</v>
      </c>
      <c r="K2944" s="34" t="s">
        <v>788</v>
      </c>
      <c r="L2944" s="34" t="s">
        <v>800</v>
      </c>
      <c r="M2944" s="30">
        <v>124.7</v>
      </c>
      <c r="N2944" s="283" t="s">
        <v>721</v>
      </c>
    </row>
    <row r="2945" spans="1:14" s="32" customFormat="1" ht="14.25" customHeight="1">
      <c r="A2945" s="3" t="s">
        <v>702</v>
      </c>
      <c r="B2945" s="36" t="s">
        <v>4104</v>
      </c>
      <c r="C2945" s="214">
        <v>4062172135917</v>
      </c>
      <c r="D2945" s="214"/>
      <c r="E2945" s="215"/>
      <c r="F2945" s="216"/>
      <c r="G2945" s="66" t="str">
        <f>HYPERLINK("https://ledvance.com/pt/product-datasheet/7663/162871","Ficha de Produto")</f>
        <v>Ficha de Produto</v>
      </c>
      <c r="H2945" s="34">
        <v>10</v>
      </c>
      <c r="I2945" s="217" t="s">
        <v>1201</v>
      </c>
      <c r="J2945" s="34" t="s">
        <v>6493</v>
      </c>
      <c r="K2945" s="34" t="s">
        <v>788</v>
      </c>
      <c r="L2945" s="34" t="s">
        <v>800</v>
      </c>
      <c r="M2945" s="30">
        <v>198.5</v>
      </c>
      <c r="N2945" s="283" t="s">
        <v>721</v>
      </c>
    </row>
    <row r="2946" spans="1:14" s="32" customFormat="1" ht="14.25" customHeight="1">
      <c r="A2946" s="8" t="s">
        <v>702</v>
      </c>
      <c r="B2946" s="276" t="s">
        <v>744</v>
      </c>
      <c r="C2946" s="7"/>
      <c r="D2946" s="7"/>
      <c r="E2946" s="7"/>
      <c r="F2946" s="7"/>
      <c r="G2946" s="68"/>
      <c r="H2946" s="7"/>
      <c r="I2946" s="7"/>
      <c r="J2946" s="7"/>
      <c r="K2946" s="7"/>
      <c r="L2946" s="7"/>
      <c r="M2946" s="248"/>
      <c r="N2946" s="284"/>
    </row>
    <row r="2947" spans="1:14" s="32" customFormat="1" ht="14.25" customHeight="1">
      <c r="A2947" s="3" t="s">
        <v>702</v>
      </c>
      <c r="B2947" s="36" t="s">
        <v>469</v>
      </c>
      <c r="C2947" s="10">
        <v>4052899557833</v>
      </c>
      <c r="D2947" s="10"/>
      <c r="E2947" s="239"/>
      <c r="F2947" s="216"/>
      <c r="G2947" s="66" t="str">
        <f>HYPERLINK("https://ledvance.com/pt/product-datasheet/7677/126318","Ficha de Produto")</f>
        <v>Ficha de Produto</v>
      </c>
      <c r="H2947" s="34">
        <v>20</v>
      </c>
      <c r="I2947" s="217" t="s">
        <v>1201</v>
      </c>
      <c r="J2947" s="34" t="s">
        <v>6494</v>
      </c>
      <c r="K2947" s="34" t="s">
        <v>788</v>
      </c>
      <c r="L2947" s="34" t="s">
        <v>800</v>
      </c>
      <c r="M2947" s="30">
        <v>436.6</v>
      </c>
      <c r="N2947" s="283" t="s">
        <v>721</v>
      </c>
    </row>
    <row r="2948" spans="1:14" s="32" customFormat="1" ht="14.25" customHeight="1">
      <c r="A2948" s="3" t="s">
        <v>702</v>
      </c>
      <c r="B2948" s="36" t="s">
        <v>470</v>
      </c>
      <c r="C2948" s="10">
        <v>4062172046558</v>
      </c>
      <c r="D2948" s="10"/>
      <c r="E2948" s="239"/>
      <c r="F2948" s="216"/>
      <c r="G2948" s="66" t="str">
        <f>HYPERLINK("https://ledvance.com/pt/product-datasheet/7655/138214","Ficha de Produto")</f>
        <v>Ficha de Produto</v>
      </c>
      <c r="H2948" s="34">
        <v>20</v>
      </c>
      <c r="I2948" s="217" t="s">
        <v>1201</v>
      </c>
      <c r="J2948" s="34" t="s">
        <v>6197</v>
      </c>
      <c r="K2948" s="34" t="s">
        <v>788</v>
      </c>
      <c r="L2948" s="34" t="s">
        <v>800</v>
      </c>
      <c r="M2948" s="30">
        <v>422.5</v>
      </c>
      <c r="N2948" s="283" t="s">
        <v>721</v>
      </c>
    </row>
    <row r="2949" spans="1:14" s="32" customFormat="1" ht="14.25" customHeight="1">
      <c r="A2949" s="8" t="s">
        <v>702</v>
      </c>
      <c r="B2949" s="276" t="s">
        <v>745</v>
      </c>
      <c r="C2949" s="7"/>
      <c r="D2949" s="7"/>
      <c r="E2949" s="7"/>
      <c r="F2949" s="7"/>
      <c r="G2949" s="68"/>
      <c r="H2949" s="7"/>
      <c r="I2949" s="7"/>
      <c r="J2949" s="7"/>
      <c r="K2949" s="7"/>
      <c r="L2949" s="7"/>
      <c r="M2949" s="248"/>
      <c r="N2949" s="284"/>
    </row>
    <row r="2950" spans="1:14" s="32" customFormat="1" ht="14.25" customHeight="1">
      <c r="A2950" s="3" t="s">
        <v>702</v>
      </c>
      <c r="B2950" s="36" t="s">
        <v>1189</v>
      </c>
      <c r="C2950" s="10">
        <v>4062172166010</v>
      </c>
      <c r="D2950" s="10"/>
      <c r="E2950" s="239"/>
      <c r="F2950" s="216"/>
      <c r="G2950" s="66" t="str">
        <f>HYPERLINK("https://ledvance.com/pt/product-datasheet/209439/188176","Ficha de Produto")</f>
        <v>Ficha de Produto</v>
      </c>
      <c r="H2950" s="34">
        <v>20</v>
      </c>
      <c r="I2950" s="217" t="s">
        <v>1201</v>
      </c>
      <c r="J2950" s="34" t="s">
        <v>6233</v>
      </c>
      <c r="K2950" s="34" t="s">
        <v>788</v>
      </c>
      <c r="L2950" s="34" t="s">
        <v>800</v>
      </c>
      <c r="M2950" s="30">
        <v>99.3</v>
      </c>
      <c r="N2950" s="283" t="s">
        <v>721</v>
      </c>
    </row>
    <row r="2951" spans="1:14" s="32" customFormat="1" ht="14.25" customHeight="1">
      <c r="A2951" s="8" t="s">
        <v>702</v>
      </c>
      <c r="B2951" s="276" t="s">
        <v>746</v>
      </c>
      <c r="C2951" s="7"/>
      <c r="D2951" s="7"/>
      <c r="E2951" s="7"/>
      <c r="F2951" s="7"/>
      <c r="G2951" s="68"/>
      <c r="H2951" s="7"/>
      <c r="I2951" s="7"/>
      <c r="J2951" s="7"/>
      <c r="K2951" s="7"/>
      <c r="L2951" s="7"/>
      <c r="M2951" s="248"/>
      <c r="N2951" s="284"/>
    </row>
    <row r="2952" spans="1:14" s="32" customFormat="1" ht="14.25" customHeight="1">
      <c r="A2952" s="3" t="s">
        <v>702</v>
      </c>
      <c r="B2952" s="36" t="s">
        <v>471</v>
      </c>
      <c r="C2952" s="10">
        <v>4052899557949</v>
      </c>
      <c r="D2952" s="10"/>
      <c r="E2952" s="239"/>
      <c r="F2952" s="216"/>
      <c r="G2952" s="66" t="str">
        <f>HYPERLINK("https://ledvance.com/pt/product-datasheet/7679/128306","Ficha de Produto")</f>
        <v>Ficha de Produto</v>
      </c>
      <c r="H2952" s="34">
        <v>20</v>
      </c>
      <c r="I2952" s="217" t="s">
        <v>1201</v>
      </c>
      <c r="J2952" s="34" t="s">
        <v>6219</v>
      </c>
      <c r="K2952" s="34" t="s">
        <v>788</v>
      </c>
      <c r="L2952" s="34" t="s">
        <v>800</v>
      </c>
      <c r="M2952" s="30">
        <v>484.9</v>
      </c>
      <c r="N2952" s="283" t="s">
        <v>721</v>
      </c>
    </row>
    <row r="2953" spans="1:14" s="32" customFormat="1" ht="14.25" customHeight="1">
      <c r="A2953" s="8" t="s">
        <v>702</v>
      </c>
      <c r="B2953" s="276" t="s">
        <v>4128</v>
      </c>
      <c r="C2953" s="7"/>
      <c r="D2953" s="7"/>
      <c r="E2953" s="7"/>
      <c r="F2953" s="7"/>
      <c r="G2953" s="68"/>
      <c r="H2953" s="7"/>
      <c r="I2953" s="7"/>
      <c r="J2953" s="7"/>
      <c r="K2953" s="7"/>
      <c r="L2953" s="7"/>
      <c r="M2953" s="248"/>
      <c r="N2953" s="284"/>
    </row>
    <row r="2954" spans="1:14" s="32" customFormat="1" ht="14.25" customHeight="1">
      <c r="A2954" s="3" t="s">
        <v>702</v>
      </c>
      <c r="B2954" s="36" t="s">
        <v>472</v>
      </c>
      <c r="C2954" s="10">
        <v>4050300943459</v>
      </c>
      <c r="D2954" s="10"/>
      <c r="E2954" s="239"/>
      <c r="F2954" s="216"/>
      <c r="G2954" s="66" t="str">
        <f>HYPERLINK("https://ledvance.com/pt/product-datasheet/7680/137521","Ficha de Produto")</f>
        <v>Ficha de Produto</v>
      </c>
      <c r="H2954" s="34">
        <v>20</v>
      </c>
      <c r="I2954" s="217" t="s">
        <v>1201</v>
      </c>
      <c r="J2954" s="34" t="s">
        <v>6495</v>
      </c>
      <c r="K2954" s="34" t="s">
        <v>788</v>
      </c>
      <c r="L2954" s="34" t="s">
        <v>800</v>
      </c>
      <c r="M2954" s="30">
        <v>82.3</v>
      </c>
      <c r="N2954" s="283" t="s">
        <v>721</v>
      </c>
    </row>
    <row r="2955" spans="1:14" s="32" customFormat="1" ht="14.25" customHeight="1">
      <c r="A2955" s="3" t="s">
        <v>702</v>
      </c>
      <c r="B2955" s="36" t="s">
        <v>473</v>
      </c>
      <c r="C2955" s="10">
        <v>4052899259027</v>
      </c>
      <c r="D2955" s="10"/>
      <c r="E2955" s="239"/>
      <c r="F2955" s="216"/>
      <c r="G2955" s="66" t="str">
        <f>HYPERLINK("https://ledvance.com/pt/product-datasheet/7696/126624","Ficha de Produto")</f>
        <v>Ficha de Produto</v>
      </c>
      <c r="H2955" s="34">
        <v>10</v>
      </c>
      <c r="I2955" s="217" t="s">
        <v>1201</v>
      </c>
      <c r="J2955" s="34" t="s">
        <v>6219</v>
      </c>
      <c r="K2955" s="34" t="s">
        <v>822</v>
      </c>
      <c r="L2955" s="34" t="s">
        <v>800</v>
      </c>
      <c r="M2955" s="30">
        <v>117</v>
      </c>
      <c r="N2955" s="283" t="s">
        <v>721</v>
      </c>
    </row>
    <row r="2956" spans="1:14" s="32" customFormat="1" ht="14.25" customHeight="1">
      <c r="A2956" s="3" t="s">
        <v>702</v>
      </c>
      <c r="B2956" s="36" t="s">
        <v>474</v>
      </c>
      <c r="C2956" s="10">
        <v>4052899173781</v>
      </c>
      <c r="D2956" s="10"/>
      <c r="E2956" s="239"/>
      <c r="F2956" s="216"/>
      <c r="G2956" s="66" t="str">
        <f>HYPERLINK("https://ledvance.com/pt/product-datasheet/7705/127264","Ficha de Produto")</f>
        <v>Ficha de Produto</v>
      </c>
      <c r="H2956" s="34">
        <v>20</v>
      </c>
      <c r="I2956" s="217" t="s">
        <v>1201</v>
      </c>
      <c r="J2956" s="34" t="s">
        <v>6171</v>
      </c>
      <c r="K2956" s="34" t="s">
        <v>6496</v>
      </c>
      <c r="L2956" s="34" t="s">
        <v>800</v>
      </c>
      <c r="M2956" s="30">
        <v>85.3</v>
      </c>
      <c r="N2956" s="283" t="s">
        <v>721</v>
      </c>
    </row>
    <row r="2957" spans="1:14" s="32" customFormat="1" ht="14.25" customHeight="1">
      <c r="A2957" s="3" t="s">
        <v>702</v>
      </c>
      <c r="B2957" s="36" t="s">
        <v>475</v>
      </c>
      <c r="C2957" s="10">
        <v>4052899173804</v>
      </c>
      <c r="D2957" s="10"/>
      <c r="E2957" s="239"/>
      <c r="F2957" s="216"/>
      <c r="G2957" s="66" t="str">
        <f>HYPERLINK("https://ledvance.com/pt/product-datasheet/7705/128708","Ficha de Produto")</f>
        <v>Ficha de Produto</v>
      </c>
      <c r="H2957" s="34">
        <v>20</v>
      </c>
      <c r="I2957" s="217" t="s">
        <v>1201</v>
      </c>
      <c r="J2957" s="34" t="s">
        <v>6171</v>
      </c>
      <c r="K2957" s="34" t="s">
        <v>6496</v>
      </c>
      <c r="L2957" s="34" t="s">
        <v>800</v>
      </c>
      <c r="M2957" s="30">
        <v>86.3</v>
      </c>
      <c r="N2957" s="283" t="s">
        <v>721</v>
      </c>
    </row>
    <row r="2958" spans="1:14" s="32" customFormat="1" ht="14.25" customHeight="1">
      <c r="A2958" s="3" t="s">
        <v>702</v>
      </c>
      <c r="B2958" s="36" t="s">
        <v>476</v>
      </c>
      <c r="C2958" s="10">
        <v>4052899253438</v>
      </c>
      <c r="D2958" s="10"/>
      <c r="E2958" s="239"/>
      <c r="F2958" s="216"/>
      <c r="G2958" s="66" t="str">
        <f>HYPERLINK("https://ledvance.com/pt/product-datasheet/7705/128715","Ficha de Produto")</f>
        <v>Ficha de Produto</v>
      </c>
      <c r="H2958" s="34">
        <v>20</v>
      </c>
      <c r="I2958" s="217" t="s">
        <v>1201</v>
      </c>
      <c r="J2958" s="34" t="s">
        <v>6229</v>
      </c>
      <c r="K2958" s="34" t="s">
        <v>6496</v>
      </c>
      <c r="L2958" s="34" t="s">
        <v>800</v>
      </c>
      <c r="M2958" s="30">
        <v>116.9</v>
      </c>
      <c r="N2958" s="283" t="s">
        <v>721</v>
      </c>
    </row>
    <row r="2959" spans="1:14" s="32" customFormat="1" ht="14.25" customHeight="1">
      <c r="A2959" s="3" t="s">
        <v>702</v>
      </c>
      <c r="B2959" s="36" t="s">
        <v>4108</v>
      </c>
      <c r="C2959" s="10">
        <v>4052899981935</v>
      </c>
      <c r="D2959" s="10"/>
      <c r="E2959" s="239"/>
      <c r="F2959" s="216"/>
      <c r="G2959" s="66" t="str">
        <f>HYPERLINK("https://ledvance.com/pt/product-datasheet/196997/31906","Ficha de Produto")</f>
        <v>Ficha de Produto</v>
      </c>
      <c r="H2959" s="34">
        <v>20</v>
      </c>
      <c r="I2959" s="217" t="s">
        <v>1201</v>
      </c>
      <c r="J2959" s="34" t="s">
        <v>6157</v>
      </c>
      <c r="K2959" s="34" t="s">
        <v>788</v>
      </c>
      <c r="L2959" s="34" t="s">
        <v>800</v>
      </c>
      <c r="M2959" s="30">
        <v>97.4</v>
      </c>
      <c r="N2959" s="283" t="s">
        <v>721</v>
      </c>
    </row>
    <row r="2960" spans="1:14" s="32" customFormat="1" ht="14.25" customHeight="1">
      <c r="A2960" s="3" t="s">
        <v>702</v>
      </c>
      <c r="B2960" s="36" t="s">
        <v>1234</v>
      </c>
      <c r="C2960" s="10">
        <v>4052899981942</v>
      </c>
      <c r="D2960" s="10"/>
      <c r="E2960" s="239"/>
      <c r="F2960" s="216"/>
      <c r="G2960" s="66" t="str">
        <f>HYPERLINK("https://ledvance.com/pt/product-datasheet/196997/130413","Ficha de Produto")</f>
        <v>Ficha de Produto</v>
      </c>
      <c r="H2960" s="34">
        <v>20</v>
      </c>
      <c r="I2960" s="217" t="s">
        <v>1201</v>
      </c>
      <c r="J2960" s="34" t="s">
        <v>6497</v>
      </c>
      <c r="K2960" s="34" t="s">
        <v>788</v>
      </c>
      <c r="L2960" s="34" t="s">
        <v>800</v>
      </c>
      <c r="M2960" s="30">
        <v>119.7</v>
      </c>
      <c r="N2960" s="283" t="s">
        <v>721</v>
      </c>
    </row>
    <row r="2961" spans="1:14" s="32" customFormat="1" ht="14.25" customHeight="1">
      <c r="A2961" s="3" t="s">
        <v>702</v>
      </c>
      <c r="B2961" s="36" t="s">
        <v>1235</v>
      </c>
      <c r="C2961" s="10">
        <v>4052899981959</v>
      </c>
      <c r="D2961" s="10"/>
      <c r="E2961" s="239"/>
      <c r="F2961" s="216"/>
      <c r="G2961" s="66" t="str">
        <f>HYPERLINK("https://ledvance.com/pt/product-datasheet/196997/130416","Ficha de Produto")</f>
        <v>Ficha de Produto</v>
      </c>
      <c r="H2961" s="34">
        <v>10</v>
      </c>
      <c r="I2961" s="217" t="s">
        <v>1201</v>
      </c>
      <c r="J2961" s="34" t="s">
        <v>6229</v>
      </c>
      <c r="K2961" s="34" t="s">
        <v>788</v>
      </c>
      <c r="L2961" s="34" t="s">
        <v>800</v>
      </c>
      <c r="M2961" s="30">
        <v>136.4</v>
      </c>
      <c r="N2961" s="283" t="s">
        <v>721</v>
      </c>
    </row>
    <row r="2962" spans="1:14" s="32" customFormat="1" ht="14.25" customHeight="1">
      <c r="A2962" s="3" t="s">
        <v>702</v>
      </c>
      <c r="B2962" s="36" t="s">
        <v>477</v>
      </c>
      <c r="C2962" s="214">
        <v>4062172053952</v>
      </c>
      <c r="D2962" s="214"/>
      <c r="E2962" s="215"/>
      <c r="F2962" s="216"/>
      <c r="G2962" s="66" t="str">
        <f>HYPERLINK("https://ledvance.com/pt/product-datasheet/196997/134285","Ficha de Produto")</f>
        <v>Ficha de Produto</v>
      </c>
      <c r="H2962" s="34">
        <v>10</v>
      </c>
      <c r="I2962" s="217" t="s">
        <v>1201</v>
      </c>
      <c r="J2962" s="34" t="s">
        <v>6215</v>
      </c>
      <c r="K2962" s="34" t="s">
        <v>788</v>
      </c>
      <c r="L2962" s="34" t="s">
        <v>800</v>
      </c>
      <c r="M2962" s="30">
        <v>142</v>
      </c>
      <c r="N2962" s="283" t="s">
        <v>721</v>
      </c>
    </row>
    <row r="2963" spans="1:14" s="32" customFormat="1" ht="14.25" customHeight="1">
      <c r="A2963" s="8" t="s">
        <v>3862</v>
      </c>
      <c r="B2963" s="276" t="s">
        <v>747</v>
      </c>
      <c r="C2963" s="7"/>
      <c r="D2963" s="7"/>
      <c r="E2963" s="7"/>
      <c r="F2963" s="7"/>
      <c r="G2963" s="68"/>
      <c r="H2963" s="7"/>
      <c r="I2963" s="7"/>
      <c r="J2963" s="7"/>
      <c r="K2963" s="7"/>
      <c r="L2963" s="7"/>
      <c r="M2963" s="248"/>
      <c r="N2963" s="284"/>
    </row>
    <row r="2964" spans="1:14" s="32" customFormat="1" ht="14.25" customHeight="1">
      <c r="A2964" s="3" t="s">
        <v>3862</v>
      </c>
      <c r="B2964" s="36" t="s">
        <v>478</v>
      </c>
      <c r="C2964" s="10">
        <v>4052899089570</v>
      </c>
      <c r="D2964" s="10"/>
      <c r="E2964" s="239"/>
      <c r="F2964" s="216"/>
      <c r="G2964" s="66" t="str">
        <f>HYPERLINK("https://ledvance.com/pt/product-datasheet/7689/130022","Ficha de Produto")</f>
        <v>Ficha de Produto</v>
      </c>
      <c r="H2964" s="34">
        <v>20</v>
      </c>
      <c r="I2964" s="217" t="s">
        <v>1201</v>
      </c>
      <c r="J2964" s="217" t="s">
        <v>1201</v>
      </c>
      <c r="K2964" s="34" t="s">
        <v>788</v>
      </c>
      <c r="L2964" s="34" t="s">
        <v>800</v>
      </c>
      <c r="M2964" s="30">
        <v>3.8</v>
      </c>
      <c r="N2964" s="283" t="s">
        <v>721</v>
      </c>
    </row>
    <row r="2965" spans="1:14" s="32" customFormat="1" ht="14.25" customHeight="1">
      <c r="A2965" s="3" t="s">
        <v>3862</v>
      </c>
      <c r="B2965" s="36" t="s">
        <v>479</v>
      </c>
      <c r="C2965" s="10">
        <v>4052899077881</v>
      </c>
      <c r="D2965" s="10"/>
      <c r="E2965" s="239"/>
      <c r="F2965" s="216"/>
      <c r="G2965" s="66" t="str">
        <f>HYPERLINK("https://ledvance.com/pt/product-datasheet/7689/130016","Ficha de Produto")</f>
        <v>Ficha de Produto</v>
      </c>
      <c r="H2965" s="34">
        <v>20</v>
      </c>
      <c r="I2965" s="217" t="s">
        <v>1201</v>
      </c>
      <c r="J2965" s="217" t="s">
        <v>1201</v>
      </c>
      <c r="K2965" s="217" t="s">
        <v>1201</v>
      </c>
      <c r="L2965" s="34" t="s">
        <v>800</v>
      </c>
      <c r="M2965" s="30">
        <v>3.8</v>
      </c>
      <c r="N2965" s="283" t="s">
        <v>721</v>
      </c>
    </row>
    <row r="2966" spans="1:14" s="32" customFormat="1" ht="14.25" customHeight="1">
      <c r="A2966" s="3" t="s">
        <v>3862</v>
      </c>
      <c r="B2966" s="36" t="s">
        <v>480</v>
      </c>
      <c r="C2966" s="10">
        <v>4052899077904</v>
      </c>
      <c r="D2966" s="10"/>
      <c r="E2966" s="239"/>
      <c r="F2966" s="216"/>
      <c r="G2966" s="66" t="str">
        <f>HYPERLINK("https://ledvance.com/pt/product-datasheet/7689/130019","Ficha de Produto")</f>
        <v>Ficha de Produto</v>
      </c>
      <c r="H2966" s="34">
        <v>20</v>
      </c>
      <c r="I2966" s="217" t="s">
        <v>1201</v>
      </c>
      <c r="J2966" s="217" t="s">
        <v>1201</v>
      </c>
      <c r="K2966" s="217" t="s">
        <v>1201</v>
      </c>
      <c r="L2966" s="34" t="s">
        <v>800</v>
      </c>
      <c r="M2966" s="30">
        <v>7.5</v>
      </c>
      <c r="N2966" s="283" t="s">
        <v>721</v>
      </c>
    </row>
    <row r="2967" spans="1:14" ht="14.25" customHeight="1">
      <c r="A2967" s="3" t="s">
        <v>702</v>
      </c>
      <c r="B2967" s="2" t="s">
        <v>481</v>
      </c>
      <c r="C2967" s="259">
        <v>4052899167896</v>
      </c>
      <c r="D2967" s="259"/>
      <c r="E2967" s="257"/>
      <c r="F2967" s="260"/>
      <c r="G2967" s="66" t="str">
        <f>HYPERLINK("https://ledvance.com/pt/product-datasheet/7689/139371","Ficha de Produto")</f>
        <v>Ficha de Produto</v>
      </c>
      <c r="H2967" s="4">
        <v>20</v>
      </c>
      <c r="I2967" s="217" t="s">
        <v>1201</v>
      </c>
      <c r="J2967" s="217" t="s">
        <v>1201</v>
      </c>
      <c r="K2967" s="217" t="s">
        <v>1201</v>
      </c>
      <c r="L2967" s="34" t="s">
        <v>800</v>
      </c>
      <c r="M2967" s="30">
        <v>3.1</v>
      </c>
      <c r="N2967" s="283" t="s">
        <v>721</v>
      </c>
    </row>
    <row r="2968" spans="1:14" s="32" customFormat="1" ht="14.25" customHeight="1">
      <c r="A2968" s="3" t="s">
        <v>3862</v>
      </c>
      <c r="B2968" s="36" t="s">
        <v>482</v>
      </c>
      <c r="C2968" s="10">
        <v>4052899325555</v>
      </c>
      <c r="D2968" s="10"/>
      <c r="E2968" s="239"/>
      <c r="F2968" s="216"/>
      <c r="G2968" s="66" t="str">
        <f>HYPERLINK("https://ledvance.com/pt/product-datasheet/7689/134696","Ficha de Produto")</f>
        <v>Ficha de Produto</v>
      </c>
      <c r="H2968" s="34">
        <v>20</v>
      </c>
      <c r="I2968" s="217" t="s">
        <v>1201</v>
      </c>
      <c r="J2968" s="217" t="s">
        <v>1201</v>
      </c>
      <c r="K2968" s="34" t="s">
        <v>788</v>
      </c>
      <c r="L2968" s="34" t="s">
        <v>800</v>
      </c>
      <c r="M2968" s="30">
        <v>3.1</v>
      </c>
      <c r="N2968" s="283" t="s">
        <v>721</v>
      </c>
    </row>
    <row r="2969" spans="1:14" s="32" customFormat="1" ht="14.25" customHeight="1">
      <c r="A2969" s="3" t="s">
        <v>3862</v>
      </c>
      <c r="B2969" s="36" t="s">
        <v>483</v>
      </c>
      <c r="C2969" s="10">
        <v>4052899325982</v>
      </c>
      <c r="D2969" s="10"/>
      <c r="E2969" s="239"/>
      <c r="F2969" s="216"/>
      <c r="G2969" s="66" t="str">
        <f>HYPERLINK("https://ledvance.com/pt/product-datasheet/7689/125340","Ficha de Produto")</f>
        <v>Ficha de Produto</v>
      </c>
      <c r="H2969" s="34">
        <v>20</v>
      </c>
      <c r="I2969" s="217" t="s">
        <v>1201</v>
      </c>
      <c r="J2969" s="217" t="s">
        <v>1201</v>
      </c>
      <c r="K2969" s="34" t="s">
        <v>788</v>
      </c>
      <c r="L2969" s="34" t="s">
        <v>800</v>
      </c>
      <c r="M2969" s="30">
        <v>9.5</v>
      </c>
      <c r="N2969" s="283" t="s">
        <v>721</v>
      </c>
    </row>
    <row r="2970" spans="1:14" s="32" customFormat="1" ht="14.25" customHeight="1">
      <c r="A2970" s="3" t="s">
        <v>3862</v>
      </c>
      <c r="B2970" s="36" t="s">
        <v>484</v>
      </c>
      <c r="C2970" s="10">
        <v>4052899948051</v>
      </c>
      <c r="D2970" s="10"/>
      <c r="E2970" s="239"/>
      <c r="F2970" s="216"/>
      <c r="G2970" s="66" t="str">
        <f>HYPERLINK("https://ledvance.com/pt/product-datasheet/7689/126646","Ficha de Produto")</f>
        <v>Ficha de Produto</v>
      </c>
      <c r="H2970" s="34">
        <v>20</v>
      </c>
      <c r="I2970" s="217" t="s">
        <v>1201</v>
      </c>
      <c r="J2970" s="217" t="s">
        <v>1201</v>
      </c>
      <c r="K2970" s="34" t="s">
        <v>788</v>
      </c>
      <c r="L2970" s="34" t="s">
        <v>800</v>
      </c>
      <c r="M2970" s="30">
        <v>9.5</v>
      </c>
      <c r="N2970" s="283" t="s">
        <v>721</v>
      </c>
    </row>
    <row r="2971" spans="1:14" s="32" customFormat="1" ht="14.25" customHeight="1">
      <c r="A2971" s="3" t="s">
        <v>3862</v>
      </c>
      <c r="B2971" s="36" t="s">
        <v>485</v>
      </c>
      <c r="C2971" s="10">
        <v>4052899530997</v>
      </c>
      <c r="D2971" s="10"/>
      <c r="E2971" s="239"/>
      <c r="F2971" s="216"/>
      <c r="G2971" s="66" t="str">
        <f>HYPERLINK("https://ledvance.com/pt/product-datasheet/7689/130657","Ficha de Produto")</f>
        <v>Ficha de Produto</v>
      </c>
      <c r="H2971" s="34">
        <v>20</v>
      </c>
      <c r="I2971" s="217" t="s">
        <v>1201</v>
      </c>
      <c r="J2971" s="217" t="s">
        <v>1201</v>
      </c>
      <c r="K2971" s="217" t="s">
        <v>1201</v>
      </c>
      <c r="L2971" s="34" t="s">
        <v>800</v>
      </c>
      <c r="M2971" s="30">
        <v>9.5</v>
      </c>
      <c r="N2971" s="283" t="s">
        <v>721</v>
      </c>
    </row>
    <row r="2972" spans="1:14" s="32" customFormat="1" ht="14.25" customHeight="1">
      <c r="A2972" s="3" t="s">
        <v>3862</v>
      </c>
      <c r="B2972" s="36" t="s">
        <v>486</v>
      </c>
      <c r="C2972" s="10">
        <v>4062172046732</v>
      </c>
      <c r="D2972" s="10"/>
      <c r="E2972" s="239"/>
      <c r="F2972" s="216"/>
      <c r="G2972" s="66" t="str">
        <f>HYPERLINK("https://ledvance.com/pt/product-datasheet/7689/133802","Ficha de Produto")</f>
        <v>Ficha de Produto</v>
      </c>
      <c r="H2972" s="34">
        <v>100</v>
      </c>
      <c r="I2972" s="217" t="s">
        <v>1201</v>
      </c>
      <c r="J2972" s="217" t="s">
        <v>1201</v>
      </c>
      <c r="K2972" s="34" t="s">
        <v>788</v>
      </c>
      <c r="L2972" s="34" t="s">
        <v>800</v>
      </c>
      <c r="M2972" s="30">
        <v>9.5</v>
      </c>
      <c r="N2972" s="283" t="s">
        <v>721</v>
      </c>
    </row>
    <row r="2973" spans="1:14" s="32" customFormat="1" ht="14.25" customHeight="1">
      <c r="A2973" s="8" t="s">
        <v>702</v>
      </c>
      <c r="B2973" s="276" t="s">
        <v>4145</v>
      </c>
      <c r="C2973" s="7"/>
      <c r="D2973" s="7"/>
      <c r="E2973" s="7"/>
      <c r="F2973" s="7"/>
      <c r="G2973" s="68"/>
      <c r="H2973" s="7"/>
      <c r="I2973" s="7"/>
      <c r="J2973" s="7"/>
      <c r="K2973" s="7"/>
      <c r="L2973" s="7"/>
      <c r="M2973" s="248"/>
      <c r="N2973" s="284"/>
    </row>
    <row r="2974" spans="1:14" ht="14.25" customHeight="1">
      <c r="A2974" s="3" t="s">
        <v>702</v>
      </c>
      <c r="B2974" s="274" t="s">
        <v>4146</v>
      </c>
      <c r="C2974" s="10">
        <v>4052899222571</v>
      </c>
      <c r="D2974" s="259"/>
      <c r="E2974" s="257"/>
      <c r="F2974" s="261"/>
      <c r="G2974" s="66" t="str">
        <f>HYPERLINK("https://ledvance.com/pt/product-datasheet/7599/126620","Ficha de Produto")</f>
        <v>Ficha de Produto</v>
      </c>
      <c r="H2974" s="4">
        <v>20</v>
      </c>
      <c r="I2974" s="217" t="s">
        <v>1201</v>
      </c>
      <c r="J2974" s="34" t="s">
        <v>6164</v>
      </c>
      <c r="K2974" s="34" t="s">
        <v>788</v>
      </c>
      <c r="L2974" s="34" t="s">
        <v>800</v>
      </c>
      <c r="M2974" s="30">
        <v>24.400000000000002</v>
      </c>
      <c r="N2974" s="299" t="s">
        <v>721</v>
      </c>
    </row>
    <row r="2975" spans="1:14" ht="14.25" customHeight="1">
      <c r="A2975" s="3" t="s">
        <v>702</v>
      </c>
      <c r="B2975" s="274" t="s">
        <v>4147</v>
      </c>
      <c r="C2975" s="10">
        <v>4052899522558</v>
      </c>
      <c r="D2975" s="259"/>
      <c r="E2975" s="257"/>
      <c r="F2975" s="261"/>
      <c r="G2975" s="66" t="str">
        <f>HYPERLINK("https://ledvance.com/pt/product-datasheet/7598/127144","Ficha de Produto")</f>
        <v>Ficha de Produto</v>
      </c>
      <c r="H2975" s="4">
        <v>20</v>
      </c>
      <c r="I2975" s="217" t="s">
        <v>1201</v>
      </c>
      <c r="J2975" s="34" t="s">
        <v>6195</v>
      </c>
      <c r="K2975" s="34" t="s">
        <v>788</v>
      </c>
      <c r="L2975" s="34" t="s">
        <v>800</v>
      </c>
      <c r="M2975" s="30">
        <v>39.700000000000003</v>
      </c>
      <c r="N2975" s="299" t="s">
        <v>721</v>
      </c>
    </row>
    <row r="2976" spans="1:14" ht="14.25" customHeight="1">
      <c r="A2976" s="3" t="s">
        <v>702</v>
      </c>
      <c r="B2976" s="274" t="s">
        <v>4148</v>
      </c>
      <c r="C2976" s="10">
        <v>4052899522572</v>
      </c>
      <c r="D2976" s="259"/>
      <c r="E2976" s="257"/>
      <c r="F2976" s="261"/>
      <c r="G2976" s="66" t="str">
        <f>HYPERLINK("https://ledvance.com/pt/product-datasheet/7598/127147","Ficha de Produto")</f>
        <v>Ficha de Produto</v>
      </c>
      <c r="H2976" s="4">
        <v>20</v>
      </c>
      <c r="I2976" s="217" t="s">
        <v>1201</v>
      </c>
      <c r="J2976" s="34" t="s">
        <v>6198</v>
      </c>
      <c r="K2976" s="34" t="s">
        <v>788</v>
      </c>
      <c r="L2976" s="34" t="s">
        <v>800</v>
      </c>
      <c r="M2976" s="30">
        <v>46.2</v>
      </c>
      <c r="N2976" s="299" t="s">
        <v>721</v>
      </c>
    </row>
    <row r="2977" spans="1:14" ht="14.25" customHeight="1">
      <c r="A2977" s="3" t="s">
        <v>702</v>
      </c>
      <c r="B2977" s="274" t="s">
        <v>4149</v>
      </c>
      <c r="C2977" s="10">
        <v>4052899999565</v>
      </c>
      <c r="D2977" s="259"/>
      <c r="E2977" s="257"/>
      <c r="F2977" s="261"/>
      <c r="G2977" s="66" t="str">
        <f>HYPERLINK("https://ledvance.com/pt/product-datasheet/195854/133767","Ficha de Produto")</f>
        <v>Ficha de Produto</v>
      </c>
      <c r="H2977" s="4">
        <v>20</v>
      </c>
      <c r="I2977" s="217" t="s">
        <v>1201</v>
      </c>
      <c r="J2977" s="34" t="s">
        <v>6497</v>
      </c>
      <c r="K2977" s="34" t="s">
        <v>788</v>
      </c>
      <c r="L2977" s="34" t="s">
        <v>800</v>
      </c>
      <c r="M2977" s="30">
        <v>44.5</v>
      </c>
      <c r="N2977" s="299" t="s">
        <v>721</v>
      </c>
    </row>
    <row r="2978" spans="1:14" ht="14.25" customHeight="1">
      <c r="A2978" s="3" t="s">
        <v>702</v>
      </c>
      <c r="B2978" s="274" t="s">
        <v>4150</v>
      </c>
      <c r="C2978" s="10">
        <v>4052899497900</v>
      </c>
      <c r="D2978" s="259"/>
      <c r="E2978" s="257"/>
      <c r="F2978" s="261"/>
      <c r="G2978" s="66" t="str">
        <f>HYPERLINK("https://ledvance.com/pt/product-datasheet/7597/127288","Ficha de Produto")</f>
        <v>Ficha de Produto</v>
      </c>
      <c r="H2978" s="4">
        <v>20</v>
      </c>
      <c r="I2978" s="217" t="s">
        <v>1201</v>
      </c>
      <c r="J2978" s="34" t="s">
        <v>6233</v>
      </c>
      <c r="K2978" s="34" t="s">
        <v>788</v>
      </c>
      <c r="L2978" s="34" t="s">
        <v>800</v>
      </c>
      <c r="M2978" s="30">
        <v>42.6</v>
      </c>
      <c r="N2978" s="299" t="s">
        <v>721</v>
      </c>
    </row>
    <row r="2979" spans="1:14" s="32" customFormat="1" ht="14.25" customHeight="1">
      <c r="A2979" s="8" t="s">
        <v>702</v>
      </c>
      <c r="B2979" s="276" t="s">
        <v>4122</v>
      </c>
      <c r="C2979" s="7"/>
      <c r="D2979" s="7"/>
      <c r="E2979" s="7"/>
      <c r="F2979" s="7"/>
      <c r="G2979" s="68"/>
      <c r="H2979" s="7"/>
      <c r="I2979" s="7"/>
      <c r="J2979" s="7"/>
      <c r="K2979" s="7"/>
      <c r="L2979" s="7"/>
      <c r="M2979" s="248"/>
      <c r="N2979" s="284"/>
    </row>
    <row r="2980" spans="1:14" ht="14.25" customHeight="1">
      <c r="A2980" s="3" t="s">
        <v>702</v>
      </c>
      <c r="B2980" s="274" t="s">
        <v>4144</v>
      </c>
      <c r="C2980" s="10">
        <v>4062172250269</v>
      </c>
      <c r="D2980" s="259"/>
      <c r="E2980" s="257"/>
      <c r="F2980" s="261"/>
      <c r="G2980" s="66" t="str">
        <f>HYPERLINK("https://ledvance.com/pt/product-datasheet/201262/180601","Ficha de Produto")</f>
        <v>Ficha de Produto</v>
      </c>
      <c r="H2980" s="4">
        <v>20</v>
      </c>
      <c r="I2980" s="34"/>
      <c r="J2980" s="34" t="s">
        <v>6139</v>
      </c>
      <c r="K2980" s="34" t="s">
        <v>788</v>
      </c>
      <c r="L2980" s="34" t="s">
        <v>800</v>
      </c>
      <c r="M2980" s="30">
        <v>68.099999999999994</v>
      </c>
      <c r="N2980" s="299" t="s">
        <v>721</v>
      </c>
    </row>
    <row r="2981" spans="1:14" ht="14.25" customHeight="1">
      <c r="A2981" s="3" t="s">
        <v>702</v>
      </c>
      <c r="B2981" s="274" t="s">
        <v>4144</v>
      </c>
      <c r="C2981" s="10">
        <v>4062172143899</v>
      </c>
      <c r="D2981" s="259"/>
      <c r="E2981" s="257"/>
      <c r="F2981" s="261"/>
      <c r="G2981" s="66" t="str">
        <f>HYPERLINK("https://ledvance.com/pt/product-datasheet/201262/137299","Ficha de Produto")</f>
        <v>Ficha de Produto</v>
      </c>
      <c r="H2981" s="4">
        <v>20</v>
      </c>
      <c r="I2981" s="34"/>
      <c r="J2981" s="34" t="s">
        <v>6139</v>
      </c>
      <c r="K2981" s="34" t="s">
        <v>788</v>
      </c>
      <c r="L2981" s="34" t="s">
        <v>800</v>
      </c>
      <c r="M2981" s="30">
        <v>67.8</v>
      </c>
      <c r="N2981" s="299" t="s">
        <v>721</v>
      </c>
    </row>
    <row r="2982" spans="1:14" ht="14.25" customHeight="1">
      <c r="A2982" s="3" t="s">
        <v>702</v>
      </c>
      <c r="B2982" s="274" t="s">
        <v>4151</v>
      </c>
      <c r="C2982" s="10">
        <v>4062172143912</v>
      </c>
      <c r="D2982" s="259"/>
      <c r="E2982" s="257"/>
      <c r="F2982" s="261"/>
      <c r="G2982" s="66" t="str">
        <f>HYPERLINK("https://ledvance.com/pt/product-datasheet/7635/194659","Ficha de Produto")</f>
        <v>Ficha de Produto</v>
      </c>
      <c r="H2982" s="4">
        <v>20</v>
      </c>
      <c r="I2982" s="34"/>
      <c r="J2982" s="34" t="s">
        <v>6115</v>
      </c>
      <c r="K2982" s="34" t="s">
        <v>788</v>
      </c>
      <c r="L2982" s="34" t="s">
        <v>800</v>
      </c>
      <c r="M2982" s="30">
        <v>57.7</v>
      </c>
      <c r="N2982" s="299" t="s">
        <v>721</v>
      </c>
    </row>
    <row r="2983" spans="1:14" ht="14.25" customHeight="1">
      <c r="A2983" s="3" t="s">
        <v>702</v>
      </c>
      <c r="B2983" s="274" t="s">
        <v>4152</v>
      </c>
      <c r="C2983" s="10">
        <v>4052899488144</v>
      </c>
      <c r="D2983" s="259"/>
      <c r="E2983" s="257"/>
      <c r="F2983" s="261"/>
      <c r="G2983" s="66" t="str">
        <f>HYPERLINK("https://ledvance.com/pt/product-datasheet/7635/125297","Ficha de Produto")</f>
        <v>Ficha de Produto</v>
      </c>
      <c r="H2983" s="4">
        <v>20</v>
      </c>
      <c r="I2983" s="34"/>
      <c r="J2983" s="34" t="s">
        <v>6498</v>
      </c>
      <c r="K2983" s="34" t="s">
        <v>788</v>
      </c>
      <c r="L2983" s="34" t="s">
        <v>800</v>
      </c>
      <c r="M2983" s="30">
        <v>69.3</v>
      </c>
      <c r="N2983" s="299" t="s">
        <v>721</v>
      </c>
    </row>
    <row r="2984" spans="1:14" ht="14.25" customHeight="1">
      <c r="A2984" s="3" t="s">
        <v>702</v>
      </c>
      <c r="B2984" s="274" t="s">
        <v>4153</v>
      </c>
      <c r="C2984" s="10">
        <v>4052899551763</v>
      </c>
      <c r="D2984" s="259"/>
      <c r="E2984" s="257"/>
      <c r="F2984" s="261"/>
      <c r="G2984" s="66" t="str">
        <f>HYPERLINK("https://ledvance.com/pt/product-datasheet/7627/129738","Ficha de Produto")</f>
        <v>Ficha de Produto</v>
      </c>
      <c r="H2984" s="4">
        <v>20</v>
      </c>
      <c r="I2984" s="34"/>
      <c r="J2984" s="34" t="s">
        <v>6122</v>
      </c>
      <c r="K2984" s="34" t="s">
        <v>788</v>
      </c>
      <c r="L2984" s="34" t="s">
        <v>800</v>
      </c>
      <c r="M2984" s="30">
        <v>86.1</v>
      </c>
      <c r="N2984" s="299" t="s">
        <v>721</v>
      </c>
    </row>
    <row r="2985" spans="1:14" s="32" customFormat="1" ht="14.25" customHeight="1">
      <c r="A2985" s="3" t="s">
        <v>702</v>
      </c>
      <c r="B2985" s="274" t="s">
        <v>4120</v>
      </c>
      <c r="C2985" s="10">
        <v>4062172074964</v>
      </c>
      <c r="D2985" s="10"/>
      <c r="E2985" s="10"/>
      <c r="F2985" s="222" t="s">
        <v>2019</v>
      </c>
      <c r="G2985" s="66" t="str">
        <f>HYPERLINK("https://ledvance.com/pt/product-datasheet/230446/230034","Ficha de Produto")</f>
        <v>Ficha de Produto</v>
      </c>
      <c r="H2985" s="4">
        <v>20</v>
      </c>
      <c r="I2985" s="34"/>
      <c r="J2985" s="34" t="s">
        <v>6243</v>
      </c>
      <c r="K2985" s="34" t="s">
        <v>788</v>
      </c>
      <c r="L2985" s="34" t="s">
        <v>800</v>
      </c>
      <c r="M2985" s="30">
        <v>48.800000000000004</v>
      </c>
      <c r="N2985" s="283" t="s">
        <v>721</v>
      </c>
    </row>
    <row r="2986" spans="1:14" s="32" customFormat="1" ht="14.25" customHeight="1">
      <c r="A2986" s="3" t="s">
        <v>702</v>
      </c>
      <c r="B2986" s="274" t="s">
        <v>4121</v>
      </c>
      <c r="C2986" s="10">
        <v>4052899488168</v>
      </c>
      <c r="D2986" s="10"/>
      <c r="E2986" s="10"/>
      <c r="F2986" s="222" t="s">
        <v>2019</v>
      </c>
      <c r="G2986" s="66" t="str">
        <f>HYPERLINK("https://ledvance.com/pt/product-datasheet/7635/125301","Ficha de Produto")</f>
        <v>Ficha de Produto</v>
      </c>
      <c r="H2986" s="4">
        <v>20</v>
      </c>
      <c r="I2986" s="34"/>
      <c r="J2986" s="34" t="s">
        <v>6122</v>
      </c>
      <c r="K2986" s="34" t="s">
        <v>788</v>
      </c>
      <c r="L2986" s="34" t="s">
        <v>800</v>
      </c>
      <c r="M2986" s="30">
        <v>75</v>
      </c>
      <c r="N2986" s="283" t="s">
        <v>721</v>
      </c>
    </row>
    <row r="2987" spans="1:14" ht="14.25" customHeight="1">
      <c r="A2987" s="3" t="s">
        <v>702</v>
      </c>
      <c r="B2987" s="274" t="s">
        <v>4154</v>
      </c>
      <c r="C2987" s="10">
        <v>4062172017923</v>
      </c>
      <c r="D2987" s="259"/>
      <c r="E2987" s="257"/>
      <c r="F2987" s="261"/>
      <c r="G2987" s="66" t="str">
        <f>HYPERLINK("https://ledvance.com/pt/product-datasheet/7618/138232","Ficha de Produto")</f>
        <v>Ficha de Produto</v>
      </c>
      <c r="H2987" s="4">
        <v>20</v>
      </c>
      <c r="I2987" s="34"/>
      <c r="J2987" s="34" t="s">
        <v>6122</v>
      </c>
      <c r="K2987" s="34" t="s">
        <v>788</v>
      </c>
      <c r="L2987" s="34" t="s">
        <v>800</v>
      </c>
      <c r="M2987" s="30">
        <v>82</v>
      </c>
      <c r="N2987" s="299" t="s">
        <v>721</v>
      </c>
    </row>
    <row r="2988" spans="1:14" ht="14.25" customHeight="1">
      <c r="A2988" s="3" t="s">
        <v>702</v>
      </c>
      <c r="B2988" s="274" t="s">
        <v>4156</v>
      </c>
      <c r="C2988" s="10">
        <v>4052899488182</v>
      </c>
      <c r="D2988" s="259"/>
      <c r="E2988" s="257"/>
      <c r="F2988" s="261"/>
      <c r="G2988" s="66" t="str">
        <f>HYPERLINK("https://ledvance.com/pt/product-datasheet/7635/125305","Ficha de Produto")</f>
        <v>Ficha de Produto</v>
      </c>
      <c r="H2988" s="4">
        <v>20</v>
      </c>
      <c r="I2988" s="34"/>
      <c r="J2988" s="34" t="s">
        <v>6171</v>
      </c>
      <c r="K2988" s="34" t="s">
        <v>788</v>
      </c>
      <c r="L2988" s="34" t="s">
        <v>800</v>
      </c>
      <c r="M2988" s="30">
        <v>82.5</v>
      </c>
      <c r="N2988" s="299" t="s">
        <v>721</v>
      </c>
    </row>
    <row r="2989" spans="1:14" ht="14.25" customHeight="1">
      <c r="A2989" s="3" t="s">
        <v>702</v>
      </c>
      <c r="B2989" s="274" t="s">
        <v>4155</v>
      </c>
      <c r="C2989" s="10">
        <v>4052899028074</v>
      </c>
      <c r="D2989" s="259"/>
      <c r="E2989" s="257"/>
      <c r="F2989" s="261"/>
      <c r="G2989" s="66" t="str">
        <f>HYPERLINK("https://ledvance.com/pt/product-datasheet/7627/134708","Ficha de Produto")</f>
        <v>Ficha de Produto</v>
      </c>
      <c r="H2989" s="4">
        <v>20</v>
      </c>
      <c r="I2989" s="34"/>
      <c r="J2989" s="34" t="s">
        <v>6216</v>
      </c>
      <c r="K2989" s="34" t="s">
        <v>788</v>
      </c>
      <c r="L2989" s="34" t="s">
        <v>800</v>
      </c>
      <c r="M2989" s="30">
        <v>104.6</v>
      </c>
      <c r="N2989" s="299" t="s">
        <v>721</v>
      </c>
    </row>
    <row r="2990" spans="1:14" ht="14.25" customHeight="1">
      <c r="A2990" s="3" t="s">
        <v>702</v>
      </c>
      <c r="B2990" s="274" t="s">
        <v>4157</v>
      </c>
      <c r="C2990" s="10">
        <v>4052899028050</v>
      </c>
      <c r="D2990" s="259"/>
      <c r="E2990" s="257"/>
      <c r="F2990" s="261"/>
      <c r="G2990" s="66" t="str">
        <f>HYPERLINK("https://ledvance.com/pt/product-datasheet/7627/30941","Ficha de Produto")</f>
        <v>Ficha de Produto</v>
      </c>
      <c r="H2990" s="4">
        <v>20</v>
      </c>
      <c r="I2990" s="34"/>
      <c r="J2990" s="34" t="s">
        <v>6197</v>
      </c>
      <c r="K2990" s="34" t="s">
        <v>788</v>
      </c>
      <c r="L2990" s="34" t="s">
        <v>800</v>
      </c>
      <c r="M2990" s="30">
        <v>107.5</v>
      </c>
      <c r="N2990" s="299" t="s">
        <v>721</v>
      </c>
    </row>
    <row r="2991" spans="1:14" ht="14.25" customHeight="1">
      <c r="A2991" s="3" t="s">
        <v>702</v>
      </c>
      <c r="B2991" s="274" t="s">
        <v>4158</v>
      </c>
      <c r="C2991" s="10">
        <v>4052899494244</v>
      </c>
      <c r="D2991" s="259"/>
      <c r="E2991" s="257"/>
      <c r="F2991" s="261"/>
      <c r="G2991" s="66" t="str">
        <f>HYPERLINK("https://ledvance.com/pt/product-datasheet/201259/127133","Ficha de Produto")</f>
        <v>Ficha de Produto</v>
      </c>
      <c r="H2991" s="4">
        <v>20</v>
      </c>
      <c r="I2991" s="34"/>
      <c r="J2991" s="34" t="s">
        <v>6216</v>
      </c>
      <c r="K2991" s="34" t="s">
        <v>788</v>
      </c>
      <c r="L2991" s="34" t="s">
        <v>800</v>
      </c>
      <c r="M2991" s="30">
        <v>100.5</v>
      </c>
      <c r="N2991" s="299" t="s">
        <v>721</v>
      </c>
    </row>
    <row r="2992" spans="1:14" s="32" customFormat="1" ht="14.25" customHeight="1">
      <c r="A2992" s="8" t="s">
        <v>702</v>
      </c>
      <c r="B2992" s="276" t="s">
        <v>748</v>
      </c>
      <c r="C2992" s="7"/>
      <c r="D2992" s="7"/>
      <c r="E2992" s="7"/>
      <c r="F2992" s="7"/>
      <c r="G2992" s="68"/>
      <c r="H2992" s="7"/>
      <c r="I2992" s="7"/>
      <c r="J2992" s="7"/>
      <c r="K2992" s="7"/>
      <c r="L2992" s="7"/>
      <c r="M2992" s="248"/>
      <c r="N2992" s="284"/>
    </row>
    <row r="2993" spans="1:14" ht="14.25" customHeight="1">
      <c r="A2993" s="3" t="s">
        <v>702</v>
      </c>
      <c r="B2993" s="2" t="s">
        <v>487</v>
      </c>
      <c r="C2993" s="259">
        <v>4052899039551</v>
      </c>
      <c r="D2993" s="259"/>
      <c r="E2993" s="257"/>
      <c r="F2993" s="260"/>
      <c r="G2993" s="66" t="str">
        <f>HYPERLINK("https://ledvance.com/pt/product-datasheet/7732/125026","Ficha de Produto")</f>
        <v>Ficha de Produto</v>
      </c>
      <c r="H2993" s="4">
        <v>1</v>
      </c>
      <c r="I2993" s="34"/>
      <c r="J2993" s="34" t="s">
        <v>6499</v>
      </c>
      <c r="K2993" s="34" t="s">
        <v>788</v>
      </c>
      <c r="L2993" s="34" t="s">
        <v>800</v>
      </c>
      <c r="M2993" s="30">
        <v>787.5</v>
      </c>
      <c r="N2993" s="283" t="s">
        <v>721</v>
      </c>
    </row>
    <row r="2994" spans="1:14" s="32" customFormat="1" ht="14.25" customHeight="1">
      <c r="A2994" s="3" t="s">
        <v>702</v>
      </c>
      <c r="B2994" s="36" t="s">
        <v>488</v>
      </c>
      <c r="C2994" s="10">
        <v>4052899209640</v>
      </c>
      <c r="D2994" s="10"/>
      <c r="E2994" s="239"/>
      <c r="F2994" s="216"/>
      <c r="G2994" s="66" t="str">
        <f>HYPERLINK("https://ledvance.com/pt/product-datasheet/7722/136675","Ficha de Produto")</f>
        <v>Ficha de Produto</v>
      </c>
      <c r="H2994" s="34">
        <v>1</v>
      </c>
      <c r="I2994" s="34"/>
      <c r="J2994" s="34"/>
      <c r="K2994" s="34" t="s">
        <v>788</v>
      </c>
      <c r="L2994" s="34" t="s">
        <v>800</v>
      </c>
      <c r="M2994" s="30">
        <v>1050</v>
      </c>
      <c r="N2994" s="283" t="s">
        <v>721</v>
      </c>
    </row>
    <row r="2995" spans="1:14" s="32" customFormat="1" ht="14.25" customHeight="1">
      <c r="A2995" s="3" t="s">
        <v>702</v>
      </c>
      <c r="B2995" s="36" t="s">
        <v>489</v>
      </c>
      <c r="C2995" s="10">
        <v>4006584548019</v>
      </c>
      <c r="D2995" s="10"/>
      <c r="E2995" s="239"/>
      <c r="F2995" s="216"/>
      <c r="G2995" s="66" t="str">
        <f>HYPERLINK("https://ledvance.com/pt/product-datasheet/7693/126424","Ficha de Produto")</f>
        <v>Ficha de Produto</v>
      </c>
      <c r="H2995" s="34">
        <v>1</v>
      </c>
      <c r="I2995" s="34"/>
      <c r="J2995" s="34" t="s">
        <v>1106</v>
      </c>
      <c r="K2995" s="34"/>
      <c r="L2995" s="34" t="s">
        <v>800</v>
      </c>
      <c r="M2995" s="30">
        <v>99.3</v>
      </c>
      <c r="N2995" s="283" t="s">
        <v>721</v>
      </c>
    </row>
    <row r="2996" spans="1:14" s="32" customFormat="1" ht="14.25" customHeight="1">
      <c r="A2996" s="3" t="s">
        <v>702</v>
      </c>
      <c r="B2996" s="36" t="s">
        <v>490</v>
      </c>
      <c r="C2996" s="10">
        <v>4055462290281</v>
      </c>
      <c r="D2996" s="10"/>
      <c r="E2996" s="239"/>
      <c r="F2996" s="216"/>
      <c r="G2996" s="66" t="str">
        <f>HYPERLINK("https://ledvance.com/pt/product-datasheet/7721/130420","Ficha de Produto")</f>
        <v>Ficha de Produto</v>
      </c>
      <c r="H2996" s="34">
        <v>1</v>
      </c>
      <c r="I2996" s="34"/>
      <c r="J2996" s="34"/>
      <c r="K2996" s="34" t="s">
        <v>6293</v>
      </c>
      <c r="L2996" s="34" t="s">
        <v>800</v>
      </c>
      <c r="M2996" s="30">
        <v>1757.5</v>
      </c>
      <c r="N2996" s="283" t="s">
        <v>721</v>
      </c>
    </row>
    <row r="2997" spans="1:14" s="32" customFormat="1" ht="14.25" customHeight="1">
      <c r="A2997" s="8" t="s">
        <v>754</v>
      </c>
      <c r="B2997" s="276" t="s">
        <v>755</v>
      </c>
      <c r="C2997" s="7"/>
      <c r="D2997" s="7"/>
      <c r="E2997" s="7"/>
      <c r="F2997" s="7"/>
      <c r="G2997" s="68"/>
      <c r="H2997" s="7"/>
      <c r="I2997" s="7"/>
      <c r="J2997" s="7"/>
      <c r="K2997" s="7"/>
      <c r="L2997" s="7"/>
      <c r="M2997" s="248"/>
      <c r="N2997" s="284"/>
    </row>
    <row r="2998" spans="1:14" s="32" customFormat="1" ht="14.25" customHeight="1">
      <c r="A2998" s="3" t="s">
        <v>754</v>
      </c>
      <c r="B2998" s="36" t="s">
        <v>595</v>
      </c>
      <c r="C2998" s="10">
        <v>4052899955622</v>
      </c>
      <c r="D2998" s="10"/>
      <c r="E2998" s="239"/>
      <c r="F2998" s="216"/>
      <c r="G2998" s="66" t="str">
        <f>HYPERLINK("https://ledvance.com/pt/product-datasheet/7929/126707","Ficha de Produto")</f>
        <v>Ficha de Produto</v>
      </c>
      <c r="H2998" s="34">
        <v>60</v>
      </c>
      <c r="I2998" s="34"/>
      <c r="J2998" s="34" t="s">
        <v>6500</v>
      </c>
      <c r="K2998" s="34" t="s">
        <v>788</v>
      </c>
      <c r="L2998" s="34" t="s">
        <v>800</v>
      </c>
      <c r="M2998" s="30">
        <v>187.2</v>
      </c>
      <c r="N2998" s="299" t="s">
        <v>721</v>
      </c>
    </row>
    <row r="2999" spans="1:14" s="32" customFormat="1" ht="14.25" customHeight="1">
      <c r="A2999" s="3" t="s">
        <v>754</v>
      </c>
      <c r="B2999" s="274" t="s">
        <v>4114</v>
      </c>
      <c r="C2999" s="10">
        <v>4052899631625</v>
      </c>
      <c r="D2999" s="10"/>
      <c r="E2999" s="10"/>
      <c r="F2999" s="222" t="s">
        <v>2019</v>
      </c>
      <c r="G2999" s="66" t="str">
        <f>HYPERLINK("https://ledvance.com/pt/product-datasheet/262494/261437","Ficha de Produto")</f>
        <v>Ficha de Produto</v>
      </c>
      <c r="H2999" s="34">
        <v>24</v>
      </c>
      <c r="I2999" s="34"/>
      <c r="J2999" s="34" t="s">
        <v>6500</v>
      </c>
      <c r="K2999" s="34" t="s">
        <v>788</v>
      </c>
      <c r="L2999" s="34" t="s">
        <v>800</v>
      </c>
      <c r="M2999" s="30">
        <v>173.4</v>
      </c>
      <c r="N2999" s="300" t="s">
        <v>721</v>
      </c>
    </row>
    <row r="3000" spans="1:14" s="32" customFormat="1" ht="14.25" customHeight="1">
      <c r="A3000" s="3" t="s">
        <v>754</v>
      </c>
      <c r="B3000" s="36" t="s">
        <v>1237</v>
      </c>
      <c r="C3000" s="10">
        <v>4062172224642</v>
      </c>
      <c r="D3000" s="10"/>
      <c r="E3000" s="239"/>
      <c r="F3000" s="214"/>
      <c r="G3000" s="66" t="str">
        <f>HYPERLINK("https://ledvance.com/pt/product-datasheet/7932/194091","Ficha de Produto")</f>
        <v>Ficha de Produto</v>
      </c>
      <c r="H3000" s="34">
        <v>100</v>
      </c>
      <c r="I3000" s="34"/>
      <c r="J3000" s="34"/>
      <c r="K3000" s="34" t="s">
        <v>788</v>
      </c>
      <c r="L3000" s="34" t="s">
        <v>800</v>
      </c>
      <c r="M3000" s="30">
        <v>76.599999999999994</v>
      </c>
      <c r="N3000" s="299" t="s">
        <v>721</v>
      </c>
    </row>
    <row r="3001" spans="1:14" s="32" customFormat="1" ht="14.25" customHeight="1">
      <c r="A3001" s="3" t="s">
        <v>754</v>
      </c>
      <c r="B3001" s="36" t="s">
        <v>1236</v>
      </c>
      <c r="C3001" s="10">
        <v>4062172224673</v>
      </c>
      <c r="D3001" s="10"/>
      <c r="E3001" s="239"/>
      <c r="F3001" s="214"/>
      <c r="G3001" s="66" t="str">
        <f>HYPERLINK("https://ledvance.com/pt/product-datasheet/7931/194088","Ficha de Produto")</f>
        <v>Ficha de Produto</v>
      </c>
      <c r="H3001" s="34">
        <v>15</v>
      </c>
      <c r="I3001" s="34"/>
      <c r="J3001" s="34" t="s">
        <v>6500</v>
      </c>
      <c r="K3001" s="34" t="s">
        <v>788</v>
      </c>
      <c r="L3001" s="34" t="s">
        <v>800</v>
      </c>
      <c r="M3001" s="30">
        <v>164.5</v>
      </c>
      <c r="N3001" s="299" t="s">
        <v>721</v>
      </c>
    </row>
    <row r="3002" spans="1:14" s="32" customFormat="1" ht="14.25" customHeight="1">
      <c r="A3002" s="3" t="s">
        <v>754</v>
      </c>
      <c r="B3002" s="36" t="s">
        <v>596</v>
      </c>
      <c r="C3002" s="10">
        <v>4052899583221</v>
      </c>
      <c r="D3002" s="10"/>
      <c r="E3002" s="239"/>
      <c r="F3002" s="214"/>
      <c r="G3002" s="66" t="str">
        <f>HYPERLINK("https://ledvance.com/pt/product-datasheet/8043/137707","Ficha de Produto")</f>
        <v>Ficha de Produto</v>
      </c>
      <c r="H3002" s="34">
        <v>25</v>
      </c>
      <c r="I3002" s="34"/>
      <c r="J3002" s="34" t="s">
        <v>6501</v>
      </c>
      <c r="K3002" s="34" t="s">
        <v>788</v>
      </c>
      <c r="L3002" s="34" t="s">
        <v>800</v>
      </c>
      <c r="M3002" s="30">
        <v>71</v>
      </c>
      <c r="N3002" s="299" t="s">
        <v>721</v>
      </c>
    </row>
    <row r="3003" spans="1:14" s="32" customFormat="1" ht="14.25" customHeight="1">
      <c r="A3003" s="3" t="s">
        <v>754</v>
      </c>
      <c r="B3003" s="36" t="s">
        <v>597</v>
      </c>
      <c r="C3003" s="10">
        <v>4008321410078</v>
      </c>
      <c r="D3003" s="10"/>
      <c r="E3003" s="239"/>
      <c r="F3003" s="214"/>
      <c r="G3003" s="66" t="str">
        <f>HYPERLINK("https://ledvance.com/pt/product-datasheet/7831/126410","Ficha de Produto")</f>
        <v>Ficha de Produto</v>
      </c>
      <c r="H3003" s="34">
        <v>20</v>
      </c>
      <c r="I3003" s="34"/>
      <c r="J3003" s="34" t="s">
        <v>1106</v>
      </c>
      <c r="K3003" s="34" t="s">
        <v>788</v>
      </c>
      <c r="L3003" s="34" t="s">
        <v>800</v>
      </c>
      <c r="M3003" s="30">
        <v>263.8</v>
      </c>
      <c r="N3003" s="299" t="s">
        <v>721</v>
      </c>
    </row>
    <row r="3004" spans="1:14" s="32" customFormat="1" ht="14.25" customHeight="1">
      <c r="A3004" s="3" t="s">
        <v>754</v>
      </c>
      <c r="B3004" s="36" t="s">
        <v>598</v>
      </c>
      <c r="C3004" s="10">
        <v>4008321957047</v>
      </c>
      <c r="D3004" s="10"/>
      <c r="E3004" s="239"/>
      <c r="F3004" s="214"/>
      <c r="G3004" s="66" t="str">
        <f>HYPERLINK("https://ledvance.com/pt/product-datasheet/7832/130995","Ficha de Produto")</f>
        <v>Ficha de Produto</v>
      </c>
      <c r="H3004" s="34">
        <v>20</v>
      </c>
      <c r="I3004" s="34"/>
      <c r="J3004" s="34" t="s">
        <v>1106</v>
      </c>
      <c r="K3004" s="34" t="s">
        <v>788</v>
      </c>
      <c r="L3004" s="34" t="s">
        <v>800</v>
      </c>
      <c r="M3004" s="30">
        <v>272.20000000000005</v>
      </c>
      <c r="N3004" s="299" t="s">
        <v>721</v>
      </c>
    </row>
    <row r="3005" spans="1:14" s="32" customFormat="1" ht="14.25" customHeight="1">
      <c r="A3005" s="3" t="s">
        <v>754</v>
      </c>
      <c r="B3005" s="36" t="s">
        <v>599</v>
      </c>
      <c r="C3005" s="10">
        <v>4052899957411</v>
      </c>
      <c r="D3005" s="10"/>
      <c r="E3005" s="239"/>
      <c r="F3005" s="214"/>
      <c r="G3005" s="66" t="str">
        <f>HYPERLINK("https://ledvance.com/pt/product-datasheet/7849/137863","Ficha de Produto")</f>
        <v>Ficha de Produto</v>
      </c>
      <c r="H3005" s="34">
        <v>12</v>
      </c>
      <c r="I3005" s="34"/>
      <c r="J3005" s="34" t="s">
        <v>1107</v>
      </c>
      <c r="K3005" s="34" t="s">
        <v>788</v>
      </c>
      <c r="L3005" s="34" t="s">
        <v>800</v>
      </c>
      <c r="M3005" s="30">
        <v>244.5</v>
      </c>
      <c r="N3005" s="299" t="s">
        <v>721</v>
      </c>
    </row>
    <row r="3006" spans="1:14" s="32" customFormat="1" ht="14.25" customHeight="1">
      <c r="A3006" s="3" t="s">
        <v>754</v>
      </c>
      <c r="B3006" s="36" t="s">
        <v>601</v>
      </c>
      <c r="C3006" s="10">
        <v>4052899988729</v>
      </c>
      <c r="D3006" s="10"/>
      <c r="E3006" s="239"/>
      <c r="F3006" s="214"/>
      <c r="G3006" s="66" t="str">
        <f>HYPERLINK("https://ledvance.com/pt/product-datasheet/7848/137688","Ficha de Produto")</f>
        <v>Ficha de Produto</v>
      </c>
      <c r="H3006" s="34">
        <v>24</v>
      </c>
      <c r="I3006" s="34"/>
      <c r="J3006" s="34"/>
      <c r="K3006" s="34"/>
      <c r="L3006" s="34" t="s">
        <v>800</v>
      </c>
      <c r="M3006" s="30">
        <v>37</v>
      </c>
      <c r="N3006" s="299" t="s">
        <v>721</v>
      </c>
    </row>
    <row r="3007" spans="1:14" s="32" customFormat="1" ht="14.25" customHeight="1">
      <c r="A3007" s="3" t="s">
        <v>754</v>
      </c>
      <c r="B3007" s="36" t="s">
        <v>602</v>
      </c>
      <c r="C3007" s="10">
        <v>4062172016537</v>
      </c>
      <c r="D3007" s="10"/>
      <c r="E3007" s="239"/>
      <c r="F3007" s="214"/>
      <c r="G3007" s="66" t="str">
        <f>HYPERLINK("https://ledvance.com/pt/product-datasheet/7868/125077","Ficha de Produto")</f>
        <v>Ficha de Produto</v>
      </c>
      <c r="H3007" s="34">
        <v>25</v>
      </c>
      <c r="I3007" s="34"/>
      <c r="J3007" s="34" t="s">
        <v>6501</v>
      </c>
      <c r="K3007" s="34" t="s">
        <v>788</v>
      </c>
      <c r="L3007" s="34" t="s">
        <v>800</v>
      </c>
      <c r="M3007" s="30">
        <v>243.9</v>
      </c>
      <c r="N3007" s="299" t="s">
        <v>721</v>
      </c>
    </row>
    <row r="3008" spans="1:14" s="32" customFormat="1" ht="14.25" customHeight="1">
      <c r="A3008" s="3" t="s">
        <v>754</v>
      </c>
      <c r="B3008" s="36" t="s">
        <v>603</v>
      </c>
      <c r="C3008" s="10">
        <v>4052899988781</v>
      </c>
      <c r="D3008" s="10"/>
      <c r="E3008" s="239"/>
      <c r="F3008" s="214"/>
      <c r="G3008" s="66" t="str">
        <f>HYPERLINK("https://ledvance.com/pt/product-datasheet/7865/44802","Ficha de Produto")</f>
        <v>Ficha de Produto</v>
      </c>
      <c r="H3008" s="34">
        <v>25</v>
      </c>
      <c r="I3008" s="34"/>
      <c r="J3008" s="34" t="s">
        <v>6501</v>
      </c>
      <c r="K3008" s="34" t="s">
        <v>788</v>
      </c>
      <c r="L3008" s="34" t="s">
        <v>800</v>
      </c>
      <c r="M3008" s="30">
        <v>173</v>
      </c>
      <c r="N3008" s="299" t="s">
        <v>721</v>
      </c>
    </row>
    <row r="3009" spans="1:14" s="32" customFormat="1" ht="14.25" customHeight="1">
      <c r="A3009" s="3" t="s">
        <v>754</v>
      </c>
      <c r="B3009" s="36" t="s">
        <v>604</v>
      </c>
      <c r="C3009" s="10">
        <v>4052899544819</v>
      </c>
      <c r="D3009" s="10"/>
      <c r="E3009" s="239"/>
      <c r="F3009" s="214"/>
      <c r="G3009" s="66" t="str">
        <f>HYPERLINK("https://ledvance.com/pt/product-datasheet/7829/44805","Ficha de Produto")</f>
        <v>Ficha de Produto</v>
      </c>
      <c r="H3009" s="34">
        <v>60</v>
      </c>
      <c r="I3009" s="34"/>
      <c r="J3009" s="34" t="s">
        <v>6501</v>
      </c>
      <c r="K3009" s="34" t="s">
        <v>788</v>
      </c>
      <c r="L3009" s="34" t="s">
        <v>800</v>
      </c>
      <c r="M3009" s="30">
        <v>153.1</v>
      </c>
      <c r="N3009" s="299" t="s">
        <v>721</v>
      </c>
    </row>
    <row r="3010" spans="1:14" s="32" customFormat="1" ht="14.25" customHeight="1">
      <c r="A3010" s="3" t="s">
        <v>754</v>
      </c>
      <c r="B3010" s="36" t="s">
        <v>605</v>
      </c>
      <c r="C3010" s="10">
        <v>4008321988645</v>
      </c>
      <c r="D3010" s="10"/>
      <c r="E3010" s="239"/>
      <c r="F3010" s="214"/>
      <c r="G3010" s="66" t="str">
        <f>HYPERLINK("https://ledvance.com/pt/product-datasheet/7866/127920","Ficha de Produto")</f>
        <v>Ficha de Produto</v>
      </c>
      <c r="H3010" s="34">
        <v>25</v>
      </c>
      <c r="I3010" s="34"/>
      <c r="J3010" s="34" t="s">
        <v>6123</v>
      </c>
      <c r="K3010" s="34" t="s">
        <v>788</v>
      </c>
      <c r="L3010" s="34" t="s">
        <v>800</v>
      </c>
      <c r="M3010" s="30">
        <v>85.1</v>
      </c>
      <c r="N3010" s="299" t="s">
        <v>721</v>
      </c>
    </row>
    <row r="3011" spans="1:14" s="32" customFormat="1" ht="14.25" customHeight="1">
      <c r="A3011" s="3" t="s">
        <v>754</v>
      </c>
      <c r="B3011" s="36" t="s">
        <v>606</v>
      </c>
      <c r="C3011" s="10">
        <v>4052899955646</v>
      </c>
      <c r="D3011" s="10"/>
      <c r="E3011" s="239"/>
      <c r="F3011" s="214"/>
      <c r="G3011" s="66" t="str">
        <f>HYPERLINK("https://ledvance.com/pt/product-datasheet/7867/126710","Ficha de Produto")</f>
        <v>Ficha de Produto</v>
      </c>
      <c r="H3011" s="34">
        <v>45</v>
      </c>
      <c r="I3011" s="34"/>
      <c r="J3011" s="34" t="s">
        <v>6123</v>
      </c>
      <c r="K3011" s="34" t="s">
        <v>788</v>
      </c>
      <c r="L3011" s="34" t="s">
        <v>800</v>
      </c>
      <c r="M3011" s="30">
        <v>113.5</v>
      </c>
      <c r="N3011" s="299" t="s">
        <v>721</v>
      </c>
    </row>
    <row r="3012" spans="1:14" s="32" customFormat="1" ht="14.25" customHeight="1">
      <c r="A3012" s="3" t="s">
        <v>754</v>
      </c>
      <c r="B3012" s="36" t="s">
        <v>607</v>
      </c>
      <c r="C3012" s="10">
        <v>4052899914636</v>
      </c>
      <c r="D3012" s="10"/>
      <c r="E3012" s="239"/>
      <c r="F3012" s="214"/>
      <c r="G3012" s="66" t="str">
        <f>HYPERLINK("https://ledvance.com/pt/product-datasheet/7870/125971","Ficha de Produto")</f>
        <v>Ficha de Produto</v>
      </c>
      <c r="H3012" s="34">
        <v>25</v>
      </c>
      <c r="I3012" s="34"/>
      <c r="J3012" s="34"/>
      <c r="K3012" s="34" t="s">
        <v>788</v>
      </c>
      <c r="L3012" s="34" t="s">
        <v>800</v>
      </c>
      <c r="M3012" s="30">
        <v>85.1</v>
      </c>
      <c r="N3012" s="299" t="s">
        <v>721</v>
      </c>
    </row>
    <row r="3013" spans="1:14" s="32" customFormat="1" ht="14.25" customHeight="1">
      <c r="A3013" s="3" t="s">
        <v>754</v>
      </c>
      <c r="B3013" s="36" t="s">
        <v>608</v>
      </c>
      <c r="C3013" s="10">
        <v>4052899921481</v>
      </c>
      <c r="D3013" s="10"/>
      <c r="E3013" s="239"/>
      <c r="F3013" s="214"/>
      <c r="G3013" s="66" t="str">
        <f>HYPERLINK("https://ledvance.com/pt/product-datasheet/7872/125962","Ficha de Produto")</f>
        <v>Ficha de Produto</v>
      </c>
      <c r="H3013" s="34">
        <v>25</v>
      </c>
      <c r="I3013" s="34"/>
      <c r="J3013" s="34" t="s">
        <v>1108</v>
      </c>
      <c r="K3013" s="34" t="s">
        <v>788</v>
      </c>
      <c r="L3013" s="34" t="s">
        <v>800</v>
      </c>
      <c r="M3013" s="30">
        <v>147.5</v>
      </c>
      <c r="N3013" s="299" t="s">
        <v>721</v>
      </c>
    </row>
    <row r="3014" spans="1:14" s="32" customFormat="1" ht="14.25" customHeight="1">
      <c r="A3014" s="3" t="s">
        <v>754</v>
      </c>
      <c r="B3014" s="36" t="s">
        <v>615</v>
      </c>
      <c r="C3014" s="10">
        <v>4052899195967</v>
      </c>
      <c r="D3014" s="10"/>
      <c r="E3014" s="239"/>
      <c r="F3014" s="214"/>
      <c r="G3014" s="66" t="str">
        <f>HYPERLINK("https://ledvance.com/pt/product-datasheet/7876/126029","Ficha de Produto")</f>
        <v>Ficha de Produto</v>
      </c>
      <c r="H3014" s="34">
        <v>10</v>
      </c>
      <c r="I3014" s="34"/>
      <c r="J3014" s="34"/>
      <c r="K3014" s="34"/>
      <c r="L3014" s="34" t="s">
        <v>800</v>
      </c>
      <c r="M3014" s="30">
        <v>224.1</v>
      </c>
      <c r="N3014" s="299" t="s">
        <v>721</v>
      </c>
    </row>
    <row r="3015" spans="1:14" s="32" customFormat="1" ht="14.25" customHeight="1">
      <c r="A3015" s="3" t="s">
        <v>754</v>
      </c>
      <c r="B3015" s="36" t="s">
        <v>616</v>
      </c>
      <c r="C3015" s="10">
        <v>4008321916648</v>
      </c>
      <c r="D3015" s="10"/>
      <c r="E3015" s="239"/>
      <c r="F3015" s="214"/>
      <c r="G3015" s="66" t="str">
        <f>HYPERLINK("https://ledvance.com/pt/product-datasheet/7886/126378","Ficha de Produto")</f>
        <v>Ficha de Produto</v>
      </c>
      <c r="H3015" s="34">
        <v>10</v>
      </c>
      <c r="I3015" s="34"/>
      <c r="J3015" s="34"/>
      <c r="K3015" s="34" t="s">
        <v>788</v>
      </c>
      <c r="L3015" s="34" t="s">
        <v>800</v>
      </c>
      <c r="M3015" s="30">
        <v>178.7</v>
      </c>
      <c r="N3015" s="299" t="s">
        <v>721</v>
      </c>
    </row>
    <row r="3016" spans="1:14" s="32" customFormat="1" ht="14.25" customHeight="1">
      <c r="A3016" s="3" t="s">
        <v>754</v>
      </c>
      <c r="B3016" s="36" t="s">
        <v>617</v>
      </c>
      <c r="C3016" s="10">
        <v>4008321710871</v>
      </c>
      <c r="D3016" s="10"/>
      <c r="E3016" s="239"/>
      <c r="F3016" s="214"/>
      <c r="G3016" s="66" t="str">
        <f>HYPERLINK("https://ledvance.com/pt/product-datasheet/7950/140307","Ficha de Produto")</f>
        <v>Ficha de Produto</v>
      </c>
      <c r="H3016" s="34">
        <v>10</v>
      </c>
      <c r="I3016" s="34"/>
      <c r="J3016" s="34" t="s">
        <v>6116</v>
      </c>
      <c r="K3016" s="34" t="s">
        <v>788</v>
      </c>
      <c r="L3016" s="34" t="s">
        <v>800</v>
      </c>
      <c r="M3016" s="30">
        <v>2948.5</v>
      </c>
      <c r="N3016" s="299" t="s">
        <v>721</v>
      </c>
    </row>
    <row r="3017" spans="1:14" s="32" customFormat="1" ht="14.25" customHeight="1">
      <c r="A3017" s="3" t="s">
        <v>754</v>
      </c>
      <c r="B3017" s="274" t="s">
        <v>4107</v>
      </c>
      <c r="C3017" s="10">
        <v>4052899627079</v>
      </c>
      <c r="D3017" s="240">
        <v>4062172114189</v>
      </c>
      <c r="E3017" s="262" t="s">
        <v>3160</v>
      </c>
      <c r="F3017" s="263"/>
      <c r="G3017" s="66" t="str">
        <f>HYPERLINK("https://ledvance.com/pt/product-datasheet/221220/196611","Ficha de Produto")</f>
        <v>Ficha de Produto</v>
      </c>
      <c r="H3017" s="34">
        <v>20</v>
      </c>
      <c r="I3017" s="34"/>
      <c r="J3017" s="34" t="s">
        <v>6116</v>
      </c>
      <c r="K3017" s="34" t="s">
        <v>788</v>
      </c>
      <c r="L3017" s="34" t="s">
        <v>765</v>
      </c>
      <c r="M3017" s="30">
        <v>2150</v>
      </c>
      <c r="N3017" s="283" t="s">
        <v>721</v>
      </c>
    </row>
    <row r="3018" spans="1:14" s="32" customFormat="1" ht="14.25" customHeight="1">
      <c r="A3018" s="3" t="s">
        <v>754</v>
      </c>
      <c r="B3018" s="36" t="s">
        <v>4106</v>
      </c>
      <c r="C3018" s="10">
        <v>4062172020008</v>
      </c>
      <c r="D3018" s="10"/>
      <c r="E3018" s="239"/>
      <c r="F3018" s="214"/>
      <c r="G3018" s="66" t="str">
        <f>HYPERLINK("https://ledvance.com/pt/product-datasheet/7966/125639","Ficha de Produto")</f>
        <v>Ficha de Produto</v>
      </c>
      <c r="H3018" s="34">
        <v>25</v>
      </c>
      <c r="I3018" s="34"/>
      <c r="J3018" s="34"/>
      <c r="K3018" s="34"/>
      <c r="L3018" s="34" t="s">
        <v>800</v>
      </c>
      <c r="M3018" s="30">
        <v>2551.6</v>
      </c>
      <c r="N3018" s="299" t="s">
        <v>721</v>
      </c>
    </row>
    <row r="3019" spans="1:14" s="32" customFormat="1" ht="14.25" customHeight="1">
      <c r="A3019" s="3" t="s">
        <v>754</v>
      </c>
      <c r="B3019" s="36" t="s">
        <v>618</v>
      </c>
      <c r="C3019" s="10">
        <v>4052899043954</v>
      </c>
      <c r="D3019" s="10"/>
      <c r="E3019" s="239"/>
      <c r="F3019" s="214"/>
      <c r="G3019" s="66" t="str">
        <f>HYPERLINK("https://ledvance.com/pt/product-datasheet/7951/132920","Ficha de Produto")</f>
        <v>Ficha de Produto</v>
      </c>
      <c r="H3019" s="34">
        <v>25</v>
      </c>
      <c r="I3019" s="34"/>
      <c r="J3019" s="34"/>
      <c r="K3019" s="34" t="s">
        <v>788</v>
      </c>
      <c r="L3019" s="34" t="s">
        <v>800</v>
      </c>
      <c r="M3019" s="30">
        <v>156</v>
      </c>
      <c r="N3019" s="299" t="s">
        <v>721</v>
      </c>
    </row>
    <row r="3020" spans="1:14" s="32" customFormat="1" ht="14.25" customHeight="1">
      <c r="A3020" s="3" t="s">
        <v>754</v>
      </c>
      <c r="B3020" s="36" t="s">
        <v>600</v>
      </c>
      <c r="C3020" s="10">
        <v>4052899930292</v>
      </c>
      <c r="D3020" s="10"/>
      <c r="E3020" s="239"/>
      <c r="F3020" s="214"/>
      <c r="G3020" s="66" t="str">
        <f>HYPERLINK("https://ledvance.com/pt/product-datasheet/7952/132926","Ficha de Produto")</f>
        <v>Ficha de Produto</v>
      </c>
      <c r="H3020" s="34">
        <v>10</v>
      </c>
      <c r="I3020" s="34"/>
      <c r="J3020" s="34"/>
      <c r="K3020" s="34" t="s">
        <v>788</v>
      </c>
      <c r="L3020" s="34" t="s">
        <v>800</v>
      </c>
      <c r="M3020" s="30">
        <v>192.79999999999998</v>
      </c>
      <c r="N3020" s="299" t="s">
        <v>721</v>
      </c>
    </row>
    <row r="3021" spans="1:14" s="32" customFormat="1" ht="14.25" customHeight="1">
      <c r="A3021" s="3" t="s">
        <v>754</v>
      </c>
      <c r="B3021" s="36" t="s">
        <v>619</v>
      </c>
      <c r="C3021" s="10">
        <v>4008321379269</v>
      </c>
      <c r="D3021" s="10"/>
      <c r="E3021" s="239"/>
      <c r="F3021" s="214"/>
      <c r="G3021" s="66" t="str">
        <f>HYPERLINK("https://ledvance.com/pt/product-datasheet/7944/131035","Ficha de Produto")</f>
        <v>Ficha de Produto</v>
      </c>
      <c r="H3021" s="34">
        <v>25</v>
      </c>
      <c r="I3021" s="34"/>
      <c r="J3021" s="34" t="s">
        <v>1109</v>
      </c>
      <c r="K3021" s="34" t="s">
        <v>788</v>
      </c>
      <c r="L3021" s="34" t="s">
        <v>800</v>
      </c>
      <c r="M3021" s="30">
        <v>178.7</v>
      </c>
      <c r="N3021" s="299" t="s">
        <v>721</v>
      </c>
    </row>
    <row r="3022" spans="1:14" s="32" customFormat="1" ht="14.25" customHeight="1">
      <c r="A3022" s="3" t="s">
        <v>754</v>
      </c>
      <c r="B3022" s="36" t="s">
        <v>620</v>
      </c>
      <c r="C3022" s="10">
        <v>4052899141728</v>
      </c>
      <c r="D3022" s="10"/>
      <c r="E3022" s="239"/>
      <c r="F3022" s="214"/>
      <c r="G3022" s="66" t="str">
        <f>HYPERLINK("https://ledvance.com/pt/product-datasheet/8015/133876","Ficha de Produto")</f>
        <v>Ficha de Produto</v>
      </c>
      <c r="H3022" s="34">
        <v>25</v>
      </c>
      <c r="I3022" s="34"/>
      <c r="J3022" s="34" t="s">
        <v>6502</v>
      </c>
      <c r="K3022" s="34" t="s">
        <v>788</v>
      </c>
      <c r="L3022" s="34" t="s">
        <v>800</v>
      </c>
      <c r="M3022" s="30">
        <v>136.1</v>
      </c>
      <c r="N3022" s="299" t="s">
        <v>721</v>
      </c>
    </row>
    <row r="3023" spans="1:14" s="32" customFormat="1" ht="14.25" customHeight="1">
      <c r="A3023" s="3" t="s">
        <v>754</v>
      </c>
      <c r="B3023" s="36" t="s">
        <v>621</v>
      </c>
      <c r="C3023" s="10">
        <v>4052899230491</v>
      </c>
      <c r="D3023" s="10"/>
      <c r="E3023" s="239"/>
      <c r="F3023" s="214"/>
      <c r="G3023" s="66" t="str">
        <f>HYPERLINK("https://ledvance.com/pt/product-datasheet/7946/131763","Ficha de Produto")</f>
        <v>Ficha de Produto</v>
      </c>
      <c r="H3023" s="34">
        <v>25</v>
      </c>
      <c r="I3023" s="34"/>
      <c r="J3023" s="34" t="s">
        <v>1110</v>
      </c>
      <c r="K3023" s="34" t="s">
        <v>788</v>
      </c>
      <c r="L3023" s="34" t="s">
        <v>800</v>
      </c>
      <c r="M3023" s="30">
        <v>153.1</v>
      </c>
      <c r="N3023" s="299" t="s">
        <v>721</v>
      </c>
    </row>
    <row r="3024" spans="1:14" s="32" customFormat="1" ht="14.25" customHeight="1">
      <c r="A3024" s="3" t="s">
        <v>754</v>
      </c>
      <c r="B3024" s="36" t="s">
        <v>612</v>
      </c>
      <c r="C3024" s="10">
        <v>4008321292599</v>
      </c>
      <c r="D3024" s="10"/>
      <c r="E3024" s="239"/>
      <c r="F3024" s="214"/>
      <c r="G3024" s="66" t="str">
        <f>HYPERLINK("https://ledvance.com/pt/product-datasheet/7970/134249","Ficha de Produto")</f>
        <v>Ficha de Produto</v>
      </c>
      <c r="H3024" s="34">
        <v>25</v>
      </c>
      <c r="I3024" s="34"/>
      <c r="J3024" s="34" t="s">
        <v>6123</v>
      </c>
      <c r="K3024" s="34" t="s">
        <v>788</v>
      </c>
      <c r="L3024" s="34" t="s">
        <v>800</v>
      </c>
      <c r="M3024" s="30">
        <v>272.20000000000005</v>
      </c>
      <c r="N3024" s="299" t="s">
        <v>721</v>
      </c>
    </row>
    <row r="3025" spans="1:14" s="32" customFormat="1" ht="14.25" customHeight="1">
      <c r="A3025" s="3" t="s">
        <v>754</v>
      </c>
      <c r="B3025" s="36" t="s">
        <v>613</v>
      </c>
      <c r="C3025" s="10">
        <v>4008321301093</v>
      </c>
      <c r="D3025" s="10"/>
      <c r="E3025" s="239"/>
      <c r="F3025" s="214"/>
      <c r="G3025" s="66" t="str">
        <f>HYPERLINK("https://ledvance.com/pt/product-datasheet/7971/134252","Ficha de Produto")</f>
        <v>Ficha de Produto</v>
      </c>
      <c r="H3025" s="34">
        <v>16</v>
      </c>
      <c r="I3025" s="34"/>
      <c r="J3025" s="34" t="s">
        <v>6503</v>
      </c>
      <c r="K3025" s="34" t="s">
        <v>788</v>
      </c>
      <c r="L3025" s="34" t="s">
        <v>800</v>
      </c>
      <c r="M3025" s="30">
        <v>323.20000000000005</v>
      </c>
      <c r="N3025" s="299" t="s">
        <v>721</v>
      </c>
    </row>
    <row r="3026" spans="1:14" s="32" customFormat="1" ht="14.25" customHeight="1">
      <c r="A3026" s="3" t="s">
        <v>754</v>
      </c>
      <c r="B3026" s="36" t="s">
        <v>622</v>
      </c>
      <c r="C3026" s="10">
        <v>4008321533364</v>
      </c>
      <c r="D3026" s="10"/>
      <c r="E3026" s="239"/>
      <c r="F3026" s="214"/>
      <c r="G3026" s="66" t="str">
        <f>HYPERLINK("https://ledvance.com/pt/product-datasheet/7978/132038","Ficha de Produto")</f>
        <v>Ficha de Produto</v>
      </c>
      <c r="H3026" s="34">
        <v>8</v>
      </c>
      <c r="I3026" s="34"/>
      <c r="J3026" s="34" t="s">
        <v>6503</v>
      </c>
      <c r="K3026" s="34" t="s">
        <v>788</v>
      </c>
      <c r="L3026" s="34" t="s">
        <v>800</v>
      </c>
      <c r="M3026" s="30">
        <v>431</v>
      </c>
      <c r="N3026" s="299" t="s">
        <v>721</v>
      </c>
    </row>
    <row r="3027" spans="1:14" s="32" customFormat="1" ht="14.25" customHeight="1">
      <c r="A3027" s="3" t="s">
        <v>754</v>
      </c>
      <c r="B3027" s="36" t="s">
        <v>623</v>
      </c>
      <c r="C3027" s="10">
        <v>4062172044776</v>
      </c>
      <c r="D3027" s="10"/>
      <c r="E3027" s="239"/>
      <c r="F3027" s="214"/>
      <c r="G3027" s="66" t="str">
        <f>HYPERLINK("https://ledvance.com/pt/product-datasheet/182533/125035","Ficha de Produto")</f>
        <v>Ficha de Produto</v>
      </c>
      <c r="H3027" s="34">
        <v>25</v>
      </c>
      <c r="I3027" s="34"/>
      <c r="J3027" s="34" t="s">
        <v>6242</v>
      </c>
      <c r="K3027" s="34" t="s">
        <v>788</v>
      </c>
      <c r="L3027" s="34" t="s">
        <v>800</v>
      </c>
      <c r="M3027" s="30">
        <v>124.8</v>
      </c>
      <c r="N3027" s="299" t="s">
        <v>721</v>
      </c>
    </row>
    <row r="3028" spans="1:14" s="32" customFormat="1" ht="14.25" customHeight="1">
      <c r="A3028" s="3" t="s">
        <v>754</v>
      </c>
      <c r="B3028" s="36" t="s">
        <v>624</v>
      </c>
      <c r="C3028" s="10">
        <v>4062172050500</v>
      </c>
      <c r="D3028" s="10"/>
      <c r="E3028" s="239"/>
      <c r="F3028" s="214"/>
      <c r="G3028" s="66" t="str">
        <f>HYPERLINK("https://ledvance.com/pt/product-datasheet/7967/130340","Ficha de Produto")</f>
        <v>Ficha de Produto</v>
      </c>
      <c r="H3028" s="34">
        <v>25</v>
      </c>
      <c r="I3028" s="34"/>
      <c r="J3028" s="34" t="s">
        <v>6119</v>
      </c>
      <c r="K3028" s="34" t="s">
        <v>788</v>
      </c>
      <c r="L3028" s="34" t="s">
        <v>800</v>
      </c>
      <c r="M3028" s="30">
        <v>1746.3999999999999</v>
      </c>
      <c r="N3028" s="299" t="s">
        <v>721</v>
      </c>
    </row>
    <row r="3029" spans="1:14" s="32" customFormat="1" ht="14.25" customHeight="1">
      <c r="A3029" s="3" t="s">
        <v>754</v>
      </c>
      <c r="B3029" s="36" t="s">
        <v>611</v>
      </c>
      <c r="C3029" s="10">
        <v>4050300803135</v>
      </c>
      <c r="D3029" s="10"/>
      <c r="E3029" s="239"/>
      <c r="F3029" s="214"/>
      <c r="G3029" s="66" t="str">
        <f>HYPERLINK("https://ledvance.com/pt/product-datasheet/7983/130958","Ficha de Produto")</f>
        <v>Ficha de Produto</v>
      </c>
      <c r="H3029" s="34">
        <v>25</v>
      </c>
      <c r="I3029" s="34"/>
      <c r="J3029" s="34" t="s">
        <v>6242</v>
      </c>
      <c r="K3029" s="34" t="s">
        <v>788</v>
      </c>
      <c r="L3029" s="34" t="s">
        <v>800</v>
      </c>
      <c r="M3029" s="30">
        <v>45.4</v>
      </c>
      <c r="N3029" s="299" t="s">
        <v>721</v>
      </c>
    </row>
    <row r="3030" spans="1:14" s="32" customFormat="1" ht="14.25" customHeight="1">
      <c r="A3030" s="3" t="s">
        <v>754</v>
      </c>
      <c r="B3030" s="36" t="s">
        <v>625</v>
      </c>
      <c r="C3030" s="10">
        <v>4008321480798</v>
      </c>
      <c r="D3030" s="10"/>
      <c r="E3030" s="239"/>
      <c r="F3030" s="214"/>
      <c r="G3030" s="66" t="str">
        <f>HYPERLINK("https://ledvance.com/pt/product-datasheet/7989/126417","Ficha de Produto")</f>
        <v>Ficha de Produto</v>
      </c>
      <c r="H3030" s="34">
        <v>20</v>
      </c>
      <c r="I3030" s="34"/>
      <c r="J3030" s="34"/>
      <c r="K3030" s="34"/>
      <c r="L3030" s="34" t="s">
        <v>800</v>
      </c>
      <c r="M3030" s="30">
        <v>45.4</v>
      </c>
      <c r="N3030" s="299" t="s">
        <v>721</v>
      </c>
    </row>
    <row r="3031" spans="1:14" s="32" customFormat="1" ht="14.25" customHeight="1">
      <c r="A3031" s="3" t="s">
        <v>754</v>
      </c>
      <c r="B3031" s="36" t="s">
        <v>609</v>
      </c>
      <c r="C3031" s="10">
        <v>4052899920293</v>
      </c>
      <c r="D3031" s="10"/>
      <c r="E3031" s="239"/>
      <c r="F3031" s="214"/>
      <c r="G3031" s="66" t="str">
        <f>HYPERLINK("https://ledvance.com/pt/product-datasheet/7990/132923","Ficha de Produto")</f>
        <v>Ficha de Produto</v>
      </c>
      <c r="H3031" s="34">
        <v>10</v>
      </c>
      <c r="I3031" s="34"/>
      <c r="J3031" s="34"/>
      <c r="K3031" s="34"/>
      <c r="L3031" s="34" t="s">
        <v>800</v>
      </c>
      <c r="M3031" s="30">
        <v>51.1</v>
      </c>
      <c r="N3031" s="299" t="s">
        <v>721</v>
      </c>
    </row>
    <row r="3032" spans="1:14" s="32" customFormat="1" ht="14.25" customHeight="1">
      <c r="A3032" s="3" t="s">
        <v>754</v>
      </c>
      <c r="B3032" s="36" t="s">
        <v>626</v>
      </c>
      <c r="C3032" s="10">
        <v>4052899553880</v>
      </c>
      <c r="D3032" s="10"/>
      <c r="E3032" s="239"/>
      <c r="F3032" s="214"/>
      <c r="G3032" s="66" t="str">
        <f>HYPERLINK("https://ledvance.com/pt/product-datasheet/7979/137685","Ficha de Produto")</f>
        <v>Ficha de Produto</v>
      </c>
      <c r="H3032" s="34">
        <v>200</v>
      </c>
      <c r="I3032" s="34"/>
      <c r="J3032" s="34" t="s">
        <v>6119</v>
      </c>
      <c r="K3032" s="34" t="s">
        <v>788</v>
      </c>
      <c r="L3032" s="34" t="s">
        <v>800</v>
      </c>
      <c r="M3032" s="30">
        <v>328.90000000000003</v>
      </c>
      <c r="N3032" s="299" t="s">
        <v>721</v>
      </c>
    </row>
    <row r="3033" spans="1:14" s="32" customFormat="1" ht="14.25" customHeight="1">
      <c r="A3033" s="3" t="s">
        <v>754</v>
      </c>
      <c r="B3033" s="36" t="s">
        <v>610</v>
      </c>
      <c r="C3033" s="10">
        <v>4052899173385</v>
      </c>
      <c r="D3033" s="10"/>
      <c r="E3033" s="239"/>
      <c r="F3033" s="214"/>
      <c r="G3033" s="66" t="str">
        <f>HYPERLINK("https://ledvance.com/pt/product-datasheet/7991/131069","Ficha de Produto")</f>
        <v>Ficha de Produto</v>
      </c>
      <c r="H3033" s="34">
        <v>10</v>
      </c>
      <c r="I3033" s="34"/>
      <c r="J3033" s="34"/>
      <c r="K3033" s="34"/>
      <c r="L3033" s="34" t="s">
        <v>800</v>
      </c>
      <c r="M3033" s="30">
        <v>65.3</v>
      </c>
      <c r="N3033" s="299" t="s">
        <v>721</v>
      </c>
    </row>
    <row r="3034" spans="1:14" s="32" customFormat="1" ht="14.25" customHeight="1">
      <c r="A3034" s="3" t="s">
        <v>754</v>
      </c>
      <c r="B3034" s="36" t="s">
        <v>627</v>
      </c>
      <c r="C3034" s="10">
        <v>4008321916662</v>
      </c>
      <c r="D3034" s="10"/>
      <c r="E3034" s="239"/>
      <c r="F3034" s="214"/>
      <c r="G3034" s="66" t="str">
        <f>HYPERLINK("https://ledvance.com/pt/product-datasheet/7993/130736","Ficha de Produto")</f>
        <v>Ficha de Produto</v>
      </c>
      <c r="H3034" s="34">
        <v>10</v>
      </c>
      <c r="I3034" s="34"/>
      <c r="J3034" s="34"/>
      <c r="K3034" s="34"/>
      <c r="L3034" s="34" t="s">
        <v>800</v>
      </c>
      <c r="M3034" s="30">
        <v>39.700000000000003</v>
      </c>
      <c r="N3034" s="299" t="s">
        <v>721</v>
      </c>
    </row>
    <row r="3035" spans="1:14" s="32" customFormat="1" ht="14.25" customHeight="1">
      <c r="A3035" s="3" t="s">
        <v>754</v>
      </c>
      <c r="B3035" s="36" t="s">
        <v>614</v>
      </c>
      <c r="C3035" s="10">
        <v>4008321392091</v>
      </c>
      <c r="D3035" s="10"/>
      <c r="E3035" s="239"/>
      <c r="F3035" s="214"/>
      <c r="G3035" s="66" t="str">
        <f>HYPERLINK("https://ledvance.com/pt/product-datasheet/8035/126400","Ficha de Produto")</f>
        <v>Ficha de Produto</v>
      </c>
      <c r="H3035" s="34">
        <v>100</v>
      </c>
      <c r="I3035" s="34"/>
      <c r="J3035" s="34"/>
      <c r="K3035" s="34"/>
      <c r="L3035" s="34" t="s">
        <v>800</v>
      </c>
      <c r="M3035" s="30">
        <v>19.900000000000002</v>
      </c>
      <c r="N3035" s="299" t="s">
        <v>721</v>
      </c>
    </row>
    <row r="3036" spans="1:14" s="32" customFormat="1" ht="14.25" customHeight="1">
      <c r="A3036" s="3" t="s">
        <v>754</v>
      </c>
      <c r="B3036" s="36" t="s">
        <v>628</v>
      </c>
      <c r="C3036" s="10">
        <v>4008321083692</v>
      </c>
      <c r="D3036" s="10"/>
      <c r="E3036" s="239"/>
      <c r="F3036" s="214"/>
      <c r="G3036" s="66" t="str">
        <f>HYPERLINK("https://ledvance.com/pt/product-datasheet/8034/137518","Ficha de Produto")</f>
        <v>Ficha de Produto</v>
      </c>
      <c r="H3036" s="34">
        <v>40</v>
      </c>
      <c r="I3036" s="34"/>
      <c r="J3036" s="34"/>
      <c r="K3036" s="34"/>
      <c r="L3036" s="34" t="s">
        <v>800</v>
      </c>
      <c r="M3036" s="30">
        <v>45.4</v>
      </c>
      <c r="N3036" s="299" t="s">
        <v>721</v>
      </c>
    </row>
    <row r="3037" spans="1:14" s="32" customFormat="1" ht="14.25" customHeight="1">
      <c r="A3037" s="3" t="s">
        <v>754</v>
      </c>
      <c r="B3037" s="36" t="s">
        <v>629</v>
      </c>
      <c r="C3037" s="10">
        <v>4062172072045</v>
      </c>
      <c r="D3037" s="10"/>
      <c r="E3037" s="239"/>
      <c r="F3037" s="214"/>
      <c r="G3037" s="66" t="str">
        <f>HYPERLINK("https://ledvance.com/pt/product-datasheet/8064/133128","Ficha de Produto")</f>
        <v>Ficha de Produto</v>
      </c>
      <c r="H3037" s="34">
        <v>10</v>
      </c>
      <c r="I3037" s="34"/>
      <c r="J3037" s="34" t="s">
        <v>1109</v>
      </c>
      <c r="K3037" s="34" t="s">
        <v>788</v>
      </c>
      <c r="L3037" s="34" t="s">
        <v>765</v>
      </c>
      <c r="M3037" s="30">
        <v>158.79999999999998</v>
      </c>
      <c r="N3037" s="299" t="s">
        <v>721</v>
      </c>
    </row>
    <row r="3038" spans="1:14" s="32" customFormat="1" ht="14.25" customHeight="1">
      <c r="A3038" s="3" t="s">
        <v>754</v>
      </c>
      <c r="B3038" s="36" t="s">
        <v>630</v>
      </c>
      <c r="C3038" s="10">
        <v>4062172072069</v>
      </c>
      <c r="D3038" s="10"/>
      <c r="E3038" s="239"/>
      <c r="F3038" s="214"/>
      <c r="G3038" s="66" t="str">
        <f>HYPERLINK("https://ledvance.com/pt/product-datasheet/8062/133110","Ficha de Produto")</f>
        <v>Ficha de Produto</v>
      </c>
      <c r="H3038" s="34">
        <v>25</v>
      </c>
      <c r="I3038" s="34"/>
      <c r="J3038" s="34" t="s">
        <v>1109</v>
      </c>
      <c r="K3038" s="34" t="s">
        <v>788</v>
      </c>
      <c r="L3038" s="34" t="s">
        <v>765</v>
      </c>
      <c r="M3038" s="30">
        <v>158.79999999999998</v>
      </c>
      <c r="N3038" s="299" t="s">
        <v>721</v>
      </c>
    </row>
    <row r="3039" spans="1:14" s="32" customFormat="1" ht="14.25" customHeight="1">
      <c r="A3039" s="3" t="s">
        <v>754</v>
      </c>
      <c r="B3039" s="36" t="s">
        <v>631</v>
      </c>
      <c r="C3039" s="10">
        <v>4062172072083</v>
      </c>
      <c r="D3039" s="10"/>
      <c r="E3039" s="239"/>
      <c r="F3039" s="214"/>
      <c r="G3039" s="66" t="str">
        <f>HYPERLINK("https://ledvance.com/pt/product-datasheet/8063/133113","Ficha de Produto")</f>
        <v>Ficha de Produto</v>
      </c>
      <c r="H3039" s="34">
        <v>10</v>
      </c>
      <c r="I3039" s="34"/>
      <c r="J3039" s="34" t="s">
        <v>1109</v>
      </c>
      <c r="K3039" s="34" t="s">
        <v>788</v>
      </c>
      <c r="L3039" s="34" t="s">
        <v>765</v>
      </c>
      <c r="M3039" s="30">
        <v>218.4</v>
      </c>
      <c r="N3039" s="299" t="s">
        <v>721</v>
      </c>
    </row>
    <row r="3040" spans="1:14" s="32" customFormat="1" ht="14.25" customHeight="1">
      <c r="A3040" s="3" t="s">
        <v>754</v>
      </c>
      <c r="B3040" s="281" t="s">
        <v>4109</v>
      </c>
      <c r="C3040" s="214">
        <v>4052899630451</v>
      </c>
      <c r="D3040" s="264"/>
      <c r="E3040" s="265"/>
      <c r="F3040" s="216"/>
      <c r="G3040" s="66" t="str">
        <f>HYPERLINK("https://ledvance.com/pt/product-datasheet/250466/247840","Ficha de Produto")</f>
        <v>Ficha de Produto</v>
      </c>
      <c r="H3040" s="34">
        <v>24</v>
      </c>
      <c r="I3040" s="34"/>
      <c r="J3040" s="34" t="s">
        <v>1109</v>
      </c>
      <c r="K3040" s="34" t="s">
        <v>788</v>
      </c>
      <c r="L3040" s="34" t="s">
        <v>765</v>
      </c>
      <c r="M3040" s="30">
        <v>181.8</v>
      </c>
      <c r="N3040" s="283" t="s">
        <v>721</v>
      </c>
    </row>
    <row r="3041" spans="1:14" s="32" customFormat="1" ht="14.25" customHeight="1">
      <c r="A3041" s="3" t="s">
        <v>754</v>
      </c>
      <c r="B3041" s="281" t="s">
        <v>4110</v>
      </c>
      <c r="C3041" s="214">
        <v>4052899630482</v>
      </c>
      <c r="D3041" s="264"/>
      <c r="E3041" s="265"/>
      <c r="F3041" s="216"/>
      <c r="G3041" s="66" t="str">
        <f>HYPERLINK("https://ledvance.com/pt/product-datasheet/250467/247843","Ficha de Produto")</f>
        <v>Ficha de Produto</v>
      </c>
      <c r="H3041" s="34">
        <v>50</v>
      </c>
      <c r="I3041" s="34"/>
      <c r="J3041" s="34" t="s">
        <v>1109</v>
      </c>
      <c r="K3041" s="34" t="s">
        <v>822</v>
      </c>
      <c r="L3041" s="34" t="s">
        <v>765</v>
      </c>
      <c r="M3041" s="30">
        <v>191.3</v>
      </c>
      <c r="N3041" s="283" t="s">
        <v>721</v>
      </c>
    </row>
    <row r="3042" spans="1:14" s="32" customFormat="1" ht="14.25" customHeight="1">
      <c r="A3042" s="3" t="s">
        <v>754</v>
      </c>
      <c r="B3042" s="281" t="s">
        <v>4111</v>
      </c>
      <c r="C3042" s="214">
        <v>4052899630444</v>
      </c>
      <c r="D3042" s="264"/>
      <c r="E3042" s="265"/>
      <c r="F3042" s="216"/>
      <c r="G3042" s="66" t="str">
        <f>HYPERLINK("https://ledvance.com/pt/product-datasheet/250468/247846","Ficha de Produto")</f>
        <v>Ficha de Produto</v>
      </c>
      <c r="H3042" s="34">
        <v>24</v>
      </c>
      <c r="I3042" s="34"/>
      <c r="J3042" s="34" t="s">
        <v>1109</v>
      </c>
      <c r="K3042" s="34" t="s">
        <v>788</v>
      </c>
      <c r="L3042" s="34" t="s">
        <v>765</v>
      </c>
      <c r="M3042" s="30">
        <v>181.8</v>
      </c>
      <c r="N3042" s="283" t="s">
        <v>721</v>
      </c>
    </row>
    <row r="3043" spans="1:14" s="32" customFormat="1" ht="14.25" customHeight="1">
      <c r="A3043" s="3" t="s">
        <v>754</v>
      </c>
      <c r="B3043" s="281" t="s">
        <v>4112</v>
      </c>
      <c r="C3043" s="214">
        <v>4052899630468</v>
      </c>
      <c r="D3043" s="264"/>
      <c r="E3043" s="265"/>
      <c r="F3043" s="216"/>
      <c r="G3043" s="66" t="str">
        <f>HYPERLINK("https://ledvance.com/pt/product-datasheet/250469/247849","Ficha de Produto")</f>
        <v>Ficha de Produto</v>
      </c>
      <c r="H3043" s="34">
        <v>24</v>
      </c>
      <c r="I3043" s="34"/>
      <c r="J3043" s="34" t="s">
        <v>1109</v>
      </c>
      <c r="K3043" s="34" t="s">
        <v>6293</v>
      </c>
      <c r="L3043" s="34" t="s">
        <v>765</v>
      </c>
      <c r="M3043" s="30">
        <v>191.3</v>
      </c>
      <c r="N3043" s="283" t="s">
        <v>721</v>
      </c>
    </row>
    <row r="3044" spans="1:14" s="32" customFormat="1" ht="14.25" customHeight="1">
      <c r="A3044" s="3" t="s">
        <v>754</v>
      </c>
      <c r="B3044" s="281" t="s">
        <v>4113</v>
      </c>
      <c r="C3044" s="214">
        <v>4052899630475</v>
      </c>
      <c r="D3044" s="264"/>
      <c r="E3044" s="265"/>
      <c r="F3044" s="216"/>
      <c r="G3044" s="66" t="str">
        <f>HYPERLINK("https://ledvance.com/pt/product-datasheet/250472/247852","Ficha de Produto")</f>
        <v>Ficha de Produto</v>
      </c>
      <c r="H3044" s="34">
        <v>24</v>
      </c>
      <c r="I3044" s="34"/>
      <c r="J3044" s="34" t="s">
        <v>1109</v>
      </c>
      <c r="K3044" s="34" t="s">
        <v>6293</v>
      </c>
      <c r="L3044" s="34" t="s">
        <v>765</v>
      </c>
      <c r="M3044" s="30">
        <v>205.6</v>
      </c>
      <c r="N3044" s="283" t="s">
        <v>721</v>
      </c>
    </row>
    <row r="3045" spans="1:14" s="32" customFormat="1" ht="14.25" customHeight="1">
      <c r="A3045" s="3" t="s">
        <v>4116</v>
      </c>
      <c r="B3045" s="281" t="s">
        <v>4115</v>
      </c>
      <c r="C3045" s="214">
        <v>4062172161466</v>
      </c>
      <c r="D3045" s="266"/>
      <c r="E3045" s="265"/>
      <c r="F3045" s="216"/>
      <c r="G3045" s="66" t="str">
        <f>HYPERLINK("https://ledvance.com/pt/product-datasheet/251056/247859","Ficha de Produto")</f>
        <v>Ficha de Produto</v>
      </c>
      <c r="H3045" s="34">
        <v>48</v>
      </c>
      <c r="I3045" s="34"/>
      <c r="J3045" s="34"/>
      <c r="K3045" s="34" t="s">
        <v>788</v>
      </c>
      <c r="L3045" s="34" t="s">
        <v>765</v>
      </c>
      <c r="M3045" s="30">
        <v>29.1</v>
      </c>
      <c r="N3045" s="283" t="s">
        <v>721</v>
      </c>
    </row>
    <row r="3046" spans="1:14" s="32" customFormat="1" ht="14.25" customHeight="1">
      <c r="A3046" s="3" t="s">
        <v>754</v>
      </c>
      <c r="B3046" s="36" t="s">
        <v>632</v>
      </c>
      <c r="C3046" s="10">
        <v>4062172072113</v>
      </c>
      <c r="D3046" s="10"/>
      <c r="E3046" s="239"/>
      <c r="F3046" s="214"/>
      <c r="G3046" s="66" t="str">
        <f>HYPERLINK("https://ledvance.com/pt/product-datasheet/8065/133107","Ficha de Produto")</f>
        <v>Ficha de Produto</v>
      </c>
      <c r="H3046" s="34">
        <v>25</v>
      </c>
      <c r="I3046" s="34"/>
      <c r="J3046" s="34" t="s">
        <v>1109</v>
      </c>
      <c r="K3046" s="34" t="s">
        <v>788</v>
      </c>
      <c r="L3046" s="34" t="s">
        <v>765</v>
      </c>
      <c r="M3046" s="30">
        <v>136.1</v>
      </c>
      <c r="N3046" s="299" t="s">
        <v>721</v>
      </c>
    </row>
    <row r="3047" spans="1:14" s="32" customFormat="1" ht="14.25" customHeight="1">
      <c r="A3047" s="3" t="s">
        <v>754</v>
      </c>
      <c r="B3047" s="36" t="s">
        <v>633</v>
      </c>
      <c r="C3047" s="10">
        <v>4062172072137</v>
      </c>
      <c r="D3047" s="10"/>
      <c r="E3047" s="239"/>
      <c r="F3047" s="214"/>
      <c r="G3047" s="66" t="str">
        <f>HYPERLINK("https://ledvance.com/pt/product-datasheet/8066/133125","Ficha de Produto")</f>
        <v>Ficha de Produto</v>
      </c>
      <c r="H3047" s="34">
        <v>20</v>
      </c>
      <c r="I3047" s="34"/>
      <c r="J3047" s="34" t="s">
        <v>1109</v>
      </c>
      <c r="K3047" s="34" t="s">
        <v>788</v>
      </c>
      <c r="L3047" s="34" t="s">
        <v>765</v>
      </c>
      <c r="M3047" s="30">
        <v>249.5</v>
      </c>
      <c r="N3047" s="299" t="s">
        <v>721</v>
      </c>
    </row>
    <row r="3048" spans="1:14" s="32" customFormat="1" ht="14.25" customHeight="1">
      <c r="A3048" s="3" t="s">
        <v>754</v>
      </c>
      <c r="B3048" s="36" t="s">
        <v>634</v>
      </c>
      <c r="C3048" s="10">
        <v>4062172072199</v>
      </c>
      <c r="D3048" s="10"/>
      <c r="E3048" s="239"/>
      <c r="F3048" s="214"/>
      <c r="G3048" s="66" t="str">
        <f>HYPERLINK("https://ledvance.com/pt/product-datasheet/8067/133119","Ficha de Produto")</f>
        <v>Ficha de Produto</v>
      </c>
      <c r="H3048" s="34">
        <v>25</v>
      </c>
      <c r="I3048" s="34"/>
      <c r="J3048" s="34" t="s">
        <v>6504</v>
      </c>
      <c r="K3048" s="34" t="s">
        <v>788</v>
      </c>
      <c r="L3048" s="34" t="s">
        <v>765</v>
      </c>
      <c r="M3048" s="30">
        <v>136.1</v>
      </c>
      <c r="N3048" s="299" t="s">
        <v>721</v>
      </c>
    </row>
    <row r="3049" spans="1:14" s="32" customFormat="1" ht="14.25" customHeight="1">
      <c r="A3049" s="3" t="s">
        <v>754</v>
      </c>
      <c r="B3049" s="36" t="s">
        <v>635</v>
      </c>
      <c r="C3049" s="10">
        <v>4062172072212</v>
      </c>
      <c r="D3049" s="10"/>
      <c r="E3049" s="239"/>
      <c r="F3049" s="214"/>
      <c r="G3049" s="66" t="str">
        <f>HYPERLINK("https://ledvance.com/pt/product-datasheet/8068/133122","Ficha de Produto")</f>
        <v>Ficha de Produto</v>
      </c>
      <c r="H3049" s="34">
        <v>25</v>
      </c>
      <c r="I3049" s="34"/>
      <c r="J3049" s="34" t="s">
        <v>1110</v>
      </c>
      <c r="K3049" s="34" t="s">
        <v>788</v>
      </c>
      <c r="L3049" s="34" t="s">
        <v>765</v>
      </c>
      <c r="M3049" s="30">
        <v>150.4</v>
      </c>
      <c r="N3049" s="299" t="s">
        <v>721</v>
      </c>
    </row>
    <row r="3050" spans="1:14" s="32" customFormat="1" ht="14.25" customHeight="1" thickBot="1">
      <c r="A3050" s="5" t="s">
        <v>754</v>
      </c>
      <c r="B3050" s="282" t="s">
        <v>636</v>
      </c>
      <c r="C3050" s="42">
        <v>4062172087575</v>
      </c>
      <c r="D3050" s="42"/>
      <c r="E3050" s="43"/>
      <c r="F3050" s="45"/>
      <c r="G3050" s="207" t="str">
        <f>HYPERLINK("https://ledvance.com/pt/product-datasheet/8070/133116","Ficha de Produto")</f>
        <v>Ficha de Produto</v>
      </c>
      <c r="H3050" s="44">
        <v>60</v>
      </c>
      <c r="I3050" s="44"/>
      <c r="J3050" s="44" t="s">
        <v>1109</v>
      </c>
      <c r="K3050" s="44" t="s">
        <v>788</v>
      </c>
      <c r="L3050" s="44" t="s">
        <v>765</v>
      </c>
      <c r="M3050" s="31">
        <v>238.2</v>
      </c>
      <c r="N3050" s="301" t="s">
        <v>721</v>
      </c>
    </row>
    <row r="3051" spans="1:14" ht="18.75" customHeight="1"/>
    <row r="3052" spans="1:14">
      <c r="A3052" s="12" t="s">
        <v>760</v>
      </c>
    </row>
    <row r="3053" spans="1:14">
      <c r="A3053" s="13" t="s">
        <v>1241</v>
      </c>
    </row>
    <row r="3054" spans="1:14">
      <c r="A3054" s="13" t="s">
        <v>1242</v>
      </c>
    </row>
    <row r="3055" spans="1:14">
      <c r="A3055" s="13" t="s">
        <v>1243</v>
      </c>
    </row>
    <row r="3056" spans="1:14">
      <c r="A3056" s="13" t="s">
        <v>1248</v>
      </c>
    </row>
    <row r="3057" spans="1:12">
      <c r="A3057" s="13"/>
    </row>
    <row r="3058" spans="1:12">
      <c r="A3058" s="213" t="s">
        <v>1244</v>
      </c>
    </row>
    <row r="3059" spans="1:12">
      <c r="A3059" s="14" t="s">
        <v>1245</v>
      </c>
    </row>
    <row r="3060" spans="1:12">
      <c r="A3060" s="15" t="s">
        <v>1246</v>
      </c>
    </row>
    <row r="3061" spans="1:12">
      <c r="A3061" s="16" t="s">
        <v>1247</v>
      </c>
    </row>
    <row r="3062" spans="1:12">
      <c r="A3062" s="17" t="s">
        <v>761</v>
      </c>
    </row>
    <row r="3067" spans="1:12" ht="12" customHeight="1">
      <c r="A3067" s="12"/>
      <c r="C3067" s="4"/>
      <c r="D3067" s="4"/>
      <c r="H3067" s="4"/>
      <c r="I3067" s="4"/>
      <c r="J3067" s="4"/>
      <c r="K3067" s="4"/>
      <c r="L3067" s="4"/>
    </row>
    <row r="3068" spans="1:12" ht="12" customHeight="1">
      <c r="A3068" s="13"/>
      <c r="C3068" s="4"/>
      <c r="D3068" s="4"/>
      <c r="H3068" s="4"/>
      <c r="I3068" s="4"/>
      <c r="J3068" s="4"/>
      <c r="K3068" s="4"/>
      <c r="L3068" s="4"/>
    </row>
    <row r="3069" spans="1:12" ht="12" customHeight="1">
      <c r="A3069" s="13"/>
      <c r="C3069" s="4"/>
      <c r="D3069" s="4"/>
      <c r="H3069" s="4"/>
      <c r="I3069" s="4"/>
      <c r="J3069" s="4"/>
      <c r="K3069" s="4"/>
      <c r="L3069" s="4"/>
    </row>
    <row r="3070" spans="1:12" ht="12" customHeight="1">
      <c r="A3070" s="13"/>
      <c r="C3070" s="4"/>
      <c r="D3070" s="4"/>
      <c r="H3070" s="4"/>
      <c r="I3070" s="4"/>
      <c r="J3070" s="4"/>
      <c r="K3070" s="4"/>
      <c r="L3070" s="4"/>
    </row>
    <row r="3071" spans="1:12" ht="12" customHeight="1">
      <c r="A3071" s="13"/>
      <c r="C3071" s="4"/>
      <c r="D3071" s="4"/>
      <c r="H3071" s="4"/>
      <c r="I3071" s="4"/>
      <c r="J3071" s="4"/>
      <c r="K3071" s="4"/>
      <c r="L3071" s="4"/>
    </row>
    <row r="3072" spans="1:12" ht="12" customHeight="1">
      <c r="A3072" s="13"/>
      <c r="C3072" s="4"/>
      <c r="D3072" s="4"/>
      <c r="H3072" s="4"/>
      <c r="I3072" s="4"/>
      <c r="J3072" s="4"/>
      <c r="K3072" s="4"/>
      <c r="L3072" s="4"/>
    </row>
    <row r="3073" spans="1:12" ht="12" customHeight="1">
      <c r="A3073" s="302"/>
      <c r="C3073" s="4"/>
      <c r="D3073" s="4"/>
      <c r="H3073" s="4"/>
      <c r="I3073" s="4"/>
      <c r="J3073" s="4"/>
      <c r="K3073" s="4"/>
      <c r="L3073" s="4"/>
    </row>
    <row r="3074" spans="1:12" ht="12" customHeight="1">
      <c r="A3074" s="14"/>
      <c r="C3074" s="4"/>
      <c r="D3074" s="4"/>
      <c r="H3074" s="4"/>
      <c r="I3074" s="4"/>
      <c r="J3074" s="4"/>
      <c r="K3074" s="4"/>
      <c r="L3074" s="4"/>
    </row>
    <row r="3075" spans="1:12" ht="12" customHeight="1">
      <c r="A3075" s="15"/>
      <c r="C3075" s="4"/>
      <c r="D3075" s="4"/>
      <c r="H3075" s="4"/>
      <c r="I3075" s="4"/>
      <c r="J3075" s="4"/>
      <c r="K3075" s="4"/>
      <c r="L3075" s="4"/>
    </row>
    <row r="3076" spans="1:12" ht="12" customHeight="1">
      <c r="A3076" s="16"/>
      <c r="C3076" s="4"/>
      <c r="D3076" s="4"/>
      <c r="H3076" s="4"/>
      <c r="I3076" s="4"/>
      <c r="J3076" s="4"/>
      <c r="K3076" s="4"/>
      <c r="L3076" s="4"/>
    </row>
    <row r="3077" spans="1:12" ht="12" customHeight="1">
      <c r="A3077" s="17"/>
      <c r="C3077" s="4"/>
      <c r="D3077" s="4"/>
      <c r="H3077" s="4"/>
      <c r="I3077" s="4"/>
      <c r="J3077" s="4"/>
      <c r="K3077" s="4"/>
      <c r="L3077" s="4"/>
    </row>
    <row r="3078" spans="1:12" ht="12" customHeight="1">
      <c r="A3078" s="3"/>
      <c r="C3078" s="4"/>
      <c r="D3078" s="4"/>
      <c r="H3078" s="4"/>
      <c r="I3078" s="4"/>
      <c r="J3078" s="4"/>
      <c r="K3078" s="4"/>
      <c r="L3078" s="4"/>
    </row>
    <row r="3079" spans="1:12" ht="12" customHeight="1">
      <c r="A3079" s="3"/>
      <c r="C3079" s="4"/>
      <c r="D3079" s="4"/>
      <c r="H3079" s="4"/>
      <c r="I3079" s="4"/>
      <c r="J3079" s="4"/>
      <c r="K3079" s="4"/>
      <c r="L3079" s="4"/>
    </row>
    <row r="3080" spans="1:12" ht="12" customHeight="1">
      <c r="A3080" s="3"/>
      <c r="C3080" s="4"/>
      <c r="D3080" s="4"/>
      <c r="H3080" s="4"/>
      <c r="I3080" s="4"/>
      <c r="J3080" s="4"/>
      <c r="K3080" s="4"/>
      <c r="L3080" s="4"/>
    </row>
    <row r="3081" spans="1:12" ht="12" customHeight="1">
      <c r="A3081" s="3"/>
      <c r="C3081" s="4"/>
      <c r="D3081" s="4"/>
      <c r="H3081" s="4"/>
      <c r="I3081" s="4"/>
      <c r="J3081" s="4"/>
      <c r="K3081" s="4"/>
      <c r="L3081" s="4"/>
    </row>
    <row r="3082" spans="1:12" ht="12" customHeight="1">
      <c r="A3082" s="3"/>
      <c r="C3082" s="4"/>
      <c r="D3082" s="4"/>
      <c r="H3082" s="4"/>
      <c r="I3082" s="4"/>
      <c r="J3082" s="4"/>
      <c r="K3082" s="4"/>
      <c r="L3082" s="4"/>
    </row>
    <row r="3083" spans="1:12" ht="12" customHeight="1">
      <c r="A3083" s="3"/>
      <c r="C3083" s="4"/>
      <c r="D3083" s="4"/>
      <c r="H3083" s="4"/>
      <c r="I3083" s="4"/>
      <c r="J3083" s="4"/>
      <c r="K3083" s="4"/>
      <c r="L3083" s="4"/>
    </row>
  </sheetData>
  <mergeCells count="10">
    <mergeCell ref="A435:A436"/>
    <mergeCell ref="B435:B436"/>
    <mergeCell ref="F435:F436"/>
    <mergeCell ref="M435:M436"/>
    <mergeCell ref="C435:C436"/>
    <mergeCell ref="C438:C439"/>
    <mergeCell ref="A438:A439"/>
    <mergeCell ref="B438:B439"/>
    <mergeCell ref="F438:F439"/>
    <mergeCell ref="M438:M439"/>
  </mergeCells>
  <phoneticPr fontId="8" type="noConversion"/>
  <conditionalFormatting sqref="B1745">
    <cfRule type="cellIs" dxfId="460" priority="107" operator="equal">
      <formula>"NEW"</formula>
    </cfRule>
  </conditionalFormatting>
  <conditionalFormatting sqref="B2222">
    <cfRule type="cellIs" dxfId="459" priority="99" operator="equal">
      <formula>"NEW"</formula>
    </cfRule>
  </conditionalFormatting>
  <conditionalFormatting sqref="B2234">
    <cfRule type="cellIs" dxfId="458" priority="98" operator="equal">
      <formula>"NEW"</formula>
    </cfRule>
  </conditionalFormatting>
  <conditionalFormatting sqref="B2353">
    <cfRule type="cellIs" dxfId="457" priority="100" operator="equal">
      <formula>"NEW"</formula>
    </cfRule>
  </conditionalFormatting>
  <conditionalFormatting sqref="B2392">
    <cfRule type="cellIs" dxfId="456" priority="96" operator="equal">
      <formula>"NEW"</formula>
    </cfRule>
  </conditionalFormatting>
  <conditionalFormatting sqref="B2414">
    <cfRule type="cellIs" dxfId="455" priority="95" operator="equal">
      <formula>"NEW"</formula>
    </cfRule>
  </conditionalFormatting>
  <conditionalFormatting sqref="B2419">
    <cfRule type="cellIs" dxfId="454" priority="94" operator="equal">
      <formula>"NEW"</formula>
    </cfRule>
  </conditionalFormatting>
  <conditionalFormatting sqref="B2421">
    <cfRule type="cellIs" dxfId="453" priority="93" operator="equal">
      <formula>"NEW"</formula>
    </cfRule>
  </conditionalFormatting>
  <conditionalFormatting sqref="B2424">
    <cfRule type="cellIs" dxfId="452" priority="92" operator="equal">
      <formula>"NEW"</formula>
    </cfRule>
  </conditionalFormatting>
  <conditionalFormatting sqref="B2446">
    <cfRule type="cellIs" dxfId="451" priority="91" operator="equal">
      <formula>"NEW"</formula>
    </cfRule>
  </conditionalFormatting>
  <conditionalFormatting sqref="C13:C14">
    <cfRule type="duplicateValues" dxfId="450" priority="14836"/>
  </conditionalFormatting>
  <conditionalFormatting sqref="C15:C18 C1 C3 C5:C12">
    <cfRule type="duplicateValues" dxfId="449" priority="519"/>
  </conditionalFormatting>
  <conditionalFormatting sqref="C19:C43">
    <cfRule type="duplicateValues" dxfId="448" priority="513"/>
  </conditionalFormatting>
  <conditionalFormatting sqref="C44:C62">
    <cfRule type="duplicateValues" dxfId="447" priority="508"/>
  </conditionalFormatting>
  <conditionalFormatting sqref="C63:C86">
    <cfRule type="duplicateValues" dxfId="446" priority="502"/>
  </conditionalFormatting>
  <conditionalFormatting sqref="C87:C91">
    <cfRule type="duplicateValues" dxfId="445" priority="497"/>
  </conditionalFormatting>
  <conditionalFormatting sqref="C92:C104">
    <cfRule type="duplicateValues" dxfId="444" priority="492"/>
  </conditionalFormatting>
  <conditionalFormatting sqref="C105:C117">
    <cfRule type="duplicateValues" dxfId="443" priority="487"/>
  </conditionalFormatting>
  <conditionalFormatting sqref="C118:C130">
    <cfRule type="duplicateValues" dxfId="442" priority="482"/>
  </conditionalFormatting>
  <conditionalFormatting sqref="C131:C133">
    <cfRule type="duplicateValues" dxfId="441" priority="477"/>
  </conditionalFormatting>
  <conditionalFormatting sqref="C134:C138">
    <cfRule type="duplicateValues" dxfId="440" priority="472"/>
  </conditionalFormatting>
  <conditionalFormatting sqref="C139:C188">
    <cfRule type="duplicateValues" dxfId="439" priority="11941"/>
  </conditionalFormatting>
  <conditionalFormatting sqref="C180:C181">
    <cfRule type="duplicateValues" dxfId="438" priority="440"/>
    <cfRule type="duplicateValues" dxfId="437" priority="441"/>
  </conditionalFormatting>
  <conditionalFormatting sqref="C189:C191">
    <cfRule type="duplicateValues" dxfId="436" priority="435"/>
  </conditionalFormatting>
  <conditionalFormatting sqref="C192:C222">
    <cfRule type="duplicateValues" dxfId="435" priority="426"/>
  </conditionalFormatting>
  <conditionalFormatting sqref="C223:C225">
    <cfRule type="duplicateValues" dxfId="434" priority="421"/>
  </conditionalFormatting>
  <conditionalFormatting sqref="C226:C230 C232:C233 C238:C242 C244:C245 C248:C250 C252">
    <cfRule type="duplicateValues" dxfId="433" priority="412"/>
  </conditionalFormatting>
  <conditionalFormatting sqref="C251 C243 C231 C236:C237">
    <cfRule type="duplicateValues" dxfId="432" priority="11979"/>
  </conditionalFormatting>
  <conditionalFormatting sqref="C253 C246:C247 C234:C235">
    <cfRule type="duplicateValues" dxfId="431" priority="11950"/>
  </conditionalFormatting>
  <conditionalFormatting sqref="C254:C255">
    <cfRule type="duplicateValues" dxfId="430" priority="409"/>
  </conditionalFormatting>
  <conditionalFormatting sqref="C256:C263">
    <cfRule type="duplicateValues" dxfId="429" priority="404"/>
  </conditionalFormatting>
  <conditionalFormatting sqref="C264:C308">
    <cfRule type="duplicateValues" dxfId="428" priority="391"/>
  </conditionalFormatting>
  <conditionalFormatting sqref="C309:C313 C315:C317">
    <cfRule type="duplicateValues" dxfId="427" priority="388"/>
  </conditionalFormatting>
  <conditionalFormatting sqref="C314">
    <cfRule type="duplicateValues" dxfId="426" priority="385"/>
  </conditionalFormatting>
  <conditionalFormatting sqref="C318:C322">
    <cfRule type="duplicateValues" dxfId="425" priority="380"/>
  </conditionalFormatting>
  <conditionalFormatting sqref="C323:C325">
    <cfRule type="duplicateValues" dxfId="424" priority="377"/>
  </conditionalFormatting>
  <conditionalFormatting sqref="C326:C363">
    <cfRule type="duplicateValues" dxfId="423" priority="367"/>
  </conditionalFormatting>
  <conditionalFormatting sqref="C364:C397">
    <cfRule type="duplicateValues" dxfId="422" priority="12005"/>
  </conditionalFormatting>
  <conditionalFormatting sqref="C398:C405">
    <cfRule type="duplicateValues" dxfId="421" priority="354"/>
  </conditionalFormatting>
  <conditionalFormatting sqref="C411 C409 C407">
    <cfRule type="duplicateValues" dxfId="420" priority="12016"/>
  </conditionalFormatting>
  <conditionalFormatting sqref="C412:C425 C410 C408 C406">
    <cfRule type="duplicateValues" dxfId="419" priority="350"/>
  </conditionalFormatting>
  <conditionalFormatting sqref="C426:C430">
    <cfRule type="duplicateValues" dxfId="418" priority="343"/>
  </conditionalFormatting>
  <conditionalFormatting sqref="C431">
    <cfRule type="duplicateValues" dxfId="417" priority="201"/>
  </conditionalFormatting>
  <conditionalFormatting sqref="C432:C435 C437:C438 C440:C473">
    <cfRule type="duplicateValues" dxfId="416" priority="14885"/>
  </conditionalFormatting>
  <conditionalFormatting sqref="C474:C489">
    <cfRule type="duplicateValues" dxfId="415" priority="315"/>
  </conditionalFormatting>
  <conditionalFormatting sqref="C490:C510">
    <cfRule type="duplicateValues" dxfId="414" priority="15031"/>
  </conditionalFormatting>
  <conditionalFormatting sqref="C511:C537">
    <cfRule type="duplicateValues" dxfId="413" priority="305"/>
  </conditionalFormatting>
  <conditionalFormatting sqref="C538:C542">
    <cfRule type="duplicateValues" dxfId="412" priority="301"/>
  </conditionalFormatting>
  <conditionalFormatting sqref="C691:C701 C543:C685">
    <cfRule type="duplicateValues" dxfId="411" priority="14679"/>
  </conditionalFormatting>
  <conditionalFormatting sqref="C702:C712 C722:C772">
    <cfRule type="duplicateValues" dxfId="410" priority="14688"/>
  </conditionalFormatting>
  <conditionalFormatting sqref="C713:C721">
    <cfRule type="duplicateValues" dxfId="409" priority="278"/>
  </conditionalFormatting>
  <conditionalFormatting sqref="C773 C775 C777:C778">
    <cfRule type="duplicateValues" dxfId="408" priority="275"/>
  </conditionalFormatting>
  <conditionalFormatting sqref="C776 E776">
    <cfRule type="duplicateValues" dxfId="407" priority="9"/>
    <cfRule type="duplicateValues" dxfId="406" priority="10"/>
  </conditionalFormatting>
  <conditionalFormatting sqref="C779:C787">
    <cfRule type="duplicateValues" dxfId="405" priority="272"/>
  </conditionalFormatting>
  <conditionalFormatting sqref="C788:C792">
    <cfRule type="duplicateValues" dxfId="404" priority="269"/>
  </conditionalFormatting>
  <conditionalFormatting sqref="C810:C811 C793:C799 C804:C805">
    <cfRule type="duplicateValues" dxfId="403" priority="14702"/>
  </conditionalFormatting>
  <conditionalFormatting sqref="C812:C815 C806:C809 C800:C803">
    <cfRule type="duplicateValues" dxfId="402" priority="14703"/>
  </conditionalFormatting>
  <conditionalFormatting sqref="C816:C832">
    <cfRule type="duplicateValues" dxfId="401" priority="14705"/>
  </conditionalFormatting>
  <conditionalFormatting sqref="C833:C868">
    <cfRule type="duplicateValues" dxfId="400" priority="14708"/>
  </conditionalFormatting>
  <conditionalFormatting sqref="C869:C886">
    <cfRule type="duplicateValues" dxfId="399" priority="236"/>
  </conditionalFormatting>
  <conditionalFormatting sqref="C887:C933">
    <cfRule type="duplicateValues" dxfId="398" priority="14821"/>
  </conditionalFormatting>
  <conditionalFormatting sqref="C930">
    <cfRule type="duplicateValues" dxfId="397" priority="228"/>
  </conditionalFormatting>
  <conditionalFormatting sqref="C934:C1005">
    <cfRule type="duplicateValues" dxfId="396" priority="213"/>
  </conditionalFormatting>
  <conditionalFormatting sqref="C1006:C1100">
    <cfRule type="duplicateValues" dxfId="395" priority="210"/>
  </conditionalFormatting>
  <conditionalFormatting sqref="C1101:C1107">
    <cfRule type="duplicateValues" dxfId="394" priority="207"/>
  </conditionalFormatting>
  <conditionalFormatting sqref="C1108:C1124">
    <cfRule type="duplicateValues" dxfId="393" priority="194"/>
  </conditionalFormatting>
  <conditionalFormatting sqref="C1125:C1137">
    <cfRule type="duplicateValues" dxfId="392" priority="191"/>
  </conditionalFormatting>
  <conditionalFormatting sqref="C1138:C1168">
    <cfRule type="duplicateValues" dxfId="391" priority="14848"/>
  </conditionalFormatting>
  <conditionalFormatting sqref="C1169:C1171">
    <cfRule type="duplicateValues" dxfId="390" priority="185"/>
  </conditionalFormatting>
  <conditionalFormatting sqref="C1172:C1198">
    <cfRule type="duplicateValues" dxfId="389" priority="14859"/>
  </conditionalFormatting>
  <conditionalFormatting sqref="C1199:C1214">
    <cfRule type="duplicateValues" dxfId="388" priority="168"/>
  </conditionalFormatting>
  <conditionalFormatting sqref="C1215:C1216">
    <cfRule type="duplicateValues" dxfId="387" priority="162"/>
  </conditionalFormatting>
  <conditionalFormatting sqref="C1217">
    <cfRule type="duplicateValues" dxfId="386" priority="156"/>
  </conditionalFormatting>
  <conditionalFormatting sqref="C1218:C1221">
    <cfRule type="duplicateValues" dxfId="385" priority="14872"/>
  </conditionalFormatting>
  <conditionalFormatting sqref="C1222:C1232">
    <cfRule type="duplicateValues" dxfId="384" priority="14884"/>
  </conditionalFormatting>
  <conditionalFormatting sqref="C1233:C1340">
    <cfRule type="duplicateValues" dxfId="383" priority="138"/>
  </conditionalFormatting>
  <conditionalFormatting sqref="C1341:C1469">
    <cfRule type="duplicateValues" dxfId="382" priority="119"/>
  </conditionalFormatting>
  <conditionalFormatting sqref="C1470:C1515">
    <cfRule type="duplicateValues" dxfId="381" priority="14937"/>
  </conditionalFormatting>
  <conditionalFormatting sqref="C1494:C1497">
    <cfRule type="duplicateValues" dxfId="380" priority="14912"/>
    <cfRule type="duplicateValues" dxfId="379" priority="14913"/>
  </conditionalFormatting>
  <conditionalFormatting sqref="C1511 E1511 C1512:D1515 C1470:E1493 C1498:E1510 D1494:D1497">
    <cfRule type="duplicateValues" dxfId="378" priority="117"/>
  </conditionalFormatting>
  <conditionalFormatting sqref="C1511 E1511 C1512:D1515 C1498:E1510 D1494:D1497 C1470:E1493">
    <cfRule type="duplicateValues" dxfId="377" priority="118"/>
  </conditionalFormatting>
  <conditionalFormatting sqref="C1516:C1741">
    <cfRule type="duplicateValues" dxfId="376" priority="109"/>
  </conditionalFormatting>
  <conditionalFormatting sqref="C1734:C1741">
    <cfRule type="duplicateValues" dxfId="375" priority="110"/>
  </conditionalFormatting>
  <conditionalFormatting sqref="C1742:C1744">
    <cfRule type="duplicateValues" dxfId="374" priority="108"/>
  </conditionalFormatting>
  <conditionalFormatting sqref="C1745:C1753">
    <cfRule type="duplicateValues" dxfId="373" priority="106"/>
  </conditionalFormatting>
  <conditionalFormatting sqref="C1754:C1822">
    <cfRule type="duplicateValues" dxfId="372" priority="105"/>
  </conditionalFormatting>
  <conditionalFormatting sqref="C1823:C1848">
    <cfRule type="duplicateValues" dxfId="371" priority="15150"/>
  </conditionalFormatting>
  <conditionalFormatting sqref="C1849:C2048">
    <cfRule type="duplicateValues" dxfId="370" priority="103"/>
  </conditionalFormatting>
  <conditionalFormatting sqref="C2049:C2161">
    <cfRule type="duplicateValues" dxfId="369" priority="102"/>
  </conditionalFormatting>
  <conditionalFormatting sqref="C2162:C2221">
    <cfRule type="duplicateValues" dxfId="368" priority="101"/>
  </conditionalFormatting>
  <conditionalFormatting sqref="C2222:C2382">
    <cfRule type="duplicateValues" dxfId="367" priority="97"/>
  </conditionalFormatting>
  <conditionalFormatting sqref="C2383:C2509">
    <cfRule type="duplicateValues" dxfId="366" priority="89"/>
  </conditionalFormatting>
  <conditionalFormatting sqref="C2510:C2594 C2596:C2600 C2602:C2603 C2605:C2715 C2717:C2804 C2806:C2816">
    <cfRule type="duplicateValues" dxfId="365" priority="87"/>
  </conditionalFormatting>
  <conditionalFormatting sqref="C2817:C2880 C2882:C2913">
    <cfRule type="duplicateValues" dxfId="364" priority="85"/>
  </conditionalFormatting>
  <conditionalFormatting sqref="C2914:C2924 C2932 C2930 C2928 C2926">
    <cfRule type="duplicateValues" dxfId="363" priority="14995"/>
  </conditionalFormatting>
  <conditionalFormatting sqref="C2925">
    <cfRule type="duplicateValues" dxfId="362" priority="78"/>
  </conditionalFormatting>
  <conditionalFormatting sqref="C2933:C2935">
    <cfRule type="duplicateValues" dxfId="361" priority="15056"/>
  </conditionalFormatting>
  <conditionalFormatting sqref="C2936:C2945">
    <cfRule type="duplicateValues" dxfId="360" priority="71"/>
  </conditionalFormatting>
  <conditionalFormatting sqref="C2946:C2948">
    <cfRule type="duplicateValues" dxfId="359" priority="68"/>
  </conditionalFormatting>
  <conditionalFormatting sqref="C2949:C2954">
    <cfRule type="duplicateValues" dxfId="358" priority="64"/>
  </conditionalFormatting>
  <conditionalFormatting sqref="C2955:C2962">
    <cfRule type="duplicateValues" dxfId="357" priority="14945"/>
  </conditionalFormatting>
  <conditionalFormatting sqref="C2963:C2966 C2968:C2972">
    <cfRule type="duplicateValues" dxfId="356" priority="15143"/>
  </conditionalFormatting>
  <conditionalFormatting sqref="C2973">
    <cfRule type="duplicateValues" dxfId="355" priority="2"/>
  </conditionalFormatting>
  <conditionalFormatting sqref="C2974:C2978">
    <cfRule type="duplicateValues" dxfId="354" priority="1"/>
  </conditionalFormatting>
  <conditionalFormatting sqref="C2979">
    <cfRule type="duplicateValues" dxfId="353" priority="40"/>
  </conditionalFormatting>
  <conditionalFormatting sqref="C2987:C2991 C2980:C2984">
    <cfRule type="duplicateValues" dxfId="352" priority="5"/>
    <cfRule type="duplicateValues" dxfId="351" priority="6"/>
  </conditionalFormatting>
  <conditionalFormatting sqref="C2992 C2994:C2996">
    <cfRule type="duplicateValues" dxfId="350" priority="15041"/>
  </conditionalFormatting>
  <conditionalFormatting sqref="C2994:C3051 C1 C2596:C2600 C2602:C2603 C2605:C2715 C2717:C2804 C2806:C2880 C2882:C2966 C691:C773 C775 C777:C2594 C3067:C1048576 C2968:C2992 C3 C5:C435 C437:C438 C440:C685">
    <cfRule type="duplicateValues" dxfId="349" priority="15118"/>
  </conditionalFormatting>
  <conditionalFormatting sqref="C3018:C3039 C3000:C3016 C2997:C2998 C3046:C3050">
    <cfRule type="duplicateValues" dxfId="348" priority="14974"/>
  </conditionalFormatting>
  <conditionalFormatting sqref="C3040:C3045 C2931 C2929 C2927 C2999 C3017 C2980:C2991">
    <cfRule type="duplicateValues" dxfId="347" priority="15142"/>
  </conditionalFormatting>
  <conditionalFormatting sqref="C3040:C3045">
    <cfRule type="duplicateValues" dxfId="346" priority="14959"/>
    <cfRule type="duplicateValues" dxfId="345" priority="14960"/>
  </conditionalFormatting>
  <conditionalFormatting sqref="C3067:C3083">
    <cfRule type="duplicateValues" dxfId="344" priority="34"/>
  </conditionalFormatting>
  <conditionalFormatting sqref="C12:E12">
    <cfRule type="duplicateValues" dxfId="343" priority="520"/>
  </conditionalFormatting>
  <conditionalFormatting sqref="C13:E14">
    <cfRule type="duplicateValues" dxfId="342" priority="14832"/>
  </conditionalFormatting>
  <conditionalFormatting sqref="C15:E18 C1:E1 C3 C5:E11">
    <cfRule type="duplicateValues" dxfId="341" priority="521"/>
  </conditionalFormatting>
  <conditionalFormatting sqref="C15:E18 C1:E1 C3 C5:E12">
    <cfRule type="duplicateValues" dxfId="340" priority="522"/>
  </conditionalFormatting>
  <conditionalFormatting sqref="C19:E19">
    <cfRule type="duplicateValues" dxfId="339" priority="514"/>
  </conditionalFormatting>
  <conditionalFormatting sqref="C20:E43">
    <cfRule type="duplicateValues" dxfId="338" priority="515"/>
    <cfRule type="duplicateValues" dxfId="337" priority="516"/>
  </conditionalFormatting>
  <conditionalFormatting sqref="C44:E62">
    <cfRule type="duplicateValues" dxfId="336" priority="509"/>
    <cfRule type="duplicateValues" dxfId="335" priority="510"/>
  </conditionalFormatting>
  <conditionalFormatting sqref="C63:E63">
    <cfRule type="duplicateValues" dxfId="334" priority="503"/>
  </conditionalFormatting>
  <conditionalFormatting sqref="C63:E86">
    <cfRule type="duplicateValues" dxfId="333" priority="505"/>
  </conditionalFormatting>
  <conditionalFormatting sqref="C64:E86">
    <cfRule type="duplicateValues" dxfId="332" priority="504"/>
  </conditionalFormatting>
  <conditionalFormatting sqref="C87:E91">
    <cfRule type="duplicateValues" dxfId="331" priority="498"/>
    <cfRule type="duplicateValues" dxfId="330" priority="499"/>
  </conditionalFormatting>
  <conditionalFormatting sqref="C92:E104">
    <cfRule type="duplicateValues" dxfId="329" priority="493"/>
    <cfRule type="duplicateValues" dxfId="328" priority="494"/>
  </conditionalFormatting>
  <conditionalFormatting sqref="C105:E117">
    <cfRule type="duplicateValues" dxfId="327" priority="488"/>
    <cfRule type="duplicateValues" dxfId="326" priority="489"/>
  </conditionalFormatting>
  <conditionalFormatting sqref="C118:E118">
    <cfRule type="duplicateValues" dxfId="325" priority="483"/>
    <cfRule type="duplicateValues" dxfId="324" priority="484"/>
  </conditionalFormatting>
  <conditionalFormatting sqref="C131:E133">
    <cfRule type="duplicateValues" dxfId="323" priority="478"/>
    <cfRule type="duplicateValues" dxfId="322" priority="479"/>
  </conditionalFormatting>
  <conditionalFormatting sqref="C134:E138">
    <cfRule type="duplicateValues" dxfId="321" priority="473"/>
    <cfRule type="duplicateValues" dxfId="320" priority="474"/>
  </conditionalFormatting>
  <conditionalFormatting sqref="C139:E139">
    <cfRule type="duplicateValues" dxfId="319" priority="445"/>
  </conditionalFormatting>
  <conditionalFormatting sqref="C139:E179 C182:E187">
    <cfRule type="duplicateValues" dxfId="318" priority="11940"/>
  </conditionalFormatting>
  <conditionalFormatting sqref="C140:E145">
    <cfRule type="duplicateValues" dxfId="317" priority="450"/>
  </conditionalFormatting>
  <conditionalFormatting sqref="C146:E146">
    <cfRule type="duplicateValues" dxfId="316" priority="446"/>
  </conditionalFormatting>
  <conditionalFormatting sqref="C147:E151">
    <cfRule type="duplicateValues" dxfId="315" priority="451"/>
  </conditionalFormatting>
  <conditionalFormatting sqref="C152:E152">
    <cfRule type="duplicateValues" dxfId="314" priority="444"/>
  </conditionalFormatting>
  <conditionalFormatting sqref="C153:E158">
    <cfRule type="duplicateValues" dxfId="313" priority="452"/>
  </conditionalFormatting>
  <conditionalFormatting sqref="C159:E159">
    <cfRule type="duplicateValues" dxfId="312" priority="447"/>
  </conditionalFormatting>
  <conditionalFormatting sqref="C160:E165">
    <cfRule type="duplicateValues" dxfId="311" priority="453"/>
  </conditionalFormatting>
  <conditionalFormatting sqref="C166:E166">
    <cfRule type="duplicateValues" dxfId="310" priority="448"/>
  </conditionalFormatting>
  <conditionalFormatting sqref="C167:E178">
    <cfRule type="duplicateValues" dxfId="309" priority="454"/>
  </conditionalFormatting>
  <conditionalFormatting sqref="C179:E179">
    <cfRule type="duplicateValues" dxfId="308" priority="449"/>
  </conditionalFormatting>
  <conditionalFormatting sqref="C182:E187">
    <cfRule type="duplicateValues" dxfId="307" priority="455"/>
  </conditionalFormatting>
  <conditionalFormatting sqref="C189:E191">
    <cfRule type="duplicateValues" dxfId="306" priority="436"/>
    <cfRule type="duplicateValues" dxfId="305" priority="437"/>
  </conditionalFormatting>
  <conditionalFormatting sqref="C192:E222">
    <cfRule type="duplicateValues" dxfId="304" priority="427"/>
    <cfRule type="duplicateValues" dxfId="303" priority="428"/>
  </conditionalFormatting>
  <conditionalFormatting sqref="C223:E225">
    <cfRule type="duplicateValues" dxfId="302" priority="422"/>
    <cfRule type="duplicateValues" dxfId="301" priority="423"/>
  </conditionalFormatting>
  <conditionalFormatting sqref="C226:E230 C232:E233 C238:E242 C244:E245 C248:E250 C252:E252">
    <cfRule type="duplicateValues" dxfId="300" priority="414"/>
  </conditionalFormatting>
  <conditionalFormatting sqref="C256:E256">
    <cfRule type="duplicateValues" dxfId="299" priority="405"/>
    <cfRule type="duplicateValues" dxfId="298" priority="406"/>
  </conditionalFormatting>
  <conditionalFormatting sqref="C264:E308">
    <cfRule type="duplicateValues" dxfId="297" priority="392"/>
    <cfRule type="duplicateValues" dxfId="296" priority="393"/>
  </conditionalFormatting>
  <conditionalFormatting sqref="C309:E313 C315:E317">
    <cfRule type="duplicateValues" dxfId="295" priority="390"/>
  </conditionalFormatting>
  <conditionalFormatting sqref="C309:E313">
    <cfRule type="duplicateValues" dxfId="294" priority="389"/>
  </conditionalFormatting>
  <conditionalFormatting sqref="C314:E314">
    <cfRule type="duplicateValues" dxfId="293" priority="386"/>
    <cfRule type="duplicateValues" dxfId="292" priority="387"/>
  </conditionalFormatting>
  <conditionalFormatting sqref="C318:E318">
    <cfRule type="duplicateValues" dxfId="291" priority="383"/>
    <cfRule type="duplicateValues" dxfId="290" priority="384"/>
  </conditionalFormatting>
  <conditionalFormatting sqref="C323:E323">
    <cfRule type="duplicateValues" dxfId="289" priority="378"/>
    <cfRule type="duplicateValues" dxfId="288" priority="379"/>
  </conditionalFormatting>
  <conditionalFormatting sqref="C326:E326">
    <cfRule type="duplicateValues" dxfId="287" priority="369"/>
  </conditionalFormatting>
  <conditionalFormatting sqref="C327:E331 C356:E363 C346:E351 C339:E344 C333:E337">
    <cfRule type="duplicateValues" dxfId="286" priority="376"/>
  </conditionalFormatting>
  <conditionalFormatting sqref="C327:E331">
    <cfRule type="duplicateValues" dxfId="285" priority="375"/>
  </conditionalFormatting>
  <conditionalFormatting sqref="C332:E332">
    <cfRule type="duplicateValues" dxfId="284" priority="370"/>
  </conditionalFormatting>
  <conditionalFormatting sqref="C338:E338">
    <cfRule type="duplicateValues" dxfId="283" priority="371"/>
  </conditionalFormatting>
  <conditionalFormatting sqref="C345:E345">
    <cfRule type="duplicateValues" dxfId="282" priority="372"/>
  </conditionalFormatting>
  <conditionalFormatting sqref="C352:E352">
    <cfRule type="duplicateValues" dxfId="281" priority="368"/>
  </conditionalFormatting>
  <conditionalFormatting sqref="C353:E354">
    <cfRule type="duplicateValues" dxfId="280" priority="374"/>
  </conditionalFormatting>
  <conditionalFormatting sqref="C355:E355">
    <cfRule type="duplicateValues" dxfId="279" priority="373"/>
  </conditionalFormatting>
  <conditionalFormatting sqref="C364:E364">
    <cfRule type="duplicateValues" dxfId="278" priority="359"/>
  </conditionalFormatting>
  <conditionalFormatting sqref="C371:E371">
    <cfRule type="duplicateValues" dxfId="277" priority="11992"/>
  </conditionalFormatting>
  <conditionalFormatting sqref="C375:E375 C379:E380">
    <cfRule type="duplicateValues" dxfId="276" priority="365"/>
  </conditionalFormatting>
  <conditionalFormatting sqref="C381:E383 C396:E397 C385:E388 C390:E391 C365:E370 C372:E374 C376:E378">
    <cfRule type="duplicateValues" dxfId="275" priority="11980"/>
  </conditionalFormatting>
  <conditionalFormatting sqref="C384:E384">
    <cfRule type="duplicateValues" dxfId="274" priority="360"/>
  </conditionalFormatting>
  <conditionalFormatting sqref="C389:E389">
    <cfRule type="duplicateValues" dxfId="273" priority="362"/>
  </conditionalFormatting>
  <conditionalFormatting sqref="C392:E392">
    <cfRule type="duplicateValues" dxfId="272" priority="363"/>
  </conditionalFormatting>
  <conditionalFormatting sqref="C395:E395">
    <cfRule type="duplicateValues" dxfId="271" priority="361"/>
  </conditionalFormatting>
  <conditionalFormatting sqref="C396:E397 C381:E383 C390:E391 C385:E388 C365:E370 C372:E374 C376:E378">
    <cfRule type="duplicateValues" dxfId="270" priority="11987"/>
  </conditionalFormatting>
  <conditionalFormatting sqref="C398:E398">
    <cfRule type="duplicateValues" dxfId="269" priority="356"/>
  </conditionalFormatting>
  <conditionalFormatting sqref="C402:E402">
    <cfRule type="duplicateValues" dxfId="268" priority="353"/>
  </conditionalFormatting>
  <conditionalFormatting sqref="C406:E406 C408:E408 C410:E410 C412:E425">
    <cfRule type="duplicateValues" dxfId="267" priority="352"/>
  </conditionalFormatting>
  <conditionalFormatting sqref="C426:E430">
    <cfRule type="duplicateValues" dxfId="266" priority="345"/>
  </conditionalFormatting>
  <conditionalFormatting sqref="C431:E431">
    <cfRule type="duplicateValues" dxfId="265" priority="202"/>
    <cfRule type="duplicateValues" dxfId="264" priority="203"/>
  </conditionalFormatting>
  <conditionalFormatting sqref="C432:E432">
    <cfRule type="duplicateValues" dxfId="263" priority="342"/>
  </conditionalFormatting>
  <conditionalFormatting sqref="C433:E433">
    <cfRule type="duplicateValues" dxfId="262" priority="12017"/>
  </conditionalFormatting>
  <conditionalFormatting sqref="C440:E440">
    <cfRule type="duplicateValues" dxfId="261" priority="320"/>
  </conditionalFormatting>
  <conditionalFormatting sqref="C445:E445">
    <cfRule type="duplicateValues" dxfId="260" priority="338"/>
  </conditionalFormatting>
  <conditionalFormatting sqref="C448:E448">
    <cfRule type="duplicateValues" dxfId="259" priority="336"/>
  </conditionalFormatting>
  <conditionalFormatting sqref="C451:E451">
    <cfRule type="duplicateValues" dxfId="258" priority="319"/>
  </conditionalFormatting>
  <conditionalFormatting sqref="C456:E456">
    <cfRule type="duplicateValues" dxfId="257" priority="337"/>
  </conditionalFormatting>
  <conditionalFormatting sqref="C461:E461">
    <cfRule type="duplicateValues" dxfId="256" priority="330"/>
  </conditionalFormatting>
  <conditionalFormatting sqref="C471:E473">
    <cfRule type="duplicateValues" dxfId="255" priority="334"/>
  </conditionalFormatting>
  <conditionalFormatting sqref="C474:E489">
    <cfRule type="duplicateValues" dxfId="254" priority="316"/>
    <cfRule type="duplicateValues" dxfId="253" priority="317"/>
  </conditionalFormatting>
  <conditionalFormatting sqref="C490:E490">
    <cfRule type="duplicateValues" dxfId="252" priority="313"/>
  </conditionalFormatting>
  <conditionalFormatting sqref="C497:E497">
    <cfRule type="duplicateValues" dxfId="251" priority="311"/>
  </conditionalFormatting>
  <conditionalFormatting sqref="C498:E503 C491:E496 C505:E510">
    <cfRule type="duplicateValues" dxfId="250" priority="15030"/>
  </conditionalFormatting>
  <conditionalFormatting sqref="C498:E503 C505:E510 C490:E496">
    <cfRule type="duplicateValues" dxfId="249" priority="15022"/>
  </conditionalFormatting>
  <conditionalFormatting sqref="C504:E504">
    <cfRule type="duplicateValues" dxfId="248" priority="312"/>
  </conditionalFormatting>
  <conditionalFormatting sqref="C511:E537">
    <cfRule type="duplicateValues" dxfId="247" priority="308"/>
  </conditionalFormatting>
  <conditionalFormatting sqref="C520:E521">
    <cfRule type="duplicateValues" dxfId="246" priority="306"/>
  </conditionalFormatting>
  <conditionalFormatting sqref="C522:E537 C511:E519">
    <cfRule type="duplicateValues" dxfId="245" priority="307"/>
  </conditionalFormatting>
  <conditionalFormatting sqref="C538:E538">
    <cfRule type="duplicateValues" dxfId="244" priority="302"/>
  </conditionalFormatting>
  <conditionalFormatting sqref="C538:E539 C541:E542">
    <cfRule type="duplicateValues" dxfId="243" priority="304"/>
  </conditionalFormatting>
  <conditionalFormatting sqref="C539:E539 C541:E542">
    <cfRule type="duplicateValues" dxfId="242" priority="303"/>
  </conditionalFormatting>
  <conditionalFormatting sqref="C544:E544 C546:E546 C548:E548 C552:E552 C554:E554 C556:E556 C558:E558 C566:E566 C568:E568 C570:E570 C572:E572 C574:E574 C576:E576 C580:E580 C582:E582 C584:E584 C560:E560 C562:E562">
    <cfRule type="duplicateValues" dxfId="241" priority="293"/>
  </conditionalFormatting>
  <conditionalFormatting sqref="C587:E587 C589:E589 C591:E591 C595:E595 C597:E597 C599:E599 C601:E601 C603:E603 C605:E605 C609:E609 C611:E611 C613:E613 C615:E615 C617:E617 C619:E619 C623:E623 C625:E625 C627:E627">
    <cfRule type="duplicateValues" dxfId="240" priority="294"/>
  </conditionalFormatting>
  <conditionalFormatting sqref="C630:E630 C632:E632 C634:E634 C638:E638 C640:E640 C642:E642 C644:E644 C646:E646 C648:E648 C652:E652 C654:E654 C656:E656 C658:E658 C660:E660 C662:E662 C666:E666 C668:E668 C670:E670">
    <cfRule type="duplicateValues" dxfId="239" priority="297"/>
  </conditionalFormatting>
  <conditionalFormatting sqref="C672:E672">
    <cfRule type="duplicateValues" dxfId="238" priority="286"/>
  </conditionalFormatting>
  <conditionalFormatting sqref="C673:E680">
    <cfRule type="duplicateValues" dxfId="237" priority="15437"/>
  </conditionalFormatting>
  <conditionalFormatting sqref="C681:E681">
    <cfRule type="duplicateValues" dxfId="236" priority="292"/>
  </conditionalFormatting>
  <conditionalFormatting sqref="C682:E685 C691:E701">
    <cfRule type="duplicateValues" dxfId="235" priority="298"/>
  </conditionalFormatting>
  <conditionalFormatting sqref="C686:E686">
    <cfRule type="duplicateValues" dxfId="234" priority="21"/>
    <cfRule type="duplicateValues" dxfId="233" priority="22"/>
  </conditionalFormatting>
  <conditionalFormatting sqref="C687:E687">
    <cfRule type="duplicateValues" dxfId="232" priority="19"/>
    <cfRule type="duplicateValues" dxfId="231" priority="20"/>
  </conditionalFormatting>
  <conditionalFormatting sqref="C688:E688">
    <cfRule type="duplicateValues" dxfId="230" priority="17"/>
    <cfRule type="duplicateValues" dxfId="229" priority="18"/>
  </conditionalFormatting>
  <conditionalFormatting sqref="C689:E689">
    <cfRule type="duplicateValues" dxfId="228" priority="15"/>
    <cfRule type="duplicateValues" dxfId="227" priority="16"/>
  </conditionalFormatting>
  <conditionalFormatting sqref="C690:E690">
    <cfRule type="duplicateValues" dxfId="226" priority="13"/>
    <cfRule type="duplicateValues" dxfId="225" priority="14"/>
  </conditionalFormatting>
  <conditionalFormatting sqref="C691:E701 C672:E685 C629:E630 C632:E632 C634:E634 C586:E587 C589:E589 C591:E591 C595:E595 C597:E597 C599:E599 C601:E601 C603:E603 C605:E605 C609:E609 C611:E611 C613:E613 C615:E615 C617:E617 C619:E619 C623:E623 C625:E625 C627:E627 C543:E544 C546:E546 C548:E548 C552:E552 C554:E554 C556:E556 C558:E558 C566:E566 C568:E568 C570:E570 C572:E572 C574:E574 C576:E576 C580:E580 C582:E582 C584:E584 C638:E638 C640:E640 C642:E642 C644:E644 C646:E646 C648:E648 C652:E652 C654:E654 C656:E656 C658:E658 C660:E660 C662:E662 C666:E666 C668:E668 C670:E670 C560:E560 C562:E562">
    <cfRule type="duplicateValues" dxfId="224" priority="299"/>
  </conditionalFormatting>
  <conditionalFormatting sqref="C702:E712 C722:E772">
    <cfRule type="duplicateValues" dxfId="223" priority="14685"/>
  </conditionalFormatting>
  <conditionalFormatting sqref="C713:E713">
    <cfRule type="duplicateValues" dxfId="222" priority="279"/>
  </conditionalFormatting>
  <conditionalFormatting sqref="C713:E721">
    <cfRule type="duplicateValues" dxfId="221" priority="281"/>
  </conditionalFormatting>
  <conditionalFormatting sqref="C714:E721">
    <cfRule type="duplicateValues" dxfId="220" priority="280"/>
  </conditionalFormatting>
  <conditionalFormatting sqref="C773:E773 C777:E778 C775 E775">
    <cfRule type="duplicateValues" dxfId="219" priority="276"/>
  </conditionalFormatting>
  <conditionalFormatting sqref="C774:E774">
    <cfRule type="duplicateValues" dxfId="218" priority="11"/>
    <cfRule type="duplicateValues" dxfId="217" priority="12"/>
  </conditionalFormatting>
  <conditionalFormatting sqref="C777:E778 C773:E773 C775 E775">
    <cfRule type="duplicateValues" dxfId="216" priority="277"/>
  </conditionalFormatting>
  <conditionalFormatting sqref="C779:E787">
    <cfRule type="duplicateValues" dxfId="215" priority="273"/>
    <cfRule type="duplicateValues" dxfId="214" priority="274"/>
  </conditionalFormatting>
  <conditionalFormatting sqref="C788:E792">
    <cfRule type="duplicateValues" dxfId="213" priority="270"/>
    <cfRule type="duplicateValues" dxfId="212" priority="271"/>
  </conditionalFormatting>
  <conditionalFormatting sqref="C793:E793">
    <cfRule type="duplicateValues" dxfId="211" priority="267"/>
    <cfRule type="duplicateValues" dxfId="210" priority="268"/>
  </conditionalFormatting>
  <conditionalFormatting sqref="C816:E816">
    <cfRule type="duplicateValues" dxfId="209" priority="258"/>
  </conditionalFormatting>
  <conditionalFormatting sqref="C823:E823">
    <cfRule type="duplicateValues" dxfId="208" priority="259"/>
    <cfRule type="duplicateValues" dxfId="207" priority="14704"/>
  </conditionalFormatting>
  <conditionalFormatting sqref="C828:E828">
    <cfRule type="duplicateValues" dxfId="206" priority="257"/>
  </conditionalFormatting>
  <conditionalFormatting sqref="C833:E868">
    <cfRule type="duplicateValues" dxfId="205" priority="14707"/>
  </conditionalFormatting>
  <conditionalFormatting sqref="C841:E841">
    <cfRule type="duplicateValues" dxfId="204" priority="242"/>
  </conditionalFormatting>
  <conditionalFormatting sqref="C842:E855">
    <cfRule type="duplicateValues" dxfId="203" priority="244"/>
  </conditionalFormatting>
  <conditionalFormatting sqref="C856:E860 C833:E840">
    <cfRule type="duplicateValues" dxfId="202" priority="246"/>
  </conditionalFormatting>
  <conditionalFormatting sqref="C861:E861">
    <cfRule type="duplicateValues" dxfId="201" priority="243"/>
  </conditionalFormatting>
  <conditionalFormatting sqref="C862:E868">
    <cfRule type="duplicateValues" dxfId="200" priority="14706"/>
  </conditionalFormatting>
  <conditionalFormatting sqref="C869:E869 C878:E878">
    <cfRule type="duplicateValues" dxfId="199" priority="239"/>
  </conditionalFormatting>
  <conditionalFormatting sqref="C869:E886">
    <cfRule type="duplicateValues" dxfId="198" priority="240"/>
  </conditionalFormatting>
  <conditionalFormatting sqref="C870:E877">
    <cfRule type="duplicateValues" dxfId="197" priority="238"/>
  </conditionalFormatting>
  <conditionalFormatting sqref="C879:E886">
    <cfRule type="duplicateValues" dxfId="196" priority="237"/>
  </conditionalFormatting>
  <conditionalFormatting sqref="C887:E887 C889:E890 C893:E894 C900:E902 C914:E915 C921:E923 C910:E911">
    <cfRule type="duplicateValues" dxfId="195" priority="14814"/>
  </conditionalFormatting>
  <conditionalFormatting sqref="C887:E887">
    <cfRule type="duplicateValues" dxfId="194" priority="229"/>
  </conditionalFormatting>
  <conditionalFormatting sqref="C908:E908">
    <cfRule type="duplicateValues" dxfId="193" priority="224"/>
    <cfRule type="duplicateValues" dxfId="192" priority="225"/>
  </conditionalFormatting>
  <conditionalFormatting sqref="C921:E923 C900:E902 C893:E894 C889:E890 C914:E915 C910:E911">
    <cfRule type="duplicateValues" dxfId="191" priority="14812"/>
  </conditionalFormatting>
  <conditionalFormatting sqref="C929:E929">
    <cfRule type="duplicateValues" dxfId="190" priority="234"/>
  </conditionalFormatting>
  <conditionalFormatting sqref="C934:E944 C956:E966 C978:E984 C992:E998">
    <cfRule type="duplicateValues" dxfId="189" priority="222"/>
  </conditionalFormatting>
  <conditionalFormatting sqref="C934:E1005">
    <cfRule type="duplicateValues" dxfId="188" priority="223"/>
  </conditionalFormatting>
  <conditionalFormatting sqref="C945:E945">
    <cfRule type="duplicateValues" dxfId="187" priority="214"/>
  </conditionalFormatting>
  <conditionalFormatting sqref="C946:E955">
    <cfRule type="duplicateValues" dxfId="186" priority="218"/>
  </conditionalFormatting>
  <conditionalFormatting sqref="C967:E967">
    <cfRule type="duplicateValues" dxfId="185" priority="215"/>
  </conditionalFormatting>
  <conditionalFormatting sqref="C968:E977">
    <cfRule type="duplicateValues" dxfId="184" priority="219"/>
  </conditionalFormatting>
  <conditionalFormatting sqref="C985:E985">
    <cfRule type="duplicateValues" dxfId="183" priority="216"/>
  </conditionalFormatting>
  <conditionalFormatting sqref="C986:E991">
    <cfRule type="duplicateValues" dxfId="182" priority="220"/>
  </conditionalFormatting>
  <conditionalFormatting sqref="C999:E999">
    <cfRule type="duplicateValues" dxfId="181" priority="217"/>
  </conditionalFormatting>
  <conditionalFormatting sqref="C1000:E1005">
    <cfRule type="duplicateValues" dxfId="180" priority="221"/>
  </conditionalFormatting>
  <conditionalFormatting sqref="C1006:E1100">
    <cfRule type="duplicateValues" dxfId="179" priority="211"/>
    <cfRule type="duplicateValues" dxfId="178" priority="212"/>
  </conditionalFormatting>
  <conditionalFormatting sqref="C1101:E1107">
    <cfRule type="duplicateValues" dxfId="177" priority="208"/>
    <cfRule type="duplicateValues" dxfId="176" priority="209"/>
  </conditionalFormatting>
  <conditionalFormatting sqref="C1108:E1120">
    <cfRule type="duplicateValues" dxfId="175" priority="195"/>
  </conditionalFormatting>
  <conditionalFormatting sqref="C1108:E1124">
    <cfRule type="duplicateValues" dxfId="174" priority="197"/>
  </conditionalFormatting>
  <conditionalFormatting sqref="C1121:E1124">
    <cfRule type="duplicateValues" dxfId="173" priority="196"/>
  </conditionalFormatting>
  <conditionalFormatting sqref="C1125:E1137">
    <cfRule type="duplicateValues" dxfId="172" priority="192"/>
    <cfRule type="duplicateValues" dxfId="171" priority="193"/>
  </conditionalFormatting>
  <conditionalFormatting sqref="C1138:E1168">
    <cfRule type="duplicateValues" dxfId="170" priority="14843"/>
  </conditionalFormatting>
  <conditionalFormatting sqref="C1169:E1171">
    <cfRule type="duplicateValues" dxfId="169" priority="186"/>
    <cfRule type="duplicateValues" dxfId="168" priority="187"/>
  </conditionalFormatting>
  <conditionalFormatting sqref="C1172:E1172 C1180:E1180">
    <cfRule type="duplicateValues" dxfId="167" priority="183"/>
  </conditionalFormatting>
  <conditionalFormatting sqref="C1180:E1180">
    <cfRule type="duplicateValues" dxfId="166" priority="182"/>
  </conditionalFormatting>
  <conditionalFormatting sqref="C1197:E1197">
    <cfRule type="duplicateValues" dxfId="165" priority="181"/>
  </conditionalFormatting>
  <conditionalFormatting sqref="C1198:E1198">
    <cfRule type="duplicateValues" dxfId="164" priority="180"/>
  </conditionalFormatting>
  <conditionalFormatting sqref="C1199:E1199">
    <cfRule type="duplicateValues" dxfId="163" priority="170"/>
  </conditionalFormatting>
  <conditionalFormatting sqref="C1200:E1200">
    <cfRule type="duplicateValues" dxfId="162" priority="169"/>
  </conditionalFormatting>
  <conditionalFormatting sqref="C1200:E1214">
    <cfRule type="duplicateValues" dxfId="161" priority="172"/>
  </conditionalFormatting>
  <conditionalFormatting sqref="C1201:E1214">
    <cfRule type="duplicateValues" dxfId="160" priority="171"/>
  </conditionalFormatting>
  <conditionalFormatting sqref="C1215:E1216">
    <cfRule type="duplicateValues" dxfId="159" priority="163"/>
    <cfRule type="duplicateValues" dxfId="158" priority="164"/>
  </conditionalFormatting>
  <conditionalFormatting sqref="C1217:E1217">
    <cfRule type="duplicateValues" dxfId="157" priority="157"/>
    <cfRule type="duplicateValues" dxfId="156" priority="158"/>
  </conditionalFormatting>
  <conditionalFormatting sqref="C1218:E1221">
    <cfRule type="duplicateValues" dxfId="155" priority="14870"/>
  </conditionalFormatting>
  <conditionalFormatting sqref="C1222:E1222">
    <cfRule type="duplicateValues" dxfId="154" priority="154"/>
  </conditionalFormatting>
  <conditionalFormatting sqref="C1226:E1226">
    <cfRule type="duplicateValues" dxfId="153" priority="149"/>
    <cfRule type="duplicateValues" dxfId="152" priority="150"/>
  </conditionalFormatting>
  <conditionalFormatting sqref="C1227:E1232 C1222:E1222">
    <cfRule type="duplicateValues" dxfId="151" priority="155"/>
  </conditionalFormatting>
  <conditionalFormatting sqref="C1233:E1340">
    <cfRule type="duplicateValues" dxfId="150" priority="148"/>
  </conditionalFormatting>
  <conditionalFormatting sqref="C1242:E1242">
    <cfRule type="duplicateValues" dxfId="149" priority="139"/>
  </conditionalFormatting>
  <conditionalFormatting sqref="C1243:E1258">
    <cfRule type="duplicateValues" dxfId="148" priority="141"/>
  </conditionalFormatting>
  <conditionalFormatting sqref="C1259:E1259">
    <cfRule type="duplicateValues" dxfId="147" priority="140"/>
  </conditionalFormatting>
  <conditionalFormatting sqref="C1260:E1275">
    <cfRule type="duplicateValues" dxfId="146" priority="142"/>
  </conditionalFormatting>
  <conditionalFormatting sqref="C1285:E1285">
    <cfRule type="duplicateValues" dxfId="145" priority="143"/>
  </conditionalFormatting>
  <conditionalFormatting sqref="C1286:E1301">
    <cfRule type="duplicateValues" dxfId="144" priority="145"/>
  </conditionalFormatting>
  <conditionalFormatting sqref="C1302:E1302">
    <cfRule type="duplicateValues" dxfId="143" priority="144"/>
  </conditionalFormatting>
  <conditionalFormatting sqref="C1303:E1318">
    <cfRule type="duplicateValues" dxfId="142" priority="146"/>
  </conditionalFormatting>
  <conditionalFormatting sqref="C1319:E1340 C1276:E1284 C1233:E1241">
    <cfRule type="duplicateValues" dxfId="141" priority="147"/>
  </conditionalFormatting>
  <conditionalFormatting sqref="C1341:E1469">
    <cfRule type="duplicateValues" dxfId="140" priority="137"/>
  </conditionalFormatting>
  <conditionalFormatting sqref="C1342:E1347">
    <cfRule type="duplicateValues" dxfId="139" priority="125"/>
  </conditionalFormatting>
  <conditionalFormatting sqref="C1348:E1350">
    <cfRule type="duplicateValues" dxfId="138" priority="126"/>
  </conditionalFormatting>
  <conditionalFormatting sqref="C1351:E1356">
    <cfRule type="duplicateValues" dxfId="137" priority="127"/>
  </conditionalFormatting>
  <conditionalFormatting sqref="C1357:E1371 D1372">
    <cfRule type="duplicateValues" dxfId="136" priority="128"/>
  </conditionalFormatting>
  <conditionalFormatting sqref="C1372:E1372">
    <cfRule type="duplicateValues" dxfId="135" priority="129"/>
  </conditionalFormatting>
  <conditionalFormatting sqref="C1373:E1374">
    <cfRule type="duplicateValues" dxfId="134" priority="130"/>
  </conditionalFormatting>
  <conditionalFormatting sqref="C1375:E1375">
    <cfRule type="duplicateValues" dxfId="133" priority="131"/>
  </conditionalFormatting>
  <conditionalFormatting sqref="C1376:E1377">
    <cfRule type="duplicateValues" dxfId="132" priority="132"/>
  </conditionalFormatting>
  <conditionalFormatting sqref="C1378:E1378">
    <cfRule type="duplicateValues" dxfId="131" priority="135"/>
  </conditionalFormatting>
  <conditionalFormatting sqref="C1402:E1402">
    <cfRule type="duplicateValues" dxfId="130" priority="133"/>
  </conditionalFormatting>
  <conditionalFormatting sqref="C1403:E1448 C1379:E1401 C1341:E1341 C1450:E1469">
    <cfRule type="duplicateValues" dxfId="129" priority="136"/>
  </conditionalFormatting>
  <conditionalFormatting sqref="C1449:E1449">
    <cfRule type="duplicateValues" dxfId="128" priority="134"/>
  </conditionalFormatting>
  <conditionalFormatting sqref="C1516:E1516">
    <cfRule type="duplicateValues" dxfId="127" priority="111"/>
    <cfRule type="duplicateValues" dxfId="126" priority="112"/>
  </conditionalFormatting>
  <conditionalFormatting sqref="C2511:E2594 C2596:E2600 C2602:E2603 C2605:E2715 C2717:E2804 C2806:E2816">
    <cfRule type="duplicateValues" dxfId="125" priority="88"/>
  </conditionalFormatting>
  <conditionalFormatting sqref="C2595:E2595">
    <cfRule type="duplicateValues" dxfId="124" priority="32"/>
  </conditionalFormatting>
  <conditionalFormatting sqref="C2601:E2601">
    <cfRule type="duplicateValues" dxfId="123" priority="31"/>
  </conditionalFormatting>
  <conditionalFormatting sqref="C2604:E2604">
    <cfRule type="duplicateValues" dxfId="122" priority="30"/>
  </conditionalFormatting>
  <conditionalFormatting sqref="C2716:E2716">
    <cfRule type="duplicateValues" dxfId="121" priority="29"/>
  </conditionalFormatting>
  <conditionalFormatting sqref="C2805:E2805">
    <cfRule type="duplicateValues" dxfId="120" priority="28"/>
  </conditionalFormatting>
  <conditionalFormatting sqref="C2817:E2880 C2882:E2913">
    <cfRule type="duplicateValues" dxfId="119" priority="86"/>
  </conditionalFormatting>
  <conditionalFormatting sqref="C2881:E2881">
    <cfRule type="duplicateValues" dxfId="118" priority="27"/>
  </conditionalFormatting>
  <conditionalFormatting sqref="C2914:E2924">
    <cfRule type="duplicateValues" dxfId="117" priority="82"/>
  </conditionalFormatting>
  <conditionalFormatting sqref="C2925:E2925">
    <cfRule type="duplicateValues" dxfId="116" priority="79"/>
    <cfRule type="duplicateValues" dxfId="115" priority="80"/>
  </conditionalFormatting>
  <conditionalFormatting sqref="C2926:E2926 C2928:E2928 C2930:D2930 C2932:E2932">
    <cfRule type="duplicateValues" dxfId="114" priority="14991"/>
  </conditionalFormatting>
  <conditionalFormatting sqref="C2933:E2935">
    <cfRule type="duplicateValues" dxfId="113" priority="15067"/>
    <cfRule type="duplicateValues" dxfId="112" priority="15068"/>
  </conditionalFormatting>
  <conditionalFormatting sqref="C2936:E2940">
    <cfRule type="duplicateValues" dxfId="111" priority="73"/>
  </conditionalFormatting>
  <conditionalFormatting sqref="C2936:E2945">
    <cfRule type="duplicateValues" dxfId="110" priority="74"/>
  </conditionalFormatting>
  <conditionalFormatting sqref="C2941:E2945">
    <cfRule type="duplicateValues" dxfId="109" priority="72"/>
  </conditionalFormatting>
  <conditionalFormatting sqref="C2946:E2948">
    <cfRule type="duplicateValues" dxfId="108" priority="69"/>
    <cfRule type="duplicateValues" dxfId="107" priority="70"/>
  </conditionalFormatting>
  <conditionalFormatting sqref="C2949:E2949">
    <cfRule type="duplicateValues" dxfId="106" priority="65"/>
  </conditionalFormatting>
  <conditionalFormatting sqref="C2949:E2954">
    <cfRule type="duplicateValues" dxfId="105" priority="67"/>
  </conditionalFormatting>
  <conditionalFormatting sqref="C2950:E2954">
    <cfRule type="duplicateValues" dxfId="104" priority="66"/>
  </conditionalFormatting>
  <conditionalFormatting sqref="C2955:E2962">
    <cfRule type="duplicateValues" dxfId="103" priority="14943"/>
  </conditionalFormatting>
  <conditionalFormatting sqref="C2963:E2966 C2968:E2972">
    <cfRule type="duplicateValues" dxfId="102" priority="15149"/>
  </conditionalFormatting>
  <conditionalFormatting sqref="C2967:E2967">
    <cfRule type="duplicateValues" dxfId="101" priority="25"/>
    <cfRule type="duplicateValues" dxfId="100" priority="26"/>
  </conditionalFormatting>
  <conditionalFormatting sqref="C2973:E2973">
    <cfRule type="duplicateValues" dxfId="99" priority="3"/>
    <cfRule type="duplicateValues" dxfId="98" priority="4"/>
  </conditionalFormatting>
  <conditionalFormatting sqref="C2979:E2979">
    <cfRule type="duplicateValues" dxfId="97" priority="41"/>
    <cfRule type="duplicateValues" dxfId="96" priority="42"/>
  </conditionalFormatting>
  <conditionalFormatting sqref="C2992:E2992 C2994:E2996">
    <cfRule type="duplicateValues" dxfId="95" priority="15051"/>
    <cfRule type="duplicateValues" dxfId="94" priority="15052"/>
  </conditionalFormatting>
  <conditionalFormatting sqref="C2993:E2993">
    <cfRule type="duplicateValues" dxfId="93" priority="23"/>
    <cfRule type="duplicateValues" dxfId="92" priority="24"/>
  </conditionalFormatting>
  <conditionalFormatting sqref="C3018:E3039 C3000:E3016 C2997:E2998 C3046:E3050">
    <cfRule type="duplicateValues" dxfId="91" priority="14969"/>
  </conditionalFormatting>
  <conditionalFormatting sqref="C3067:E3083">
    <cfRule type="duplicateValues" dxfId="90" priority="35"/>
    <cfRule type="duplicateValues" dxfId="89" priority="36"/>
  </conditionalFormatting>
  <conditionalFormatting sqref="D319:D322">
    <cfRule type="duplicateValues" dxfId="88" priority="381"/>
    <cfRule type="duplicateValues" dxfId="87" priority="382"/>
  </conditionalFormatting>
  <conditionalFormatting sqref="D399:D401 D403:D405">
    <cfRule type="duplicateValues" dxfId="86" priority="355"/>
  </conditionalFormatting>
  <conditionalFormatting sqref="D435">
    <cfRule type="duplicateValues" dxfId="85" priority="328"/>
  </conditionalFormatting>
  <conditionalFormatting sqref="D462">
    <cfRule type="duplicateValues" dxfId="84" priority="326"/>
    <cfRule type="duplicateValues" dxfId="83" priority="327"/>
  </conditionalFormatting>
  <conditionalFormatting sqref="D463:D464">
    <cfRule type="duplicateValues" dxfId="82" priority="325"/>
  </conditionalFormatting>
  <conditionalFormatting sqref="D469:D470">
    <cfRule type="duplicateValues" dxfId="81" priority="323"/>
    <cfRule type="duplicateValues" dxfId="80" priority="324"/>
  </conditionalFormatting>
  <conditionalFormatting sqref="D810:D811 D794:D799 D804:D805">
    <cfRule type="duplicateValues" dxfId="79" priority="14696"/>
    <cfRule type="duplicateValues" dxfId="78" priority="14697"/>
  </conditionalFormatting>
  <conditionalFormatting sqref="D817:D822">
    <cfRule type="duplicateValues" dxfId="77" priority="253"/>
    <cfRule type="duplicateValues" dxfId="76" priority="254"/>
  </conditionalFormatting>
  <conditionalFormatting sqref="D1173:D1179">
    <cfRule type="duplicateValues" dxfId="75" priority="176"/>
    <cfRule type="duplicateValues" dxfId="74" priority="177"/>
  </conditionalFormatting>
  <conditionalFormatting sqref="D1181:D1184">
    <cfRule type="duplicateValues" dxfId="73" priority="14857"/>
    <cfRule type="duplicateValues" dxfId="72" priority="14858"/>
  </conditionalFormatting>
  <conditionalFormatting sqref="D1372">
    <cfRule type="duplicateValues" dxfId="71" priority="124"/>
  </conditionalFormatting>
  <conditionalFormatting sqref="D2479">
    <cfRule type="cellIs" dxfId="70" priority="90" operator="equal">
      <formula>"NEW"</formula>
    </cfRule>
  </conditionalFormatting>
  <conditionalFormatting sqref="D3017">
    <cfRule type="duplicateValues" dxfId="69" priority="47"/>
    <cfRule type="duplicateValues" dxfId="68" priority="48"/>
  </conditionalFormatting>
  <conditionalFormatting sqref="D929:E929 C929:C930">
    <cfRule type="duplicateValues" dxfId="67" priority="227"/>
  </conditionalFormatting>
  <conditionalFormatting sqref="D2987:E2991 D2974:E2978 D2980:E2984">
    <cfRule type="duplicateValues" dxfId="66" priority="8"/>
  </conditionalFormatting>
  <conditionalFormatting sqref="J543 C543:E543">
    <cfRule type="duplicateValues" dxfId="65" priority="288"/>
  </conditionalFormatting>
  <conditionalFormatting sqref="J586 C586:E586">
    <cfRule type="duplicateValues" dxfId="64" priority="289"/>
  </conditionalFormatting>
  <conditionalFormatting sqref="J629 C629:E629">
    <cfRule type="duplicateValues" dxfId="63" priority="291"/>
  </conditionalFormatting>
  <conditionalFormatting sqref="J672">
    <cfRule type="duplicateValues" dxfId="62" priority="290"/>
  </conditionalFormatting>
  <conditionalFormatting sqref="J681">
    <cfRule type="duplicateValues" dxfId="61" priority="287"/>
  </conditionalFormatting>
  <conditionalFormatting sqref="J1172 C1172:E1172">
    <cfRule type="duplicateValues" dxfId="60" priority="178"/>
  </conditionalFormatting>
  <conditionalFormatting sqref="M44">
    <cfRule type="duplicateValues" dxfId="59" priority="511"/>
    <cfRule type="duplicateValues" dxfId="58" priority="512"/>
  </conditionalFormatting>
  <conditionalFormatting sqref="M87">
    <cfRule type="duplicateValues" dxfId="57" priority="500"/>
    <cfRule type="duplicateValues" dxfId="56" priority="501"/>
  </conditionalFormatting>
  <conditionalFormatting sqref="M92">
    <cfRule type="duplicateValues" dxfId="55" priority="495"/>
    <cfRule type="duplicateValues" dxfId="54" priority="496"/>
  </conditionalFormatting>
  <conditionalFormatting sqref="M105">
    <cfRule type="duplicateValues" dxfId="53" priority="490"/>
    <cfRule type="duplicateValues" dxfId="52" priority="491"/>
  </conditionalFormatting>
  <conditionalFormatting sqref="M118">
    <cfRule type="duplicateValues" dxfId="51" priority="485"/>
    <cfRule type="duplicateValues" dxfId="50" priority="486"/>
  </conditionalFormatting>
  <conditionalFormatting sqref="M131">
    <cfRule type="duplicateValues" dxfId="49" priority="480"/>
    <cfRule type="duplicateValues" dxfId="48" priority="481"/>
  </conditionalFormatting>
  <conditionalFormatting sqref="M134">
    <cfRule type="duplicateValues" dxfId="47" priority="475"/>
    <cfRule type="duplicateValues" dxfId="46" priority="476"/>
  </conditionalFormatting>
  <conditionalFormatting sqref="M139">
    <cfRule type="duplicateValues" dxfId="45" priority="458"/>
    <cfRule type="duplicateValues" dxfId="44" priority="459"/>
  </conditionalFormatting>
  <conditionalFormatting sqref="M146">
    <cfRule type="duplicateValues" dxfId="43" priority="460"/>
    <cfRule type="duplicateValues" dxfId="42" priority="461"/>
  </conditionalFormatting>
  <conditionalFormatting sqref="M152">
    <cfRule type="duplicateValues" dxfId="41" priority="462"/>
    <cfRule type="duplicateValues" dxfId="40" priority="463"/>
  </conditionalFormatting>
  <conditionalFormatting sqref="M159">
    <cfRule type="duplicateValues" dxfId="39" priority="464"/>
    <cfRule type="duplicateValues" dxfId="38" priority="465"/>
  </conditionalFormatting>
  <conditionalFormatting sqref="M166">
    <cfRule type="duplicateValues" dxfId="37" priority="466"/>
    <cfRule type="duplicateValues" dxfId="36" priority="467"/>
  </conditionalFormatting>
  <conditionalFormatting sqref="M179">
    <cfRule type="duplicateValues" dxfId="35" priority="468"/>
    <cfRule type="duplicateValues" dxfId="34" priority="469"/>
  </conditionalFormatting>
  <conditionalFormatting sqref="M189">
    <cfRule type="duplicateValues" dxfId="33" priority="438"/>
    <cfRule type="duplicateValues" dxfId="32" priority="439"/>
  </conditionalFormatting>
  <conditionalFormatting sqref="M192">
    <cfRule type="duplicateValues" dxfId="31" priority="429"/>
    <cfRule type="duplicateValues" dxfId="30" priority="430"/>
  </conditionalFormatting>
  <conditionalFormatting sqref="M211">
    <cfRule type="duplicateValues" dxfId="29" priority="431"/>
    <cfRule type="duplicateValues" dxfId="28" priority="432"/>
  </conditionalFormatting>
  <conditionalFormatting sqref="M218">
    <cfRule type="duplicateValues" dxfId="27" priority="433"/>
    <cfRule type="duplicateValues" dxfId="26" priority="434"/>
  </conditionalFormatting>
  <conditionalFormatting sqref="M223">
    <cfRule type="duplicateValues" dxfId="25" priority="424"/>
    <cfRule type="duplicateValues" dxfId="24" priority="425"/>
  </conditionalFormatting>
  <conditionalFormatting sqref="M226">
    <cfRule type="duplicateValues" dxfId="23" priority="415"/>
    <cfRule type="duplicateValues" dxfId="22" priority="416"/>
  </conditionalFormatting>
  <conditionalFormatting sqref="M238">
    <cfRule type="duplicateValues" dxfId="21" priority="417"/>
    <cfRule type="duplicateValues" dxfId="20" priority="418"/>
  </conditionalFormatting>
  <conditionalFormatting sqref="M248">
    <cfRule type="duplicateValues" dxfId="19" priority="419"/>
    <cfRule type="duplicateValues" dxfId="18" priority="420"/>
  </conditionalFormatting>
  <conditionalFormatting sqref="M256">
    <cfRule type="duplicateValues" dxfId="17" priority="407"/>
    <cfRule type="duplicateValues" dxfId="16" priority="408"/>
  </conditionalFormatting>
  <conditionalFormatting sqref="M264">
    <cfRule type="duplicateValues" dxfId="15" priority="394"/>
    <cfRule type="duplicateValues" dxfId="14" priority="395"/>
  </conditionalFormatting>
  <conditionalFormatting sqref="M273">
    <cfRule type="duplicateValues" dxfId="13" priority="396"/>
    <cfRule type="duplicateValues" dxfId="12" priority="397"/>
  </conditionalFormatting>
  <conditionalFormatting sqref="M282">
    <cfRule type="duplicateValues" dxfId="11" priority="398"/>
    <cfRule type="duplicateValues" dxfId="10" priority="399"/>
  </conditionalFormatting>
  <conditionalFormatting sqref="M291">
    <cfRule type="duplicateValues" dxfId="9" priority="400"/>
    <cfRule type="duplicateValues" dxfId="8" priority="401"/>
  </conditionalFormatting>
  <conditionalFormatting sqref="M300">
    <cfRule type="duplicateValues" dxfId="7" priority="402"/>
    <cfRule type="duplicateValues" dxfId="6" priority="403"/>
  </conditionalFormatting>
  <conditionalFormatting sqref="M15:N15">
    <cfRule type="duplicateValues" dxfId="5" priority="523"/>
    <cfRule type="duplicateValues" dxfId="4" priority="524"/>
  </conditionalFormatting>
  <conditionalFormatting sqref="M19:N19">
    <cfRule type="duplicateValues" dxfId="3" priority="517"/>
    <cfRule type="duplicateValues" dxfId="2" priority="518"/>
  </conditionalFormatting>
  <conditionalFormatting sqref="M63:N63">
    <cfRule type="duplicateValues" dxfId="1" priority="506"/>
    <cfRule type="duplicateValues" dxfId="0" priority="507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60204-21CF-4981-B83D-20A36ADACDC1}">
  <dimension ref="A1:J1883"/>
  <sheetViews>
    <sheetView zoomScale="85" zoomScaleNormal="85" workbookViewId="0">
      <pane ySplit="2" topLeftCell="A3" activePane="bottomLeft" state="frozen"/>
      <selection pane="bottomLeft" activeCell="F9" sqref="F9"/>
    </sheetView>
  </sheetViews>
  <sheetFormatPr defaultColWidth="9.140625" defaultRowHeight="12.75"/>
  <cols>
    <col min="1" max="1" width="15.85546875" style="2" customWidth="1"/>
    <col min="2" max="2" width="45.28515625" style="193" customWidth="1"/>
    <col min="3" max="3" width="13.28515625" style="2" customWidth="1"/>
    <col min="4" max="4" width="22.85546875" style="2" customWidth="1"/>
    <col min="5" max="5" width="16.28515625" style="2" customWidth="1"/>
    <col min="6" max="6" width="22.42578125" style="2" customWidth="1"/>
    <col min="7" max="7" width="21.28515625" style="2" customWidth="1"/>
    <col min="8" max="8" width="18.85546875" style="2" customWidth="1"/>
    <col min="9" max="16384" width="9.140625" style="2"/>
  </cols>
  <sheetData>
    <row r="1" spans="1:10" ht="61.5" customHeight="1">
      <c r="A1" s="20" t="s">
        <v>6111</v>
      </c>
      <c r="B1" s="47"/>
      <c r="C1" s="48"/>
      <c r="D1" s="48"/>
      <c r="E1" s="48"/>
      <c r="F1" s="48"/>
      <c r="G1" s="49"/>
      <c r="H1" s="49"/>
      <c r="I1" s="146"/>
      <c r="J1" s="48"/>
    </row>
    <row r="2" spans="1:10" s="50" customFormat="1" ht="39" thickBot="1">
      <c r="A2" s="210" t="s">
        <v>4161</v>
      </c>
      <c r="B2" s="210" t="s">
        <v>4162</v>
      </c>
      <c r="C2" s="210" t="s">
        <v>4163</v>
      </c>
      <c r="D2" s="211" t="s">
        <v>4164</v>
      </c>
      <c r="E2" s="211" t="s">
        <v>3139</v>
      </c>
      <c r="F2" s="211" t="s">
        <v>4165</v>
      </c>
      <c r="G2" s="211" t="s">
        <v>4166</v>
      </c>
      <c r="H2" s="211" t="s">
        <v>4167</v>
      </c>
      <c r="I2" s="211" t="s">
        <v>6507</v>
      </c>
      <c r="J2" s="212" t="s">
        <v>8</v>
      </c>
    </row>
    <row r="3" spans="1:10" s="51" customFormat="1" ht="15" customHeight="1">
      <c r="A3" s="91" t="s">
        <v>4168</v>
      </c>
      <c r="B3" s="53"/>
      <c r="C3" s="54"/>
      <c r="D3" s="57"/>
      <c r="E3" s="57"/>
      <c r="F3" s="54"/>
      <c r="G3" s="93"/>
      <c r="H3" s="93"/>
      <c r="I3" s="57"/>
      <c r="J3" s="58"/>
    </row>
    <row r="4" spans="1:10" s="51" customFormat="1" ht="15" customHeight="1">
      <c r="A4" s="52" t="s">
        <v>4169</v>
      </c>
      <c r="B4" s="53"/>
      <c r="C4" s="54"/>
      <c r="D4" s="55"/>
      <c r="E4" s="55"/>
      <c r="F4" s="54"/>
      <c r="G4" s="56"/>
      <c r="H4" s="56"/>
      <c r="I4" s="57"/>
      <c r="J4" s="58"/>
    </row>
    <row r="5" spans="1:10" s="51" customFormat="1" ht="15" customHeight="1">
      <c r="A5" s="59" t="s">
        <v>4170</v>
      </c>
      <c r="B5" s="53"/>
      <c r="C5" s="54"/>
      <c r="D5" s="56"/>
      <c r="E5" s="56"/>
      <c r="F5" s="54"/>
      <c r="G5" s="56"/>
      <c r="H5" s="56"/>
      <c r="I5" s="57"/>
      <c r="J5" s="58"/>
    </row>
    <row r="6" spans="1:10" ht="12" customHeight="1">
      <c r="A6" s="60">
        <v>4058075573727</v>
      </c>
      <c r="B6" s="61" t="s">
        <v>4929</v>
      </c>
      <c r="C6" s="62">
        <v>1</v>
      </c>
      <c r="D6" s="63" t="s">
        <v>4171</v>
      </c>
      <c r="E6" s="64" t="str">
        <f>HYPERLINK("https://ledvance.com/pt/product-datasheet/202363/122520","Ficha de Produto")</f>
        <v>Ficha de Produto</v>
      </c>
      <c r="F6" s="62"/>
      <c r="G6" s="65" t="s">
        <v>1761</v>
      </c>
      <c r="H6" s="62" t="s">
        <v>4930</v>
      </c>
      <c r="I6" s="30">
        <v>109.69999999999999</v>
      </c>
      <c r="J6" s="29" t="s">
        <v>721</v>
      </c>
    </row>
    <row r="7" spans="1:10" ht="12" customHeight="1">
      <c r="A7" s="60">
        <v>4058075573741</v>
      </c>
      <c r="B7" s="61" t="s">
        <v>4931</v>
      </c>
      <c r="C7" s="62">
        <v>1</v>
      </c>
      <c r="D7" s="63" t="s">
        <v>4171</v>
      </c>
      <c r="E7" s="66" t="str">
        <f>HYPERLINK("https://ledvance.com/pt/product-datasheet/202363/122523","Ficha de Produto")</f>
        <v>Ficha de Produto</v>
      </c>
      <c r="F7" s="62"/>
      <c r="G7" s="65" t="s">
        <v>1761</v>
      </c>
      <c r="H7" s="62" t="s">
        <v>4930</v>
      </c>
      <c r="I7" s="30">
        <v>109.69999999999999</v>
      </c>
      <c r="J7" s="29" t="s">
        <v>721</v>
      </c>
    </row>
    <row r="8" spans="1:10" s="51" customFormat="1" ht="15" customHeight="1">
      <c r="A8" s="59" t="s">
        <v>4172</v>
      </c>
      <c r="B8" s="67"/>
      <c r="C8" s="54"/>
      <c r="D8" s="56"/>
      <c r="E8" s="68"/>
      <c r="F8" s="54"/>
      <c r="G8" s="69"/>
      <c r="H8" s="85"/>
      <c r="I8" s="57"/>
      <c r="J8" s="58"/>
    </row>
    <row r="9" spans="1:10" ht="12" customHeight="1">
      <c r="A9" s="60">
        <v>4058075573772</v>
      </c>
      <c r="B9" s="61" t="s">
        <v>4932</v>
      </c>
      <c r="C9" s="62">
        <v>1</v>
      </c>
      <c r="D9" s="63" t="s">
        <v>4171</v>
      </c>
      <c r="E9" s="66" t="str">
        <f>HYPERLINK("https://ledvance.com/pt/product-datasheet/202360/122526","Ficha de Produto")</f>
        <v>Ficha de Produto</v>
      </c>
      <c r="F9" s="62"/>
      <c r="G9" s="65" t="s">
        <v>1746</v>
      </c>
      <c r="H9" s="62" t="s">
        <v>4930</v>
      </c>
      <c r="I9" s="30">
        <v>75.5</v>
      </c>
      <c r="J9" s="29" t="s">
        <v>721</v>
      </c>
    </row>
    <row r="10" spans="1:10" ht="12" customHeight="1">
      <c r="A10" s="60">
        <v>4058075573802</v>
      </c>
      <c r="B10" s="61" t="s">
        <v>4933</v>
      </c>
      <c r="C10" s="62">
        <v>1</v>
      </c>
      <c r="D10" s="63" t="s">
        <v>4171</v>
      </c>
      <c r="E10" s="66" t="str">
        <f>HYPERLINK("https://ledvance.com/pt/product-datasheet/202360/122529","Ficha de Produto")</f>
        <v>Ficha de Produto</v>
      </c>
      <c r="F10" s="62"/>
      <c r="G10" s="65" t="s">
        <v>4934</v>
      </c>
      <c r="H10" s="62" t="s">
        <v>4930</v>
      </c>
      <c r="I10" s="30">
        <v>89.199999999999989</v>
      </c>
      <c r="J10" s="29" t="s">
        <v>721</v>
      </c>
    </row>
    <row r="11" spans="1:10" ht="12" customHeight="1">
      <c r="A11" s="60">
        <v>4058075573857</v>
      </c>
      <c r="B11" s="61" t="s">
        <v>4935</v>
      </c>
      <c r="C11" s="62">
        <v>1</v>
      </c>
      <c r="D11" s="63" t="s">
        <v>4171</v>
      </c>
      <c r="E11" s="66" t="str">
        <f>HYPERLINK("https://ledvance.com/pt/product-datasheet/202360/112769","Ficha de Produto")</f>
        <v>Ficha de Produto</v>
      </c>
      <c r="F11" s="62"/>
      <c r="G11" s="65" t="s">
        <v>4936</v>
      </c>
      <c r="H11" s="62" t="s">
        <v>4930</v>
      </c>
      <c r="I11" s="30">
        <v>116.5</v>
      </c>
      <c r="J11" s="29" t="s">
        <v>721</v>
      </c>
    </row>
    <row r="12" spans="1:10" ht="12" customHeight="1">
      <c r="A12" s="60">
        <v>4058075573901</v>
      </c>
      <c r="B12" s="61" t="s">
        <v>4937</v>
      </c>
      <c r="C12" s="62">
        <v>1</v>
      </c>
      <c r="D12" s="63" t="s">
        <v>4171</v>
      </c>
      <c r="E12" s="66" t="str">
        <f>HYPERLINK("https://ledvance.com/pt/product-datasheet/202360/112772","Ficha de Produto")</f>
        <v>Ficha de Produto</v>
      </c>
      <c r="F12" s="62"/>
      <c r="G12" s="65" t="s">
        <v>4938</v>
      </c>
      <c r="H12" s="62" t="s">
        <v>4930</v>
      </c>
      <c r="I12" s="30">
        <v>137</v>
      </c>
      <c r="J12" s="29" t="s">
        <v>721</v>
      </c>
    </row>
    <row r="13" spans="1:10" s="51" customFormat="1" ht="15" customHeight="1">
      <c r="A13" s="59" t="s">
        <v>4173</v>
      </c>
      <c r="B13" s="67"/>
      <c r="C13" s="54"/>
      <c r="D13" s="56"/>
      <c r="E13" s="68"/>
      <c r="F13" s="54"/>
      <c r="G13" s="69"/>
      <c r="H13" s="85"/>
      <c r="I13" s="57"/>
      <c r="J13" s="58"/>
    </row>
    <row r="14" spans="1:10" ht="12" customHeight="1">
      <c r="A14" s="60">
        <v>4058075574359</v>
      </c>
      <c r="B14" s="61" t="s">
        <v>4939</v>
      </c>
      <c r="C14" s="62">
        <v>1</v>
      </c>
      <c r="D14" s="63" t="s">
        <v>4171</v>
      </c>
      <c r="E14" s="66" t="str">
        <f>HYPERLINK("https://ledvance.com/pt/product-datasheet/202362/112805","Ficha de Produto")</f>
        <v>Ficha de Produto</v>
      </c>
      <c r="F14" s="62"/>
      <c r="G14" s="65" t="s">
        <v>4940</v>
      </c>
      <c r="H14" s="62" t="s">
        <v>4930</v>
      </c>
      <c r="I14" s="30">
        <v>82.3</v>
      </c>
      <c r="J14" s="29" t="s">
        <v>721</v>
      </c>
    </row>
    <row r="15" spans="1:10" ht="12" customHeight="1">
      <c r="A15" s="60">
        <v>4058075574373</v>
      </c>
      <c r="B15" s="61" t="s">
        <v>4941</v>
      </c>
      <c r="C15" s="62">
        <v>1</v>
      </c>
      <c r="D15" s="63" t="s">
        <v>4171</v>
      </c>
      <c r="E15" s="66" t="str">
        <f>HYPERLINK("https://ledvance.com/pt/product-datasheet/202362/112808","Ficha de Produto")</f>
        <v>Ficha de Produto</v>
      </c>
      <c r="F15" s="62"/>
      <c r="G15" s="65" t="s">
        <v>4940</v>
      </c>
      <c r="H15" s="62" t="s">
        <v>4930</v>
      </c>
      <c r="I15" s="30">
        <v>68.699999999999989</v>
      </c>
      <c r="J15" s="29" t="s">
        <v>721</v>
      </c>
    </row>
    <row r="16" spans="1:10" ht="12" customHeight="1">
      <c r="A16" s="60">
        <v>4058075574410</v>
      </c>
      <c r="B16" s="61" t="s">
        <v>4942</v>
      </c>
      <c r="C16" s="62">
        <v>1</v>
      </c>
      <c r="D16" s="63" t="s">
        <v>4171</v>
      </c>
      <c r="E16" s="66" t="str">
        <f>HYPERLINK("https://ledvance.com/pt/product-datasheet/202362/112811","Ficha de Produto")</f>
        <v>Ficha de Produto</v>
      </c>
      <c r="F16" s="62"/>
      <c r="G16" s="65" t="s">
        <v>4940</v>
      </c>
      <c r="H16" s="62" t="s">
        <v>4930</v>
      </c>
      <c r="I16" s="30">
        <v>68.699999999999989</v>
      </c>
      <c r="J16" s="29" t="s">
        <v>721</v>
      </c>
    </row>
    <row r="17" spans="1:10" s="51" customFormat="1" ht="15" customHeight="1">
      <c r="A17" s="52" t="s">
        <v>4174</v>
      </c>
      <c r="B17" s="67"/>
      <c r="C17" s="54"/>
      <c r="D17" s="55"/>
      <c r="E17" s="68"/>
      <c r="F17" s="54"/>
      <c r="G17" s="69"/>
      <c r="H17" s="85"/>
      <c r="I17" s="57"/>
      <c r="J17" s="58"/>
    </row>
    <row r="18" spans="1:10" s="51" customFormat="1" ht="15" customHeight="1">
      <c r="A18" s="59" t="s">
        <v>4175</v>
      </c>
      <c r="B18" s="67"/>
      <c r="C18" s="54"/>
      <c r="D18" s="56"/>
      <c r="E18" s="68"/>
      <c r="F18" s="54"/>
      <c r="G18" s="69"/>
      <c r="H18" s="85"/>
      <c r="I18" s="57"/>
      <c r="J18" s="58"/>
    </row>
    <row r="19" spans="1:10" ht="12" customHeight="1">
      <c r="A19" s="60">
        <v>4058075573598</v>
      </c>
      <c r="B19" s="61" t="s">
        <v>4943</v>
      </c>
      <c r="C19" s="62">
        <v>1</v>
      </c>
      <c r="D19" s="63" t="s">
        <v>4171</v>
      </c>
      <c r="E19" s="70" t="str">
        <f>HYPERLINK("https://ledvance.com/pt/product-datasheet/202364/122502","Ficha de Produto")</f>
        <v>Ficha de Produto</v>
      </c>
      <c r="F19" s="62"/>
      <c r="G19" s="65" t="s">
        <v>1761</v>
      </c>
      <c r="H19" s="62" t="s">
        <v>4930</v>
      </c>
      <c r="I19" s="30">
        <v>109.69999999999999</v>
      </c>
      <c r="J19" s="29" t="s">
        <v>721</v>
      </c>
    </row>
    <row r="20" spans="1:10" ht="12" customHeight="1">
      <c r="A20" s="60">
        <v>4058075573611</v>
      </c>
      <c r="B20" s="61" t="s">
        <v>4944</v>
      </c>
      <c r="C20" s="62">
        <v>1</v>
      </c>
      <c r="D20" s="63" t="s">
        <v>4171</v>
      </c>
      <c r="E20" s="70" t="str">
        <f>HYPERLINK("https://ledvance.com/pt/product-datasheet/202364/122505","Ficha de Produto")</f>
        <v>Ficha de Produto</v>
      </c>
      <c r="F20" s="62"/>
      <c r="G20" s="65" t="s">
        <v>4945</v>
      </c>
      <c r="H20" s="62" t="s">
        <v>4930</v>
      </c>
      <c r="I20" s="30">
        <v>137</v>
      </c>
      <c r="J20" s="29" t="s">
        <v>721</v>
      </c>
    </row>
    <row r="21" spans="1:10" ht="12" customHeight="1">
      <c r="A21" s="60">
        <v>4058075573635</v>
      </c>
      <c r="B21" s="61" t="s">
        <v>4946</v>
      </c>
      <c r="C21" s="62">
        <v>1</v>
      </c>
      <c r="D21" s="63" t="s">
        <v>4171</v>
      </c>
      <c r="E21" s="70" t="str">
        <f>HYPERLINK("https://ledvance.com/pt/product-datasheet/202364/122508","Ficha de Produto")</f>
        <v>Ficha de Produto</v>
      </c>
      <c r="F21" s="62"/>
      <c r="G21" s="65" t="s">
        <v>1763</v>
      </c>
      <c r="H21" s="62" t="s">
        <v>4930</v>
      </c>
      <c r="I21" s="30">
        <v>164.29999999999998</v>
      </c>
      <c r="J21" s="29" t="s">
        <v>721</v>
      </c>
    </row>
    <row r="22" spans="1:10" s="51" customFormat="1" ht="15" customHeight="1">
      <c r="A22" s="52" t="s">
        <v>4176</v>
      </c>
      <c r="B22" s="67"/>
      <c r="C22" s="54"/>
      <c r="D22" s="55"/>
      <c r="E22" s="68"/>
      <c r="F22" s="54"/>
      <c r="G22" s="69"/>
      <c r="H22" s="85"/>
      <c r="I22" s="57"/>
      <c r="J22" s="58"/>
    </row>
    <row r="23" spans="1:10" s="51" customFormat="1" ht="15" customHeight="1">
      <c r="A23" s="59" t="s">
        <v>4177</v>
      </c>
      <c r="B23" s="67"/>
      <c r="C23" s="54"/>
      <c r="D23" s="56"/>
      <c r="E23" s="68"/>
      <c r="F23" s="54"/>
      <c r="G23" s="69"/>
      <c r="H23" s="85"/>
      <c r="I23" s="57"/>
      <c r="J23" s="58"/>
    </row>
    <row r="24" spans="1:10" ht="12" customHeight="1">
      <c r="A24" s="60">
        <v>4058075573659</v>
      </c>
      <c r="B24" s="61" t="s">
        <v>4947</v>
      </c>
      <c r="C24" s="62">
        <v>1</v>
      </c>
      <c r="D24" s="63" t="s">
        <v>4171</v>
      </c>
      <c r="E24" s="70" t="str">
        <f>HYPERLINK("https://ledvance.com/pt/product-datasheet/202358/122511","Ficha de Produto")</f>
        <v>Ficha de Produto</v>
      </c>
      <c r="F24" s="62"/>
      <c r="G24" s="65" t="s">
        <v>4934</v>
      </c>
      <c r="H24" s="62" t="s">
        <v>4930</v>
      </c>
      <c r="I24" s="30">
        <v>75.5</v>
      </c>
      <c r="J24" s="29" t="s">
        <v>721</v>
      </c>
    </row>
    <row r="25" spans="1:10" ht="12" customHeight="1">
      <c r="A25" s="60">
        <v>4058075573680</v>
      </c>
      <c r="B25" s="61" t="s">
        <v>4948</v>
      </c>
      <c r="C25" s="62">
        <v>1</v>
      </c>
      <c r="D25" s="63" t="s">
        <v>4171</v>
      </c>
      <c r="E25" s="70" t="str">
        <f>HYPERLINK("https://ledvance.com/pt/product-datasheet/202358/122514","Ficha de Produto")</f>
        <v>Ficha de Produto</v>
      </c>
      <c r="F25" s="62"/>
      <c r="G25" s="65" t="s">
        <v>4949</v>
      </c>
      <c r="H25" s="62" t="s">
        <v>4930</v>
      </c>
      <c r="I25" s="30">
        <v>89.199999999999989</v>
      </c>
      <c r="J25" s="29" t="s">
        <v>721</v>
      </c>
    </row>
    <row r="26" spans="1:10" ht="12" customHeight="1">
      <c r="A26" s="60">
        <v>4058075573703</v>
      </c>
      <c r="B26" s="61" t="s">
        <v>4950</v>
      </c>
      <c r="C26" s="62">
        <v>1</v>
      </c>
      <c r="D26" s="63" t="s">
        <v>4171</v>
      </c>
      <c r="E26" s="70" t="str">
        <f>HYPERLINK("https://ledvance.com/pt/product-datasheet/202358/122517","Ficha de Produto")</f>
        <v>Ficha de Produto</v>
      </c>
      <c r="F26" s="62"/>
      <c r="G26" s="65" t="s">
        <v>4951</v>
      </c>
      <c r="H26" s="62" t="s">
        <v>4930</v>
      </c>
      <c r="I26" s="30">
        <v>102.8</v>
      </c>
      <c r="J26" s="29" t="s">
        <v>721</v>
      </c>
    </row>
    <row r="27" spans="1:10" s="51" customFormat="1" ht="15" customHeight="1">
      <c r="A27" s="59" t="s">
        <v>4178</v>
      </c>
      <c r="B27" s="67"/>
      <c r="C27" s="54"/>
      <c r="D27" s="56"/>
      <c r="E27" s="71"/>
      <c r="F27" s="54"/>
      <c r="G27" s="69"/>
      <c r="H27" s="85"/>
      <c r="I27" s="57"/>
      <c r="J27" s="58"/>
    </row>
    <row r="28" spans="1:10" ht="12" customHeight="1">
      <c r="A28" s="60">
        <v>4058075573925</v>
      </c>
      <c r="B28" s="61" t="s">
        <v>4952</v>
      </c>
      <c r="C28" s="62">
        <v>1</v>
      </c>
      <c r="D28" s="63" t="s">
        <v>4171</v>
      </c>
      <c r="E28" s="70" t="str">
        <f>HYPERLINK("https://ledvance.com/pt/product-datasheet/202359/112775","Ficha de Produto")</f>
        <v>Ficha de Produto</v>
      </c>
      <c r="F28" s="62"/>
      <c r="G28" s="65" t="s">
        <v>4953</v>
      </c>
      <c r="H28" s="62" t="s">
        <v>4930</v>
      </c>
      <c r="I28" s="30">
        <v>75.5</v>
      </c>
      <c r="J28" s="29" t="s">
        <v>721</v>
      </c>
    </row>
    <row r="29" spans="1:10" ht="12" customHeight="1">
      <c r="A29" s="60">
        <v>4058075573963</v>
      </c>
      <c r="B29" s="61" t="s">
        <v>4954</v>
      </c>
      <c r="C29" s="62">
        <v>1</v>
      </c>
      <c r="D29" s="63" t="s">
        <v>4171</v>
      </c>
      <c r="E29" s="70" t="str">
        <f>HYPERLINK("https://ledvance.com/pt/product-datasheet/202359/112778","Ficha de Produto")</f>
        <v>Ficha de Produto</v>
      </c>
      <c r="F29" s="62"/>
      <c r="G29" s="65" t="s">
        <v>4940</v>
      </c>
      <c r="H29" s="62" t="s">
        <v>4930</v>
      </c>
      <c r="I29" s="30">
        <v>102.8</v>
      </c>
      <c r="J29" s="29" t="s">
        <v>721</v>
      </c>
    </row>
    <row r="30" spans="1:10" ht="12" customHeight="1">
      <c r="A30" s="60">
        <v>4058075574076</v>
      </c>
      <c r="B30" s="61" t="s">
        <v>4955</v>
      </c>
      <c r="C30" s="62">
        <v>1</v>
      </c>
      <c r="D30" s="63" t="s">
        <v>4171</v>
      </c>
      <c r="E30" s="70" t="str">
        <f>HYPERLINK("https://ledvance.com/pt/product-datasheet/202359/112781","Ficha de Produto")</f>
        <v>Ficha de Produto</v>
      </c>
      <c r="F30" s="62"/>
      <c r="G30" s="65" t="s">
        <v>1761</v>
      </c>
      <c r="H30" s="62" t="s">
        <v>4930</v>
      </c>
      <c r="I30" s="30">
        <v>137</v>
      </c>
      <c r="J30" s="29" t="s">
        <v>721</v>
      </c>
    </row>
    <row r="31" spans="1:10" s="51" customFormat="1" ht="15" customHeight="1">
      <c r="A31" s="59" t="s">
        <v>4179</v>
      </c>
      <c r="B31" s="67"/>
      <c r="C31" s="54"/>
      <c r="D31" s="56"/>
      <c r="E31" s="71"/>
      <c r="F31" s="54"/>
      <c r="G31" s="69"/>
      <c r="H31" s="85"/>
      <c r="I31" s="57"/>
      <c r="J31" s="58"/>
    </row>
    <row r="32" spans="1:10" ht="12" customHeight="1">
      <c r="A32" s="60">
        <v>4058075574236</v>
      </c>
      <c r="B32" s="61" t="s">
        <v>4956</v>
      </c>
      <c r="C32" s="62">
        <v>1</v>
      </c>
      <c r="D32" s="63" t="s">
        <v>4171</v>
      </c>
      <c r="E32" s="70" t="str">
        <f>HYPERLINK("https://ledvance.com/pt/product-datasheet/202361/112793","Ficha de Produto")</f>
        <v>Ficha de Produto</v>
      </c>
      <c r="F32" s="62"/>
      <c r="G32" s="65" t="s">
        <v>4957</v>
      </c>
      <c r="H32" s="62" t="s">
        <v>4930</v>
      </c>
      <c r="I32" s="30">
        <v>96</v>
      </c>
      <c r="J32" s="29" t="s">
        <v>721</v>
      </c>
    </row>
    <row r="33" spans="1:10" ht="12" customHeight="1">
      <c r="A33" s="60">
        <v>4058075574274</v>
      </c>
      <c r="B33" s="61" t="s">
        <v>4958</v>
      </c>
      <c r="C33" s="62">
        <v>1</v>
      </c>
      <c r="D33" s="63" t="s">
        <v>4171</v>
      </c>
      <c r="E33" s="70" t="str">
        <f>HYPERLINK("https://ledvance.com/pt/product-datasheet/202361/112796","Ficha de Produto")</f>
        <v>Ficha de Produto</v>
      </c>
      <c r="F33" s="62"/>
      <c r="G33" s="65" t="s">
        <v>4959</v>
      </c>
      <c r="H33" s="62" t="s">
        <v>4930</v>
      </c>
      <c r="I33" s="30">
        <v>82.3</v>
      </c>
      <c r="J33" s="29" t="s">
        <v>721</v>
      </c>
    </row>
    <row r="34" spans="1:10" ht="12" customHeight="1">
      <c r="A34" s="60">
        <v>4058075574311</v>
      </c>
      <c r="B34" s="61" t="s">
        <v>4960</v>
      </c>
      <c r="C34" s="62">
        <v>1</v>
      </c>
      <c r="D34" s="63" t="s">
        <v>4171</v>
      </c>
      <c r="E34" s="70" t="str">
        <f>HYPERLINK("https://ledvance.com/pt/product-datasheet/202361/112799","Ficha de Produto")</f>
        <v>Ficha de Produto</v>
      </c>
      <c r="F34" s="62"/>
      <c r="G34" s="65" t="s">
        <v>4957</v>
      </c>
      <c r="H34" s="62" t="s">
        <v>4930</v>
      </c>
      <c r="I34" s="30">
        <v>96</v>
      </c>
      <c r="J34" s="29" t="s">
        <v>721</v>
      </c>
    </row>
    <row r="35" spans="1:10" ht="12" customHeight="1">
      <c r="A35" s="60">
        <v>4058075574335</v>
      </c>
      <c r="B35" s="61" t="s">
        <v>4961</v>
      </c>
      <c r="C35" s="62">
        <v>1</v>
      </c>
      <c r="D35" s="63" t="s">
        <v>4171</v>
      </c>
      <c r="E35" s="70" t="str">
        <f>HYPERLINK("https://ledvance.com/pt/product-datasheet/202361/112802","Ficha de Produto")</f>
        <v>Ficha de Produto</v>
      </c>
      <c r="F35" s="62"/>
      <c r="G35" s="65" t="s">
        <v>4959</v>
      </c>
      <c r="H35" s="62" t="s">
        <v>4930</v>
      </c>
      <c r="I35" s="30">
        <v>82.3</v>
      </c>
      <c r="J35" s="29" t="s">
        <v>721</v>
      </c>
    </row>
    <row r="36" spans="1:10" s="51" customFormat="1" ht="15" customHeight="1">
      <c r="A36" s="72" t="s">
        <v>4180</v>
      </c>
      <c r="B36" s="67"/>
      <c r="C36" s="73"/>
      <c r="D36" s="73"/>
      <c r="E36" s="73"/>
      <c r="F36" s="73"/>
      <c r="G36" s="69"/>
      <c r="H36" s="85"/>
      <c r="I36" s="57"/>
      <c r="J36" s="58"/>
    </row>
    <row r="37" spans="1:10" ht="12" customHeight="1">
      <c r="A37" s="74">
        <v>4058075756908</v>
      </c>
      <c r="B37" s="61" t="s">
        <v>4962</v>
      </c>
      <c r="C37" s="62">
        <v>1</v>
      </c>
      <c r="D37" s="63" t="s">
        <v>4171</v>
      </c>
      <c r="E37" s="70" t="str">
        <f>HYPERLINK("https://ledvance.com/pt/product-datasheet/230920/202673","Ficha de Produto")</f>
        <v>Ficha de Produto</v>
      </c>
      <c r="F37" s="62"/>
      <c r="G37" s="65" t="s">
        <v>4963</v>
      </c>
      <c r="H37" s="62" t="s">
        <v>4963</v>
      </c>
      <c r="I37" s="30">
        <v>61.9</v>
      </c>
      <c r="J37" s="29" t="s">
        <v>721</v>
      </c>
    </row>
    <row r="38" spans="1:10" ht="12" customHeight="1">
      <c r="A38" s="74">
        <v>4058075756922</v>
      </c>
      <c r="B38" s="61" t="s">
        <v>4964</v>
      </c>
      <c r="C38" s="62">
        <v>1</v>
      </c>
      <c r="D38" s="63" t="s">
        <v>4171</v>
      </c>
      <c r="E38" s="70" t="str">
        <f>HYPERLINK("https://ledvance.com/pt/product-datasheet/230920/202676","Ficha de Produto")</f>
        <v>Ficha de Produto</v>
      </c>
      <c r="F38" s="62"/>
      <c r="G38" s="65" t="s">
        <v>4963</v>
      </c>
      <c r="H38" s="62" t="s">
        <v>4963</v>
      </c>
      <c r="I38" s="30">
        <v>96</v>
      </c>
      <c r="J38" s="29" t="s">
        <v>721</v>
      </c>
    </row>
    <row r="39" spans="1:10" ht="12" customHeight="1">
      <c r="A39" s="74">
        <v>4058075756946</v>
      </c>
      <c r="B39" s="61" t="s">
        <v>4965</v>
      </c>
      <c r="C39" s="62">
        <v>1</v>
      </c>
      <c r="D39" s="63" t="s">
        <v>4171</v>
      </c>
      <c r="E39" s="70" t="str">
        <f>HYPERLINK("https://ledvance.com/pt/product-datasheet/230920/202679","Ficha de Produto")</f>
        <v>Ficha de Produto</v>
      </c>
      <c r="F39" s="62"/>
      <c r="G39" s="65" t="s">
        <v>4963</v>
      </c>
      <c r="H39" s="62" t="s">
        <v>4963</v>
      </c>
      <c r="I39" s="30">
        <v>116.5</v>
      </c>
      <c r="J39" s="29" t="s">
        <v>721</v>
      </c>
    </row>
    <row r="40" spans="1:10" ht="12" customHeight="1">
      <c r="A40" s="74">
        <v>4058075756960</v>
      </c>
      <c r="B40" s="61" t="s">
        <v>4966</v>
      </c>
      <c r="C40" s="62">
        <v>1</v>
      </c>
      <c r="D40" s="63" t="s">
        <v>4171</v>
      </c>
      <c r="E40" s="70" t="str">
        <f>HYPERLINK("https://ledvance.com/pt/product-datasheet/230920/202682","Ficha de Produto")</f>
        <v>Ficha de Produto</v>
      </c>
      <c r="F40" s="62"/>
      <c r="G40" s="65" t="s">
        <v>4963</v>
      </c>
      <c r="H40" s="62" t="s">
        <v>4963</v>
      </c>
      <c r="I40" s="30">
        <v>137</v>
      </c>
      <c r="J40" s="29" t="s">
        <v>721</v>
      </c>
    </row>
    <row r="41" spans="1:10" s="51" customFormat="1" ht="15" customHeight="1">
      <c r="A41" s="75" t="s">
        <v>4181</v>
      </c>
      <c r="B41" s="67"/>
      <c r="C41" s="76"/>
      <c r="D41" s="77"/>
      <c r="E41" s="78"/>
      <c r="F41" s="79"/>
      <c r="G41" s="69"/>
      <c r="H41" s="85"/>
      <c r="I41" s="57"/>
      <c r="J41" s="58"/>
    </row>
    <row r="42" spans="1:10" s="51" customFormat="1" ht="15" customHeight="1">
      <c r="A42" s="80" t="s">
        <v>4182</v>
      </c>
      <c r="B42" s="67"/>
      <c r="C42" s="54"/>
      <c r="D42" s="81"/>
      <c r="E42" s="82"/>
      <c r="F42" s="54"/>
      <c r="G42" s="69"/>
      <c r="H42" s="85"/>
      <c r="I42" s="57"/>
      <c r="J42" s="58"/>
    </row>
    <row r="43" spans="1:10" ht="12" customHeight="1">
      <c r="A43" s="83">
        <v>4099854103339</v>
      </c>
      <c r="B43" s="61" t="s">
        <v>4967</v>
      </c>
      <c r="C43" s="62">
        <v>1</v>
      </c>
      <c r="D43" s="63" t="s">
        <v>4171</v>
      </c>
      <c r="E43" s="70" t="str">
        <f>HYPERLINK("https://ledvance.com/pt/product-datasheet/259631/250340","Ficha de Produto")</f>
        <v>Ficha de Produto</v>
      </c>
      <c r="F43" s="84" t="s">
        <v>4183</v>
      </c>
      <c r="G43" s="65" t="s">
        <v>4963</v>
      </c>
      <c r="H43" s="62" t="s">
        <v>4963</v>
      </c>
      <c r="I43" s="30">
        <v>61.9</v>
      </c>
      <c r="J43" s="29" t="s">
        <v>721</v>
      </c>
    </row>
    <row r="44" spans="1:10" ht="12" customHeight="1">
      <c r="A44" s="83">
        <v>4099854103353</v>
      </c>
      <c r="B44" s="61" t="s">
        <v>4968</v>
      </c>
      <c r="C44" s="62">
        <v>1</v>
      </c>
      <c r="D44" s="63" t="s">
        <v>4171</v>
      </c>
      <c r="E44" s="70" t="str">
        <f>HYPERLINK("https://ledvance.com/pt/product-datasheet/259631/250343","Ficha de Produto")</f>
        <v>Ficha de Produto</v>
      </c>
      <c r="F44" s="84" t="s">
        <v>4183</v>
      </c>
      <c r="G44" s="65" t="s">
        <v>4963</v>
      </c>
      <c r="H44" s="62" t="s">
        <v>4963</v>
      </c>
      <c r="I44" s="30">
        <v>61.9</v>
      </c>
      <c r="J44" s="29" t="s">
        <v>721</v>
      </c>
    </row>
    <row r="45" spans="1:10" s="51" customFormat="1" ht="15" customHeight="1">
      <c r="A45" s="80" t="s">
        <v>4184</v>
      </c>
      <c r="B45" s="67"/>
      <c r="C45" s="81"/>
      <c r="D45" s="81"/>
      <c r="E45" s="82"/>
      <c r="F45" s="81"/>
      <c r="G45" s="69"/>
      <c r="H45" s="85"/>
      <c r="I45" s="57"/>
      <c r="J45" s="58"/>
    </row>
    <row r="46" spans="1:10" ht="12" customHeight="1">
      <c r="A46" s="83">
        <v>4099854096112</v>
      </c>
      <c r="B46" s="61" t="s">
        <v>4969</v>
      </c>
      <c r="C46" s="62">
        <v>1</v>
      </c>
      <c r="D46" s="63" t="s">
        <v>4171</v>
      </c>
      <c r="E46" s="70" t="str">
        <f>HYPERLINK("https://ledvance.com/pt/product-datasheet/259629/248490","Ficha de Produto")</f>
        <v>Ficha de Produto</v>
      </c>
      <c r="F46" s="84" t="s">
        <v>4183</v>
      </c>
      <c r="G46" s="65" t="s">
        <v>1761</v>
      </c>
      <c r="H46" s="62" t="s">
        <v>4970</v>
      </c>
      <c r="I46" s="30">
        <v>117.39999999999999</v>
      </c>
      <c r="J46" s="29" t="s">
        <v>721</v>
      </c>
    </row>
    <row r="47" spans="1:10" ht="12" customHeight="1">
      <c r="A47" s="83">
        <v>4099854096136</v>
      </c>
      <c r="B47" s="61" t="s">
        <v>4971</v>
      </c>
      <c r="C47" s="62">
        <v>1</v>
      </c>
      <c r="D47" s="63" t="s">
        <v>4171</v>
      </c>
      <c r="E47" s="70" t="str">
        <f>HYPERLINK("https://ledvance.com/pt/product-datasheet/259629/248493","Ficha de Produto")</f>
        <v>Ficha de Produto</v>
      </c>
      <c r="F47" s="84" t="s">
        <v>4183</v>
      </c>
      <c r="G47" s="65" t="s">
        <v>1761</v>
      </c>
      <c r="H47" s="62" t="s">
        <v>4970</v>
      </c>
      <c r="I47" s="30">
        <v>117.39999999999999</v>
      </c>
      <c r="J47" s="29" t="s">
        <v>721</v>
      </c>
    </row>
    <row r="48" spans="1:10" s="51" customFormat="1" ht="15" customHeight="1">
      <c r="A48" s="80" t="s">
        <v>4185</v>
      </c>
      <c r="B48" s="67"/>
      <c r="C48" s="81"/>
      <c r="D48" s="81"/>
      <c r="E48" s="82"/>
      <c r="F48" s="81"/>
      <c r="G48" s="69"/>
      <c r="H48" s="85"/>
      <c r="I48" s="57"/>
      <c r="J48" s="58"/>
    </row>
    <row r="49" spans="1:10" s="51" customFormat="1" ht="15" customHeight="1">
      <c r="A49" s="80" t="s">
        <v>4186</v>
      </c>
      <c r="B49" s="67"/>
      <c r="C49" s="81"/>
      <c r="D49" s="81"/>
      <c r="E49" s="82"/>
      <c r="F49" s="81"/>
      <c r="G49" s="69"/>
      <c r="H49" s="85"/>
      <c r="I49" s="57"/>
      <c r="J49" s="58"/>
    </row>
    <row r="50" spans="1:10" ht="12" customHeight="1">
      <c r="A50" s="74">
        <v>4058075651814</v>
      </c>
      <c r="B50" s="61" t="s">
        <v>4972</v>
      </c>
      <c r="C50" s="62">
        <v>1</v>
      </c>
      <c r="D50" s="63" t="s">
        <v>4171</v>
      </c>
      <c r="E50" s="70" t="str">
        <f>HYPERLINK("https://ledvance.com/pt/product-datasheet/9108/162488","Ficha de Produto")</f>
        <v>Ficha de Produto</v>
      </c>
      <c r="F50" s="62"/>
      <c r="G50" s="65" t="s">
        <v>4973</v>
      </c>
      <c r="H50" s="62" t="s">
        <v>4974</v>
      </c>
      <c r="I50" s="30">
        <v>61.9</v>
      </c>
      <c r="J50" s="29" t="s">
        <v>721</v>
      </c>
    </row>
    <row r="51" spans="1:10" ht="12" customHeight="1">
      <c r="A51" s="74">
        <v>4058075651852</v>
      </c>
      <c r="B51" s="61" t="s">
        <v>4975</v>
      </c>
      <c r="C51" s="62">
        <v>1</v>
      </c>
      <c r="D51" s="63" t="s">
        <v>4171</v>
      </c>
      <c r="E51" s="70" t="str">
        <f>HYPERLINK("https://ledvance.com/pt/product-datasheet/9108/162491","Ficha de Produto")</f>
        <v>Ficha de Produto</v>
      </c>
      <c r="F51" s="62"/>
      <c r="G51" s="65" t="s">
        <v>4945</v>
      </c>
      <c r="H51" s="62" t="s">
        <v>4974</v>
      </c>
      <c r="I51" s="30">
        <v>75.5</v>
      </c>
      <c r="J51" s="29" t="s">
        <v>721</v>
      </c>
    </row>
    <row r="52" spans="1:10" s="51" customFormat="1" ht="15" customHeight="1">
      <c r="A52" s="75" t="s">
        <v>4187</v>
      </c>
      <c r="B52" s="67"/>
      <c r="C52" s="85"/>
      <c r="D52" s="77"/>
      <c r="E52" s="78"/>
      <c r="F52" s="85"/>
      <c r="G52" s="69"/>
      <c r="H52" s="85"/>
      <c r="I52" s="57"/>
      <c r="J52" s="58"/>
    </row>
    <row r="53" spans="1:10" s="51" customFormat="1" ht="15" customHeight="1">
      <c r="A53" s="86" t="s">
        <v>4188</v>
      </c>
      <c r="B53" s="67"/>
      <c r="C53" s="85"/>
      <c r="D53" s="87"/>
      <c r="E53" s="87"/>
      <c r="F53" s="85"/>
      <c r="G53" s="69"/>
      <c r="H53" s="85"/>
      <c r="I53" s="57"/>
      <c r="J53" s="58"/>
    </row>
    <row r="54" spans="1:10" ht="12" customHeight="1">
      <c r="A54" s="60">
        <v>4058075399624</v>
      </c>
      <c r="B54" s="61" t="s">
        <v>4976</v>
      </c>
      <c r="C54" s="62">
        <v>1</v>
      </c>
      <c r="D54" s="63" t="s">
        <v>4171</v>
      </c>
      <c r="E54" s="70" t="str">
        <f>HYPERLINK("https://ledvance.com/pt/product-datasheet/9169/116612","Ficha de Produto")</f>
        <v>Ficha de Produto</v>
      </c>
      <c r="F54" s="62"/>
      <c r="G54" s="65" t="s">
        <v>4977</v>
      </c>
      <c r="H54" s="62" t="s">
        <v>4978</v>
      </c>
      <c r="I54" s="30">
        <v>68.699999999999989</v>
      </c>
      <c r="J54" s="29" t="s">
        <v>721</v>
      </c>
    </row>
    <row r="55" spans="1:10" s="51" customFormat="1" ht="15" customHeight="1">
      <c r="A55" s="86" t="s">
        <v>4189</v>
      </c>
      <c r="B55" s="67"/>
      <c r="C55" s="85"/>
      <c r="D55" s="87"/>
      <c r="E55" s="87"/>
      <c r="F55" s="85"/>
      <c r="G55" s="69"/>
      <c r="H55" s="85"/>
      <c r="I55" s="57"/>
      <c r="J55" s="58"/>
    </row>
    <row r="56" spans="1:10" ht="12" customHeight="1">
      <c r="A56" s="60">
        <v>4058075399594</v>
      </c>
      <c r="B56" s="61" t="s">
        <v>4979</v>
      </c>
      <c r="C56" s="62">
        <v>1</v>
      </c>
      <c r="D56" s="63" t="s">
        <v>4171</v>
      </c>
      <c r="E56" s="70" t="str">
        <f>HYPERLINK("https://ledvance.com/pt/product-datasheet/9253/116615","Ficha de Produto")</f>
        <v>Ficha de Produto</v>
      </c>
      <c r="F56" s="62"/>
      <c r="G56" s="65" t="s">
        <v>4949</v>
      </c>
      <c r="H56" s="62" t="s">
        <v>4978</v>
      </c>
      <c r="I56" s="30">
        <v>101.8</v>
      </c>
      <c r="J56" s="29" t="s">
        <v>721</v>
      </c>
    </row>
    <row r="57" spans="1:10" s="51" customFormat="1" ht="15" customHeight="1">
      <c r="A57" s="72" t="s">
        <v>4190</v>
      </c>
      <c r="B57" s="67"/>
      <c r="C57" s="88"/>
      <c r="D57" s="73"/>
      <c r="E57" s="82"/>
      <c r="F57" s="88"/>
      <c r="G57" s="69"/>
      <c r="H57" s="85"/>
      <c r="I57" s="57"/>
      <c r="J57" s="58"/>
    </row>
    <row r="58" spans="1:10" ht="12" customHeight="1">
      <c r="A58" s="83">
        <v>4099854096075</v>
      </c>
      <c r="B58" s="61" t="s">
        <v>4980</v>
      </c>
      <c r="C58" s="62">
        <v>1</v>
      </c>
      <c r="D58" s="63" t="s">
        <v>4171</v>
      </c>
      <c r="E58" s="70" t="str">
        <f>HYPERLINK("https://ledvance.com/pt/product-datasheet/259628/248484","Ficha de Produto")</f>
        <v>Ficha de Produto</v>
      </c>
      <c r="F58" s="84" t="s">
        <v>4183</v>
      </c>
      <c r="G58" s="65" t="s">
        <v>4953</v>
      </c>
      <c r="H58" s="62" t="s">
        <v>4970</v>
      </c>
      <c r="I58" s="30">
        <v>68.699999999999989</v>
      </c>
      <c r="J58" s="29" t="s">
        <v>721</v>
      </c>
    </row>
    <row r="59" spans="1:10" ht="12" customHeight="1">
      <c r="A59" s="83">
        <v>4099854096099</v>
      </c>
      <c r="B59" s="61" t="s">
        <v>4981</v>
      </c>
      <c r="C59" s="62">
        <v>1</v>
      </c>
      <c r="D59" s="63" t="s">
        <v>4171</v>
      </c>
      <c r="E59" s="70" t="str">
        <f>HYPERLINK("https://ledvance.com/pt/product-datasheet/259628/248487","Ficha de Produto")</f>
        <v>Ficha de Produto</v>
      </c>
      <c r="F59" s="84" t="s">
        <v>4183</v>
      </c>
      <c r="G59" s="65" t="s">
        <v>4953</v>
      </c>
      <c r="H59" s="62" t="s">
        <v>4970</v>
      </c>
      <c r="I59" s="30">
        <v>68.699999999999989</v>
      </c>
      <c r="J59" s="29" t="s">
        <v>721</v>
      </c>
    </row>
    <row r="60" spans="1:10" s="51" customFormat="1" ht="15" customHeight="1">
      <c r="A60" s="80" t="s">
        <v>4191</v>
      </c>
      <c r="B60" s="67"/>
      <c r="C60" s="85"/>
      <c r="D60" s="81"/>
      <c r="E60" s="82"/>
      <c r="F60" s="85"/>
      <c r="G60" s="69"/>
      <c r="H60" s="85"/>
      <c r="I60" s="57"/>
      <c r="J60" s="58"/>
    </row>
    <row r="61" spans="1:10" ht="12" customHeight="1">
      <c r="A61" s="83">
        <v>4099854103223</v>
      </c>
      <c r="B61" s="61" t="s">
        <v>4982</v>
      </c>
      <c r="C61" s="62">
        <v>1</v>
      </c>
      <c r="D61" s="63" t="s">
        <v>4171</v>
      </c>
      <c r="E61" s="70" t="str">
        <f>HYPERLINK("https://ledvance.com/pt/product-datasheet/259630/250328","Ficha de Produto")</f>
        <v>Ficha de Produto</v>
      </c>
      <c r="F61" s="84" t="s">
        <v>4183</v>
      </c>
      <c r="G61" s="65" t="s">
        <v>4963</v>
      </c>
      <c r="H61" s="62" t="s">
        <v>4963</v>
      </c>
      <c r="I61" s="30">
        <v>41.4</v>
      </c>
      <c r="J61" s="29" t="s">
        <v>721</v>
      </c>
    </row>
    <row r="62" spans="1:10" ht="12" customHeight="1">
      <c r="A62" s="83">
        <v>4099854103254</v>
      </c>
      <c r="B62" s="61" t="s">
        <v>4983</v>
      </c>
      <c r="C62" s="62">
        <v>1</v>
      </c>
      <c r="D62" s="63" t="s">
        <v>4171</v>
      </c>
      <c r="E62" s="70" t="str">
        <f>HYPERLINK("https://ledvance.com/pt/product-datasheet/259630/250331","Ficha de Produto")</f>
        <v>Ficha de Produto</v>
      </c>
      <c r="F62" s="84" t="s">
        <v>4183</v>
      </c>
      <c r="G62" s="65" t="s">
        <v>4963</v>
      </c>
      <c r="H62" s="62" t="s">
        <v>4963</v>
      </c>
      <c r="I62" s="30">
        <v>41.4</v>
      </c>
      <c r="J62" s="29" t="s">
        <v>721</v>
      </c>
    </row>
    <row r="63" spans="1:10" ht="12" customHeight="1">
      <c r="A63" s="83">
        <v>4099854103292</v>
      </c>
      <c r="B63" s="61" t="s">
        <v>4984</v>
      </c>
      <c r="C63" s="62">
        <v>1</v>
      </c>
      <c r="D63" s="63" t="s">
        <v>4171</v>
      </c>
      <c r="E63" s="70" t="str">
        <f>HYPERLINK("https://ledvance.com/pt/product-datasheet/259630/250334","Ficha de Produto")</f>
        <v>Ficha de Produto</v>
      </c>
      <c r="F63" s="84" t="s">
        <v>4183</v>
      </c>
      <c r="G63" s="65" t="s">
        <v>4963</v>
      </c>
      <c r="H63" s="62" t="s">
        <v>4963</v>
      </c>
      <c r="I63" s="30">
        <v>58.9</v>
      </c>
      <c r="J63" s="29" t="s">
        <v>721</v>
      </c>
    </row>
    <row r="64" spans="1:10" ht="12" customHeight="1">
      <c r="A64" s="83">
        <v>4099854103315</v>
      </c>
      <c r="B64" s="61" t="s">
        <v>4985</v>
      </c>
      <c r="C64" s="62">
        <v>1</v>
      </c>
      <c r="D64" s="63" t="s">
        <v>4171</v>
      </c>
      <c r="E64" s="70" t="str">
        <f>HYPERLINK("https://ledvance.com/pt/product-datasheet/259630/250337","Ficha de Produto")</f>
        <v>Ficha de Produto</v>
      </c>
      <c r="F64" s="84" t="s">
        <v>4183</v>
      </c>
      <c r="G64" s="65" t="s">
        <v>4963</v>
      </c>
      <c r="H64" s="62" t="s">
        <v>4963</v>
      </c>
      <c r="I64" s="30">
        <v>58.9</v>
      </c>
      <c r="J64" s="29" t="s">
        <v>721</v>
      </c>
    </row>
    <row r="65" spans="1:10" s="51" customFormat="1" ht="15" customHeight="1">
      <c r="A65" s="59" t="s">
        <v>4192</v>
      </c>
      <c r="B65" s="67"/>
      <c r="C65" s="54"/>
      <c r="D65" s="56"/>
      <c r="E65" s="56"/>
      <c r="F65" s="54"/>
      <c r="G65" s="69"/>
      <c r="H65" s="85"/>
      <c r="I65" s="57"/>
      <c r="J65" s="58"/>
    </row>
    <row r="66" spans="1:10" ht="12" customHeight="1">
      <c r="A66" s="60">
        <v>4058075573031</v>
      </c>
      <c r="B66" s="61" t="s">
        <v>4986</v>
      </c>
      <c r="C66" s="62">
        <v>1</v>
      </c>
      <c r="D66" s="63" t="s">
        <v>4171</v>
      </c>
      <c r="E66" s="70" t="str">
        <f>HYPERLINK("https://ledvance.com/pt/product-datasheet/170022/122583","Ficha de Produto")</f>
        <v>Ficha de Produto</v>
      </c>
      <c r="F66" s="62"/>
      <c r="G66" s="65" t="s">
        <v>4987</v>
      </c>
      <c r="H66" s="62" t="s">
        <v>4988</v>
      </c>
      <c r="I66" s="30">
        <v>20.900000000000002</v>
      </c>
      <c r="J66" s="29" t="s">
        <v>721</v>
      </c>
    </row>
    <row r="67" spans="1:10" s="51" customFormat="1" ht="15" customHeight="1">
      <c r="A67" s="52" t="s">
        <v>4193</v>
      </c>
      <c r="B67" s="67"/>
      <c r="C67" s="54"/>
      <c r="D67" s="55"/>
      <c r="E67" s="71"/>
      <c r="F67" s="54"/>
      <c r="G67" s="69"/>
      <c r="H67" s="85"/>
      <c r="I67" s="57"/>
      <c r="J67" s="58"/>
    </row>
    <row r="68" spans="1:10" s="51" customFormat="1" ht="15" customHeight="1">
      <c r="A68" s="52" t="s">
        <v>4194</v>
      </c>
      <c r="B68" s="67"/>
      <c r="C68" s="54"/>
      <c r="D68" s="55"/>
      <c r="E68" s="71"/>
      <c r="F68" s="54"/>
      <c r="G68" s="69"/>
      <c r="H68" s="85"/>
      <c r="I68" s="57"/>
      <c r="J68" s="58"/>
    </row>
    <row r="69" spans="1:10" s="51" customFormat="1" ht="15" customHeight="1">
      <c r="A69" s="59" t="s">
        <v>4195</v>
      </c>
      <c r="B69" s="67"/>
      <c r="C69" s="54"/>
      <c r="D69" s="56"/>
      <c r="E69" s="56"/>
      <c r="F69" s="54"/>
      <c r="G69" s="69"/>
      <c r="H69" s="85"/>
      <c r="I69" s="57"/>
      <c r="J69" s="58"/>
    </row>
    <row r="70" spans="1:10" ht="12" customHeight="1">
      <c r="A70" s="60">
        <v>4058075576353</v>
      </c>
      <c r="B70" s="61" t="s">
        <v>4989</v>
      </c>
      <c r="C70" s="62">
        <v>1</v>
      </c>
      <c r="D70" s="63" t="s">
        <v>4196</v>
      </c>
      <c r="E70" s="70" t="str">
        <f>HYPERLINK("https://ledvance.com/pt/product-datasheet/170792/164555","Ficha de Produto")</f>
        <v>Ficha de Produto</v>
      </c>
      <c r="F70" s="62"/>
      <c r="G70" s="65" t="s">
        <v>1761</v>
      </c>
      <c r="H70" s="62" t="s">
        <v>4990</v>
      </c>
      <c r="I70" s="30">
        <v>55</v>
      </c>
      <c r="J70" s="29" t="s">
        <v>721</v>
      </c>
    </row>
    <row r="71" spans="1:10" s="51" customFormat="1" ht="15" customHeight="1">
      <c r="A71" s="52" t="s">
        <v>4197</v>
      </c>
      <c r="B71" s="67"/>
      <c r="C71" s="54"/>
      <c r="D71" s="55"/>
      <c r="E71" s="71"/>
      <c r="F71" s="54"/>
      <c r="G71" s="69"/>
      <c r="H71" s="85"/>
      <c r="I71" s="57"/>
      <c r="J71" s="58"/>
    </row>
    <row r="72" spans="1:10" s="51" customFormat="1" ht="15" customHeight="1">
      <c r="A72" s="59" t="s">
        <v>4198</v>
      </c>
      <c r="B72" s="67"/>
      <c r="C72" s="54"/>
      <c r="D72" s="56"/>
      <c r="E72" s="56"/>
      <c r="F72" s="54"/>
      <c r="G72" s="69"/>
      <c r="H72" s="85"/>
      <c r="I72" s="57"/>
      <c r="J72" s="58"/>
    </row>
    <row r="73" spans="1:10" ht="12" customHeight="1">
      <c r="A73" s="60">
        <v>4058075576377</v>
      </c>
      <c r="B73" s="61" t="s">
        <v>4991</v>
      </c>
      <c r="C73" s="62">
        <v>1</v>
      </c>
      <c r="D73" s="63" t="s">
        <v>4196</v>
      </c>
      <c r="E73" s="70" t="str">
        <f>HYPERLINK("https://ledvance.com/pt/product-datasheet/170793/163627","Ficha de Produto")</f>
        <v>Ficha de Produto</v>
      </c>
      <c r="F73" s="62"/>
      <c r="G73" s="65" t="s">
        <v>1746</v>
      </c>
      <c r="H73" s="62" t="s">
        <v>4992</v>
      </c>
      <c r="I73" s="30">
        <v>39.4</v>
      </c>
      <c r="J73" s="29" t="s">
        <v>721</v>
      </c>
    </row>
    <row r="74" spans="1:10" ht="12" customHeight="1">
      <c r="A74" s="60">
        <v>4058075576391</v>
      </c>
      <c r="B74" s="61" t="s">
        <v>4993</v>
      </c>
      <c r="C74" s="62">
        <v>1</v>
      </c>
      <c r="D74" s="63" t="s">
        <v>4196</v>
      </c>
      <c r="E74" s="70" t="str">
        <f>HYPERLINK("https://ledvance.com/pt/product-datasheet/170793/163630","Ficha de Produto")</f>
        <v>Ficha de Produto</v>
      </c>
      <c r="F74" s="62"/>
      <c r="G74" s="65" t="s">
        <v>4994</v>
      </c>
      <c r="H74" s="62" t="s">
        <v>4992</v>
      </c>
      <c r="I74" s="30">
        <v>47.2</v>
      </c>
      <c r="J74" s="29" t="s">
        <v>721</v>
      </c>
    </row>
    <row r="75" spans="1:10" ht="12" customHeight="1">
      <c r="A75" s="60">
        <v>4058075576414</v>
      </c>
      <c r="B75" s="61" t="s">
        <v>4995</v>
      </c>
      <c r="C75" s="62">
        <v>1</v>
      </c>
      <c r="D75" s="63" t="s">
        <v>4196</v>
      </c>
      <c r="E75" s="70" t="str">
        <f>HYPERLINK("https://ledvance.com/pt/product-datasheet/170793/163633","Ficha de Produto")</f>
        <v>Ficha de Produto</v>
      </c>
      <c r="F75" s="62"/>
      <c r="G75" s="65" t="s">
        <v>4996</v>
      </c>
      <c r="H75" s="62" t="s">
        <v>4992</v>
      </c>
      <c r="I75" s="30">
        <v>55</v>
      </c>
      <c r="J75" s="29" t="s">
        <v>721</v>
      </c>
    </row>
    <row r="76" spans="1:10" s="51" customFormat="1" ht="15" customHeight="1">
      <c r="A76" s="52" t="s">
        <v>4199</v>
      </c>
      <c r="B76" s="67"/>
      <c r="C76" s="54"/>
      <c r="D76" s="55"/>
      <c r="E76" s="71"/>
      <c r="F76" s="54"/>
      <c r="G76" s="69"/>
      <c r="H76" s="85"/>
      <c r="I76" s="57"/>
      <c r="J76" s="58"/>
    </row>
    <row r="77" spans="1:10" s="51" customFormat="1" ht="15" customHeight="1">
      <c r="A77" s="52" t="s">
        <v>4200</v>
      </c>
      <c r="B77" s="67"/>
      <c r="C77" s="54"/>
      <c r="D77" s="55"/>
      <c r="E77" s="71"/>
      <c r="F77" s="54"/>
      <c r="G77" s="69"/>
      <c r="H77" s="85"/>
      <c r="I77" s="57"/>
      <c r="J77" s="58"/>
    </row>
    <row r="78" spans="1:10" s="51" customFormat="1" ht="15" customHeight="1">
      <c r="A78" s="59" t="s">
        <v>4201</v>
      </c>
      <c r="B78" s="67"/>
      <c r="C78" s="54"/>
      <c r="D78" s="56"/>
      <c r="E78" s="56"/>
      <c r="F78" s="54"/>
      <c r="G78" s="69"/>
      <c r="H78" s="85"/>
      <c r="I78" s="57"/>
      <c r="J78" s="58"/>
    </row>
    <row r="79" spans="1:10" ht="12" customHeight="1">
      <c r="A79" s="60">
        <v>4058075576438</v>
      </c>
      <c r="B79" s="61" t="s">
        <v>4997</v>
      </c>
      <c r="C79" s="62">
        <v>1</v>
      </c>
      <c r="D79" s="63" t="s">
        <v>4196</v>
      </c>
      <c r="E79" s="70" t="str">
        <f>HYPERLINK("https://ledvance.com/pt/product-datasheet/170794/163636","Ficha de Produto")</f>
        <v>Ficha de Produto</v>
      </c>
      <c r="F79" s="62"/>
      <c r="G79" s="65" t="s">
        <v>4934</v>
      </c>
      <c r="H79" s="62" t="s">
        <v>4992</v>
      </c>
      <c r="I79" s="30">
        <v>55</v>
      </c>
      <c r="J79" s="29" t="s">
        <v>721</v>
      </c>
    </row>
    <row r="80" spans="1:10" ht="12" customHeight="1">
      <c r="A80" s="60">
        <v>4058075576452</v>
      </c>
      <c r="B80" s="61" t="s">
        <v>4998</v>
      </c>
      <c r="C80" s="62">
        <v>1</v>
      </c>
      <c r="D80" s="63" t="s">
        <v>4196</v>
      </c>
      <c r="E80" s="70" t="str">
        <f>HYPERLINK("https://ledvance.com/pt/product-datasheet/170794/163639","Ficha de Produto")</f>
        <v>Ficha de Produto</v>
      </c>
      <c r="F80" s="62"/>
      <c r="G80" s="65" t="s">
        <v>4996</v>
      </c>
      <c r="H80" s="62" t="s">
        <v>4992</v>
      </c>
      <c r="I80" s="30">
        <v>62.800000000000004</v>
      </c>
      <c r="J80" s="29" t="s">
        <v>721</v>
      </c>
    </row>
    <row r="81" spans="1:10" s="51" customFormat="1" ht="15" customHeight="1">
      <c r="A81" s="59" t="s">
        <v>4202</v>
      </c>
      <c r="B81" s="67"/>
      <c r="C81" s="54"/>
      <c r="D81" s="56"/>
      <c r="E81" s="71"/>
      <c r="F81" s="54"/>
      <c r="G81" s="69"/>
      <c r="H81" s="85"/>
      <c r="I81" s="57"/>
      <c r="J81" s="58"/>
    </row>
    <row r="82" spans="1:10" ht="12" customHeight="1">
      <c r="A82" s="60">
        <v>4058075260351</v>
      </c>
      <c r="B82" s="61" t="s">
        <v>4999</v>
      </c>
      <c r="C82" s="62">
        <v>1</v>
      </c>
      <c r="D82" s="63" t="s">
        <v>4196</v>
      </c>
      <c r="E82" s="70" t="str">
        <f>HYPERLINK("https://ledvance.com/pt/product-datasheet/9247/109795","Ficha de Produto")</f>
        <v>Ficha de Produto</v>
      </c>
      <c r="F82" s="62"/>
      <c r="G82" s="65" t="s">
        <v>1761</v>
      </c>
      <c r="H82" s="62" t="s">
        <v>4992</v>
      </c>
      <c r="I82" s="30">
        <v>39.4</v>
      </c>
      <c r="J82" s="29" t="s">
        <v>721</v>
      </c>
    </row>
    <row r="83" spans="1:10" ht="12" customHeight="1">
      <c r="A83" s="60">
        <v>4058075260412</v>
      </c>
      <c r="B83" s="61" t="s">
        <v>5000</v>
      </c>
      <c r="C83" s="62">
        <v>1</v>
      </c>
      <c r="D83" s="63" t="s">
        <v>4196</v>
      </c>
      <c r="E83" s="70" t="str">
        <f>HYPERLINK("https://ledvance.com/pt/product-datasheet/9247/109801","Ficha de Produto")</f>
        <v>Ficha de Produto</v>
      </c>
      <c r="F83" s="62"/>
      <c r="G83" s="65" t="s">
        <v>5001</v>
      </c>
      <c r="H83" s="62" t="s">
        <v>4992</v>
      </c>
      <c r="I83" s="30">
        <v>55</v>
      </c>
      <c r="J83" s="29" t="s">
        <v>721</v>
      </c>
    </row>
    <row r="84" spans="1:10" ht="12" customHeight="1">
      <c r="A84" s="60">
        <v>4058075260498</v>
      </c>
      <c r="B84" s="61" t="s">
        <v>5002</v>
      </c>
      <c r="C84" s="62">
        <v>1</v>
      </c>
      <c r="D84" s="63" t="s">
        <v>4196</v>
      </c>
      <c r="E84" s="70" t="str">
        <f>HYPERLINK("https://ledvance.com/pt/product-datasheet/9247/109807","Ficha de Produto")</f>
        <v>Ficha de Produto</v>
      </c>
      <c r="F84" s="62"/>
      <c r="G84" s="65" t="s">
        <v>5003</v>
      </c>
      <c r="H84" s="62" t="s">
        <v>4992</v>
      </c>
      <c r="I84" s="30">
        <v>78.399999999999991</v>
      </c>
      <c r="J84" s="29" t="s">
        <v>721</v>
      </c>
    </row>
    <row r="85" spans="1:10" s="51" customFormat="1" ht="15" customHeight="1">
      <c r="A85" s="59" t="s">
        <v>4202</v>
      </c>
      <c r="B85" s="67"/>
      <c r="C85" s="54"/>
      <c r="D85" s="56"/>
      <c r="E85" s="71"/>
      <c r="F85" s="54"/>
      <c r="G85" s="69"/>
      <c r="H85" s="85"/>
      <c r="I85" s="57"/>
      <c r="J85" s="58"/>
    </row>
    <row r="86" spans="1:10" ht="12" customHeight="1">
      <c r="A86" s="60">
        <v>4058075266391</v>
      </c>
      <c r="B86" s="61" t="s">
        <v>5004</v>
      </c>
      <c r="C86" s="62">
        <v>1</v>
      </c>
      <c r="D86" s="63" t="s">
        <v>4196</v>
      </c>
      <c r="E86" s="70" t="str">
        <f>HYPERLINK("https://ledvance.com/pt/product-datasheet/9248/108440","Ficha de Produto")</f>
        <v>Ficha de Produto</v>
      </c>
      <c r="F86" s="62"/>
      <c r="G86" s="65" t="s">
        <v>5005</v>
      </c>
      <c r="H86" s="62" t="s">
        <v>4992</v>
      </c>
      <c r="I86" s="30">
        <v>19.5</v>
      </c>
      <c r="J86" s="29" t="s">
        <v>721</v>
      </c>
    </row>
    <row r="87" spans="1:10" ht="12" customHeight="1">
      <c r="A87" s="60">
        <v>4058075266414</v>
      </c>
      <c r="B87" s="61" t="s">
        <v>5006</v>
      </c>
      <c r="C87" s="62">
        <v>1</v>
      </c>
      <c r="D87" s="63" t="s">
        <v>4196</v>
      </c>
      <c r="E87" s="70" t="str">
        <f>HYPERLINK("https://ledvance.com/pt/product-datasheet/9248/108446","Ficha de Produto")</f>
        <v>Ficha de Produto</v>
      </c>
      <c r="F87" s="62"/>
      <c r="G87" s="65" t="s">
        <v>1761</v>
      </c>
      <c r="H87" s="62" t="s">
        <v>4992</v>
      </c>
      <c r="I87" s="30">
        <v>22.3</v>
      </c>
      <c r="J87" s="29" t="s">
        <v>721</v>
      </c>
    </row>
    <row r="88" spans="1:10" ht="12" customHeight="1">
      <c r="A88" s="60">
        <v>4058075266438</v>
      </c>
      <c r="B88" s="61" t="s">
        <v>5007</v>
      </c>
      <c r="C88" s="62">
        <v>1</v>
      </c>
      <c r="D88" s="63" t="s">
        <v>4196</v>
      </c>
      <c r="E88" s="70" t="str">
        <f>HYPERLINK("https://ledvance.com/pt/product-datasheet/9248/108452","Ficha de Produto")</f>
        <v>Ficha de Produto</v>
      </c>
      <c r="F88" s="62"/>
      <c r="G88" s="65" t="s">
        <v>5008</v>
      </c>
      <c r="H88" s="62" t="s">
        <v>4992</v>
      </c>
      <c r="I88" s="30">
        <v>34.5</v>
      </c>
      <c r="J88" s="29" t="s">
        <v>721</v>
      </c>
    </row>
    <row r="89" spans="1:10" s="51" customFormat="1" ht="15" customHeight="1">
      <c r="A89" s="59" t="s">
        <v>4203</v>
      </c>
      <c r="B89" s="67"/>
      <c r="C89" s="54"/>
      <c r="D89" s="56"/>
      <c r="E89" s="71"/>
      <c r="F89" s="54"/>
      <c r="G89" s="69"/>
      <c r="H89" s="85"/>
      <c r="I89" s="57"/>
      <c r="J89" s="58"/>
    </row>
    <row r="90" spans="1:10" ht="12" customHeight="1">
      <c r="A90" s="60">
        <v>4058075303928</v>
      </c>
      <c r="B90" s="61" t="s">
        <v>5009</v>
      </c>
      <c r="C90" s="62">
        <v>1</v>
      </c>
      <c r="D90" s="63" t="s">
        <v>4196</v>
      </c>
      <c r="E90" s="70" t="str">
        <f>HYPERLINK("https://ledvance.com/pt/product-datasheet/9246/104196","Ficha de Produto")</f>
        <v>Ficha de Produto</v>
      </c>
      <c r="F90" s="62"/>
      <c r="G90" s="65" t="s">
        <v>4953</v>
      </c>
      <c r="H90" s="62" t="s">
        <v>4992</v>
      </c>
      <c r="I90" s="30">
        <v>30</v>
      </c>
      <c r="J90" s="29" t="s">
        <v>721</v>
      </c>
    </row>
    <row r="91" spans="1:10" ht="12" customHeight="1">
      <c r="A91" s="60">
        <v>4058075303980</v>
      </c>
      <c r="B91" s="61" t="s">
        <v>5010</v>
      </c>
      <c r="C91" s="62">
        <v>1</v>
      </c>
      <c r="D91" s="63" t="s">
        <v>4196</v>
      </c>
      <c r="E91" s="70" t="str">
        <f>HYPERLINK("https://ledvance.com/pt/product-datasheet/9246/104199","Ficha de Produto")</f>
        <v>Ficha de Produto</v>
      </c>
      <c r="F91" s="62"/>
      <c r="G91" s="65" t="s">
        <v>4977</v>
      </c>
      <c r="H91" s="62" t="s">
        <v>4992</v>
      </c>
      <c r="I91" s="30">
        <v>47.2</v>
      </c>
      <c r="J91" s="29" t="s">
        <v>721</v>
      </c>
    </row>
    <row r="92" spans="1:10" ht="12" customHeight="1">
      <c r="A92" s="60">
        <v>4058075303942</v>
      </c>
      <c r="B92" s="61" t="s">
        <v>5011</v>
      </c>
      <c r="C92" s="62">
        <v>1</v>
      </c>
      <c r="D92" s="63" t="s">
        <v>4196</v>
      </c>
      <c r="E92" s="70" t="str">
        <f>HYPERLINK("https://ledvance.com/pt/product-datasheet/9246/104202","Ficha de Produto")</f>
        <v>Ficha de Produto</v>
      </c>
      <c r="F92" s="62"/>
      <c r="G92" s="65" t="s">
        <v>4934</v>
      </c>
      <c r="H92" s="62" t="s">
        <v>4992</v>
      </c>
      <c r="I92" s="30">
        <v>33.300000000000004</v>
      </c>
      <c r="J92" s="29" t="s">
        <v>721</v>
      </c>
    </row>
    <row r="93" spans="1:10" ht="12" customHeight="1">
      <c r="A93" s="60">
        <v>4058075304000</v>
      </c>
      <c r="B93" s="61" t="s">
        <v>5012</v>
      </c>
      <c r="C93" s="62">
        <v>1</v>
      </c>
      <c r="D93" s="63" t="s">
        <v>4196</v>
      </c>
      <c r="E93" s="70" t="str">
        <f>HYPERLINK("https://ledvance.com/pt/product-datasheet/9246/104205","Ficha de Produto")</f>
        <v>Ficha de Produto</v>
      </c>
      <c r="F93" s="62"/>
      <c r="G93" s="65" t="s">
        <v>1743</v>
      </c>
      <c r="H93" s="62" t="s">
        <v>4992</v>
      </c>
      <c r="I93" s="30">
        <v>55</v>
      </c>
      <c r="J93" s="29" t="s">
        <v>721</v>
      </c>
    </row>
    <row r="94" spans="1:10" ht="12" customHeight="1">
      <c r="A94" s="60">
        <v>4058075303966</v>
      </c>
      <c r="B94" s="61" t="s">
        <v>5013</v>
      </c>
      <c r="C94" s="62">
        <v>1</v>
      </c>
      <c r="D94" s="63" t="s">
        <v>4196</v>
      </c>
      <c r="E94" s="70" t="str">
        <f>HYPERLINK("https://ledvance.com/pt/product-datasheet/9246/104208","Ficha de Produto")</f>
        <v>Ficha de Produto</v>
      </c>
      <c r="F94" s="62"/>
      <c r="G94" s="65" t="s">
        <v>4996</v>
      </c>
      <c r="H94" s="62" t="s">
        <v>4992</v>
      </c>
      <c r="I94" s="30">
        <v>44.1</v>
      </c>
      <c r="J94" s="29" t="s">
        <v>721</v>
      </c>
    </row>
    <row r="95" spans="1:10" ht="12" customHeight="1">
      <c r="A95" s="60">
        <v>4058075304024</v>
      </c>
      <c r="B95" s="61" t="s">
        <v>5014</v>
      </c>
      <c r="C95" s="62">
        <v>1</v>
      </c>
      <c r="D95" s="63" t="s">
        <v>4196</v>
      </c>
      <c r="E95" s="70" t="str">
        <f>HYPERLINK("https://ledvance.com/pt/product-datasheet/9246/104211","Ficha de Produto")</f>
        <v>Ficha de Produto</v>
      </c>
      <c r="F95" s="62"/>
      <c r="G95" s="65" t="s">
        <v>5015</v>
      </c>
      <c r="H95" s="62" t="s">
        <v>4992</v>
      </c>
      <c r="I95" s="30">
        <v>70.599999999999994</v>
      </c>
      <c r="J95" s="29" t="s">
        <v>721</v>
      </c>
    </row>
    <row r="96" spans="1:10" s="51" customFormat="1" ht="15" customHeight="1">
      <c r="A96" s="89" t="s">
        <v>4204</v>
      </c>
      <c r="B96" s="67"/>
      <c r="C96" s="90"/>
      <c r="D96" s="90"/>
      <c r="E96" s="82"/>
      <c r="F96" s="90"/>
      <c r="G96" s="69"/>
      <c r="H96" s="85"/>
      <c r="I96" s="57"/>
      <c r="J96" s="58"/>
    </row>
    <row r="97" spans="1:10" s="51" customFormat="1" ht="15" customHeight="1">
      <c r="A97" s="72" t="s">
        <v>4205</v>
      </c>
      <c r="B97" s="67"/>
      <c r="C97" s="73"/>
      <c r="D97" s="73"/>
      <c r="E97" s="73"/>
      <c r="F97" s="73"/>
      <c r="G97" s="69"/>
      <c r="H97" s="85"/>
      <c r="I97" s="57"/>
      <c r="J97" s="58"/>
    </row>
    <row r="98" spans="1:10" ht="12" customHeight="1">
      <c r="A98" s="74">
        <v>4058075762534</v>
      </c>
      <c r="B98" s="61" t="s">
        <v>5016</v>
      </c>
      <c r="C98" s="62">
        <v>1</v>
      </c>
      <c r="D98" s="63" t="s">
        <v>4196</v>
      </c>
      <c r="E98" s="70" t="str">
        <f>HYPERLINK("https://ledvance.com/pt/product-datasheet/232038/204322","Ficha de Produto")</f>
        <v>Ficha de Produto</v>
      </c>
      <c r="F98" s="62"/>
      <c r="G98" s="65" t="s">
        <v>4953</v>
      </c>
      <c r="H98" s="62" t="s">
        <v>4992</v>
      </c>
      <c r="I98" s="30">
        <v>20.200000000000003</v>
      </c>
      <c r="J98" s="29" t="s">
        <v>721</v>
      </c>
    </row>
    <row r="99" spans="1:10" ht="12" customHeight="1">
      <c r="A99" s="74">
        <v>4058075762558</v>
      </c>
      <c r="B99" s="61" t="s">
        <v>5017</v>
      </c>
      <c r="C99" s="62">
        <v>1</v>
      </c>
      <c r="D99" s="63" t="s">
        <v>4196</v>
      </c>
      <c r="E99" s="70" t="str">
        <f>HYPERLINK("https://ledvance.com/pt/product-datasheet/232038/204325","Ficha de Produto")</f>
        <v>Ficha de Produto</v>
      </c>
      <c r="F99" s="62"/>
      <c r="G99" s="65" t="s">
        <v>4977</v>
      </c>
      <c r="H99" s="62" t="s">
        <v>4992</v>
      </c>
      <c r="I99" s="30">
        <v>30.1</v>
      </c>
      <c r="J99" s="29" t="s">
        <v>721</v>
      </c>
    </row>
    <row r="100" spans="1:10" ht="12" customHeight="1">
      <c r="A100" s="74">
        <v>4058075762572</v>
      </c>
      <c r="B100" s="61" t="s">
        <v>5018</v>
      </c>
      <c r="C100" s="62">
        <v>1</v>
      </c>
      <c r="D100" s="63" t="s">
        <v>4196</v>
      </c>
      <c r="E100" s="70" t="str">
        <f>HYPERLINK("https://ledvance.com/pt/product-datasheet/232038/204328","Ficha de Produto")</f>
        <v>Ficha de Produto</v>
      </c>
      <c r="F100" s="62"/>
      <c r="G100" s="65" t="s">
        <v>4934</v>
      </c>
      <c r="H100" s="62" t="s">
        <v>4992</v>
      </c>
      <c r="I100" s="30">
        <v>30.1</v>
      </c>
      <c r="J100" s="29" t="s">
        <v>721</v>
      </c>
    </row>
    <row r="101" spans="1:10" ht="12" customHeight="1">
      <c r="A101" s="74">
        <v>4058075762596</v>
      </c>
      <c r="B101" s="61" t="s">
        <v>5019</v>
      </c>
      <c r="C101" s="62">
        <v>1</v>
      </c>
      <c r="D101" s="63" t="s">
        <v>4196</v>
      </c>
      <c r="E101" s="70" t="str">
        <f>HYPERLINK("https://ledvance.com/pt/product-datasheet/232038/204331","Ficha de Produto")</f>
        <v>Ficha de Produto</v>
      </c>
      <c r="F101" s="62"/>
      <c r="G101" s="65" t="s">
        <v>1743</v>
      </c>
      <c r="H101" s="62" t="s">
        <v>4992</v>
      </c>
      <c r="I101" s="30">
        <v>40</v>
      </c>
      <c r="J101" s="29" t="s">
        <v>721</v>
      </c>
    </row>
    <row r="102" spans="1:10" s="51" customFormat="1" ht="15" customHeight="1">
      <c r="A102" s="59" t="s">
        <v>4206</v>
      </c>
      <c r="B102" s="67"/>
      <c r="C102" s="54"/>
      <c r="D102" s="56"/>
      <c r="E102" s="56"/>
      <c r="F102" s="54"/>
      <c r="G102" s="69"/>
      <c r="H102" s="85"/>
      <c r="I102" s="57"/>
      <c r="J102" s="58"/>
    </row>
    <row r="103" spans="1:10" ht="12" customHeight="1">
      <c r="A103" s="74">
        <v>4058075762619</v>
      </c>
      <c r="B103" s="61" t="s">
        <v>5020</v>
      </c>
      <c r="C103" s="62">
        <v>1</v>
      </c>
      <c r="D103" s="63" t="s">
        <v>4196</v>
      </c>
      <c r="E103" s="70" t="str">
        <f>HYPERLINK("https://ledvance.com/pt/product-datasheet/232039/204334","Ficha de Produto")</f>
        <v>Ficha de Produto</v>
      </c>
      <c r="F103" s="62"/>
      <c r="G103" s="65" t="s">
        <v>5021</v>
      </c>
      <c r="H103" s="62" t="s">
        <v>4992</v>
      </c>
      <c r="I103" s="30">
        <v>20.200000000000003</v>
      </c>
      <c r="J103" s="29" t="s">
        <v>721</v>
      </c>
    </row>
    <row r="104" spans="1:10" ht="12" customHeight="1">
      <c r="A104" s="74">
        <v>4058075762633</v>
      </c>
      <c r="B104" s="61" t="s">
        <v>5022</v>
      </c>
      <c r="C104" s="62">
        <v>1</v>
      </c>
      <c r="D104" s="63" t="s">
        <v>4196</v>
      </c>
      <c r="E104" s="70" t="str">
        <f>HYPERLINK("https://ledvance.com/pt/product-datasheet/232039/204337","Ficha de Produto")</f>
        <v>Ficha de Produto</v>
      </c>
      <c r="F104" s="62"/>
      <c r="G104" s="65" t="s">
        <v>1761</v>
      </c>
      <c r="H104" s="62" t="s">
        <v>4992</v>
      </c>
      <c r="I104" s="30">
        <v>30.1</v>
      </c>
      <c r="J104" s="29" t="s">
        <v>721</v>
      </c>
    </row>
    <row r="105" spans="1:10" s="51" customFormat="1" ht="15" customHeight="1">
      <c r="A105" s="52" t="s">
        <v>4207</v>
      </c>
      <c r="B105" s="67"/>
      <c r="C105" s="54"/>
      <c r="D105" s="55"/>
      <c r="E105" s="71"/>
      <c r="F105" s="54"/>
      <c r="G105" s="69"/>
      <c r="H105" s="85"/>
      <c r="I105" s="57"/>
      <c r="J105" s="58"/>
    </row>
    <row r="106" spans="1:10" s="51" customFormat="1" ht="15" customHeight="1">
      <c r="A106" s="59" t="s">
        <v>4208</v>
      </c>
      <c r="B106" s="67"/>
      <c r="C106" s="54"/>
      <c r="D106" s="56"/>
      <c r="E106" s="56"/>
      <c r="F106" s="54"/>
      <c r="G106" s="69"/>
      <c r="H106" s="85"/>
      <c r="I106" s="57"/>
      <c r="J106" s="58"/>
    </row>
    <row r="107" spans="1:10" ht="12" customHeight="1">
      <c r="A107" s="60">
        <v>4058075271586</v>
      </c>
      <c r="B107" s="61" t="s">
        <v>5023</v>
      </c>
      <c r="C107" s="62">
        <v>1</v>
      </c>
      <c r="D107" s="63" t="s">
        <v>4196</v>
      </c>
      <c r="E107" s="70" t="str">
        <f>HYPERLINK("https://ledvance.com/pt/product-datasheet/9375/107537","Ficha de Produto")</f>
        <v>Ficha de Produto</v>
      </c>
      <c r="F107" s="62"/>
      <c r="G107" s="65" t="s">
        <v>1749</v>
      </c>
      <c r="H107" s="62" t="s">
        <v>4992</v>
      </c>
      <c r="I107" s="30">
        <v>14.1</v>
      </c>
      <c r="J107" s="29" t="s">
        <v>721</v>
      </c>
    </row>
    <row r="108" spans="1:10" ht="12" customHeight="1">
      <c r="A108" s="60">
        <v>4058075271647</v>
      </c>
      <c r="B108" s="61" t="s">
        <v>5024</v>
      </c>
      <c r="C108" s="62">
        <v>1</v>
      </c>
      <c r="D108" s="63" t="s">
        <v>4196</v>
      </c>
      <c r="E108" s="70" t="str">
        <f>HYPERLINK("https://ledvance.com/pt/product-datasheet/9375/107543","Ficha de Produto")</f>
        <v>Ficha de Produto</v>
      </c>
      <c r="F108" s="62"/>
      <c r="G108" s="65" t="s">
        <v>1749</v>
      </c>
      <c r="H108" s="62" t="s">
        <v>4992</v>
      </c>
      <c r="I108" s="30">
        <v>14.1</v>
      </c>
      <c r="J108" s="29" t="s">
        <v>721</v>
      </c>
    </row>
    <row r="109" spans="1:10" ht="12" customHeight="1">
      <c r="A109" s="60">
        <v>4058075271661</v>
      </c>
      <c r="B109" s="61" t="s">
        <v>5025</v>
      </c>
      <c r="C109" s="62">
        <v>1</v>
      </c>
      <c r="D109" s="63" t="s">
        <v>4196</v>
      </c>
      <c r="E109" s="70" t="str">
        <f>HYPERLINK("https://ledvance.com/pt/product-datasheet/9375/107549","Ficha de Produto")</f>
        <v>Ficha de Produto</v>
      </c>
      <c r="F109" s="62"/>
      <c r="G109" s="65" t="s">
        <v>5026</v>
      </c>
      <c r="H109" s="62" t="s">
        <v>4992</v>
      </c>
      <c r="I109" s="30">
        <v>18.200000000000003</v>
      </c>
      <c r="J109" s="29" t="s">
        <v>721</v>
      </c>
    </row>
    <row r="110" spans="1:10" ht="12" customHeight="1">
      <c r="A110" s="60">
        <v>4058075271685</v>
      </c>
      <c r="B110" s="61" t="s">
        <v>5027</v>
      </c>
      <c r="C110" s="62">
        <v>1</v>
      </c>
      <c r="D110" s="63" t="s">
        <v>4196</v>
      </c>
      <c r="E110" s="70" t="str">
        <f>HYPERLINK("https://ledvance.com/pt/product-datasheet/9375/107555","Ficha de Produto")</f>
        <v>Ficha de Produto</v>
      </c>
      <c r="F110" s="62"/>
      <c r="G110" s="65" t="s">
        <v>5026</v>
      </c>
      <c r="H110" s="62" t="s">
        <v>4992</v>
      </c>
      <c r="I110" s="30">
        <v>18.200000000000003</v>
      </c>
      <c r="J110" s="29" t="s">
        <v>721</v>
      </c>
    </row>
    <row r="111" spans="1:10" s="51" customFormat="1" ht="15" customHeight="1">
      <c r="A111" s="91" t="s">
        <v>4209</v>
      </c>
      <c r="B111" s="67"/>
      <c r="C111" s="54"/>
      <c r="D111" s="57"/>
      <c r="E111" s="78"/>
      <c r="F111" s="54"/>
      <c r="G111" s="69"/>
      <c r="H111" s="85"/>
      <c r="I111" s="57"/>
      <c r="J111" s="58"/>
    </row>
    <row r="112" spans="1:10" s="51" customFormat="1" ht="15" customHeight="1">
      <c r="A112" s="91" t="s">
        <v>4210</v>
      </c>
      <c r="B112" s="67"/>
      <c r="C112" s="54"/>
      <c r="D112" s="57"/>
      <c r="E112" s="57"/>
      <c r="F112" s="54"/>
      <c r="G112" s="69"/>
      <c r="H112" s="85"/>
      <c r="I112" s="57"/>
      <c r="J112" s="58"/>
    </row>
    <row r="113" spans="1:10" s="51" customFormat="1" ht="15" customHeight="1">
      <c r="A113" s="92" t="s">
        <v>4211</v>
      </c>
      <c r="B113" s="67"/>
      <c r="C113" s="54"/>
      <c r="D113" s="93"/>
      <c r="E113" s="93"/>
      <c r="F113" s="54"/>
      <c r="G113" s="69"/>
      <c r="H113" s="85"/>
      <c r="I113" s="57"/>
      <c r="J113" s="58"/>
    </row>
    <row r="114" spans="1:10" ht="12" customHeight="1">
      <c r="A114" s="83">
        <v>4058075830998</v>
      </c>
      <c r="B114" s="33" t="s">
        <v>4212</v>
      </c>
      <c r="C114" s="62">
        <v>1</v>
      </c>
      <c r="D114" s="63" t="s">
        <v>4196</v>
      </c>
      <c r="E114" s="70" t="str">
        <f t="shared" ref="E114:E119" si="0">HYPERLINK("data in work","Ficha de Produto")</f>
        <v>Ficha de Produto</v>
      </c>
      <c r="F114" s="94" t="s">
        <v>4213</v>
      </c>
      <c r="G114" s="65" t="s">
        <v>1201</v>
      </c>
      <c r="H114" s="62" t="s">
        <v>1201</v>
      </c>
      <c r="I114" s="30">
        <v>33.6</v>
      </c>
      <c r="J114" s="29" t="s">
        <v>721</v>
      </c>
    </row>
    <row r="115" spans="1:10" ht="12" customHeight="1">
      <c r="A115" s="83">
        <v>4058075831018</v>
      </c>
      <c r="B115" s="33" t="s">
        <v>4214</v>
      </c>
      <c r="C115" s="62">
        <v>1</v>
      </c>
      <c r="D115" s="63" t="s">
        <v>4196</v>
      </c>
      <c r="E115" s="70" t="str">
        <f t="shared" si="0"/>
        <v>Ficha de Produto</v>
      </c>
      <c r="F115" s="94" t="s">
        <v>4213</v>
      </c>
      <c r="G115" s="65" t="s">
        <v>1201</v>
      </c>
      <c r="H115" s="62" t="s">
        <v>1201</v>
      </c>
      <c r="I115" s="30">
        <v>46.9</v>
      </c>
      <c r="J115" s="29" t="s">
        <v>721</v>
      </c>
    </row>
    <row r="116" spans="1:10" ht="12" customHeight="1">
      <c r="A116" s="83">
        <v>4058075831032</v>
      </c>
      <c r="B116" s="33" t="s">
        <v>4215</v>
      </c>
      <c r="C116" s="62">
        <v>1</v>
      </c>
      <c r="D116" s="63" t="s">
        <v>4196</v>
      </c>
      <c r="E116" s="70" t="str">
        <f t="shared" si="0"/>
        <v>Ficha de Produto</v>
      </c>
      <c r="F116" s="94" t="s">
        <v>4213</v>
      </c>
      <c r="G116" s="65" t="s">
        <v>1201</v>
      </c>
      <c r="H116" s="62" t="s">
        <v>1201</v>
      </c>
      <c r="I116" s="30">
        <v>37.300000000000004</v>
      </c>
      <c r="J116" s="29" t="s">
        <v>721</v>
      </c>
    </row>
    <row r="117" spans="1:10" ht="12" customHeight="1">
      <c r="A117" s="83">
        <v>4058075831056</v>
      </c>
      <c r="B117" s="33" t="s">
        <v>4216</v>
      </c>
      <c r="C117" s="62">
        <v>1</v>
      </c>
      <c r="D117" s="63" t="s">
        <v>4196</v>
      </c>
      <c r="E117" s="70" t="str">
        <f t="shared" si="0"/>
        <v>Ficha de Produto</v>
      </c>
      <c r="F117" s="94" t="s">
        <v>4213</v>
      </c>
      <c r="G117" s="65" t="s">
        <v>1201</v>
      </c>
      <c r="H117" s="65" t="s">
        <v>1201</v>
      </c>
      <c r="I117" s="30">
        <v>53.5</v>
      </c>
      <c r="J117" s="29" t="s">
        <v>721</v>
      </c>
    </row>
    <row r="118" spans="1:10" ht="12" customHeight="1">
      <c r="A118" s="83">
        <v>4058075831070</v>
      </c>
      <c r="B118" s="33" t="s">
        <v>4217</v>
      </c>
      <c r="C118" s="62">
        <v>1</v>
      </c>
      <c r="D118" s="63" t="s">
        <v>4196</v>
      </c>
      <c r="E118" s="70" t="str">
        <f t="shared" si="0"/>
        <v>Ficha de Produto</v>
      </c>
      <c r="F118" s="94" t="s">
        <v>4213</v>
      </c>
      <c r="G118" s="65" t="s">
        <v>1201</v>
      </c>
      <c r="H118" s="65" t="s">
        <v>1201</v>
      </c>
      <c r="I118" s="30">
        <v>46.9</v>
      </c>
      <c r="J118" s="29" t="s">
        <v>721</v>
      </c>
    </row>
    <row r="119" spans="1:10" ht="12" customHeight="1">
      <c r="A119" s="83">
        <v>4058075831094</v>
      </c>
      <c r="B119" s="33" t="s">
        <v>4218</v>
      </c>
      <c r="C119" s="62">
        <v>1</v>
      </c>
      <c r="D119" s="63" t="s">
        <v>4196</v>
      </c>
      <c r="E119" s="70" t="str">
        <f t="shared" si="0"/>
        <v>Ficha de Produto</v>
      </c>
      <c r="F119" s="94" t="s">
        <v>4213</v>
      </c>
      <c r="G119" s="65" t="s">
        <v>1201</v>
      </c>
      <c r="H119" s="65" t="s">
        <v>1201</v>
      </c>
      <c r="I119" s="30">
        <v>66.8</v>
      </c>
      <c r="J119" s="29" t="s">
        <v>721</v>
      </c>
    </row>
    <row r="120" spans="1:10" s="51" customFormat="1" ht="15" customHeight="1">
      <c r="A120" s="89" t="s">
        <v>4219</v>
      </c>
      <c r="B120" s="67"/>
      <c r="C120" s="90"/>
      <c r="D120" s="90"/>
      <c r="E120" s="90"/>
      <c r="F120" s="90"/>
      <c r="G120" s="69"/>
      <c r="H120" s="85"/>
      <c r="I120" s="57"/>
      <c r="J120" s="58"/>
    </row>
    <row r="121" spans="1:10" s="51" customFormat="1" ht="15" customHeight="1">
      <c r="A121" s="89" t="s">
        <v>4220</v>
      </c>
      <c r="B121" s="67"/>
      <c r="C121" s="90"/>
      <c r="D121" s="90"/>
      <c r="E121" s="90"/>
      <c r="F121" s="90"/>
      <c r="G121" s="69"/>
      <c r="H121" s="85"/>
      <c r="I121" s="57"/>
      <c r="J121" s="58"/>
    </row>
    <row r="122" spans="1:10" s="51" customFormat="1" ht="15" customHeight="1">
      <c r="A122" s="72" t="s">
        <v>4221</v>
      </c>
      <c r="B122" s="67"/>
      <c r="C122" s="73"/>
      <c r="D122" s="73"/>
      <c r="E122" s="73"/>
      <c r="F122" s="73"/>
      <c r="G122" s="69"/>
      <c r="H122" s="85"/>
      <c r="I122" s="57"/>
      <c r="J122" s="58"/>
    </row>
    <row r="123" spans="1:10" ht="12" customHeight="1">
      <c r="A123" s="60">
        <v>4058075757400</v>
      </c>
      <c r="B123" s="61" t="s">
        <v>5028</v>
      </c>
      <c r="C123" s="62">
        <v>1</v>
      </c>
      <c r="D123" s="63" t="s">
        <v>4222</v>
      </c>
      <c r="E123" s="70" t="str">
        <f>HYPERLINK("https://ledvance.com/pt/product-datasheet/232223/203001","Ficha de Produto")</f>
        <v>Ficha de Produto</v>
      </c>
      <c r="F123" s="62"/>
      <c r="G123" s="65" t="s">
        <v>5029</v>
      </c>
      <c r="H123" s="62" t="s">
        <v>4930</v>
      </c>
      <c r="I123" s="30">
        <v>191.6</v>
      </c>
      <c r="J123" s="29" t="s">
        <v>721</v>
      </c>
    </row>
    <row r="124" spans="1:10" ht="12" customHeight="1">
      <c r="A124" s="60">
        <v>4058075757448</v>
      </c>
      <c r="B124" s="61" t="s">
        <v>5030</v>
      </c>
      <c r="C124" s="62">
        <v>1</v>
      </c>
      <c r="D124" s="63" t="s">
        <v>4222</v>
      </c>
      <c r="E124" s="70" t="str">
        <f>HYPERLINK("https://ledvance.com/pt/product-datasheet/232223/203004","Ficha de Produto")</f>
        <v>Ficha de Produto</v>
      </c>
      <c r="F124" s="62"/>
      <c r="G124" s="65" t="s">
        <v>5029</v>
      </c>
      <c r="H124" s="62" t="s">
        <v>4930</v>
      </c>
      <c r="I124" s="30">
        <v>191.6</v>
      </c>
      <c r="J124" s="29" t="s">
        <v>721</v>
      </c>
    </row>
    <row r="125" spans="1:10" s="51" customFormat="1" ht="15" customHeight="1">
      <c r="A125" s="72" t="s">
        <v>4223</v>
      </c>
      <c r="B125" s="67"/>
      <c r="C125" s="73"/>
      <c r="D125" s="73"/>
      <c r="E125" s="82"/>
      <c r="F125" s="73"/>
      <c r="G125" s="69"/>
      <c r="H125" s="85"/>
      <c r="I125" s="57"/>
      <c r="J125" s="58"/>
    </row>
    <row r="126" spans="1:10" ht="12" customHeight="1">
      <c r="A126" s="74">
        <v>4058075757547</v>
      </c>
      <c r="B126" s="61" t="s">
        <v>5031</v>
      </c>
      <c r="C126" s="62">
        <v>1</v>
      </c>
      <c r="D126" s="63" t="s">
        <v>4222</v>
      </c>
      <c r="E126" s="70" t="str">
        <f>HYPERLINK("https://ledvance.com/pt/product-datasheet/232223/203007","Ficha de Produto")</f>
        <v>Ficha de Produto</v>
      </c>
      <c r="F126" s="62"/>
      <c r="G126" s="65" t="s">
        <v>4940</v>
      </c>
      <c r="H126" s="62" t="s">
        <v>4930</v>
      </c>
      <c r="I126" s="30">
        <v>109.69999999999999</v>
      </c>
      <c r="J126" s="29" t="s">
        <v>721</v>
      </c>
    </row>
    <row r="127" spans="1:10" ht="12" customHeight="1">
      <c r="A127" s="74">
        <v>4058075757561</v>
      </c>
      <c r="B127" s="61" t="s">
        <v>5032</v>
      </c>
      <c r="C127" s="62">
        <v>1</v>
      </c>
      <c r="D127" s="63" t="s">
        <v>4222</v>
      </c>
      <c r="E127" s="70" t="str">
        <f>HYPERLINK("https://ledvance.com/pt/product-datasheet/232223/203010","Ficha de Produto")</f>
        <v>Ficha de Produto</v>
      </c>
      <c r="F127" s="62"/>
      <c r="G127" s="65" t="s">
        <v>4940</v>
      </c>
      <c r="H127" s="62" t="s">
        <v>4930</v>
      </c>
      <c r="I127" s="30">
        <v>109.69999999999999</v>
      </c>
      <c r="J127" s="29" t="s">
        <v>721</v>
      </c>
    </row>
    <row r="128" spans="1:10" s="51" customFormat="1" ht="15" customHeight="1">
      <c r="A128" s="59" t="s">
        <v>4224</v>
      </c>
      <c r="B128" s="67"/>
      <c r="C128" s="54"/>
      <c r="D128" s="56"/>
      <c r="E128" s="56"/>
      <c r="F128" s="54"/>
      <c r="G128" s="69"/>
      <c r="H128" s="85"/>
      <c r="I128" s="57"/>
      <c r="J128" s="58"/>
    </row>
    <row r="129" spans="1:10" ht="12" customHeight="1">
      <c r="A129" s="60">
        <v>4058075574090</v>
      </c>
      <c r="B129" s="61" t="s">
        <v>5033</v>
      </c>
      <c r="C129" s="62">
        <v>1</v>
      </c>
      <c r="D129" s="63" t="s">
        <v>4222</v>
      </c>
      <c r="E129" s="70" t="str">
        <f>HYPERLINK("https://ledvance.com/pt/product-datasheet/205422/112856","Ficha de Produto")</f>
        <v>Ficha de Produto</v>
      </c>
      <c r="F129" s="62"/>
      <c r="G129" s="65" t="s">
        <v>4940</v>
      </c>
      <c r="H129" s="62" t="s">
        <v>4930</v>
      </c>
      <c r="I129" s="30">
        <v>82.3</v>
      </c>
      <c r="J129" s="29" t="s">
        <v>721</v>
      </c>
    </row>
    <row r="130" spans="1:10" ht="12" customHeight="1">
      <c r="A130" s="60">
        <v>4058075574151</v>
      </c>
      <c r="B130" s="61" t="s">
        <v>5034</v>
      </c>
      <c r="C130" s="62">
        <v>1</v>
      </c>
      <c r="D130" s="63" t="s">
        <v>4222</v>
      </c>
      <c r="E130" s="70" t="str">
        <f>HYPERLINK("https://ledvance.com/pt/product-datasheet/205422/122487","Ficha de Produto")</f>
        <v>Ficha de Produto</v>
      </c>
      <c r="F130" s="62"/>
      <c r="G130" s="65" t="s">
        <v>4940</v>
      </c>
      <c r="H130" s="62" t="s">
        <v>4930</v>
      </c>
      <c r="I130" s="30">
        <v>82.3</v>
      </c>
      <c r="J130" s="29" t="s">
        <v>721</v>
      </c>
    </row>
    <row r="131" spans="1:10" s="51" customFormat="1" ht="15" customHeight="1">
      <c r="A131" s="59" t="s">
        <v>4225</v>
      </c>
      <c r="B131" s="67"/>
      <c r="C131" s="54"/>
      <c r="D131" s="56"/>
      <c r="E131" s="71"/>
      <c r="F131" s="54"/>
      <c r="G131" s="69"/>
      <c r="H131" s="85"/>
      <c r="I131" s="57"/>
      <c r="J131" s="58"/>
    </row>
    <row r="132" spans="1:10" ht="12" customHeight="1">
      <c r="A132" s="74">
        <v>4058075757646</v>
      </c>
      <c r="B132" s="61" t="s">
        <v>5035</v>
      </c>
      <c r="C132" s="62">
        <v>1</v>
      </c>
      <c r="D132" s="63" t="s">
        <v>4222</v>
      </c>
      <c r="E132" s="70" t="str">
        <f>HYPERLINK("https://ledvance.com/pt/product-datasheet/232224/203013","Ficha de Produto")</f>
        <v>Ficha de Produto</v>
      </c>
      <c r="F132" s="62"/>
      <c r="G132" s="65" t="s">
        <v>5036</v>
      </c>
      <c r="H132" s="62" t="s">
        <v>4930</v>
      </c>
      <c r="I132" s="30">
        <v>137</v>
      </c>
      <c r="J132" s="29" t="s">
        <v>721</v>
      </c>
    </row>
    <row r="133" spans="1:10" s="51" customFormat="1" ht="15" customHeight="1">
      <c r="A133" s="59" t="s">
        <v>4226</v>
      </c>
      <c r="B133" s="67"/>
      <c r="C133" s="54"/>
      <c r="D133" s="56"/>
      <c r="E133" s="71"/>
      <c r="F133" s="54"/>
      <c r="G133" s="69"/>
      <c r="H133" s="85"/>
      <c r="I133" s="57"/>
      <c r="J133" s="58"/>
    </row>
    <row r="134" spans="1:10" ht="12" customHeight="1">
      <c r="A134" s="60">
        <v>4058075574021</v>
      </c>
      <c r="B134" s="61" t="s">
        <v>5037</v>
      </c>
      <c r="C134" s="62">
        <v>1</v>
      </c>
      <c r="D134" s="63" t="s">
        <v>4222</v>
      </c>
      <c r="E134" s="70" t="str">
        <f>HYPERLINK("https://ledvance.com/pt/product-datasheet/205425/112850","Ficha de Produto")</f>
        <v>Ficha de Produto</v>
      </c>
      <c r="F134" s="62"/>
      <c r="G134" s="65" t="s">
        <v>5038</v>
      </c>
      <c r="H134" s="62" t="s">
        <v>4930</v>
      </c>
      <c r="I134" s="30">
        <v>109.69999999999999</v>
      </c>
      <c r="J134" s="29" t="s">
        <v>721</v>
      </c>
    </row>
    <row r="135" spans="1:10" ht="12" customHeight="1">
      <c r="A135" s="60">
        <v>4058075574052</v>
      </c>
      <c r="B135" s="61" t="s">
        <v>5039</v>
      </c>
      <c r="C135" s="62">
        <v>1</v>
      </c>
      <c r="D135" s="63" t="s">
        <v>4222</v>
      </c>
      <c r="E135" s="70" t="str">
        <f>HYPERLINK("https://ledvance.com/pt/product-datasheet/205425/112853","Ficha de Produto")</f>
        <v>Ficha de Produto</v>
      </c>
      <c r="F135" s="62"/>
      <c r="G135" s="65" t="s">
        <v>5038</v>
      </c>
      <c r="H135" s="62" t="s">
        <v>4930</v>
      </c>
      <c r="I135" s="30">
        <v>109.69999999999999</v>
      </c>
      <c r="J135" s="29" t="s">
        <v>721</v>
      </c>
    </row>
    <row r="136" spans="1:10" s="51" customFormat="1" ht="15" customHeight="1">
      <c r="A136" s="59" t="s">
        <v>4227</v>
      </c>
      <c r="B136" s="67"/>
      <c r="C136" s="54"/>
      <c r="D136" s="56"/>
      <c r="E136" s="71"/>
      <c r="F136" s="54"/>
      <c r="G136" s="69"/>
      <c r="H136" s="85"/>
      <c r="I136" s="57"/>
      <c r="J136" s="58"/>
    </row>
    <row r="137" spans="1:10" ht="12" customHeight="1">
      <c r="A137" s="74">
        <v>4058075757660</v>
      </c>
      <c r="B137" s="61" t="s">
        <v>5040</v>
      </c>
      <c r="C137" s="62">
        <v>1</v>
      </c>
      <c r="D137" s="63" t="s">
        <v>4222</v>
      </c>
      <c r="E137" s="70" t="str">
        <f>HYPERLINK("https://ledvance.com/pt/product-datasheet/232225/203016","Ficha de Produto")</f>
        <v>Ficha de Produto</v>
      </c>
      <c r="F137" s="62"/>
      <c r="G137" s="65" t="s">
        <v>1746</v>
      </c>
      <c r="H137" s="62" t="s">
        <v>4930</v>
      </c>
      <c r="I137" s="30">
        <v>82.3</v>
      </c>
      <c r="J137" s="29" t="s">
        <v>721</v>
      </c>
    </row>
    <row r="138" spans="1:10" s="51" customFormat="1" ht="15" customHeight="1">
      <c r="A138" s="59" t="s">
        <v>4228</v>
      </c>
      <c r="B138" s="67"/>
      <c r="C138" s="54"/>
      <c r="D138" s="56"/>
      <c r="E138" s="71"/>
      <c r="F138" s="54"/>
      <c r="G138" s="69"/>
      <c r="H138" s="85"/>
      <c r="I138" s="57"/>
      <c r="J138" s="58"/>
    </row>
    <row r="139" spans="1:10" ht="12" customHeight="1">
      <c r="A139" s="74">
        <v>4058075757585</v>
      </c>
      <c r="B139" s="61" t="s">
        <v>5041</v>
      </c>
      <c r="C139" s="62">
        <v>1</v>
      </c>
      <c r="D139" s="63" t="s">
        <v>4222</v>
      </c>
      <c r="E139" s="70" t="str">
        <f>HYPERLINK("https://ledvance.com/pt/product-datasheet/232225/203019","Ficha de Produto")</f>
        <v>Ficha de Produto</v>
      </c>
      <c r="F139" s="62"/>
      <c r="G139" s="65" t="s">
        <v>1746</v>
      </c>
      <c r="H139" s="62" t="s">
        <v>4930</v>
      </c>
      <c r="I139" s="30">
        <v>96</v>
      </c>
      <c r="J139" s="29" t="s">
        <v>721</v>
      </c>
    </row>
    <row r="140" spans="1:10" s="51" customFormat="1" ht="15" customHeight="1">
      <c r="A140" s="59" t="s">
        <v>4229</v>
      </c>
      <c r="B140" s="67"/>
      <c r="C140" s="54"/>
      <c r="D140" s="56"/>
      <c r="E140" s="71"/>
      <c r="F140" s="54"/>
      <c r="G140" s="69"/>
      <c r="H140" s="85"/>
      <c r="I140" s="57"/>
      <c r="J140" s="58"/>
    </row>
    <row r="141" spans="1:10" ht="12" customHeight="1">
      <c r="A141" s="74">
        <v>4058075757462</v>
      </c>
      <c r="B141" s="61" t="s">
        <v>5042</v>
      </c>
      <c r="C141" s="62">
        <v>1</v>
      </c>
      <c r="D141" s="63" t="s">
        <v>4222</v>
      </c>
      <c r="E141" s="70" t="str">
        <f>HYPERLINK("https://ledvance.com/pt/product-datasheet/232225/203022","Ficha de Produto")</f>
        <v>Ficha de Produto</v>
      </c>
      <c r="F141" s="62"/>
      <c r="G141" s="65" t="s">
        <v>4936</v>
      </c>
      <c r="H141" s="62" t="s">
        <v>4930</v>
      </c>
      <c r="I141" s="30">
        <v>137</v>
      </c>
      <c r="J141" s="29" t="s">
        <v>721</v>
      </c>
    </row>
    <row r="142" spans="1:10" s="51" customFormat="1" ht="15" customHeight="1">
      <c r="A142" s="59" t="s">
        <v>4230</v>
      </c>
      <c r="B142" s="67"/>
      <c r="C142" s="54"/>
      <c r="D142" s="56"/>
      <c r="E142" s="71"/>
      <c r="F142" s="54"/>
      <c r="G142" s="69"/>
      <c r="H142" s="85"/>
      <c r="I142" s="57"/>
      <c r="J142" s="58"/>
    </row>
    <row r="143" spans="1:10" ht="12" customHeight="1">
      <c r="A143" s="60">
        <v>4058075574298</v>
      </c>
      <c r="B143" s="61" t="s">
        <v>5043</v>
      </c>
      <c r="C143" s="62">
        <v>1</v>
      </c>
      <c r="D143" s="63" t="s">
        <v>4222</v>
      </c>
      <c r="E143" s="70" t="str">
        <f>HYPERLINK("https://ledvance.com/pt/product-datasheet/205423/122499","Ficha de Produto")</f>
        <v>Ficha de Produto</v>
      </c>
      <c r="F143" s="62"/>
      <c r="G143" s="65" t="s">
        <v>4940</v>
      </c>
      <c r="H143" s="62" t="s">
        <v>4930</v>
      </c>
      <c r="I143" s="30">
        <v>82.3</v>
      </c>
      <c r="J143" s="29" t="s">
        <v>721</v>
      </c>
    </row>
    <row r="144" spans="1:10" ht="12" customHeight="1">
      <c r="A144" s="60">
        <v>4058075574250</v>
      </c>
      <c r="B144" s="61" t="s">
        <v>5044</v>
      </c>
      <c r="C144" s="62">
        <v>1</v>
      </c>
      <c r="D144" s="63" t="s">
        <v>4222</v>
      </c>
      <c r="E144" s="70" t="str">
        <f>HYPERLINK("https://ledvance.com/pt/product-datasheet/205423/122496","Ficha de Produto")</f>
        <v>Ficha de Produto</v>
      </c>
      <c r="F144" s="62"/>
      <c r="G144" s="65" t="s">
        <v>4953</v>
      </c>
      <c r="H144" s="62" t="s">
        <v>4930</v>
      </c>
      <c r="I144" s="30">
        <v>75.5</v>
      </c>
      <c r="J144" s="29" t="s">
        <v>721</v>
      </c>
    </row>
    <row r="145" spans="1:10" s="51" customFormat="1" ht="15" customHeight="1">
      <c r="A145" s="59" t="s">
        <v>4231</v>
      </c>
      <c r="B145" s="67"/>
      <c r="C145" s="54"/>
      <c r="D145" s="56"/>
      <c r="E145" s="56"/>
      <c r="F145" s="54"/>
      <c r="G145" s="69"/>
      <c r="H145" s="85"/>
      <c r="I145" s="57"/>
      <c r="J145" s="58"/>
    </row>
    <row r="146" spans="1:10" ht="12" customHeight="1">
      <c r="A146" s="60">
        <v>4058075574175</v>
      </c>
      <c r="B146" s="61" t="s">
        <v>5045</v>
      </c>
      <c r="C146" s="62">
        <v>1</v>
      </c>
      <c r="D146" s="63" t="s">
        <v>4222</v>
      </c>
      <c r="E146" s="70" t="str">
        <f>HYPERLINK("https://ledvance.com/pt/product-datasheet/205424/122490","Ficha de Produto")</f>
        <v>Ficha de Produto</v>
      </c>
      <c r="F146" s="62"/>
      <c r="G146" s="65" t="s">
        <v>4940</v>
      </c>
      <c r="H146" s="62" t="s">
        <v>4930</v>
      </c>
      <c r="I146" s="30">
        <v>82.3</v>
      </c>
      <c r="J146" s="29" t="s">
        <v>721</v>
      </c>
    </row>
    <row r="147" spans="1:10" ht="12" customHeight="1">
      <c r="A147" s="60">
        <v>4058075574212</v>
      </c>
      <c r="B147" s="61" t="s">
        <v>5046</v>
      </c>
      <c r="C147" s="62">
        <v>1</v>
      </c>
      <c r="D147" s="63" t="s">
        <v>4222</v>
      </c>
      <c r="E147" s="70" t="str">
        <f>HYPERLINK("https://ledvance.com/pt/product-datasheet/205424/122493","Ficha de Produto")</f>
        <v>Ficha de Produto</v>
      </c>
      <c r="F147" s="62"/>
      <c r="G147" s="65" t="s">
        <v>4940</v>
      </c>
      <c r="H147" s="62" t="s">
        <v>4930</v>
      </c>
      <c r="I147" s="30">
        <v>82.3</v>
      </c>
      <c r="J147" s="29" t="s">
        <v>721</v>
      </c>
    </row>
    <row r="148" spans="1:10" s="51" customFormat="1" ht="15" customHeight="1">
      <c r="A148" s="59" t="s">
        <v>4232</v>
      </c>
      <c r="B148" s="67"/>
      <c r="C148" s="54"/>
      <c r="D148" s="56"/>
      <c r="E148" s="71"/>
      <c r="F148" s="54"/>
      <c r="G148" s="69"/>
      <c r="H148" s="85"/>
      <c r="I148" s="57"/>
      <c r="J148" s="58"/>
    </row>
    <row r="149" spans="1:10" ht="12" customHeight="1">
      <c r="A149" s="60">
        <v>4058075573949</v>
      </c>
      <c r="B149" s="61" t="s">
        <v>5047</v>
      </c>
      <c r="C149" s="62">
        <v>1</v>
      </c>
      <c r="D149" s="63" t="s">
        <v>4222</v>
      </c>
      <c r="E149" s="70" t="str">
        <f>HYPERLINK("https://ledvance.com/pt/product-datasheet/205426/112844","Ficha de Produto")</f>
        <v>Ficha de Produto</v>
      </c>
      <c r="F149" s="62"/>
      <c r="G149" s="65" t="s">
        <v>4940</v>
      </c>
      <c r="H149" s="62" t="s">
        <v>4930</v>
      </c>
      <c r="I149" s="30">
        <v>96</v>
      </c>
      <c r="J149" s="29" t="s">
        <v>721</v>
      </c>
    </row>
    <row r="150" spans="1:10" ht="12" customHeight="1">
      <c r="A150" s="60">
        <v>4058075573994</v>
      </c>
      <c r="B150" s="61" t="s">
        <v>5048</v>
      </c>
      <c r="C150" s="62">
        <v>1</v>
      </c>
      <c r="D150" s="63" t="s">
        <v>4222</v>
      </c>
      <c r="E150" s="70" t="str">
        <f>HYPERLINK("https://ledvance.com/pt/product-datasheet/205426/112847","Ficha de Produto")</f>
        <v>Ficha de Produto</v>
      </c>
      <c r="F150" s="62"/>
      <c r="G150" s="65" t="s">
        <v>4940</v>
      </c>
      <c r="H150" s="62" t="s">
        <v>4930</v>
      </c>
      <c r="I150" s="30">
        <v>96</v>
      </c>
      <c r="J150" s="29" t="s">
        <v>721</v>
      </c>
    </row>
    <row r="151" spans="1:10" s="51" customFormat="1" ht="15" customHeight="1">
      <c r="A151" s="91" t="s">
        <v>4219</v>
      </c>
      <c r="B151" s="67"/>
      <c r="C151" s="54"/>
      <c r="D151" s="57"/>
      <c r="E151" s="57"/>
      <c r="F151" s="54"/>
      <c r="G151" s="69"/>
      <c r="H151" s="85"/>
      <c r="I151" s="57"/>
      <c r="J151" s="58"/>
    </row>
    <row r="152" spans="1:10" s="51" customFormat="1" ht="15" customHeight="1">
      <c r="A152" s="95" t="s">
        <v>4233</v>
      </c>
      <c r="B152" s="67"/>
      <c r="C152" s="96"/>
      <c r="D152" s="96"/>
      <c r="E152" s="97"/>
      <c r="F152" s="96"/>
      <c r="G152" s="69"/>
      <c r="H152" s="85"/>
      <c r="I152" s="57"/>
      <c r="J152" s="58"/>
    </row>
    <row r="153" spans="1:10" s="51" customFormat="1" ht="15" customHeight="1">
      <c r="A153" s="59" t="s">
        <v>4234</v>
      </c>
      <c r="B153" s="67"/>
      <c r="C153" s="54"/>
      <c r="D153" s="56"/>
      <c r="E153" s="56"/>
      <c r="F153" s="54"/>
      <c r="G153" s="69"/>
      <c r="H153" s="85"/>
      <c r="I153" s="57"/>
      <c r="J153" s="58"/>
    </row>
    <row r="154" spans="1:10" ht="12" customHeight="1">
      <c r="A154" s="74">
        <v>4058075758902</v>
      </c>
      <c r="B154" s="61" t="s">
        <v>5049</v>
      </c>
      <c r="C154" s="62">
        <v>1</v>
      </c>
      <c r="D154" s="63" t="s">
        <v>4222</v>
      </c>
      <c r="E154" s="70" t="str">
        <f>HYPERLINK("https://ledvance.com/pt/product-datasheet/230917/203642","Ficha de Produto")</f>
        <v>Ficha de Produto</v>
      </c>
      <c r="F154" s="62"/>
      <c r="G154" s="65" t="s">
        <v>4963</v>
      </c>
      <c r="H154" s="62" t="s">
        <v>4963</v>
      </c>
      <c r="I154" s="30">
        <v>55</v>
      </c>
      <c r="J154" s="29" t="s">
        <v>721</v>
      </c>
    </row>
    <row r="155" spans="1:10" s="51" customFormat="1" ht="15" customHeight="1">
      <c r="A155" s="59" t="s">
        <v>4235</v>
      </c>
      <c r="B155" s="67"/>
      <c r="C155" s="54"/>
      <c r="D155" s="56"/>
      <c r="E155" s="56"/>
      <c r="F155" s="54"/>
      <c r="G155" s="69"/>
      <c r="H155" s="85"/>
      <c r="I155" s="57"/>
      <c r="J155" s="58"/>
    </row>
    <row r="156" spans="1:10" ht="12" customHeight="1">
      <c r="A156" s="74">
        <v>4058075759022</v>
      </c>
      <c r="B156" s="61" t="s">
        <v>5050</v>
      </c>
      <c r="C156" s="62">
        <v>1</v>
      </c>
      <c r="D156" s="63" t="s">
        <v>4222</v>
      </c>
      <c r="E156" s="70" t="str">
        <f>HYPERLINK("https://ledvance.com/pt/product-datasheet/230917/203648","Ficha de Produto")</f>
        <v>Ficha de Produto</v>
      </c>
      <c r="F156" s="62"/>
      <c r="G156" s="65" t="s">
        <v>4963</v>
      </c>
      <c r="H156" s="62" t="s">
        <v>4963</v>
      </c>
      <c r="I156" s="30">
        <v>137</v>
      </c>
      <c r="J156" s="29" t="s">
        <v>721</v>
      </c>
    </row>
    <row r="157" spans="1:10" s="51" customFormat="1" ht="15" customHeight="1">
      <c r="A157" s="59" t="s">
        <v>4236</v>
      </c>
      <c r="B157" s="67"/>
      <c r="C157" s="54"/>
      <c r="D157" s="56"/>
      <c r="E157" s="56"/>
      <c r="F157" s="54"/>
      <c r="G157" s="69"/>
      <c r="H157" s="85"/>
      <c r="I157" s="57"/>
      <c r="J157" s="58"/>
    </row>
    <row r="158" spans="1:10" ht="12" customHeight="1">
      <c r="A158" s="74">
        <v>4058075759084</v>
      </c>
      <c r="B158" s="61" t="s">
        <v>5051</v>
      </c>
      <c r="C158" s="62">
        <v>1</v>
      </c>
      <c r="D158" s="63" t="s">
        <v>4222</v>
      </c>
      <c r="E158" s="70" t="str">
        <f>HYPERLINK("https://ledvance.com/pt/product-datasheet/230917/203654","Ficha de Produto")</f>
        <v>Ficha de Produto</v>
      </c>
      <c r="F158" s="62"/>
      <c r="G158" s="65" t="s">
        <v>4963</v>
      </c>
      <c r="H158" s="62" t="s">
        <v>4963</v>
      </c>
      <c r="I158" s="30">
        <v>55</v>
      </c>
      <c r="J158" s="29" t="s">
        <v>721</v>
      </c>
    </row>
    <row r="159" spans="1:10" s="51" customFormat="1" ht="15" customHeight="1">
      <c r="A159" s="59" t="s">
        <v>4237</v>
      </c>
      <c r="B159" s="67"/>
      <c r="C159" s="54"/>
      <c r="D159" s="56"/>
      <c r="E159" s="56"/>
      <c r="F159" s="54"/>
      <c r="G159" s="69"/>
      <c r="H159" s="85"/>
      <c r="I159" s="57"/>
      <c r="J159" s="58"/>
    </row>
    <row r="160" spans="1:10" ht="12" customHeight="1">
      <c r="A160" s="74">
        <v>4058075759145</v>
      </c>
      <c r="B160" s="61" t="s">
        <v>5052</v>
      </c>
      <c r="C160" s="62">
        <v>1</v>
      </c>
      <c r="D160" s="63" t="s">
        <v>4222</v>
      </c>
      <c r="E160" s="70" t="str">
        <f>HYPERLINK("https://ledvance.com/pt/product-datasheet/230917/203660","Ficha de Produto")</f>
        <v>Ficha de Produto</v>
      </c>
      <c r="F160" s="62"/>
      <c r="G160" s="65" t="s">
        <v>4963</v>
      </c>
      <c r="H160" s="62" t="s">
        <v>4963</v>
      </c>
      <c r="I160" s="30">
        <v>48.2</v>
      </c>
      <c r="J160" s="29" t="s">
        <v>721</v>
      </c>
    </row>
    <row r="161" spans="1:10" s="51" customFormat="1" ht="15" customHeight="1">
      <c r="A161" s="52" t="s">
        <v>4238</v>
      </c>
      <c r="B161" s="67"/>
      <c r="C161" s="54"/>
      <c r="D161" s="55"/>
      <c r="E161" s="55"/>
      <c r="F161" s="54"/>
      <c r="G161" s="69"/>
      <c r="H161" s="85"/>
      <c r="I161" s="57"/>
      <c r="J161" s="58"/>
    </row>
    <row r="162" spans="1:10" s="51" customFormat="1" ht="15" customHeight="1">
      <c r="A162" s="59" t="s">
        <v>4239</v>
      </c>
      <c r="B162" s="67"/>
      <c r="C162" s="54"/>
      <c r="D162" s="56"/>
      <c r="E162" s="71"/>
      <c r="F162" s="54"/>
      <c r="G162" s="69"/>
      <c r="H162" s="85"/>
      <c r="I162" s="57"/>
      <c r="J162" s="58"/>
    </row>
    <row r="163" spans="1:10" ht="12" customHeight="1">
      <c r="A163" s="74">
        <v>4058075759169</v>
      </c>
      <c r="B163" s="61" t="s">
        <v>5053</v>
      </c>
      <c r="C163" s="62">
        <v>1</v>
      </c>
      <c r="D163" s="63" t="s">
        <v>4222</v>
      </c>
      <c r="E163" s="70" t="str">
        <f>HYPERLINK("https://ledvance.com/pt/product-datasheet/230918/203666","Ficha de Produto")</f>
        <v>Ficha de Produto</v>
      </c>
      <c r="F163" s="62"/>
      <c r="G163" s="65" t="s">
        <v>4963</v>
      </c>
      <c r="H163" s="62" t="s">
        <v>4963</v>
      </c>
      <c r="I163" s="30">
        <v>116.5</v>
      </c>
      <c r="J163" s="29" t="s">
        <v>721</v>
      </c>
    </row>
    <row r="164" spans="1:10" s="51" customFormat="1" ht="15" customHeight="1">
      <c r="A164" s="59" t="s">
        <v>4240</v>
      </c>
      <c r="B164" s="67"/>
      <c r="C164" s="54"/>
      <c r="D164" s="56"/>
      <c r="E164" s="56"/>
      <c r="F164" s="54"/>
      <c r="G164" s="69"/>
      <c r="H164" s="85"/>
      <c r="I164" s="57"/>
      <c r="J164" s="58"/>
    </row>
    <row r="165" spans="1:10" ht="12" customHeight="1">
      <c r="A165" s="74">
        <v>4058075759206</v>
      </c>
      <c r="B165" s="61" t="s">
        <v>5054</v>
      </c>
      <c r="C165" s="62">
        <v>1</v>
      </c>
      <c r="D165" s="63" t="s">
        <v>4222</v>
      </c>
      <c r="E165" s="70" t="str">
        <f>HYPERLINK("https://ledvance.com/pt/product-datasheet/230918/203673","Ficha de Produto")</f>
        <v>Ficha de Produto</v>
      </c>
      <c r="F165" s="62"/>
      <c r="G165" s="65" t="s">
        <v>4963</v>
      </c>
      <c r="H165" s="62" t="s">
        <v>4963</v>
      </c>
      <c r="I165" s="30">
        <v>64.599999999999994</v>
      </c>
      <c r="J165" s="29" t="s">
        <v>721</v>
      </c>
    </row>
    <row r="166" spans="1:10" s="51" customFormat="1" ht="15" customHeight="1">
      <c r="A166" s="59" t="s">
        <v>4241</v>
      </c>
      <c r="B166" s="67"/>
      <c r="C166" s="54"/>
      <c r="D166" s="56"/>
      <c r="E166" s="56"/>
      <c r="F166" s="54"/>
      <c r="G166" s="69"/>
      <c r="H166" s="85"/>
      <c r="I166" s="57"/>
      <c r="J166" s="58"/>
    </row>
    <row r="167" spans="1:10" ht="12" customHeight="1">
      <c r="A167" s="74">
        <v>4058075759244</v>
      </c>
      <c r="B167" s="61" t="s">
        <v>5055</v>
      </c>
      <c r="C167" s="62">
        <v>1</v>
      </c>
      <c r="D167" s="63" t="s">
        <v>4222</v>
      </c>
      <c r="E167" s="70" t="str">
        <f>HYPERLINK("https://ledvance.com/pt/product-datasheet/230918/203680","Ficha de Produto")</f>
        <v>Ficha de Produto</v>
      </c>
      <c r="F167" s="62"/>
      <c r="G167" s="65" t="s">
        <v>4963</v>
      </c>
      <c r="H167" s="62" t="s">
        <v>4963</v>
      </c>
      <c r="I167" s="30">
        <v>164.29999999999998</v>
      </c>
      <c r="J167" s="29" t="s">
        <v>721</v>
      </c>
    </row>
    <row r="168" spans="1:10" s="51" customFormat="1" ht="15" customHeight="1">
      <c r="A168" s="52" t="s">
        <v>4242</v>
      </c>
      <c r="B168" s="67"/>
      <c r="C168" s="98"/>
      <c r="D168" s="55"/>
      <c r="E168" s="55"/>
      <c r="F168" s="98"/>
      <c r="G168" s="69"/>
      <c r="H168" s="85"/>
      <c r="I168" s="57"/>
      <c r="J168" s="58"/>
    </row>
    <row r="169" spans="1:10" s="51" customFormat="1" ht="15" customHeight="1">
      <c r="A169" s="59" t="s">
        <v>4243</v>
      </c>
      <c r="B169" s="67"/>
      <c r="C169" s="54"/>
      <c r="D169" s="56"/>
      <c r="E169" s="56"/>
      <c r="F169" s="54"/>
      <c r="G169" s="69"/>
      <c r="H169" s="85"/>
      <c r="I169" s="57"/>
      <c r="J169" s="58"/>
    </row>
    <row r="170" spans="1:10" ht="12" customHeight="1">
      <c r="A170" s="74">
        <v>4058075757028</v>
      </c>
      <c r="B170" s="61" t="s">
        <v>5056</v>
      </c>
      <c r="C170" s="62">
        <v>1</v>
      </c>
      <c r="D170" s="63" t="s">
        <v>4222</v>
      </c>
      <c r="E170" s="70" t="str">
        <f>HYPERLINK("https://ledvance.com/pt/product-datasheet/230921/202685","Ficha de Produto")</f>
        <v>Ficha de Produto</v>
      </c>
      <c r="F170" s="62"/>
      <c r="G170" s="65" t="s">
        <v>5057</v>
      </c>
      <c r="H170" s="62" t="s">
        <v>4974</v>
      </c>
      <c r="I170" s="30">
        <v>34.5</v>
      </c>
      <c r="J170" s="29" t="s">
        <v>721</v>
      </c>
    </row>
    <row r="171" spans="1:10" s="51" customFormat="1" ht="15" customHeight="1">
      <c r="A171" s="59" t="s">
        <v>4244</v>
      </c>
      <c r="B171" s="67"/>
      <c r="C171" s="54"/>
      <c r="D171" s="56"/>
      <c r="E171" s="56"/>
      <c r="F171" s="54"/>
      <c r="G171" s="69"/>
      <c r="H171" s="85"/>
      <c r="I171" s="57"/>
      <c r="J171" s="58"/>
    </row>
    <row r="172" spans="1:10" ht="12" customHeight="1">
      <c r="A172" s="74">
        <v>4058075757042</v>
      </c>
      <c r="B172" s="61" t="s">
        <v>5058</v>
      </c>
      <c r="C172" s="62">
        <v>1</v>
      </c>
      <c r="D172" s="63" t="s">
        <v>4222</v>
      </c>
      <c r="E172" s="70" t="str">
        <f>HYPERLINK("https://ledvance.com/pt/product-datasheet/230921/202688","Ficha de Produto")</f>
        <v>Ficha de Produto</v>
      </c>
      <c r="F172" s="62"/>
      <c r="G172" s="65" t="s">
        <v>5057</v>
      </c>
      <c r="H172" s="62" t="s">
        <v>4974</v>
      </c>
      <c r="I172" s="30">
        <v>48.2</v>
      </c>
      <c r="J172" s="29" t="s">
        <v>721</v>
      </c>
    </row>
    <row r="173" spans="1:10" s="51" customFormat="1" ht="15" customHeight="1">
      <c r="A173" s="59" t="s">
        <v>4245</v>
      </c>
      <c r="B173" s="67"/>
      <c r="C173" s="54"/>
      <c r="D173" s="56"/>
      <c r="E173" s="56"/>
      <c r="F173" s="54"/>
      <c r="G173" s="69"/>
      <c r="H173" s="85"/>
      <c r="I173" s="57"/>
      <c r="J173" s="58"/>
    </row>
    <row r="174" spans="1:10" ht="12" customHeight="1">
      <c r="A174" s="74">
        <v>4058075757066</v>
      </c>
      <c r="B174" s="61" t="s">
        <v>5059</v>
      </c>
      <c r="C174" s="62">
        <v>1</v>
      </c>
      <c r="D174" s="63" t="s">
        <v>4222</v>
      </c>
      <c r="E174" s="70" t="str">
        <f>HYPERLINK("https://ledvance.com/pt/product-datasheet/230921/202691","Ficha de Produto")</f>
        <v>Ficha de Produto</v>
      </c>
      <c r="F174" s="62"/>
      <c r="G174" s="65" t="s">
        <v>4977</v>
      </c>
      <c r="H174" s="62" t="s">
        <v>4974</v>
      </c>
      <c r="I174" s="30">
        <v>102.8</v>
      </c>
      <c r="J174" s="29" t="s">
        <v>721</v>
      </c>
    </row>
    <row r="175" spans="1:10" s="51" customFormat="1" ht="15" customHeight="1">
      <c r="A175" s="52" t="s">
        <v>4246</v>
      </c>
      <c r="B175" s="67"/>
      <c r="C175" s="98"/>
      <c r="D175" s="55"/>
      <c r="E175" s="55"/>
      <c r="F175" s="98"/>
      <c r="G175" s="69"/>
      <c r="H175" s="85"/>
      <c r="I175" s="57"/>
      <c r="J175" s="58"/>
    </row>
    <row r="176" spans="1:10" s="51" customFormat="1" ht="15" customHeight="1">
      <c r="A176" s="99" t="s">
        <v>4247</v>
      </c>
      <c r="B176" s="67"/>
      <c r="C176" s="100"/>
      <c r="D176" s="100"/>
      <c r="E176" s="100"/>
      <c r="F176" s="100"/>
      <c r="G176" s="69"/>
      <c r="H176" s="85"/>
      <c r="I176" s="57"/>
      <c r="J176" s="58"/>
    </row>
    <row r="177" spans="1:10" ht="12" customHeight="1">
      <c r="A177" s="74">
        <v>4058075757080</v>
      </c>
      <c r="B177" s="61" t="s">
        <v>5060</v>
      </c>
      <c r="C177" s="62">
        <v>1</v>
      </c>
      <c r="D177" s="63" t="s">
        <v>4222</v>
      </c>
      <c r="E177" s="70" t="str">
        <f>HYPERLINK("https://ledvance.com/pt/product-datasheet/230922/202694","Ficha de Produto")</f>
        <v>Ficha de Produto</v>
      </c>
      <c r="F177" s="62"/>
      <c r="G177" s="65" t="s">
        <v>4963</v>
      </c>
      <c r="H177" s="62" t="s">
        <v>4963</v>
      </c>
      <c r="I177" s="30">
        <v>27.700000000000003</v>
      </c>
      <c r="J177" s="29" t="s">
        <v>721</v>
      </c>
    </row>
    <row r="178" spans="1:10" s="51" customFormat="1" ht="15" customHeight="1">
      <c r="A178" s="99" t="s">
        <v>4248</v>
      </c>
      <c r="B178" s="67"/>
      <c r="C178" s="100"/>
      <c r="D178" s="100"/>
      <c r="E178" s="100"/>
      <c r="F178" s="100"/>
      <c r="G178" s="69"/>
      <c r="H178" s="85"/>
      <c r="I178" s="57"/>
      <c r="J178" s="58"/>
    </row>
    <row r="179" spans="1:10" ht="12" customHeight="1">
      <c r="A179" s="74">
        <v>4058075757103</v>
      </c>
      <c r="B179" s="61" t="s">
        <v>5061</v>
      </c>
      <c r="C179" s="62">
        <v>1</v>
      </c>
      <c r="D179" s="63" t="s">
        <v>4222</v>
      </c>
      <c r="E179" s="70" t="str">
        <f>HYPERLINK("https://ledvance.com/pt/product-datasheet/230922/202697","Ficha de Produto")</f>
        <v>Ficha de Produto</v>
      </c>
      <c r="F179" s="62"/>
      <c r="G179" s="65" t="s">
        <v>4963</v>
      </c>
      <c r="H179" s="62" t="s">
        <v>4963</v>
      </c>
      <c r="I179" s="30">
        <v>64.599999999999994</v>
      </c>
      <c r="J179" s="29" t="s">
        <v>721</v>
      </c>
    </row>
    <row r="180" spans="1:10" s="51" customFormat="1" ht="15" customHeight="1">
      <c r="A180" s="52" t="s">
        <v>4249</v>
      </c>
      <c r="B180" s="67"/>
      <c r="C180" s="98"/>
      <c r="D180" s="55"/>
      <c r="E180" s="55"/>
      <c r="F180" s="98"/>
      <c r="G180" s="69"/>
      <c r="H180" s="85"/>
      <c r="I180" s="57"/>
      <c r="J180" s="58"/>
    </row>
    <row r="181" spans="1:10" s="51" customFormat="1" ht="15" customHeight="1">
      <c r="A181" s="99" t="s">
        <v>4250</v>
      </c>
      <c r="B181" s="67"/>
      <c r="C181" s="100"/>
      <c r="D181" s="100"/>
      <c r="E181" s="100"/>
      <c r="F181" s="100"/>
      <c r="G181" s="69"/>
      <c r="H181" s="85"/>
      <c r="I181" s="57"/>
      <c r="J181" s="58"/>
    </row>
    <row r="182" spans="1:10" ht="12" customHeight="1">
      <c r="A182" s="74">
        <v>4058075756885</v>
      </c>
      <c r="B182" s="61" t="s">
        <v>5062</v>
      </c>
      <c r="C182" s="62">
        <v>1</v>
      </c>
      <c r="D182" s="63" t="s">
        <v>4222</v>
      </c>
      <c r="E182" s="70" t="str">
        <f>HYPERLINK("https://ledvance.com/pt/product-datasheet/230919/202670","Ficha de Produto")</f>
        <v>Ficha de Produto</v>
      </c>
      <c r="F182" s="101" t="s">
        <v>4251</v>
      </c>
      <c r="G182" s="65" t="s">
        <v>4940</v>
      </c>
      <c r="H182" s="62" t="s">
        <v>4974</v>
      </c>
      <c r="I182" s="30">
        <v>93.8</v>
      </c>
      <c r="J182" s="29" t="s">
        <v>721</v>
      </c>
    </row>
    <row r="183" spans="1:10" ht="12" customHeight="1">
      <c r="A183" s="74">
        <v>4058075756847</v>
      </c>
      <c r="B183" s="61" t="s">
        <v>5063</v>
      </c>
      <c r="C183" s="62">
        <v>1</v>
      </c>
      <c r="D183" s="63" t="s">
        <v>4222</v>
      </c>
      <c r="E183" s="70" t="str">
        <f>HYPERLINK("https://ledvance.com/pt/product-datasheet/230919/202667","Ficha de Produto")</f>
        <v>Ficha de Produto</v>
      </c>
      <c r="F183" s="101" t="s">
        <v>4251</v>
      </c>
      <c r="G183" s="65" t="s">
        <v>4940</v>
      </c>
      <c r="H183" s="62" t="s">
        <v>4974</v>
      </c>
      <c r="I183" s="30">
        <v>79.399999999999991</v>
      </c>
      <c r="J183" s="29" t="s">
        <v>721</v>
      </c>
    </row>
    <row r="184" spans="1:10" ht="12" customHeight="1">
      <c r="A184" s="74">
        <v>4058075756816</v>
      </c>
      <c r="B184" s="61" t="s">
        <v>5064</v>
      </c>
      <c r="C184" s="62">
        <v>1</v>
      </c>
      <c r="D184" s="63" t="s">
        <v>4222</v>
      </c>
      <c r="E184" s="70" t="str">
        <f>HYPERLINK("https://ledvance.com/pt/product-datasheet/230919/202664","Ficha de Produto")</f>
        <v>Ficha de Produto</v>
      </c>
      <c r="F184" s="101" t="s">
        <v>4251</v>
      </c>
      <c r="G184" s="65" t="s">
        <v>4963</v>
      </c>
      <c r="H184" s="62" t="s">
        <v>4963</v>
      </c>
      <c r="I184" s="30">
        <v>41.800000000000004</v>
      </c>
      <c r="J184" s="29" t="s">
        <v>721</v>
      </c>
    </row>
    <row r="185" spans="1:10" ht="12" customHeight="1">
      <c r="A185" s="74">
        <v>4058075756786</v>
      </c>
      <c r="B185" s="61" t="s">
        <v>5065</v>
      </c>
      <c r="C185" s="62">
        <v>1</v>
      </c>
      <c r="D185" s="63" t="s">
        <v>4222</v>
      </c>
      <c r="E185" s="70" t="str">
        <f>HYPERLINK("https://ledvance.com/pt/product-datasheet/230919/202726","Ficha de Produto")</f>
        <v>Ficha de Produto</v>
      </c>
      <c r="F185" s="101" t="s">
        <v>4251</v>
      </c>
      <c r="G185" s="65" t="s">
        <v>1749</v>
      </c>
      <c r="H185" s="62" t="s">
        <v>4974</v>
      </c>
      <c r="I185" s="30">
        <v>88.899999999999991</v>
      </c>
      <c r="J185" s="29" t="s">
        <v>721</v>
      </c>
    </row>
    <row r="186" spans="1:10" s="51" customFormat="1" ht="15" customHeight="1">
      <c r="A186" s="52" t="s">
        <v>4252</v>
      </c>
      <c r="B186" s="67"/>
      <c r="C186" s="98"/>
      <c r="D186" s="55"/>
      <c r="E186" s="55"/>
      <c r="F186" s="98"/>
      <c r="G186" s="69"/>
      <c r="H186" s="85"/>
      <c r="I186" s="57"/>
      <c r="J186" s="58"/>
    </row>
    <row r="187" spans="1:10" s="51" customFormat="1" ht="15" customHeight="1">
      <c r="A187" s="59" t="s">
        <v>4253</v>
      </c>
      <c r="B187" s="67"/>
      <c r="C187" s="98"/>
      <c r="D187" s="56"/>
      <c r="E187" s="71"/>
      <c r="F187" s="98"/>
      <c r="G187" s="69"/>
      <c r="H187" s="85"/>
      <c r="I187" s="57"/>
      <c r="J187" s="58"/>
    </row>
    <row r="188" spans="1:10" ht="12" customHeight="1">
      <c r="A188" s="83">
        <v>4058075832916</v>
      </c>
      <c r="B188" s="61" t="s">
        <v>5066</v>
      </c>
      <c r="C188" s="62">
        <v>1</v>
      </c>
      <c r="D188" s="63" t="s">
        <v>4222</v>
      </c>
      <c r="E188" s="70" t="str">
        <f>HYPERLINK("https://ledvance.com/pt/product-datasheet/278187/267481","Ficha de Produto")</f>
        <v>Ficha de Produto</v>
      </c>
      <c r="F188" s="84" t="s">
        <v>4183</v>
      </c>
      <c r="G188" s="65" t="s">
        <v>5067</v>
      </c>
      <c r="H188" s="62" t="s">
        <v>4988</v>
      </c>
      <c r="I188" s="30">
        <v>113.6</v>
      </c>
      <c r="J188" s="29" t="s">
        <v>721</v>
      </c>
    </row>
    <row r="189" spans="1:10" ht="12" customHeight="1">
      <c r="A189" s="83">
        <v>4058075832930</v>
      </c>
      <c r="B189" s="61" t="s">
        <v>5068</v>
      </c>
      <c r="C189" s="62">
        <v>1</v>
      </c>
      <c r="D189" s="63" t="s">
        <v>4222</v>
      </c>
      <c r="E189" s="70" t="str">
        <f>HYPERLINK("https://ledvance.com/pt/product-datasheet/278187/267484","Ficha de Produto")</f>
        <v>Ficha de Produto</v>
      </c>
      <c r="F189" s="84" t="s">
        <v>4183</v>
      </c>
      <c r="G189" s="65" t="s">
        <v>5067</v>
      </c>
      <c r="H189" s="62" t="s">
        <v>4988</v>
      </c>
      <c r="I189" s="30">
        <v>151.29999999999998</v>
      </c>
      <c r="J189" s="29" t="s">
        <v>721</v>
      </c>
    </row>
    <row r="190" spans="1:10" s="51" customFormat="1" ht="15" customHeight="1">
      <c r="A190" s="59" t="s">
        <v>4254</v>
      </c>
      <c r="B190" s="67"/>
      <c r="C190" s="98"/>
      <c r="D190" s="56"/>
      <c r="E190" s="71"/>
      <c r="F190" s="98"/>
      <c r="G190" s="69"/>
      <c r="H190" s="85"/>
      <c r="I190" s="57"/>
      <c r="J190" s="58"/>
    </row>
    <row r="191" spans="1:10" ht="12" customHeight="1">
      <c r="A191" s="83">
        <v>4058075832954</v>
      </c>
      <c r="B191" s="61" t="s">
        <v>5069</v>
      </c>
      <c r="C191" s="62">
        <v>1</v>
      </c>
      <c r="D191" s="63" t="s">
        <v>4222</v>
      </c>
      <c r="E191" s="70" t="str">
        <f>HYPERLINK("https://ledvance.com/pt/product-datasheet/278188/267487","Ficha de Produto")</f>
        <v>Ficha de Produto</v>
      </c>
      <c r="F191" s="84" t="s">
        <v>4183</v>
      </c>
      <c r="G191" s="65" t="s">
        <v>4953</v>
      </c>
      <c r="H191" s="62" t="s">
        <v>4988</v>
      </c>
      <c r="I191" s="30">
        <v>106</v>
      </c>
      <c r="J191" s="29" t="s">
        <v>721</v>
      </c>
    </row>
    <row r="192" spans="1:10" ht="12" customHeight="1">
      <c r="A192" s="83">
        <v>4058075833951</v>
      </c>
      <c r="B192" s="61" t="s">
        <v>5070</v>
      </c>
      <c r="C192" s="62">
        <v>1</v>
      </c>
      <c r="D192" s="63" t="s">
        <v>4222</v>
      </c>
      <c r="E192" s="70" t="str">
        <f>HYPERLINK("https://ledvance.com/pt/product-datasheet/278188/267490","Ficha de Produto")</f>
        <v>Ficha de Produto</v>
      </c>
      <c r="F192" s="84" t="s">
        <v>4183</v>
      </c>
      <c r="G192" s="65" t="s">
        <v>4953</v>
      </c>
      <c r="H192" s="62" t="s">
        <v>4988</v>
      </c>
      <c r="I192" s="30">
        <v>106</v>
      </c>
      <c r="J192" s="29" t="s">
        <v>721</v>
      </c>
    </row>
    <row r="193" spans="1:10" ht="12" customHeight="1">
      <c r="A193" s="83">
        <v>4058075832978</v>
      </c>
      <c r="B193" s="61" t="s">
        <v>5071</v>
      </c>
      <c r="C193" s="62">
        <v>1</v>
      </c>
      <c r="D193" s="63" t="s">
        <v>4222</v>
      </c>
      <c r="E193" s="70" t="str">
        <f>HYPERLINK("https://ledvance.com/pt/product-datasheet/278188/267493","Ficha de Produto")</f>
        <v>Ficha de Produto</v>
      </c>
      <c r="F193" s="84" t="s">
        <v>4183</v>
      </c>
      <c r="G193" s="65" t="s">
        <v>5021</v>
      </c>
      <c r="H193" s="62" t="s">
        <v>4988</v>
      </c>
      <c r="I193" s="30">
        <v>106</v>
      </c>
      <c r="J193" s="29" t="s">
        <v>721</v>
      </c>
    </row>
    <row r="194" spans="1:10" s="51" customFormat="1" ht="15" customHeight="1">
      <c r="A194" s="59" t="s">
        <v>4255</v>
      </c>
      <c r="B194" s="67"/>
      <c r="C194" s="98"/>
      <c r="D194" s="56"/>
      <c r="E194" s="71"/>
      <c r="F194" s="98"/>
      <c r="G194" s="69"/>
      <c r="H194" s="85"/>
      <c r="I194" s="57"/>
      <c r="J194" s="58"/>
    </row>
    <row r="195" spans="1:10" ht="12" customHeight="1">
      <c r="A195" s="102">
        <v>4058075832992</v>
      </c>
      <c r="B195" s="61" t="s">
        <v>5072</v>
      </c>
      <c r="C195" s="62">
        <v>1</v>
      </c>
      <c r="D195" s="63" t="s">
        <v>4222</v>
      </c>
      <c r="E195" s="70" t="str">
        <f>HYPERLINK("https://ledvance.com/pt/product-datasheet/289480/278693","Ficha de Produto")</f>
        <v>Ficha de Produto</v>
      </c>
      <c r="F195" s="94" t="s">
        <v>4256</v>
      </c>
      <c r="G195" s="65" t="s">
        <v>4963</v>
      </c>
      <c r="H195" s="62" t="s">
        <v>4963</v>
      </c>
      <c r="I195" s="30">
        <v>106</v>
      </c>
      <c r="J195" s="29" t="s">
        <v>721</v>
      </c>
    </row>
    <row r="196" spans="1:10" ht="12" customHeight="1">
      <c r="A196" s="102">
        <v>4058075833975</v>
      </c>
      <c r="B196" s="61" t="s">
        <v>5073</v>
      </c>
      <c r="C196" s="62">
        <v>1</v>
      </c>
      <c r="D196" s="63" t="s">
        <v>4222</v>
      </c>
      <c r="E196" s="70" t="str">
        <f>HYPERLINK("https://ledvance.com/pt/product-datasheet/289480/278697","Ficha de Produto")</f>
        <v>Ficha de Produto</v>
      </c>
      <c r="F196" s="94" t="s">
        <v>4256</v>
      </c>
      <c r="G196" s="65" t="s">
        <v>4963</v>
      </c>
      <c r="H196" s="62" t="s">
        <v>4963</v>
      </c>
      <c r="I196" s="30">
        <v>90.899999999999991</v>
      </c>
      <c r="J196" s="29" t="s">
        <v>721</v>
      </c>
    </row>
    <row r="197" spans="1:10" ht="12" customHeight="1">
      <c r="A197" s="102">
        <v>4058075833012</v>
      </c>
      <c r="B197" s="61" t="s">
        <v>5074</v>
      </c>
      <c r="C197" s="62">
        <v>1</v>
      </c>
      <c r="D197" s="63" t="s">
        <v>4222</v>
      </c>
      <c r="E197" s="70" t="str">
        <f>HYPERLINK("https://ledvance.com/pt/product-datasheet/289480/278701","Ficha de Produto")</f>
        <v>Ficha de Produto</v>
      </c>
      <c r="F197" s="94" t="s">
        <v>4256</v>
      </c>
      <c r="G197" s="65" t="s">
        <v>4963</v>
      </c>
      <c r="H197" s="62" t="s">
        <v>4963</v>
      </c>
      <c r="I197" s="30">
        <v>151.29999999999998</v>
      </c>
      <c r="J197" s="29" t="s">
        <v>721</v>
      </c>
    </row>
    <row r="198" spans="1:10" ht="12" customHeight="1">
      <c r="A198" s="102">
        <v>4058075833036</v>
      </c>
      <c r="B198" s="61" t="s">
        <v>5075</v>
      </c>
      <c r="C198" s="62">
        <v>1</v>
      </c>
      <c r="D198" s="63" t="s">
        <v>4222</v>
      </c>
      <c r="E198" s="70" t="str">
        <f>HYPERLINK("https://ledvance.com/pt/product-datasheet/289480/278705","Ficha de Produto")</f>
        <v>Ficha de Produto</v>
      </c>
      <c r="F198" s="94" t="s">
        <v>4256</v>
      </c>
      <c r="G198" s="65" t="s">
        <v>4963</v>
      </c>
      <c r="H198" s="62" t="s">
        <v>4963</v>
      </c>
      <c r="I198" s="30">
        <v>181.5</v>
      </c>
      <c r="J198" s="29" t="s">
        <v>721</v>
      </c>
    </row>
    <row r="199" spans="1:10" ht="12" customHeight="1">
      <c r="A199" s="102">
        <v>4058075833050</v>
      </c>
      <c r="B199" s="61" t="s">
        <v>5076</v>
      </c>
      <c r="C199" s="62">
        <v>1</v>
      </c>
      <c r="D199" s="63" t="s">
        <v>4222</v>
      </c>
      <c r="E199" s="70" t="str">
        <f>HYPERLINK("https://ledvance.com/pt/product-datasheet/289481/278709","Ficha de Produto")</f>
        <v>Ficha de Produto</v>
      </c>
      <c r="F199" s="94" t="s">
        <v>4256</v>
      </c>
      <c r="G199" s="65" t="s">
        <v>4963</v>
      </c>
      <c r="H199" s="62" t="s">
        <v>4963</v>
      </c>
      <c r="I199" s="30">
        <v>106</v>
      </c>
      <c r="J199" s="29" t="s">
        <v>721</v>
      </c>
    </row>
    <row r="200" spans="1:10" ht="12" customHeight="1">
      <c r="A200" s="102">
        <v>4058075833074</v>
      </c>
      <c r="B200" s="61" t="s">
        <v>5077</v>
      </c>
      <c r="C200" s="62">
        <v>1</v>
      </c>
      <c r="D200" s="63" t="s">
        <v>4222</v>
      </c>
      <c r="E200" s="70" t="str">
        <f>HYPERLINK("https://ledvance.com/pt/product-datasheet/289481/278713","Ficha de Produto")</f>
        <v>Ficha de Produto</v>
      </c>
      <c r="F200" s="94" t="s">
        <v>4256</v>
      </c>
      <c r="G200" s="65" t="s">
        <v>4963</v>
      </c>
      <c r="H200" s="62" t="s">
        <v>4963</v>
      </c>
      <c r="I200" s="30">
        <v>90.899999999999991</v>
      </c>
      <c r="J200" s="29" t="s">
        <v>721</v>
      </c>
    </row>
    <row r="201" spans="1:10" ht="12" customHeight="1">
      <c r="A201" s="102">
        <v>4058075833098</v>
      </c>
      <c r="B201" s="61" t="s">
        <v>5078</v>
      </c>
      <c r="C201" s="62">
        <v>1</v>
      </c>
      <c r="D201" s="63" t="s">
        <v>4222</v>
      </c>
      <c r="E201" s="70" t="str">
        <f>HYPERLINK("https://ledvance.com/pt/product-datasheet/289481/278716","Ficha de Produto")</f>
        <v>Ficha de Produto</v>
      </c>
      <c r="F201" s="94" t="s">
        <v>4256</v>
      </c>
      <c r="G201" s="65" t="s">
        <v>4963</v>
      </c>
      <c r="H201" s="62" t="s">
        <v>4963</v>
      </c>
      <c r="I201" s="30">
        <v>151.29999999999998</v>
      </c>
      <c r="J201" s="29" t="s">
        <v>721</v>
      </c>
    </row>
    <row r="202" spans="1:10" ht="12" customHeight="1">
      <c r="A202" s="102">
        <v>4058075833111</v>
      </c>
      <c r="B202" s="61" t="s">
        <v>5079</v>
      </c>
      <c r="C202" s="62">
        <v>1</v>
      </c>
      <c r="D202" s="63" t="s">
        <v>4222</v>
      </c>
      <c r="E202" s="70" t="str">
        <f>HYPERLINK("https://ledvance.com/pt/product-datasheet/289481/278719","Ficha de Produto")</f>
        <v>Ficha de Produto</v>
      </c>
      <c r="F202" s="94" t="s">
        <v>4256</v>
      </c>
      <c r="G202" s="65" t="s">
        <v>4963</v>
      </c>
      <c r="H202" s="62" t="s">
        <v>4963</v>
      </c>
      <c r="I202" s="30">
        <v>181.5</v>
      </c>
      <c r="J202" s="29" t="s">
        <v>721</v>
      </c>
    </row>
    <row r="203" spans="1:10" s="51" customFormat="1" ht="15" customHeight="1">
      <c r="A203" s="91" t="s">
        <v>4257</v>
      </c>
      <c r="B203" s="67"/>
      <c r="C203" s="98"/>
      <c r="D203" s="57"/>
      <c r="E203" s="57"/>
      <c r="F203" s="98"/>
      <c r="G203" s="69"/>
      <c r="H203" s="85"/>
      <c r="I203" s="57"/>
      <c r="J203" s="58"/>
    </row>
    <row r="204" spans="1:10" s="51" customFormat="1" ht="15" customHeight="1">
      <c r="A204" s="92" t="s">
        <v>4258</v>
      </c>
      <c r="B204" s="67"/>
      <c r="C204" s="98"/>
      <c r="D204" s="93"/>
      <c r="E204" s="78"/>
      <c r="F204" s="98"/>
      <c r="G204" s="69"/>
      <c r="H204" s="85"/>
      <c r="I204" s="57"/>
      <c r="J204" s="58"/>
    </row>
    <row r="205" spans="1:10" ht="12" customHeight="1">
      <c r="A205" s="83">
        <v>4058075828667</v>
      </c>
      <c r="B205" s="103" t="s">
        <v>4259</v>
      </c>
      <c r="C205" s="62">
        <v>1</v>
      </c>
      <c r="D205" s="63" t="s">
        <v>4222</v>
      </c>
      <c r="E205" s="70" t="str">
        <f>HYPERLINK("https://ledvance.com/pt/product-datasheet/289495/276267","Ficha de Produto")</f>
        <v>Ficha de Produto</v>
      </c>
      <c r="F205" s="94" t="s">
        <v>4256</v>
      </c>
      <c r="G205" s="65" t="s">
        <v>1201</v>
      </c>
      <c r="H205" s="65" t="s">
        <v>1201</v>
      </c>
      <c r="I205" s="30">
        <v>30.6</v>
      </c>
      <c r="J205" s="29" t="s">
        <v>721</v>
      </c>
    </row>
    <row r="206" spans="1:10" ht="12" customHeight="1">
      <c r="A206" s="83">
        <v>4058075828681</v>
      </c>
      <c r="B206" s="103" t="s">
        <v>4260</v>
      </c>
      <c r="C206" s="62">
        <v>1</v>
      </c>
      <c r="D206" s="63" t="s">
        <v>4222</v>
      </c>
      <c r="E206" s="70" t="str">
        <f>HYPERLINK("https://ledvance.com/pt/product-datasheet/289495/276273","Ficha de Produto")</f>
        <v>Ficha de Produto</v>
      </c>
      <c r="F206" s="94" t="s">
        <v>4256</v>
      </c>
      <c r="G206" s="65" t="s">
        <v>1201</v>
      </c>
      <c r="H206" s="65" t="s">
        <v>1201</v>
      </c>
      <c r="I206" s="30">
        <v>60.800000000000004</v>
      </c>
      <c r="J206" s="29" t="s">
        <v>721</v>
      </c>
    </row>
    <row r="207" spans="1:10" ht="12" customHeight="1">
      <c r="A207" s="83">
        <v>4058075828704</v>
      </c>
      <c r="B207" s="103" t="s">
        <v>4261</v>
      </c>
      <c r="C207" s="62">
        <v>1</v>
      </c>
      <c r="D207" s="63" t="s">
        <v>4222</v>
      </c>
      <c r="E207" s="70" t="str">
        <f>HYPERLINK("https://ledvance.com/pt/product-datasheet/289495/276229","Ficha de Produto")</f>
        <v>Ficha de Produto</v>
      </c>
      <c r="F207" s="94" t="s">
        <v>4256</v>
      </c>
      <c r="G207" s="65" t="s">
        <v>1201</v>
      </c>
      <c r="H207" s="65" t="s">
        <v>1201</v>
      </c>
      <c r="I207" s="30">
        <v>90.899999999999991</v>
      </c>
      <c r="J207" s="29" t="s">
        <v>721</v>
      </c>
    </row>
    <row r="208" spans="1:10" ht="12" customHeight="1">
      <c r="A208" s="83">
        <v>4058075828728</v>
      </c>
      <c r="B208" s="103" t="s">
        <v>4262</v>
      </c>
      <c r="C208" s="62">
        <v>1</v>
      </c>
      <c r="D208" s="63" t="s">
        <v>4222</v>
      </c>
      <c r="E208" s="70" t="str">
        <f>HYPERLINK("https://ledvance.com/pt/product-datasheet/289495/276235","Ficha de Produto")</f>
        <v>Ficha de Produto</v>
      </c>
      <c r="F208" s="94" t="s">
        <v>4256</v>
      </c>
      <c r="G208" s="65" t="s">
        <v>1201</v>
      </c>
      <c r="H208" s="65" t="s">
        <v>1201</v>
      </c>
      <c r="I208" s="30">
        <v>90.899999999999991</v>
      </c>
      <c r="J208" s="29" t="s">
        <v>721</v>
      </c>
    </row>
    <row r="209" spans="1:10" ht="12" customHeight="1">
      <c r="A209" s="83">
        <v>4058075828742</v>
      </c>
      <c r="B209" s="103" t="s">
        <v>4263</v>
      </c>
      <c r="C209" s="62">
        <v>1</v>
      </c>
      <c r="D209" s="63" t="s">
        <v>4222</v>
      </c>
      <c r="E209" s="70" t="str">
        <f>HYPERLINK("https://ledvance.com/pt/product-datasheet/289495/276242","Ficha de Produto")</f>
        <v>Ficha de Produto</v>
      </c>
      <c r="F209" s="94" t="s">
        <v>4256</v>
      </c>
      <c r="G209" s="65" t="s">
        <v>1201</v>
      </c>
      <c r="H209" s="65" t="s">
        <v>1201</v>
      </c>
      <c r="I209" s="30">
        <v>121.1</v>
      </c>
      <c r="J209" s="29" t="s">
        <v>721</v>
      </c>
    </row>
    <row r="210" spans="1:10" ht="12" customHeight="1">
      <c r="A210" s="83">
        <v>4058075833296</v>
      </c>
      <c r="B210" s="103" t="s">
        <v>4264</v>
      </c>
      <c r="C210" s="62">
        <v>1</v>
      </c>
      <c r="D210" s="63" t="s">
        <v>4222</v>
      </c>
      <c r="E210" s="70" t="str">
        <f>HYPERLINK("https://ledvance.com/pt/product-datasheet/289496/276248","Ficha de Produto")</f>
        <v>Ficha de Produto</v>
      </c>
      <c r="F210" s="94" t="s">
        <v>4256</v>
      </c>
      <c r="G210" s="65" t="s">
        <v>1201</v>
      </c>
      <c r="H210" s="65" t="s">
        <v>1201</v>
      </c>
      <c r="I210" s="30">
        <v>30.6</v>
      </c>
      <c r="J210" s="29" t="s">
        <v>721</v>
      </c>
    </row>
    <row r="211" spans="1:10" ht="12" customHeight="1">
      <c r="A211" s="83">
        <v>4058075833319</v>
      </c>
      <c r="B211" s="103" t="s">
        <v>4265</v>
      </c>
      <c r="C211" s="62">
        <v>1</v>
      </c>
      <c r="D211" s="63" t="s">
        <v>4222</v>
      </c>
      <c r="E211" s="70" t="str">
        <f>HYPERLINK("https://ledvance.com/pt/product-datasheet/289496/276254","Ficha de Produto")</f>
        <v>Ficha de Produto</v>
      </c>
      <c r="F211" s="94" t="s">
        <v>4256</v>
      </c>
      <c r="G211" s="65" t="s">
        <v>1201</v>
      </c>
      <c r="H211" s="65" t="s">
        <v>1201</v>
      </c>
      <c r="I211" s="30">
        <v>60.800000000000004</v>
      </c>
      <c r="J211" s="29" t="s">
        <v>721</v>
      </c>
    </row>
    <row r="212" spans="1:10" ht="12" customHeight="1">
      <c r="A212" s="83">
        <v>4058075833333</v>
      </c>
      <c r="B212" s="103" t="s">
        <v>4266</v>
      </c>
      <c r="C212" s="62">
        <v>1</v>
      </c>
      <c r="D212" s="63" t="s">
        <v>4222</v>
      </c>
      <c r="E212" s="70" t="str">
        <f>HYPERLINK("https://ledvance.com/pt/product-datasheet/289496/276260","Ficha de Produto")</f>
        <v>Ficha de Produto</v>
      </c>
      <c r="F212" s="94" t="s">
        <v>4256</v>
      </c>
      <c r="G212" s="65" t="s">
        <v>1201</v>
      </c>
      <c r="H212" s="65" t="s">
        <v>1201</v>
      </c>
      <c r="I212" s="30">
        <v>90.899999999999991</v>
      </c>
      <c r="J212" s="29" t="s">
        <v>721</v>
      </c>
    </row>
    <row r="213" spans="1:10" ht="12" customHeight="1">
      <c r="A213" s="83">
        <v>4058075833357</v>
      </c>
      <c r="B213" s="103" t="s">
        <v>4267</v>
      </c>
      <c r="C213" s="62">
        <v>1</v>
      </c>
      <c r="D213" s="63" t="s">
        <v>4222</v>
      </c>
      <c r="E213" s="70" t="str">
        <f>HYPERLINK("https://ledvance.com/pt/product-datasheet/289496/276266","Ficha de Produto")</f>
        <v>Ficha de Produto</v>
      </c>
      <c r="F213" s="94" t="s">
        <v>4256</v>
      </c>
      <c r="G213" s="65" t="s">
        <v>1201</v>
      </c>
      <c r="H213" s="65" t="s">
        <v>1201</v>
      </c>
      <c r="I213" s="30">
        <v>90.899999999999991</v>
      </c>
      <c r="J213" s="29" t="s">
        <v>721</v>
      </c>
    </row>
    <row r="214" spans="1:10" ht="12" customHeight="1">
      <c r="A214" s="83">
        <v>4058075833371</v>
      </c>
      <c r="B214" s="103" t="s">
        <v>4268</v>
      </c>
      <c r="C214" s="62">
        <v>1</v>
      </c>
      <c r="D214" s="63" t="s">
        <v>4222</v>
      </c>
      <c r="E214" s="70" t="str">
        <f>HYPERLINK("https://ledvance.com/pt/product-datasheet/289496/276272","Ficha de Produto")</f>
        <v>Ficha de Produto</v>
      </c>
      <c r="F214" s="94" t="s">
        <v>4256</v>
      </c>
      <c r="G214" s="65" t="s">
        <v>1201</v>
      </c>
      <c r="H214" s="65" t="s">
        <v>1201</v>
      </c>
      <c r="I214" s="30">
        <v>121.1</v>
      </c>
      <c r="J214" s="29" t="s">
        <v>721</v>
      </c>
    </row>
    <row r="215" spans="1:10" s="51" customFormat="1" ht="15" customHeight="1">
      <c r="A215" s="59" t="s">
        <v>4269</v>
      </c>
      <c r="B215" s="67"/>
      <c r="C215" s="98"/>
      <c r="D215" s="56"/>
      <c r="E215" s="71"/>
      <c r="F215" s="98"/>
      <c r="G215" s="69"/>
      <c r="H215" s="85"/>
      <c r="I215" s="57"/>
      <c r="J215" s="58"/>
    </row>
    <row r="216" spans="1:10" ht="12" customHeight="1">
      <c r="A216" s="83">
        <v>4058075827882</v>
      </c>
      <c r="B216" s="103" t="s">
        <v>4270</v>
      </c>
      <c r="C216" s="62">
        <v>1</v>
      </c>
      <c r="D216" s="63" t="s">
        <v>4222</v>
      </c>
      <c r="E216" s="70" t="str">
        <f>HYPERLINK("https://ledvance.com/pt/product-datasheet/289497/276278","Ficha de Produto")</f>
        <v>Ficha de Produto</v>
      </c>
      <c r="F216" s="94" t="s">
        <v>4256</v>
      </c>
      <c r="G216" s="65" t="s">
        <v>1201</v>
      </c>
      <c r="H216" s="65" t="s">
        <v>1201</v>
      </c>
      <c r="I216" s="30">
        <v>34.5</v>
      </c>
      <c r="J216" s="29" t="s">
        <v>721</v>
      </c>
    </row>
    <row r="217" spans="1:10" ht="12" customHeight="1">
      <c r="A217" s="83">
        <v>4058075827905</v>
      </c>
      <c r="B217" s="103" t="s">
        <v>4271</v>
      </c>
      <c r="C217" s="62">
        <v>1</v>
      </c>
      <c r="D217" s="63" t="s">
        <v>4222</v>
      </c>
      <c r="E217" s="70" t="str">
        <f>HYPERLINK("https://ledvance.com/pt/product-datasheet/289497/276281","Ficha de Produto")</f>
        <v>Ficha de Produto</v>
      </c>
      <c r="F217" s="94" t="s">
        <v>4256</v>
      </c>
      <c r="G217" s="65" t="s">
        <v>1201</v>
      </c>
      <c r="H217" s="65" t="s">
        <v>1201</v>
      </c>
      <c r="I217" s="30">
        <v>68.699999999999989</v>
      </c>
      <c r="J217" s="29" t="s">
        <v>721</v>
      </c>
    </row>
    <row r="218" spans="1:10" ht="12" customHeight="1">
      <c r="A218" s="83">
        <v>4058075827929</v>
      </c>
      <c r="B218" s="103" t="s">
        <v>4272</v>
      </c>
      <c r="C218" s="62">
        <v>1</v>
      </c>
      <c r="D218" s="63" t="s">
        <v>4222</v>
      </c>
      <c r="E218" s="70" t="str">
        <f>HYPERLINK("https://ledvance.com/pt/product-datasheet/289497/276284","Ficha de Produto")</f>
        <v>Ficha de Produto</v>
      </c>
      <c r="F218" s="94" t="s">
        <v>4256</v>
      </c>
      <c r="G218" s="65" t="s">
        <v>1201</v>
      </c>
      <c r="H218" s="65" t="s">
        <v>1201</v>
      </c>
      <c r="I218" s="30">
        <v>102.8</v>
      </c>
      <c r="J218" s="29" t="s">
        <v>721</v>
      </c>
    </row>
    <row r="219" spans="1:10" ht="12" customHeight="1">
      <c r="A219" s="83">
        <v>4058075827943</v>
      </c>
      <c r="B219" s="103" t="s">
        <v>4273</v>
      </c>
      <c r="C219" s="62">
        <v>1</v>
      </c>
      <c r="D219" s="63" t="s">
        <v>4222</v>
      </c>
      <c r="E219" s="70" t="str">
        <f>HYPERLINK("https://ledvance.com/pt/product-datasheet/289497/276287","Ficha de Produto")</f>
        <v>Ficha de Produto</v>
      </c>
      <c r="F219" s="94" t="s">
        <v>4256</v>
      </c>
      <c r="G219" s="65" t="s">
        <v>1201</v>
      </c>
      <c r="H219" s="65" t="s">
        <v>1201</v>
      </c>
      <c r="I219" s="30">
        <v>137</v>
      </c>
      <c r="J219" s="29" t="s">
        <v>721</v>
      </c>
    </row>
    <row r="220" spans="1:10" ht="12" customHeight="1">
      <c r="A220" s="83">
        <v>4058075833395</v>
      </c>
      <c r="B220" s="103" t="s">
        <v>4274</v>
      </c>
      <c r="C220" s="62">
        <v>1</v>
      </c>
      <c r="D220" s="63" t="s">
        <v>4222</v>
      </c>
      <c r="E220" s="70" t="str">
        <f>HYPERLINK("https://ledvance.com/pt/product-datasheet/289498/276290","Ficha de Produto")</f>
        <v>Ficha de Produto</v>
      </c>
      <c r="F220" s="94" t="s">
        <v>4256</v>
      </c>
      <c r="G220" s="65" t="s">
        <v>1201</v>
      </c>
      <c r="H220" s="65" t="s">
        <v>1201</v>
      </c>
      <c r="I220" s="30">
        <v>34.5</v>
      </c>
      <c r="J220" s="29" t="s">
        <v>721</v>
      </c>
    </row>
    <row r="221" spans="1:10" ht="12" customHeight="1">
      <c r="A221" s="83">
        <v>4058075833418</v>
      </c>
      <c r="B221" s="103" t="s">
        <v>4275</v>
      </c>
      <c r="C221" s="62">
        <v>1</v>
      </c>
      <c r="D221" s="63" t="s">
        <v>4222</v>
      </c>
      <c r="E221" s="70" t="str">
        <f>HYPERLINK("https://ledvance.com/pt/product-datasheet/289498/276293","Ficha de Produto")</f>
        <v>Ficha de Produto</v>
      </c>
      <c r="F221" s="94" t="s">
        <v>4256</v>
      </c>
      <c r="G221" s="65" t="s">
        <v>1201</v>
      </c>
      <c r="H221" s="65" t="s">
        <v>1201</v>
      </c>
      <c r="I221" s="30">
        <v>68.699999999999989</v>
      </c>
      <c r="J221" s="29" t="s">
        <v>721</v>
      </c>
    </row>
    <row r="222" spans="1:10" ht="12" customHeight="1">
      <c r="A222" s="83">
        <v>4058075833432</v>
      </c>
      <c r="B222" s="103" t="s">
        <v>4276</v>
      </c>
      <c r="C222" s="62">
        <v>1</v>
      </c>
      <c r="D222" s="63" t="s">
        <v>4222</v>
      </c>
      <c r="E222" s="70" t="str">
        <f>HYPERLINK("https://ledvance.com/pt/product-datasheet/289498/276296","Ficha de Produto")</f>
        <v>Ficha de Produto</v>
      </c>
      <c r="F222" s="94" t="s">
        <v>4256</v>
      </c>
      <c r="G222" s="65" t="s">
        <v>1201</v>
      </c>
      <c r="H222" s="65" t="s">
        <v>1201</v>
      </c>
      <c r="I222" s="30">
        <v>102.8</v>
      </c>
      <c r="J222" s="29" t="s">
        <v>721</v>
      </c>
    </row>
    <row r="223" spans="1:10" ht="12" customHeight="1">
      <c r="A223" s="83">
        <v>4058075833456</v>
      </c>
      <c r="B223" s="103" t="s">
        <v>4277</v>
      </c>
      <c r="C223" s="62">
        <v>1</v>
      </c>
      <c r="D223" s="63" t="s">
        <v>4222</v>
      </c>
      <c r="E223" s="70" t="str">
        <f>HYPERLINK("https://ledvance.com/pt/product-datasheet/289498/276299","Ficha de Produto")</f>
        <v>Ficha de Produto</v>
      </c>
      <c r="F223" s="94" t="s">
        <v>4256</v>
      </c>
      <c r="G223" s="65" t="s">
        <v>1201</v>
      </c>
      <c r="H223" s="65" t="s">
        <v>1201</v>
      </c>
      <c r="I223" s="30">
        <v>137</v>
      </c>
      <c r="J223" s="29" t="s">
        <v>721</v>
      </c>
    </row>
    <row r="224" spans="1:10" s="51" customFormat="1" ht="15" customHeight="1">
      <c r="A224" s="59" t="s">
        <v>4278</v>
      </c>
      <c r="B224" s="67"/>
      <c r="C224" s="98"/>
      <c r="D224" s="56"/>
      <c r="E224" s="71"/>
      <c r="F224" s="98"/>
      <c r="G224" s="85"/>
      <c r="H224" s="85"/>
      <c r="I224" s="57"/>
      <c r="J224" s="58"/>
    </row>
    <row r="225" spans="1:10" ht="12" customHeight="1">
      <c r="A225" s="83">
        <v>4058075827967</v>
      </c>
      <c r="B225" s="103" t="s">
        <v>4279</v>
      </c>
      <c r="C225" s="62">
        <v>1</v>
      </c>
      <c r="D225" s="63" t="s">
        <v>4222</v>
      </c>
      <c r="E225" s="70" t="str">
        <f>HYPERLINK("https://ledvance.com/pt/product-datasheet/289499/276302","Ficha de Produto")</f>
        <v>Ficha de Produto</v>
      </c>
      <c r="F225" s="94" t="s">
        <v>4256</v>
      </c>
      <c r="G225" s="65" t="s">
        <v>1201</v>
      </c>
      <c r="H225" s="65" t="s">
        <v>1201</v>
      </c>
      <c r="I225" s="30">
        <v>55</v>
      </c>
      <c r="J225" s="29" t="s">
        <v>721</v>
      </c>
    </row>
    <row r="226" spans="1:10" ht="12" customHeight="1">
      <c r="A226" s="83">
        <v>4058075827981</v>
      </c>
      <c r="B226" s="103" t="s">
        <v>4280</v>
      </c>
      <c r="C226" s="62">
        <v>1</v>
      </c>
      <c r="D226" s="63" t="s">
        <v>4222</v>
      </c>
      <c r="E226" s="70" t="str">
        <f>HYPERLINK("https://ledvance.com/pt/product-datasheet/289499/276305","Ficha de Produto")</f>
        <v>Ficha de Produto</v>
      </c>
      <c r="F226" s="94" t="s">
        <v>4256</v>
      </c>
      <c r="G226" s="65" t="s">
        <v>1201</v>
      </c>
      <c r="H226" s="65" t="s">
        <v>1201</v>
      </c>
      <c r="I226" s="30">
        <v>109.69999999999999</v>
      </c>
      <c r="J226" s="29" t="s">
        <v>721</v>
      </c>
    </row>
    <row r="227" spans="1:10" ht="12" customHeight="1">
      <c r="A227" s="83">
        <v>4058075828001</v>
      </c>
      <c r="B227" s="103" t="s">
        <v>4281</v>
      </c>
      <c r="C227" s="62">
        <v>1</v>
      </c>
      <c r="D227" s="63" t="s">
        <v>4222</v>
      </c>
      <c r="E227" s="70" t="str">
        <f>HYPERLINK("https://ledvance.com/pt/product-datasheet/289499/276308","Ficha de Produto")</f>
        <v>Ficha de Produto</v>
      </c>
      <c r="F227" s="94" t="s">
        <v>4256</v>
      </c>
      <c r="G227" s="65" t="s">
        <v>1201</v>
      </c>
      <c r="H227" s="65" t="s">
        <v>1201</v>
      </c>
      <c r="I227" s="30">
        <v>164.29999999999998</v>
      </c>
      <c r="J227" s="29" t="s">
        <v>721</v>
      </c>
    </row>
    <row r="228" spans="1:10" ht="12" customHeight="1">
      <c r="A228" s="83">
        <v>4058075828025</v>
      </c>
      <c r="B228" s="103" t="s">
        <v>4282</v>
      </c>
      <c r="C228" s="62">
        <v>1</v>
      </c>
      <c r="D228" s="63" t="s">
        <v>4222</v>
      </c>
      <c r="E228" s="70" t="str">
        <f>HYPERLINK("https://ledvance.com/pt/product-datasheet/289499/276311","Ficha de Produto")</f>
        <v>Ficha de Produto</v>
      </c>
      <c r="F228" s="94" t="s">
        <v>4256</v>
      </c>
      <c r="G228" s="65" t="s">
        <v>1201</v>
      </c>
      <c r="H228" s="65" t="s">
        <v>1201</v>
      </c>
      <c r="I228" s="30">
        <v>136.19999999999999</v>
      </c>
      <c r="J228" s="29" t="s">
        <v>721</v>
      </c>
    </row>
    <row r="229" spans="1:10" ht="12" customHeight="1">
      <c r="A229" s="83">
        <v>4058075833470</v>
      </c>
      <c r="B229" s="103" t="s">
        <v>4283</v>
      </c>
      <c r="C229" s="62">
        <v>1</v>
      </c>
      <c r="D229" s="63" t="s">
        <v>4222</v>
      </c>
      <c r="E229" s="70" t="str">
        <f>HYPERLINK("https://ledvance.com/pt/product-datasheet/289500/276314","Ficha de Produto")</f>
        <v>Ficha de Produto</v>
      </c>
      <c r="F229" s="94" t="s">
        <v>4256</v>
      </c>
      <c r="G229" s="65" t="s">
        <v>1201</v>
      </c>
      <c r="H229" s="65" t="s">
        <v>1201</v>
      </c>
      <c r="I229" s="30">
        <v>55</v>
      </c>
      <c r="J229" s="29" t="s">
        <v>721</v>
      </c>
    </row>
    <row r="230" spans="1:10" ht="12" customHeight="1">
      <c r="A230" s="83">
        <v>4058075833494</v>
      </c>
      <c r="B230" s="103" t="s">
        <v>4284</v>
      </c>
      <c r="C230" s="62">
        <v>1</v>
      </c>
      <c r="D230" s="63" t="s">
        <v>4222</v>
      </c>
      <c r="E230" s="70" t="str">
        <f>HYPERLINK("https://ledvance.com/pt/product-datasheet/289500/276317","Ficha de Produto")</f>
        <v>Ficha de Produto</v>
      </c>
      <c r="F230" s="94" t="s">
        <v>4256</v>
      </c>
      <c r="G230" s="65" t="s">
        <v>1201</v>
      </c>
      <c r="H230" s="65" t="s">
        <v>1201</v>
      </c>
      <c r="I230" s="30">
        <v>109.69999999999999</v>
      </c>
      <c r="J230" s="29" t="s">
        <v>721</v>
      </c>
    </row>
    <row r="231" spans="1:10" ht="12" customHeight="1">
      <c r="A231" s="83">
        <v>4058075833517</v>
      </c>
      <c r="B231" s="103" t="s">
        <v>4285</v>
      </c>
      <c r="C231" s="62">
        <v>1</v>
      </c>
      <c r="D231" s="63" t="s">
        <v>4222</v>
      </c>
      <c r="E231" s="70" t="str">
        <f>HYPERLINK("https://ledvance.com/pt/product-datasheet/289500/276320","Ficha de Produto")</f>
        <v>Ficha de Produto</v>
      </c>
      <c r="F231" s="94" t="s">
        <v>4256</v>
      </c>
      <c r="G231" s="65" t="s">
        <v>1201</v>
      </c>
      <c r="H231" s="65" t="s">
        <v>1201</v>
      </c>
      <c r="I231" s="30">
        <v>164.29999999999998</v>
      </c>
      <c r="J231" s="29" t="s">
        <v>721</v>
      </c>
    </row>
    <row r="232" spans="1:10" ht="12" customHeight="1">
      <c r="A232" s="83">
        <v>4058075833531</v>
      </c>
      <c r="B232" s="103" t="s">
        <v>4286</v>
      </c>
      <c r="C232" s="62">
        <v>1</v>
      </c>
      <c r="D232" s="63" t="s">
        <v>4222</v>
      </c>
      <c r="E232" s="70" t="str">
        <f>HYPERLINK("https://ledvance.com/pt/product-datasheet/289500/276323","Ficha de Produto")</f>
        <v>Ficha de Produto</v>
      </c>
      <c r="F232" s="94" t="s">
        <v>4256</v>
      </c>
      <c r="G232" s="65" t="s">
        <v>1201</v>
      </c>
      <c r="H232" s="65" t="s">
        <v>1201</v>
      </c>
      <c r="I232" s="30">
        <v>136.19999999999999</v>
      </c>
      <c r="J232" s="29" t="s">
        <v>721</v>
      </c>
    </row>
    <row r="233" spans="1:10" s="51" customFormat="1" ht="15" customHeight="1">
      <c r="A233" s="59" t="s">
        <v>4287</v>
      </c>
      <c r="B233" s="67"/>
      <c r="C233" s="98"/>
      <c r="D233" s="56"/>
      <c r="E233" s="71"/>
      <c r="F233" s="98"/>
      <c r="G233" s="69"/>
      <c r="H233" s="85"/>
      <c r="I233" s="57"/>
      <c r="J233" s="58"/>
    </row>
    <row r="234" spans="1:10" ht="12" customHeight="1">
      <c r="A234" s="83">
        <v>4058075828049</v>
      </c>
      <c r="B234" s="103" t="s">
        <v>4288</v>
      </c>
      <c r="C234" s="62">
        <v>1</v>
      </c>
      <c r="D234" s="63" t="s">
        <v>4222</v>
      </c>
      <c r="E234" s="70" t="str">
        <f>HYPERLINK("https://ledvance.com/pt/product-datasheet/289501/276326","Ficha de Produto")</f>
        <v>Ficha de Produto</v>
      </c>
      <c r="F234" s="94" t="s">
        <v>4256</v>
      </c>
      <c r="G234" s="65" t="s">
        <v>1201</v>
      </c>
      <c r="H234" s="65" t="s">
        <v>1201</v>
      </c>
      <c r="I234" s="30">
        <v>34.5</v>
      </c>
      <c r="J234" s="29" t="s">
        <v>721</v>
      </c>
    </row>
    <row r="235" spans="1:10" ht="12" customHeight="1">
      <c r="A235" s="83">
        <v>4058075828063</v>
      </c>
      <c r="B235" s="103" t="s">
        <v>4289</v>
      </c>
      <c r="C235" s="62">
        <v>1</v>
      </c>
      <c r="D235" s="63" t="s">
        <v>4222</v>
      </c>
      <c r="E235" s="70" t="str">
        <f>HYPERLINK("https://ledvance.com/pt/product-datasheet/289501/276329","Ficha de Produto")</f>
        <v>Ficha de Produto</v>
      </c>
      <c r="F235" s="94" t="s">
        <v>4256</v>
      </c>
      <c r="G235" s="65" t="s">
        <v>1201</v>
      </c>
      <c r="H235" s="65" t="s">
        <v>1201</v>
      </c>
      <c r="I235" s="30">
        <v>68.699999999999989</v>
      </c>
      <c r="J235" s="29" t="s">
        <v>721</v>
      </c>
    </row>
    <row r="236" spans="1:10" ht="12" customHeight="1">
      <c r="A236" s="83">
        <v>4058075828087</v>
      </c>
      <c r="B236" s="103" t="s">
        <v>4290</v>
      </c>
      <c r="C236" s="62">
        <v>1</v>
      </c>
      <c r="D236" s="63" t="s">
        <v>4222</v>
      </c>
      <c r="E236" s="70" t="str">
        <f>HYPERLINK("https://ledvance.com/pt/product-datasheet/289501/276332","Ficha de Produto")</f>
        <v>Ficha de Produto</v>
      </c>
      <c r="F236" s="94" t="s">
        <v>4256</v>
      </c>
      <c r="G236" s="65" t="s">
        <v>1201</v>
      </c>
      <c r="H236" s="65" t="s">
        <v>1201</v>
      </c>
      <c r="I236" s="30">
        <v>102.8</v>
      </c>
      <c r="J236" s="29" t="s">
        <v>721</v>
      </c>
    </row>
    <row r="237" spans="1:10" ht="12" customHeight="1">
      <c r="A237" s="83">
        <v>4058075828100</v>
      </c>
      <c r="B237" s="103" t="s">
        <v>4291</v>
      </c>
      <c r="C237" s="62">
        <v>1</v>
      </c>
      <c r="D237" s="63" t="s">
        <v>4222</v>
      </c>
      <c r="E237" s="70" t="str">
        <f>HYPERLINK("https://ledvance.com/pt/product-datasheet/289501/276335","Ficha de Produto")</f>
        <v>Ficha de Produto</v>
      </c>
      <c r="F237" s="94" t="s">
        <v>4256</v>
      </c>
      <c r="G237" s="65" t="s">
        <v>1201</v>
      </c>
      <c r="H237" s="65" t="s">
        <v>1201</v>
      </c>
      <c r="I237" s="30">
        <v>137</v>
      </c>
      <c r="J237" s="29" t="s">
        <v>721</v>
      </c>
    </row>
    <row r="238" spans="1:10" ht="12" customHeight="1">
      <c r="A238" s="83">
        <v>4058075833555</v>
      </c>
      <c r="B238" s="103" t="s">
        <v>4292</v>
      </c>
      <c r="C238" s="62">
        <v>1</v>
      </c>
      <c r="D238" s="63" t="s">
        <v>4222</v>
      </c>
      <c r="E238" s="70" t="str">
        <f>HYPERLINK("https://ledvance.com/pt/product-datasheet/289502/276338","Ficha de Produto")</f>
        <v>Ficha de Produto</v>
      </c>
      <c r="F238" s="94" t="s">
        <v>4256</v>
      </c>
      <c r="G238" s="65" t="s">
        <v>1201</v>
      </c>
      <c r="H238" s="65" t="s">
        <v>1201</v>
      </c>
      <c r="I238" s="30">
        <v>34.5</v>
      </c>
      <c r="J238" s="29" t="s">
        <v>721</v>
      </c>
    </row>
    <row r="239" spans="1:10" ht="12" customHeight="1">
      <c r="A239" s="83">
        <v>4058075833579</v>
      </c>
      <c r="B239" s="103" t="s">
        <v>4293</v>
      </c>
      <c r="C239" s="62">
        <v>1</v>
      </c>
      <c r="D239" s="63" t="s">
        <v>4222</v>
      </c>
      <c r="E239" s="70" t="str">
        <f>HYPERLINK("https://ledvance.com/pt/product-datasheet/289502/276341","Ficha de Produto")</f>
        <v>Ficha de Produto</v>
      </c>
      <c r="F239" s="94" t="s">
        <v>4256</v>
      </c>
      <c r="G239" s="65" t="s">
        <v>1201</v>
      </c>
      <c r="H239" s="65" t="s">
        <v>1201</v>
      </c>
      <c r="I239" s="30">
        <v>68.699999999999989</v>
      </c>
      <c r="J239" s="29" t="s">
        <v>721</v>
      </c>
    </row>
    <row r="240" spans="1:10" ht="12" customHeight="1">
      <c r="A240" s="83">
        <v>4058075833593</v>
      </c>
      <c r="B240" s="103" t="s">
        <v>4294</v>
      </c>
      <c r="C240" s="62">
        <v>1</v>
      </c>
      <c r="D240" s="63" t="s">
        <v>4222</v>
      </c>
      <c r="E240" s="70" t="str">
        <f>HYPERLINK("https://ledvance.com/pt/product-datasheet/289502/276344","Ficha de Produto")</f>
        <v>Ficha de Produto</v>
      </c>
      <c r="F240" s="94" t="s">
        <v>4256</v>
      </c>
      <c r="G240" s="65" t="s">
        <v>1201</v>
      </c>
      <c r="H240" s="65" t="s">
        <v>1201</v>
      </c>
      <c r="I240" s="30">
        <v>102.8</v>
      </c>
      <c r="J240" s="29" t="s">
        <v>721</v>
      </c>
    </row>
    <row r="241" spans="1:10" ht="12" customHeight="1">
      <c r="A241" s="83">
        <v>4058075833616</v>
      </c>
      <c r="B241" s="103" t="s">
        <v>4295</v>
      </c>
      <c r="C241" s="62">
        <v>1</v>
      </c>
      <c r="D241" s="63" t="s">
        <v>4222</v>
      </c>
      <c r="E241" s="70" t="str">
        <f>HYPERLINK("https://ledvance.com/pt/product-datasheet/289502/276347","Ficha de Produto")</f>
        <v>Ficha de Produto</v>
      </c>
      <c r="F241" s="94" t="s">
        <v>4256</v>
      </c>
      <c r="G241" s="65" t="s">
        <v>1201</v>
      </c>
      <c r="H241" s="65" t="s">
        <v>1201</v>
      </c>
      <c r="I241" s="30">
        <v>137</v>
      </c>
      <c r="J241" s="29" t="s">
        <v>721</v>
      </c>
    </row>
    <row r="242" spans="1:10" s="51" customFormat="1" ht="15" customHeight="1">
      <c r="A242" s="59" t="s">
        <v>4296</v>
      </c>
      <c r="B242" s="67"/>
      <c r="C242" s="98"/>
      <c r="D242" s="56"/>
      <c r="E242" s="71"/>
      <c r="F242" s="98"/>
      <c r="G242" s="69"/>
      <c r="H242" s="85"/>
      <c r="I242" s="57"/>
      <c r="J242" s="58"/>
    </row>
    <row r="243" spans="1:10" ht="12" customHeight="1">
      <c r="A243" s="83">
        <v>4058075828124</v>
      </c>
      <c r="B243" s="103" t="s">
        <v>4297</v>
      </c>
      <c r="C243" s="62">
        <v>1</v>
      </c>
      <c r="D243" s="63" t="s">
        <v>4222</v>
      </c>
      <c r="E243" s="70" t="str">
        <f>HYPERLINK("https://ledvance.com/pt/product-datasheet/289503/276350","Ficha de Produto")</f>
        <v>Ficha de Produto</v>
      </c>
      <c r="F243" s="94" t="s">
        <v>4256</v>
      </c>
      <c r="G243" s="65" t="s">
        <v>1201</v>
      </c>
      <c r="H243" s="65" t="s">
        <v>1201</v>
      </c>
      <c r="I243" s="30">
        <v>34.5</v>
      </c>
      <c r="J243" s="29" t="s">
        <v>721</v>
      </c>
    </row>
    <row r="244" spans="1:10" ht="12" customHeight="1">
      <c r="A244" s="83">
        <v>4058075828148</v>
      </c>
      <c r="B244" s="103" t="s">
        <v>4298</v>
      </c>
      <c r="C244" s="62">
        <v>1</v>
      </c>
      <c r="D244" s="63" t="s">
        <v>4222</v>
      </c>
      <c r="E244" s="70" t="str">
        <f>HYPERLINK("https://ledvance.com/pt/product-datasheet/289503/276353","Ficha de Produto")</f>
        <v>Ficha de Produto</v>
      </c>
      <c r="F244" s="94" t="s">
        <v>4256</v>
      </c>
      <c r="G244" s="65" t="s">
        <v>1201</v>
      </c>
      <c r="H244" s="65" t="s">
        <v>1201</v>
      </c>
      <c r="I244" s="30">
        <v>68.699999999999989</v>
      </c>
      <c r="J244" s="29" t="s">
        <v>721</v>
      </c>
    </row>
    <row r="245" spans="1:10" ht="12" customHeight="1">
      <c r="A245" s="83">
        <v>4058075828162</v>
      </c>
      <c r="B245" s="103" t="s">
        <v>4299</v>
      </c>
      <c r="C245" s="62">
        <v>1</v>
      </c>
      <c r="D245" s="63" t="s">
        <v>4222</v>
      </c>
      <c r="E245" s="70" t="str">
        <f>HYPERLINK("https://ledvance.com/pt/product-datasheet/289503/276356","Ficha de Produto")</f>
        <v>Ficha de Produto</v>
      </c>
      <c r="F245" s="94" t="s">
        <v>4256</v>
      </c>
      <c r="G245" s="65" t="s">
        <v>1201</v>
      </c>
      <c r="H245" s="65" t="s">
        <v>1201</v>
      </c>
      <c r="I245" s="30">
        <v>102.8</v>
      </c>
      <c r="J245" s="29" t="s">
        <v>721</v>
      </c>
    </row>
    <row r="246" spans="1:10" ht="12" customHeight="1">
      <c r="A246" s="83">
        <v>4058075828186</v>
      </c>
      <c r="B246" s="103" t="s">
        <v>4300</v>
      </c>
      <c r="C246" s="62">
        <v>1</v>
      </c>
      <c r="D246" s="63" t="s">
        <v>4222</v>
      </c>
      <c r="E246" s="70" t="str">
        <f>HYPERLINK("https://ledvance.com/pt/product-datasheet/289503/276359","Ficha de Produto")</f>
        <v>Ficha de Produto</v>
      </c>
      <c r="F246" s="94" t="s">
        <v>4256</v>
      </c>
      <c r="G246" s="65" t="s">
        <v>1201</v>
      </c>
      <c r="H246" s="65" t="s">
        <v>1201</v>
      </c>
      <c r="I246" s="30">
        <v>137</v>
      </c>
      <c r="J246" s="29" t="s">
        <v>721</v>
      </c>
    </row>
    <row r="247" spans="1:10" ht="12" customHeight="1">
      <c r="A247" s="83">
        <v>4058075833630</v>
      </c>
      <c r="B247" s="103" t="s">
        <v>4301</v>
      </c>
      <c r="C247" s="62">
        <v>1</v>
      </c>
      <c r="D247" s="63" t="s">
        <v>4222</v>
      </c>
      <c r="E247" s="70" t="str">
        <f>HYPERLINK("https://ledvance.com/pt/product-datasheet/289504/276362","Ficha de Produto")</f>
        <v>Ficha de Produto</v>
      </c>
      <c r="F247" s="94" t="s">
        <v>4256</v>
      </c>
      <c r="G247" s="65" t="s">
        <v>1201</v>
      </c>
      <c r="H247" s="65" t="s">
        <v>1201</v>
      </c>
      <c r="I247" s="30">
        <v>34.5</v>
      </c>
      <c r="J247" s="29" t="s">
        <v>721</v>
      </c>
    </row>
    <row r="248" spans="1:10" ht="12" customHeight="1">
      <c r="A248" s="83">
        <v>4058075833654</v>
      </c>
      <c r="B248" s="103" t="s">
        <v>4302</v>
      </c>
      <c r="C248" s="62">
        <v>1</v>
      </c>
      <c r="D248" s="63" t="s">
        <v>4222</v>
      </c>
      <c r="E248" s="70" t="str">
        <f>HYPERLINK("https://ledvance.com/pt/product-datasheet/289504/276365","Ficha de Produto")</f>
        <v>Ficha de Produto</v>
      </c>
      <c r="F248" s="94" t="s">
        <v>4256</v>
      </c>
      <c r="G248" s="65" t="s">
        <v>1201</v>
      </c>
      <c r="H248" s="65" t="s">
        <v>1201</v>
      </c>
      <c r="I248" s="30">
        <v>68.699999999999989</v>
      </c>
      <c r="J248" s="29" t="s">
        <v>721</v>
      </c>
    </row>
    <row r="249" spans="1:10" ht="12" customHeight="1">
      <c r="A249" s="83">
        <v>4058075833678</v>
      </c>
      <c r="B249" s="103" t="s">
        <v>4303</v>
      </c>
      <c r="C249" s="62">
        <v>1</v>
      </c>
      <c r="D249" s="63" t="s">
        <v>4222</v>
      </c>
      <c r="E249" s="70" t="str">
        <f>HYPERLINK("https://ledvance.com/pt/product-datasheet/289504/276368","Ficha de Produto")</f>
        <v>Ficha de Produto</v>
      </c>
      <c r="F249" s="94" t="s">
        <v>4256</v>
      </c>
      <c r="G249" s="65" t="s">
        <v>1201</v>
      </c>
      <c r="H249" s="65" t="s">
        <v>1201</v>
      </c>
      <c r="I249" s="30">
        <v>102.8</v>
      </c>
      <c r="J249" s="29" t="s">
        <v>721</v>
      </c>
    </row>
    <row r="250" spans="1:10" ht="12" customHeight="1">
      <c r="A250" s="83">
        <v>4058075833692</v>
      </c>
      <c r="B250" s="103" t="s">
        <v>4304</v>
      </c>
      <c r="C250" s="62">
        <v>1</v>
      </c>
      <c r="D250" s="63" t="s">
        <v>4222</v>
      </c>
      <c r="E250" s="70" t="str">
        <f>HYPERLINK("https://ledvance.com/pt/product-datasheet/289504/276371","Ficha de Produto")</f>
        <v>Ficha de Produto</v>
      </c>
      <c r="F250" s="94" t="s">
        <v>4256</v>
      </c>
      <c r="G250" s="65" t="s">
        <v>1201</v>
      </c>
      <c r="H250" s="65" t="s">
        <v>1201</v>
      </c>
      <c r="I250" s="30">
        <v>137</v>
      </c>
      <c r="J250" s="29" t="s">
        <v>721</v>
      </c>
    </row>
    <row r="251" spans="1:10" s="51" customFormat="1" ht="15" customHeight="1">
      <c r="A251" s="59" t="s">
        <v>4305</v>
      </c>
      <c r="B251" s="67"/>
      <c r="C251" s="98"/>
      <c r="D251" s="56"/>
      <c r="E251" s="71"/>
      <c r="F251" s="98"/>
      <c r="G251" s="69"/>
      <c r="H251" s="85"/>
      <c r="I251" s="57"/>
      <c r="J251" s="58"/>
    </row>
    <row r="252" spans="1:10" ht="12" customHeight="1">
      <c r="A252" s="83">
        <v>4058075828209</v>
      </c>
      <c r="B252" s="103" t="s">
        <v>4306</v>
      </c>
      <c r="C252" s="62">
        <v>1</v>
      </c>
      <c r="D252" s="63" t="s">
        <v>4222</v>
      </c>
      <c r="E252" s="70" t="str">
        <f>HYPERLINK("https://ledvance.com/pt/product-datasheet/289490/276374","Ficha de Produto")</f>
        <v>Ficha de Produto</v>
      </c>
      <c r="F252" s="94" t="s">
        <v>4256</v>
      </c>
      <c r="G252" s="65" t="s">
        <v>1201</v>
      </c>
      <c r="H252" s="65" t="s">
        <v>1201</v>
      </c>
      <c r="I252" s="30">
        <v>48.2</v>
      </c>
      <c r="J252" s="29" t="s">
        <v>721</v>
      </c>
    </row>
    <row r="253" spans="1:10" ht="12" customHeight="1">
      <c r="A253" s="83">
        <v>4058075828223</v>
      </c>
      <c r="B253" s="103" t="s">
        <v>4307</v>
      </c>
      <c r="C253" s="62">
        <v>1</v>
      </c>
      <c r="D253" s="63" t="s">
        <v>4222</v>
      </c>
      <c r="E253" s="70" t="str">
        <f>HYPERLINK("https://ledvance.com/pt/product-datasheet/289490/276377","Ficha de Produto")</f>
        <v>Ficha de Produto</v>
      </c>
      <c r="F253" s="94" t="s">
        <v>4256</v>
      </c>
      <c r="G253" s="65" t="s">
        <v>1201</v>
      </c>
      <c r="H253" s="65" t="s">
        <v>1201</v>
      </c>
      <c r="I253" s="30">
        <v>82.3</v>
      </c>
      <c r="J253" s="29" t="s">
        <v>721</v>
      </c>
    </row>
    <row r="254" spans="1:10" ht="12" customHeight="1">
      <c r="A254" s="83">
        <v>4058075828247</v>
      </c>
      <c r="B254" s="103" t="s">
        <v>4308</v>
      </c>
      <c r="C254" s="62">
        <v>1</v>
      </c>
      <c r="D254" s="63" t="s">
        <v>4222</v>
      </c>
      <c r="E254" s="70" t="str">
        <f>HYPERLINK("https://ledvance.com/pt/product-datasheet/289490/276380","Ficha de Produto")</f>
        <v>Ficha de Produto</v>
      </c>
      <c r="F254" s="94" t="s">
        <v>4256</v>
      </c>
      <c r="G254" s="65" t="s">
        <v>1201</v>
      </c>
      <c r="H254" s="65" t="s">
        <v>1201</v>
      </c>
      <c r="I254" s="30">
        <v>109.69999999999999</v>
      </c>
      <c r="J254" s="29" t="s">
        <v>721</v>
      </c>
    </row>
    <row r="255" spans="1:10" ht="12" customHeight="1">
      <c r="A255" s="83">
        <v>4058075828261</v>
      </c>
      <c r="B255" s="103" t="s">
        <v>4309</v>
      </c>
      <c r="C255" s="62">
        <v>1</v>
      </c>
      <c r="D255" s="63" t="s">
        <v>4222</v>
      </c>
      <c r="E255" s="70" t="str">
        <f>HYPERLINK("https://ledvance.com/pt/product-datasheet/289490/276383","Ficha de Produto")</f>
        <v>Ficha de Produto</v>
      </c>
      <c r="F255" s="94" t="s">
        <v>4256</v>
      </c>
      <c r="G255" s="65" t="s">
        <v>1201</v>
      </c>
      <c r="H255" s="65" t="s">
        <v>1201</v>
      </c>
      <c r="I255" s="30">
        <v>137</v>
      </c>
      <c r="J255" s="29" t="s">
        <v>721</v>
      </c>
    </row>
    <row r="256" spans="1:10" ht="12" customHeight="1">
      <c r="A256" s="83">
        <v>4058075828285</v>
      </c>
      <c r="B256" s="103" t="s">
        <v>4310</v>
      </c>
      <c r="C256" s="62">
        <v>1</v>
      </c>
      <c r="D256" s="63" t="s">
        <v>4222</v>
      </c>
      <c r="E256" s="70" t="str">
        <f>HYPERLINK("https://ledvance.com/pt/product-datasheet/289490/276386","Ficha de Produto")</f>
        <v>Ficha de Produto</v>
      </c>
      <c r="F256" s="94" t="s">
        <v>4256</v>
      </c>
      <c r="G256" s="65" t="s">
        <v>1201</v>
      </c>
      <c r="H256" s="65" t="s">
        <v>1201</v>
      </c>
      <c r="I256" s="30">
        <v>137</v>
      </c>
      <c r="J256" s="29" t="s">
        <v>721</v>
      </c>
    </row>
    <row r="257" spans="1:10" s="51" customFormat="1" ht="15" customHeight="1">
      <c r="A257" s="59" t="s">
        <v>4311</v>
      </c>
      <c r="B257" s="67"/>
      <c r="C257" s="98"/>
      <c r="D257" s="56"/>
      <c r="E257" s="71"/>
      <c r="F257" s="98"/>
      <c r="G257" s="69"/>
      <c r="H257" s="85"/>
      <c r="I257" s="57"/>
      <c r="J257" s="58"/>
    </row>
    <row r="258" spans="1:10" ht="12" customHeight="1">
      <c r="A258" s="83">
        <v>4058075828308</v>
      </c>
      <c r="B258" s="103" t="s">
        <v>4312</v>
      </c>
      <c r="C258" s="62">
        <v>1</v>
      </c>
      <c r="D258" s="63" t="s">
        <v>4222</v>
      </c>
      <c r="E258" s="70" t="str">
        <f>HYPERLINK("https://ledvance.com/pt/product-datasheet/289505/276389","Ficha de Produto")</f>
        <v>Ficha de Produto</v>
      </c>
      <c r="F258" s="94" t="s">
        <v>4256</v>
      </c>
      <c r="G258" s="65" t="s">
        <v>1201</v>
      </c>
      <c r="H258" s="65" t="s">
        <v>1201</v>
      </c>
      <c r="I258" s="30">
        <v>61.9</v>
      </c>
      <c r="J258" s="29" t="s">
        <v>721</v>
      </c>
    </row>
    <row r="259" spans="1:10" ht="12" customHeight="1">
      <c r="A259" s="83">
        <v>4058075828322</v>
      </c>
      <c r="B259" s="103" t="s">
        <v>4313</v>
      </c>
      <c r="C259" s="62">
        <v>1</v>
      </c>
      <c r="D259" s="63" t="s">
        <v>4222</v>
      </c>
      <c r="E259" s="70" t="str">
        <f>HYPERLINK("https://ledvance.com/pt/product-datasheet/289505/276392","Ficha de Produto")</f>
        <v>Ficha de Produto</v>
      </c>
      <c r="F259" s="94" t="s">
        <v>4256</v>
      </c>
      <c r="G259" s="65" t="s">
        <v>1201</v>
      </c>
      <c r="H259" s="65" t="s">
        <v>1201</v>
      </c>
      <c r="I259" s="30">
        <v>109.69999999999999</v>
      </c>
      <c r="J259" s="29" t="s">
        <v>721</v>
      </c>
    </row>
    <row r="260" spans="1:10" ht="12" customHeight="1">
      <c r="A260" s="83">
        <v>4058075828346</v>
      </c>
      <c r="B260" s="103" t="s">
        <v>4314</v>
      </c>
      <c r="C260" s="62">
        <v>1</v>
      </c>
      <c r="D260" s="63" t="s">
        <v>4222</v>
      </c>
      <c r="E260" s="70" t="str">
        <f>HYPERLINK("https://ledvance.com/pt/product-datasheet/289505/276395","Ficha de Produto")</f>
        <v>Ficha de Produto</v>
      </c>
      <c r="F260" s="94" t="s">
        <v>4256</v>
      </c>
      <c r="G260" s="65" t="s">
        <v>1201</v>
      </c>
      <c r="H260" s="65" t="s">
        <v>1201</v>
      </c>
      <c r="I260" s="30">
        <v>177.9</v>
      </c>
      <c r="J260" s="29" t="s">
        <v>721</v>
      </c>
    </row>
    <row r="261" spans="1:10" ht="12" customHeight="1">
      <c r="A261" s="83">
        <v>4058075828360</v>
      </c>
      <c r="B261" s="103" t="s">
        <v>4315</v>
      </c>
      <c r="C261" s="62">
        <v>1</v>
      </c>
      <c r="D261" s="63" t="s">
        <v>4222</v>
      </c>
      <c r="E261" s="70" t="str">
        <f>HYPERLINK("https://ledvance.com/pt/product-datasheet/289505/276398","Ficha de Produto")</f>
        <v>Ficha de Produto</v>
      </c>
      <c r="F261" s="94" t="s">
        <v>4256</v>
      </c>
      <c r="G261" s="65" t="s">
        <v>1201</v>
      </c>
      <c r="H261" s="65" t="s">
        <v>1201</v>
      </c>
      <c r="I261" s="30">
        <v>205.29999999999998</v>
      </c>
      <c r="J261" s="29" t="s">
        <v>721</v>
      </c>
    </row>
    <row r="262" spans="1:10" ht="12" customHeight="1">
      <c r="A262" s="83">
        <v>4058075833715</v>
      </c>
      <c r="B262" s="103" t="s">
        <v>4316</v>
      </c>
      <c r="C262" s="62">
        <v>1</v>
      </c>
      <c r="D262" s="63" t="s">
        <v>4222</v>
      </c>
      <c r="E262" s="70" t="str">
        <f>HYPERLINK("https://ledvance.com/pt/product-datasheet/289506/276401","Ficha de Produto")</f>
        <v>Ficha de Produto</v>
      </c>
      <c r="F262" s="94" t="s">
        <v>4256</v>
      </c>
      <c r="G262" s="65" t="s">
        <v>1201</v>
      </c>
      <c r="H262" s="65" t="s">
        <v>1201</v>
      </c>
      <c r="I262" s="30">
        <v>61.9</v>
      </c>
      <c r="J262" s="29" t="s">
        <v>721</v>
      </c>
    </row>
    <row r="263" spans="1:10" ht="12" customHeight="1">
      <c r="A263" s="83">
        <v>4058075833739</v>
      </c>
      <c r="B263" s="103" t="s">
        <v>4317</v>
      </c>
      <c r="C263" s="62">
        <v>1</v>
      </c>
      <c r="D263" s="63" t="s">
        <v>4222</v>
      </c>
      <c r="E263" s="70" t="str">
        <f>HYPERLINK("https://ledvance.com/pt/product-datasheet/289506/276404","Ficha de Produto")</f>
        <v>Ficha de Produto</v>
      </c>
      <c r="F263" s="94" t="s">
        <v>4256</v>
      </c>
      <c r="G263" s="65" t="s">
        <v>1201</v>
      </c>
      <c r="H263" s="65" t="s">
        <v>1201</v>
      </c>
      <c r="I263" s="30">
        <v>109.69999999999999</v>
      </c>
      <c r="J263" s="29" t="s">
        <v>721</v>
      </c>
    </row>
    <row r="264" spans="1:10" ht="12" customHeight="1">
      <c r="A264" s="83">
        <v>4058075833753</v>
      </c>
      <c r="B264" s="103" t="s">
        <v>4318</v>
      </c>
      <c r="C264" s="62">
        <v>1</v>
      </c>
      <c r="D264" s="63" t="s">
        <v>4222</v>
      </c>
      <c r="E264" s="70" t="str">
        <f>HYPERLINK("https://ledvance.com/pt/product-datasheet/289506/276407","Ficha de Produto")</f>
        <v>Ficha de Produto</v>
      </c>
      <c r="F264" s="94" t="s">
        <v>4256</v>
      </c>
      <c r="G264" s="65" t="s">
        <v>1201</v>
      </c>
      <c r="H264" s="65" t="s">
        <v>1201</v>
      </c>
      <c r="I264" s="30">
        <v>177.9</v>
      </c>
      <c r="J264" s="29" t="s">
        <v>721</v>
      </c>
    </row>
    <row r="265" spans="1:10" ht="12" customHeight="1">
      <c r="A265" s="83">
        <v>4058075833777</v>
      </c>
      <c r="B265" s="103" t="s">
        <v>4319</v>
      </c>
      <c r="C265" s="62">
        <v>1</v>
      </c>
      <c r="D265" s="63" t="s">
        <v>4222</v>
      </c>
      <c r="E265" s="70" t="str">
        <f>HYPERLINK("https://ledvance.com/pt/product-datasheet/289506/276410","Ficha de Produto")</f>
        <v>Ficha de Produto</v>
      </c>
      <c r="F265" s="94" t="s">
        <v>4256</v>
      </c>
      <c r="G265" s="65" t="s">
        <v>1201</v>
      </c>
      <c r="H265" s="65" t="s">
        <v>1201</v>
      </c>
      <c r="I265" s="30">
        <v>205.29999999999998</v>
      </c>
      <c r="J265" s="29" t="s">
        <v>721</v>
      </c>
    </row>
    <row r="266" spans="1:10" s="51" customFormat="1" ht="15" customHeight="1">
      <c r="A266" s="59" t="s">
        <v>4320</v>
      </c>
      <c r="B266" s="67"/>
      <c r="C266" s="98"/>
      <c r="D266" s="56"/>
      <c r="E266" s="71"/>
      <c r="F266" s="98"/>
      <c r="G266" s="69"/>
      <c r="H266" s="85"/>
      <c r="I266" s="57"/>
      <c r="J266" s="58"/>
    </row>
    <row r="267" spans="1:10" ht="12" customHeight="1">
      <c r="A267" s="83">
        <v>4058075828384</v>
      </c>
      <c r="B267" s="103" t="s">
        <v>4321</v>
      </c>
      <c r="C267" s="62">
        <v>1</v>
      </c>
      <c r="D267" s="63" t="s">
        <v>4222</v>
      </c>
      <c r="E267" s="70" t="str">
        <f>HYPERLINK("https://ledvance.com/pt/product-datasheet/289507/276413","Ficha de Produto")</f>
        <v>Ficha de Produto</v>
      </c>
      <c r="F267" s="94" t="s">
        <v>4256</v>
      </c>
      <c r="G267" s="65" t="s">
        <v>1201</v>
      </c>
      <c r="H267" s="65" t="s">
        <v>1201</v>
      </c>
      <c r="I267" s="30">
        <v>61.9</v>
      </c>
      <c r="J267" s="29" t="s">
        <v>721</v>
      </c>
    </row>
    <row r="268" spans="1:10" ht="12" customHeight="1">
      <c r="A268" s="83">
        <v>4058075828407</v>
      </c>
      <c r="B268" s="103" t="s">
        <v>4322</v>
      </c>
      <c r="C268" s="62">
        <v>1</v>
      </c>
      <c r="D268" s="63" t="s">
        <v>4222</v>
      </c>
      <c r="E268" s="70" t="str">
        <f>HYPERLINK("https://ledvance.com/pt/product-datasheet/289507/276416","Ficha de Produto")</f>
        <v>Ficha de Produto</v>
      </c>
      <c r="F268" s="94" t="s">
        <v>4256</v>
      </c>
      <c r="G268" s="65" t="s">
        <v>1201</v>
      </c>
      <c r="H268" s="65" t="s">
        <v>1201</v>
      </c>
      <c r="I268" s="30">
        <v>109.69999999999999</v>
      </c>
      <c r="J268" s="29" t="s">
        <v>721</v>
      </c>
    </row>
    <row r="269" spans="1:10" ht="12" customHeight="1">
      <c r="A269" s="83">
        <v>4058075828421</v>
      </c>
      <c r="B269" s="103" t="s">
        <v>4323</v>
      </c>
      <c r="C269" s="62">
        <v>1</v>
      </c>
      <c r="D269" s="63" t="s">
        <v>4222</v>
      </c>
      <c r="E269" s="70" t="str">
        <f>HYPERLINK("https://ledvance.com/pt/product-datasheet/289507/276419","Ficha de Produto")</f>
        <v>Ficha de Produto</v>
      </c>
      <c r="F269" s="94" t="s">
        <v>4256</v>
      </c>
      <c r="G269" s="65" t="s">
        <v>1201</v>
      </c>
      <c r="H269" s="65" t="s">
        <v>1201</v>
      </c>
      <c r="I269" s="30">
        <v>164.29999999999998</v>
      </c>
      <c r="J269" s="29" t="s">
        <v>721</v>
      </c>
    </row>
    <row r="270" spans="1:10" ht="12" customHeight="1">
      <c r="A270" s="83">
        <v>4058075828445</v>
      </c>
      <c r="B270" s="103" t="s">
        <v>4324</v>
      </c>
      <c r="C270" s="62">
        <v>1</v>
      </c>
      <c r="D270" s="63" t="s">
        <v>4222</v>
      </c>
      <c r="E270" s="70" t="str">
        <f>HYPERLINK("https://ledvance.com/pt/product-datasheet/289507/276422","Ficha de Produto")</f>
        <v>Ficha de Produto</v>
      </c>
      <c r="F270" s="94" t="s">
        <v>4256</v>
      </c>
      <c r="G270" s="65" t="s">
        <v>1201</v>
      </c>
      <c r="H270" s="65" t="s">
        <v>1201</v>
      </c>
      <c r="I270" s="30">
        <v>191.6</v>
      </c>
      <c r="J270" s="29" t="s">
        <v>721</v>
      </c>
    </row>
    <row r="271" spans="1:10" ht="12" customHeight="1">
      <c r="A271" s="83">
        <v>4058075833791</v>
      </c>
      <c r="B271" s="103" t="s">
        <v>4325</v>
      </c>
      <c r="C271" s="62">
        <v>1</v>
      </c>
      <c r="D271" s="63" t="s">
        <v>4222</v>
      </c>
      <c r="E271" s="70" t="str">
        <f>HYPERLINK("https://ledvance.com/pt/product-datasheet/289508/276425","Ficha de Produto")</f>
        <v>Ficha de Produto</v>
      </c>
      <c r="F271" s="94" t="s">
        <v>4256</v>
      </c>
      <c r="G271" s="65" t="s">
        <v>1201</v>
      </c>
      <c r="H271" s="65" t="s">
        <v>1201</v>
      </c>
      <c r="I271" s="30">
        <v>61.9</v>
      </c>
      <c r="J271" s="29" t="s">
        <v>721</v>
      </c>
    </row>
    <row r="272" spans="1:10" ht="12" customHeight="1">
      <c r="A272" s="83">
        <v>4058075833814</v>
      </c>
      <c r="B272" s="103" t="s">
        <v>4326</v>
      </c>
      <c r="C272" s="62">
        <v>1</v>
      </c>
      <c r="D272" s="63" t="s">
        <v>4222</v>
      </c>
      <c r="E272" s="70" t="str">
        <f>HYPERLINK("https://ledvance.com/pt/product-datasheet/289508/276428","Ficha de Produto")</f>
        <v>Ficha de Produto</v>
      </c>
      <c r="F272" s="94" t="s">
        <v>4256</v>
      </c>
      <c r="G272" s="65" t="s">
        <v>1201</v>
      </c>
      <c r="H272" s="65" t="s">
        <v>1201</v>
      </c>
      <c r="I272" s="30">
        <v>109.69999999999999</v>
      </c>
      <c r="J272" s="29" t="s">
        <v>721</v>
      </c>
    </row>
    <row r="273" spans="1:10" ht="12" customHeight="1">
      <c r="A273" s="83">
        <v>4058075833838</v>
      </c>
      <c r="B273" s="103" t="s">
        <v>4327</v>
      </c>
      <c r="C273" s="62">
        <v>1</v>
      </c>
      <c r="D273" s="63" t="s">
        <v>4222</v>
      </c>
      <c r="E273" s="70" t="str">
        <f>HYPERLINK("https://ledvance.com/pt/product-datasheet/289508/276431","Ficha de Produto")</f>
        <v>Ficha de Produto</v>
      </c>
      <c r="F273" s="94" t="s">
        <v>4256</v>
      </c>
      <c r="G273" s="65" t="s">
        <v>1201</v>
      </c>
      <c r="H273" s="65" t="s">
        <v>1201</v>
      </c>
      <c r="I273" s="30">
        <v>164.29999999999998</v>
      </c>
      <c r="J273" s="29" t="s">
        <v>721</v>
      </c>
    </row>
    <row r="274" spans="1:10" ht="12" customHeight="1">
      <c r="A274" s="83">
        <v>4058075833999</v>
      </c>
      <c r="B274" s="103" t="s">
        <v>4328</v>
      </c>
      <c r="C274" s="62">
        <v>1</v>
      </c>
      <c r="D274" s="63" t="s">
        <v>4222</v>
      </c>
      <c r="E274" s="70" t="str">
        <f>HYPERLINK("https://ledvance.com/pt/product-datasheet/289508/276434","Ficha de Produto")</f>
        <v>Ficha de Produto</v>
      </c>
      <c r="F274" s="94" t="s">
        <v>4256</v>
      </c>
      <c r="G274" s="65" t="s">
        <v>1201</v>
      </c>
      <c r="H274" s="65" t="s">
        <v>1201</v>
      </c>
      <c r="I274" s="30">
        <v>191.6</v>
      </c>
      <c r="J274" s="29" t="s">
        <v>721</v>
      </c>
    </row>
    <row r="275" spans="1:10" s="51" customFormat="1" ht="15" customHeight="1">
      <c r="A275" s="104" t="s">
        <v>4329</v>
      </c>
      <c r="B275" s="67"/>
      <c r="C275" s="105"/>
      <c r="D275" s="105"/>
      <c r="E275" s="82"/>
      <c r="F275" s="105"/>
      <c r="G275" s="69"/>
      <c r="H275" s="85"/>
      <c r="I275" s="57"/>
      <c r="J275" s="58"/>
    </row>
    <row r="276" spans="1:10" s="51" customFormat="1" ht="15" customHeight="1">
      <c r="A276" s="91" t="s">
        <v>4330</v>
      </c>
      <c r="B276" s="67"/>
      <c r="C276" s="57"/>
      <c r="D276" s="57"/>
      <c r="E276" s="57"/>
      <c r="F276" s="57"/>
      <c r="G276" s="69"/>
      <c r="H276" s="85"/>
      <c r="I276" s="57"/>
      <c r="J276" s="58"/>
    </row>
    <row r="277" spans="1:10" s="51" customFormat="1" ht="15" customHeight="1">
      <c r="A277" s="92" t="s">
        <v>4331</v>
      </c>
      <c r="B277" s="67"/>
      <c r="C277" s="57"/>
      <c r="D277" s="93"/>
      <c r="E277" s="93"/>
      <c r="F277" s="57"/>
      <c r="G277" s="69"/>
      <c r="H277" s="85"/>
      <c r="I277" s="57"/>
      <c r="J277" s="58"/>
    </row>
    <row r="278" spans="1:10" ht="12" customHeight="1">
      <c r="A278" s="83">
        <v>4099854095115</v>
      </c>
      <c r="B278" s="61" t="s">
        <v>5080</v>
      </c>
      <c r="C278" s="62">
        <v>1</v>
      </c>
      <c r="D278" s="63" t="s">
        <v>4332</v>
      </c>
      <c r="E278" s="70" t="str">
        <f>HYPERLINK("https://ledvance.com/pt/product-datasheet/261594/248362","Ficha de Produto")</f>
        <v>Ficha de Produto</v>
      </c>
      <c r="F278" s="94" t="s">
        <v>4183</v>
      </c>
      <c r="G278" s="65" t="s">
        <v>4973</v>
      </c>
      <c r="H278" s="62">
        <v>0</v>
      </c>
      <c r="I278" s="30">
        <v>68.699999999999989</v>
      </c>
      <c r="J278" s="29" t="s">
        <v>721</v>
      </c>
    </row>
    <row r="279" spans="1:10" ht="12" customHeight="1">
      <c r="A279" s="83">
        <v>4099854095146</v>
      </c>
      <c r="B279" s="61" t="s">
        <v>5081</v>
      </c>
      <c r="C279" s="62">
        <v>1</v>
      </c>
      <c r="D279" s="63" t="s">
        <v>4332</v>
      </c>
      <c r="E279" s="70" t="str">
        <f>HYPERLINK("https://ledvance.com/pt/product-datasheet/261594/248366","Ficha de Produto")</f>
        <v>Ficha de Produto</v>
      </c>
      <c r="F279" s="94" t="s">
        <v>4183</v>
      </c>
      <c r="G279" s="65" t="s">
        <v>5008</v>
      </c>
      <c r="H279" s="62">
        <v>0</v>
      </c>
      <c r="I279" s="30">
        <v>90.5</v>
      </c>
      <c r="J279" s="29" t="s">
        <v>721</v>
      </c>
    </row>
    <row r="280" spans="1:10" s="51" customFormat="1" ht="15" customHeight="1">
      <c r="A280" s="92" t="s">
        <v>4333</v>
      </c>
      <c r="B280" s="67"/>
      <c r="C280" s="57"/>
      <c r="D280" s="93"/>
      <c r="E280" s="78"/>
      <c r="F280" s="57"/>
      <c r="G280" s="69"/>
      <c r="H280" s="85"/>
      <c r="I280" s="57"/>
      <c r="J280" s="58"/>
    </row>
    <row r="281" spans="1:10" ht="12" customHeight="1">
      <c r="A281" s="83">
        <v>4099854096495</v>
      </c>
      <c r="B281" s="61" t="s">
        <v>5082</v>
      </c>
      <c r="C281" s="62">
        <v>1</v>
      </c>
      <c r="D281" s="63" t="s">
        <v>4332</v>
      </c>
      <c r="E281" s="70" t="str">
        <f>HYPERLINK("https://ledvance.com/pt/product-datasheet/260270/248601","Ficha de Produto")</f>
        <v>Ficha de Produto</v>
      </c>
      <c r="F281" s="84" t="s">
        <v>4183</v>
      </c>
      <c r="G281" s="65" t="s">
        <v>5008</v>
      </c>
      <c r="H281" s="62" t="s">
        <v>4988</v>
      </c>
      <c r="I281" s="30">
        <v>163</v>
      </c>
      <c r="J281" s="29" t="s">
        <v>721</v>
      </c>
    </row>
    <row r="282" spans="1:10" s="51" customFormat="1" ht="15" customHeight="1">
      <c r="A282" s="92" t="s">
        <v>4334</v>
      </c>
      <c r="B282" s="67"/>
      <c r="C282" s="57"/>
      <c r="D282" s="93"/>
      <c r="E282" s="93"/>
      <c r="F282" s="57"/>
      <c r="G282" s="69"/>
      <c r="H282" s="85"/>
      <c r="I282" s="57"/>
      <c r="J282" s="58"/>
    </row>
    <row r="283" spans="1:10" ht="12" customHeight="1">
      <c r="A283" s="83">
        <v>4099854096518</v>
      </c>
      <c r="B283" s="61" t="s">
        <v>5083</v>
      </c>
      <c r="C283" s="62">
        <v>1</v>
      </c>
      <c r="D283" s="63" t="s">
        <v>4332</v>
      </c>
      <c r="E283" s="70" t="str">
        <f>HYPERLINK("https://ledvance.com/pt/product-datasheet/260271/248604","Ficha de Produto")</f>
        <v>Ficha de Produto</v>
      </c>
      <c r="F283" s="84" t="s">
        <v>4183</v>
      </c>
      <c r="G283" s="65" t="s">
        <v>5008</v>
      </c>
      <c r="H283" s="62" t="s">
        <v>5084</v>
      </c>
      <c r="I283" s="30">
        <v>163</v>
      </c>
      <c r="J283" s="29" t="s">
        <v>721</v>
      </c>
    </row>
    <row r="284" spans="1:10" s="51" customFormat="1" ht="15" customHeight="1">
      <c r="A284" s="92" t="s">
        <v>4335</v>
      </c>
      <c r="B284" s="67"/>
      <c r="C284" s="57"/>
      <c r="D284" s="93"/>
      <c r="E284" s="93"/>
      <c r="F284" s="57"/>
      <c r="G284" s="69"/>
      <c r="H284" s="85"/>
      <c r="I284" s="57"/>
      <c r="J284" s="58"/>
    </row>
    <row r="285" spans="1:10" ht="12" customHeight="1">
      <c r="A285" s="83">
        <v>4058075831711</v>
      </c>
      <c r="B285" s="103" t="s">
        <v>4336</v>
      </c>
      <c r="C285" s="62">
        <v>1</v>
      </c>
      <c r="D285" s="63" t="s">
        <v>4332</v>
      </c>
      <c r="E285" s="70" t="str">
        <f>HYPERLINK("https://ledvance.com/pt/product-datasheet/295103/278092","Ficha de Produto")</f>
        <v>Ficha de Produto</v>
      </c>
      <c r="F285" s="94" t="s">
        <v>4213</v>
      </c>
      <c r="G285" s="65" t="s">
        <v>1201</v>
      </c>
      <c r="H285" s="65" t="s">
        <v>1201</v>
      </c>
      <c r="I285" s="30">
        <v>53.2</v>
      </c>
      <c r="J285" s="29" t="s">
        <v>721</v>
      </c>
    </row>
    <row r="286" spans="1:10" ht="12" customHeight="1">
      <c r="A286" s="83">
        <v>4058075831735</v>
      </c>
      <c r="B286" s="103" t="s">
        <v>4337</v>
      </c>
      <c r="C286" s="62">
        <v>1</v>
      </c>
      <c r="D286" s="63" t="s">
        <v>4332</v>
      </c>
      <c r="E286" s="70" t="str">
        <f>HYPERLINK("https://ledvance.com/pt/product-datasheet/295103/278095","Ficha de Produto")</f>
        <v>Ficha de Produto</v>
      </c>
      <c r="F286" s="94" t="s">
        <v>4213</v>
      </c>
      <c r="G286" s="65" t="s">
        <v>1201</v>
      </c>
      <c r="H286" s="65" t="s">
        <v>1201</v>
      </c>
      <c r="I286" s="30">
        <v>72.899999999999991</v>
      </c>
      <c r="J286" s="29" t="s">
        <v>721</v>
      </c>
    </row>
    <row r="287" spans="1:10" s="51" customFormat="1" ht="15" customHeight="1">
      <c r="A287" s="92" t="s">
        <v>4338</v>
      </c>
      <c r="B287" s="67"/>
      <c r="C287" s="57"/>
      <c r="D287" s="93"/>
      <c r="E287" s="93"/>
      <c r="F287" s="57"/>
      <c r="G287" s="69"/>
      <c r="H287" s="85"/>
      <c r="I287" s="57"/>
      <c r="J287" s="58"/>
    </row>
    <row r="288" spans="1:10" ht="12" customHeight="1">
      <c r="A288" s="83">
        <v>4099854126000</v>
      </c>
      <c r="B288" s="61" t="s">
        <v>5085</v>
      </c>
      <c r="C288" s="62">
        <v>1</v>
      </c>
      <c r="D288" s="63" t="s">
        <v>4332</v>
      </c>
      <c r="E288" s="70" t="str">
        <f>HYPERLINK("https://ledvance.com/pt/product-datasheet/269686/256681","Ficha de Produto")</f>
        <v>Ficha de Produto</v>
      </c>
      <c r="F288" s="94" t="s">
        <v>4183</v>
      </c>
      <c r="G288" s="65" t="s">
        <v>791</v>
      </c>
      <c r="H288" s="62">
        <v>0</v>
      </c>
      <c r="I288" s="30">
        <v>231.29999999999998</v>
      </c>
      <c r="J288" s="29" t="s">
        <v>721</v>
      </c>
    </row>
    <row r="289" spans="1:10" s="51" customFormat="1" ht="15" customHeight="1">
      <c r="A289" s="92" t="s">
        <v>4339</v>
      </c>
      <c r="B289" s="67"/>
      <c r="C289" s="57"/>
      <c r="D289" s="93"/>
      <c r="E289" s="93"/>
      <c r="F289" s="57"/>
      <c r="G289" s="69"/>
      <c r="H289" s="85"/>
      <c r="I289" s="57"/>
      <c r="J289" s="58"/>
    </row>
    <row r="290" spans="1:10" ht="12" customHeight="1">
      <c r="A290" s="74">
        <v>4099854014079</v>
      </c>
      <c r="B290" s="61" t="s">
        <v>5086</v>
      </c>
      <c r="C290" s="62">
        <v>1</v>
      </c>
      <c r="D290" s="63" t="s">
        <v>4332</v>
      </c>
      <c r="E290" s="70" t="str">
        <f>HYPERLINK("https://ledvance.com/pt/product-datasheet/231611/226602","Ficha de Produto")</f>
        <v>Ficha de Produto</v>
      </c>
      <c r="F290" s="62"/>
      <c r="G290" s="65" t="s">
        <v>1746</v>
      </c>
      <c r="H290" s="62" t="s">
        <v>4990</v>
      </c>
      <c r="I290" s="30">
        <v>109.69999999999999</v>
      </c>
      <c r="J290" s="29" t="s">
        <v>721</v>
      </c>
    </row>
    <row r="291" spans="1:10" s="51" customFormat="1" ht="15" customHeight="1">
      <c r="A291" s="92" t="s">
        <v>4340</v>
      </c>
      <c r="B291" s="67"/>
      <c r="C291" s="57"/>
      <c r="D291" s="93"/>
      <c r="E291" s="93"/>
      <c r="F291" s="57"/>
      <c r="G291" s="69"/>
      <c r="H291" s="85"/>
      <c r="I291" s="57"/>
      <c r="J291" s="58"/>
    </row>
    <row r="292" spans="1:10" ht="12" customHeight="1">
      <c r="A292" s="74">
        <v>4058075765153</v>
      </c>
      <c r="B292" s="61" t="s">
        <v>5087</v>
      </c>
      <c r="C292" s="62">
        <v>1</v>
      </c>
      <c r="D292" s="63" t="s">
        <v>4332</v>
      </c>
      <c r="E292" s="70" t="str">
        <f>HYPERLINK("https://ledvance.com/pt/product-datasheet/231589/206148","Ficha de Produto")</f>
        <v>Ficha de Produto</v>
      </c>
      <c r="F292" s="62"/>
      <c r="G292" s="65" t="s">
        <v>1746</v>
      </c>
      <c r="H292" s="62" t="s">
        <v>4990</v>
      </c>
      <c r="I292" s="30">
        <v>137</v>
      </c>
      <c r="J292" s="29" t="s">
        <v>721</v>
      </c>
    </row>
    <row r="293" spans="1:10" ht="12" customHeight="1">
      <c r="A293" s="74">
        <v>4058075765177</v>
      </c>
      <c r="B293" s="61" t="s">
        <v>5088</v>
      </c>
      <c r="C293" s="62">
        <v>1</v>
      </c>
      <c r="D293" s="63" t="s">
        <v>4332</v>
      </c>
      <c r="E293" s="70" t="str">
        <f>HYPERLINK("https://ledvance.com/pt/product-datasheet/231589/206152","Ficha de Produto")</f>
        <v>Ficha de Produto</v>
      </c>
      <c r="F293" s="62"/>
      <c r="G293" s="65" t="s">
        <v>1746</v>
      </c>
      <c r="H293" s="62" t="s">
        <v>4990</v>
      </c>
      <c r="I293" s="30">
        <v>137</v>
      </c>
      <c r="J293" s="29" t="s">
        <v>721</v>
      </c>
    </row>
    <row r="294" spans="1:10" s="51" customFormat="1" ht="15" customHeight="1">
      <c r="A294" s="92" t="s">
        <v>4341</v>
      </c>
      <c r="B294" s="67"/>
      <c r="C294" s="57"/>
      <c r="D294" s="93"/>
      <c r="E294" s="93"/>
      <c r="F294" s="57"/>
      <c r="G294" s="69"/>
      <c r="H294" s="85"/>
      <c r="I294" s="57"/>
      <c r="J294" s="58"/>
    </row>
    <row r="295" spans="1:10" ht="12" customHeight="1">
      <c r="A295" s="74">
        <v>4058075765191</v>
      </c>
      <c r="B295" s="61" t="s">
        <v>5089</v>
      </c>
      <c r="C295" s="62">
        <v>1</v>
      </c>
      <c r="D295" s="63" t="s">
        <v>4332</v>
      </c>
      <c r="E295" s="70" t="str">
        <f>HYPERLINK("https://ledvance.com/pt/product-datasheet/231606/206155","Ficha de Produto")</f>
        <v>Ficha de Produto</v>
      </c>
      <c r="F295" s="62"/>
      <c r="G295" s="65" t="s">
        <v>4977</v>
      </c>
      <c r="H295" s="62" t="s">
        <v>4990</v>
      </c>
      <c r="I295" s="30">
        <v>137</v>
      </c>
      <c r="J295" s="29" t="s">
        <v>721</v>
      </c>
    </row>
    <row r="296" spans="1:10" ht="12" customHeight="1">
      <c r="A296" s="74">
        <v>4058075765214</v>
      </c>
      <c r="B296" s="61" t="s">
        <v>5090</v>
      </c>
      <c r="C296" s="62">
        <v>1</v>
      </c>
      <c r="D296" s="63" t="s">
        <v>4332</v>
      </c>
      <c r="E296" s="70" t="str">
        <f>HYPERLINK("https://ledvance.com/pt/product-datasheet/231606/206158","Ficha de Produto")</f>
        <v>Ficha de Produto</v>
      </c>
      <c r="F296" s="62"/>
      <c r="G296" s="65" t="s">
        <v>4977</v>
      </c>
      <c r="H296" s="62" t="s">
        <v>4990</v>
      </c>
      <c r="I296" s="30">
        <v>137</v>
      </c>
      <c r="J296" s="29" t="s">
        <v>721</v>
      </c>
    </row>
    <row r="297" spans="1:10" s="51" customFormat="1" ht="15" customHeight="1">
      <c r="A297" s="92" t="s">
        <v>4342</v>
      </c>
      <c r="B297" s="67"/>
      <c r="C297" s="57"/>
      <c r="D297" s="93"/>
      <c r="E297" s="93"/>
      <c r="F297" s="57"/>
      <c r="G297" s="69"/>
      <c r="H297" s="85"/>
      <c r="I297" s="57"/>
      <c r="J297" s="58"/>
    </row>
    <row r="298" spans="1:10" ht="12" customHeight="1">
      <c r="A298" s="74">
        <v>4058075765078</v>
      </c>
      <c r="B298" s="61" t="s">
        <v>5091</v>
      </c>
      <c r="C298" s="62">
        <v>1</v>
      </c>
      <c r="D298" s="63" t="s">
        <v>4332</v>
      </c>
      <c r="E298" s="70" t="str">
        <f>HYPERLINK("https://ledvance.com/pt/product-datasheet/231588/206125","Ficha de Produto")</f>
        <v>Ficha de Produto</v>
      </c>
      <c r="F298" s="62"/>
      <c r="G298" s="65" t="s">
        <v>4977</v>
      </c>
      <c r="H298" s="62" t="s">
        <v>4990</v>
      </c>
      <c r="I298" s="30">
        <v>109.69999999999999</v>
      </c>
      <c r="J298" s="29" t="s">
        <v>721</v>
      </c>
    </row>
    <row r="299" spans="1:10" ht="12" customHeight="1">
      <c r="A299" s="74">
        <v>4058075765092</v>
      </c>
      <c r="B299" s="61" t="s">
        <v>5092</v>
      </c>
      <c r="C299" s="62">
        <v>1</v>
      </c>
      <c r="D299" s="63" t="s">
        <v>4332</v>
      </c>
      <c r="E299" s="70" t="str">
        <f>HYPERLINK("https://ledvance.com/pt/product-datasheet/231588/206134","Ficha de Produto")</f>
        <v>Ficha de Produto</v>
      </c>
      <c r="F299" s="62"/>
      <c r="G299" s="65" t="s">
        <v>4977</v>
      </c>
      <c r="H299" s="62" t="s">
        <v>4990</v>
      </c>
      <c r="I299" s="30">
        <v>109.69999999999999</v>
      </c>
      <c r="J299" s="29" t="s">
        <v>721</v>
      </c>
    </row>
    <row r="300" spans="1:10" ht="12" customHeight="1">
      <c r="A300" s="74">
        <v>4058075765115</v>
      </c>
      <c r="B300" s="61" t="s">
        <v>5093</v>
      </c>
      <c r="C300" s="62">
        <v>1</v>
      </c>
      <c r="D300" s="63" t="s">
        <v>4332</v>
      </c>
      <c r="E300" s="70" t="str">
        <f>HYPERLINK("https://ledvance.com/pt/product-datasheet/231588/206139","Ficha de Produto")</f>
        <v>Ficha de Produto</v>
      </c>
      <c r="F300" s="62"/>
      <c r="G300" s="65" t="s">
        <v>4949</v>
      </c>
      <c r="H300" s="62" t="s">
        <v>4990</v>
      </c>
      <c r="I300" s="30">
        <v>137</v>
      </c>
      <c r="J300" s="29" t="s">
        <v>721</v>
      </c>
    </row>
    <row r="301" spans="1:10" ht="12" customHeight="1">
      <c r="A301" s="74">
        <v>4058075765139</v>
      </c>
      <c r="B301" s="61" t="s">
        <v>5094</v>
      </c>
      <c r="C301" s="62">
        <v>1</v>
      </c>
      <c r="D301" s="63" t="s">
        <v>4332</v>
      </c>
      <c r="E301" s="70" t="str">
        <f>HYPERLINK("https://ledvance.com/pt/product-datasheet/231588/206144","Ficha de Produto")</f>
        <v>Ficha de Produto</v>
      </c>
      <c r="F301" s="62"/>
      <c r="G301" s="65" t="s">
        <v>4949</v>
      </c>
      <c r="H301" s="62" t="s">
        <v>4990</v>
      </c>
      <c r="I301" s="30">
        <v>137</v>
      </c>
      <c r="J301" s="29" t="s">
        <v>721</v>
      </c>
    </row>
    <row r="302" spans="1:10" s="51" customFormat="1" ht="15" customHeight="1">
      <c r="A302" s="104" t="s">
        <v>4343</v>
      </c>
      <c r="B302" s="67"/>
      <c r="C302" s="105"/>
      <c r="D302" s="105"/>
      <c r="E302" s="105"/>
      <c r="F302" s="105"/>
      <c r="G302" s="69"/>
      <c r="H302" s="85"/>
      <c r="I302" s="57"/>
      <c r="J302" s="58"/>
    </row>
    <row r="303" spans="1:10" s="51" customFormat="1" ht="15" customHeight="1">
      <c r="A303" s="106" t="s">
        <v>4344</v>
      </c>
      <c r="B303" s="67"/>
      <c r="C303" s="107"/>
      <c r="D303" s="107"/>
      <c r="E303" s="107"/>
      <c r="F303" s="107"/>
      <c r="G303" s="69"/>
      <c r="H303" s="85"/>
      <c r="I303" s="57"/>
      <c r="J303" s="58"/>
    </row>
    <row r="304" spans="1:10" s="51" customFormat="1" ht="15" customHeight="1">
      <c r="A304" s="106" t="s">
        <v>4345</v>
      </c>
      <c r="B304" s="67"/>
      <c r="C304" s="107"/>
      <c r="D304" s="107"/>
      <c r="E304" s="107"/>
      <c r="F304" s="107"/>
      <c r="G304" s="69"/>
      <c r="H304" s="85"/>
      <c r="I304" s="57"/>
      <c r="J304" s="58"/>
    </row>
    <row r="305" spans="1:10" s="51" customFormat="1" ht="15" customHeight="1">
      <c r="A305" s="92" t="s">
        <v>4346</v>
      </c>
      <c r="B305" s="67"/>
      <c r="C305" s="57"/>
      <c r="D305" s="93"/>
      <c r="E305" s="93"/>
      <c r="F305" s="57"/>
      <c r="G305" s="69"/>
      <c r="H305" s="85"/>
      <c r="I305" s="57"/>
      <c r="J305" s="58"/>
    </row>
    <row r="306" spans="1:10" ht="12" customHeight="1">
      <c r="A306" s="74">
        <v>4058075747906</v>
      </c>
      <c r="B306" s="61" t="s">
        <v>5095</v>
      </c>
      <c r="C306" s="62">
        <v>1</v>
      </c>
      <c r="D306" s="63" t="s">
        <v>4343</v>
      </c>
      <c r="E306" s="70" t="str">
        <f>HYPERLINK("https://ledvance.com/pt/product-datasheet/231586/200776","Ficha de Produto")</f>
        <v>Ficha de Produto</v>
      </c>
      <c r="F306" s="62"/>
      <c r="G306" s="65" t="s">
        <v>5096</v>
      </c>
      <c r="H306" s="62" t="s">
        <v>4992</v>
      </c>
      <c r="I306" s="30">
        <v>34.5</v>
      </c>
      <c r="J306" s="29" t="s">
        <v>721</v>
      </c>
    </row>
    <row r="307" spans="1:10" s="51" customFormat="1" ht="15" customHeight="1">
      <c r="A307" s="92" t="s">
        <v>4347</v>
      </c>
      <c r="B307" s="67"/>
      <c r="C307" s="57"/>
      <c r="D307" s="93"/>
      <c r="E307" s="78"/>
      <c r="F307" s="57"/>
      <c r="G307" s="69"/>
      <c r="H307" s="85"/>
      <c r="I307" s="57"/>
      <c r="J307" s="58"/>
    </row>
    <row r="308" spans="1:10" ht="12" customHeight="1">
      <c r="A308" s="74">
        <v>4058075758605</v>
      </c>
      <c r="B308" s="61" t="s">
        <v>5097</v>
      </c>
      <c r="C308" s="62">
        <v>1</v>
      </c>
      <c r="D308" s="63" t="s">
        <v>4343</v>
      </c>
      <c r="E308" s="70" t="str">
        <f>HYPERLINK("https://ledvance.com/pt/product-datasheet/231545/203802","Ficha de Produto")</f>
        <v>Ficha de Produto</v>
      </c>
      <c r="F308" s="62"/>
      <c r="G308" s="65" t="s">
        <v>5098</v>
      </c>
      <c r="H308" s="62" t="s">
        <v>4974</v>
      </c>
      <c r="I308" s="30">
        <v>31.8</v>
      </c>
      <c r="J308" s="29" t="s">
        <v>721</v>
      </c>
    </row>
    <row r="309" spans="1:10" ht="12" customHeight="1">
      <c r="A309" s="74">
        <v>4058075758643</v>
      </c>
      <c r="B309" s="61" t="s">
        <v>5099</v>
      </c>
      <c r="C309" s="62">
        <v>1</v>
      </c>
      <c r="D309" s="63" t="s">
        <v>4343</v>
      </c>
      <c r="E309" s="70" t="str">
        <f>HYPERLINK("https://ledvance.com/pt/product-datasheet/231545/203805","Ficha de Produto")</f>
        <v>Ficha de Produto</v>
      </c>
      <c r="F309" s="62"/>
      <c r="G309" s="65" t="s">
        <v>5098</v>
      </c>
      <c r="H309" s="62" t="s">
        <v>4974</v>
      </c>
      <c r="I309" s="30">
        <v>26.3</v>
      </c>
      <c r="J309" s="29" t="s">
        <v>721</v>
      </c>
    </row>
    <row r="310" spans="1:10" ht="12" customHeight="1">
      <c r="A310" s="74">
        <v>4058075759060</v>
      </c>
      <c r="B310" s="61" t="s">
        <v>5100</v>
      </c>
      <c r="C310" s="62">
        <v>1</v>
      </c>
      <c r="D310" s="63" t="s">
        <v>4343</v>
      </c>
      <c r="E310" s="70" t="str">
        <f>HYPERLINK("https://ledvance.com/pt/product-datasheet/231545/203808","Ficha de Produto")</f>
        <v>Ficha de Produto</v>
      </c>
      <c r="F310" s="62"/>
      <c r="G310" s="65" t="s">
        <v>5101</v>
      </c>
      <c r="H310" s="62" t="s">
        <v>4974</v>
      </c>
      <c r="I310" s="30">
        <v>41.4</v>
      </c>
      <c r="J310" s="29" t="s">
        <v>721</v>
      </c>
    </row>
    <row r="311" spans="1:10" ht="12" customHeight="1">
      <c r="A311" s="74">
        <v>4058075759121</v>
      </c>
      <c r="B311" s="61" t="s">
        <v>5102</v>
      </c>
      <c r="C311" s="62">
        <v>1</v>
      </c>
      <c r="D311" s="63" t="s">
        <v>4343</v>
      </c>
      <c r="E311" s="70" t="str">
        <f>HYPERLINK("https://ledvance.com/pt/product-datasheet/231545/203811","Ficha de Produto")</f>
        <v>Ficha de Produto</v>
      </c>
      <c r="F311" s="62"/>
      <c r="G311" s="65" t="s">
        <v>5098</v>
      </c>
      <c r="H311" s="62" t="s">
        <v>4974</v>
      </c>
      <c r="I311" s="30">
        <v>23.6</v>
      </c>
      <c r="J311" s="29" t="s">
        <v>721</v>
      </c>
    </row>
    <row r="312" spans="1:10" s="51" customFormat="1" ht="15" customHeight="1">
      <c r="A312" s="92" t="s">
        <v>4348</v>
      </c>
      <c r="B312" s="67"/>
      <c r="C312" s="54"/>
      <c r="D312" s="93"/>
      <c r="E312" s="78"/>
      <c r="F312" s="54"/>
      <c r="G312" s="69"/>
      <c r="H312" s="85"/>
      <c r="I312" s="57"/>
      <c r="J312" s="58"/>
    </row>
    <row r="313" spans="1:10" ht="12" customHeight="1">
      <c r="A313" s="60">
        <v>4058075570207</v>
      </c>
      <c r="B313" s="61" t="s">
        <v>5103</v>
      </c>
      <c r="C313" s="62">
        <v>1</v>
      </c>
      <c r="D313" s="63" t="s">
        <v>4343</v>
      </c>
      <c r="E313" s="70" t="str">
        <f>HYPERLINK("https://ledvance.com/pt/product-datasheet/170673/42902","Ficha de Produto")</f>
        <v>Ficha de Produto</v>
      </c>
      <c r="F313" s="62"/>
      <c r="G313" s="65" t="s">
        <v>5104</v>
      </c>
      <c r="H313" s="62" t="s">
        <v>4970</v>
      </c>
      <c r="I313" s="30">
        <v>27.700000000000003</v>
      </c>
      <c r="J313" s="29" t="s">
        <v>721</v>
      </c>
    </row>
    <row r="314" spans="1:10" ht="12" customHeight="1">
      <c r="A314" s="60">
        <v>4058075570184</v>
      </c>
      <c r="B314" s="61" t="s">
        <v>5105</v>
      </c>
      <c r="C314" s="62">
        <v>1</v>
      </c>
      <c r="D314" s="63" t="s">
        <v>4343</v>
      </c>
      <c r="E314" s="70" t="str">
        <f>HYPERLINK("https://ledvance.com/pt/product-datasheet/170672/42899","Ficha de Produto")</f>
        <v>Ficha de Produto</v>
      </c>
      <c r="F314" s="62"/>
      <c r="G314" s="65" t="s">
        <v>5106</v>
      </c>
      <c r="H314" s="62" t="s">
        <v>4992</v>
      </c>
      <c r="I314" s="30">
        <v>23.6</v>
      </c>
      <c r="J314" s="29" t="s">
        <v>721</v>
      </c>
    </row>
    <row r="315" spans="1:10" ht="12" customHeight="1">
      <c r="A315" s="60">
        <v>4058075602113</v>
      </c>
      <c r="B315" s="61" t="s">
        <v>5107</v>
      </c>
      <c r="C315" s="62">
        <v>1</v>
      </c>
      <c r="D315" s="63" t="s">
        <v>4343</v>
      </c>
      <c r="E315" s="70" t="str">
        <f>HYPERLINK("https://ledvance.com/pt/product-datasheet/170677/140752","Ficha de Produto")</f>
        <v>Ficha de Produto</v>
      </c>
      <c r="F315" s="62"/>
      <c r="G315" s="65" t="s">
        <v>5108</v>
      </c>
      <c r="H315" s="62" t="s">
        <v>4974</v>
      </c>
      <c r="I315" s="30">
        <v>26.3</v>
      </c>
      <c r="J315" s="29" t="s">
        <v>721</v>
      </c>
    </row>
    <row r="316" spans="1:10" ht="12" customHeight="1">
      <c r="A316" s="60">
        <v>4058075602137</v>
      </c>
      <c r="B316" s="61" t="s">
        <v>5109</v>
      </c>
      <c r="C316" s="62">
        <v>1</v>
      </c>
      <c r="D316" s="63" t="s">
        <v>4343</v>
      </c>
      <c r="E316" s="70" t="str">
        <f>HYPERLINK("https://ledvance.com/pt/product-datasheet/170677/140755","Ficha de Produto")</f>
        <v>Ficha de Produto</v>
      </c>
      <c r="F316" s="62"/>
      <c r="G316" s="65" t="s">
        <v>5108</v>
      </c>
      <c r="H316" s="62" t="s">
        <v>4974</v>
      </c>
      <c r="I316" s="30">
        <v>26.3</v>
      </c>
      <c r="J316" s="29" t="s">
        <v>721</v>
      </c>
    </row>
    <row r="317" spans="1:10" ht="12" customHeight="1">
      <c r="A317" s="60">
        <v>4058075575592</v>
      </c>
      <c r="B317" s="61" t="s">
        <v>5110</v>
      </c>
      <c r="C317" s="62">
        <v>1</v>
      </c>
      <c r="D317" s="63" t="s">
        <v>4343</v>
      </c>
      <c r="E317" s="70" t="str">
        <f>HYPERLINK("https://ledvance.com/pt/product-datasheet/170680/101431","Ficha de Produto")</f>
        <v>Ficha de Produto</v>
      </c>
      <c r="F317" s="62"/>
      <c r="G317" s="65" t="s">
        <v>5111</v>
      </c>
      <c r="H317" s="62" t="s">
        <v>4974</v>
      </c>
      <c r="I317" s="30">
        <v>20.700000000000003</v>
      </c>
      <c r="J317" s="29" t="s">
        <v>721</v>
      </c>
    </row>
    <row r="318" spans="1:10" ht="12" customHeight="1">
      <c r="A318" s="74">
        <v>4058075757721</v>
      </c>
      <c r="B318" s="61" t="s">
        <v>5112</v>
      </c>
      <c r="C318" s="62">
        <v>1</v>
      </c>
      <c r="D318" s="63" t="s">
        <v>4343</v>
      </c>
      <c r="E318" s="70" t="str">
        <f>HYPERLINK("https://ledvance.com/pt/product-datasheet/231524/203745","Ficha de Produto")</f>
        <v>Ficha de Produto</v>
      </c>
      <c r="F318" s="62"/>
      <c r="G318" s="65" t="s">
        <v>5113</v>
      </c>
      <c r="H318" s="62" t="s">
        <v>4930</v>
      </c>
      <c r="I318" s="30">
        <v>25</v>
      </c>
      <c r="J318" s="29" t="s">
        <v>721</v>
      </c>
    </row>
    <row r="319" spans="1:10" s="51" customFormat="1" ht="15" customHeight="1">
      <c r="A319" s="92" t="s">
        <v>4349</v>
      </c>
      <c r="B319" s="67"/>
      <c r="C319" s="54"/>
      <c r="D319" s="93"/>
      <c r="E319" s="78"/>
      <c r="F319" s="54"/>
      <c r="G319" s="69"/>
      <c r="H319" s="85"/>
      <c r="I319" s="57"/>
      <c r="J319" s="58"/>
    </row>
    <row r="320" spans="1:10" ht="12" customHeight="1">
      <c r="A320" s="60">
        <v>4058075270855</v>
      </c>
      <c r="B320" s="61" t="s">
        <v>5114</v>
      </c>
      <c r="C320" s="62">
        <v>1</v>
      </c>
      <c r="D320" s="63" t="s">
        <v>4343</v>
      </c>
      <c r="E320" s="70" t="str">
        <f>HYPERLINK("https://ledvance.com/pt/product-datasheet/9294/109826","Ficha de Produto")</f>
        <v>Ficha de Produto</v>
      </c>
      <c r="F320" s="62"/>
      <c r="G320" s="65" t="s">
        <v>5115</v>
      </c>
      <c r="H320" s="62" t="s">
        <v>4992</v>
      </c>
      <c r="I320" s="30">
        <v>18.200000000000003</v>
      </c>
      <c r="J320" s="29" t="s">
        <v>721</v>
      </c>
    </row>
    <row r="321" spans="1:10" ht="12" customHeight="1">
      <c r="A321" s="60">
        <v>4058075270886</v>
      </c>
      <c r="B321" s="61" t="s">
        <v>5116</v>
      </c>
      <c r="C321" s="62">
        <v>1</v>
      </c>
      <c r="D321" s="63" t="s">
        <v>4343</v>
      </c>
      <c r="E321" s="70" t="str">
        <f>HYPERLINK("https://ledvance.com/pt/product-datasheet/9294/110655","Ficha de Produto")</f>
        <v>Ficha de Produto</v>
      </c>
      <c r="F321" s="62"/>
      <c r="G321" s="65" t="s">
        <v>5115</v>
      </c>
      <c r="H321" s="62" t="s">
        <v>4992</v>
      </c>
      <c r="I321" s="30">
        <v>18.200000000000003</v>
      </c>
      <c r="J321" s="29" t="s">
        <v>721</v>
      </c>
    </row>
    <row r="322" spans="1:10" s="51" customFormat="1" ht="15" customHeight="1">
      <c r="A322" s="59" t="s">
        <v>4350</v>
      </c>
      <c r="B322" s="67"/>
      <c r="C322" s="54"/>
      <c r="D322" s="56"/>
      <c r="E322" s="56"/>
      <c r="F322" s="54"/>
      <c r="G322" s="69"/>
      <c r="H322" s="85"/>
      <c r="I322" s="57"/>
      <c r="J322" s="58"/>
    </row>
    <row r="323" spans="1:10" ht="12" customHeight="1">
      <c r="A323" s="60">
        <v>4058075260658</v>
      </c>
      <c r="B323" s="61" t="s">
        <v>5117</v>
      </c>
      <c r="C323" s="62">
        <v>1</v>
      </c>
      <c r="D323" s="63" t="s">
        <v>4343</v>
      </c>
      <c r="E323" s="70" t="str">
        <f>HYPERLINK("https://ledvance.com/pt/product-datasheet/9296/110636","Ficha de Produto")</f>
        <v>Ficha de Produto</v>
      </c>
      <c r="F323" s="62"/>
      <c r="G323" s="65" t="s">
        <v>5118</v>
      </c>
      <c r="H323" s="62" t="s">
        <v>4992</v>
      </c>
      <c r="I323" s="30">
        <v>14.1</v>
      </c>
      <c r="J323" s="29" t="s">
        <v>721</v>
      </c>
    </row>
    <row r="324" spans="1:10" ht="12" customHeight="1">
      <c r="A324" s="60">
        <v>4058075260672</v>
      </c>
      <c r="B324" s="61" t="s">
        <v>5119</v>
      </c>
      <c r="C324" s="62">
        <v>1</v>
      </c>
      <c r="D324" s="63" t="s">
        <v>4343</v>
      </c>
      <c r="E324" s="70" t="str">
        <f>HYPERLINK("https://ledvance.com/pt/product-datasheet/9296/110633","Ficha de Produto")</f>
        <v>Ficha de Produto</v>
      </c>
      <c r="F324" s="62"/>
      <c r="G324" s="65" t="s">
        <v>5118</v>
      </c>
      <c r="H324" s="62" t="s">
        <v>4992</v>
      </c>
      <c r="I324" s="30">
        <v>14.1</v>
      </c>
      <c r="J324" s="29" t="s">
        <v>721</v>
      </c>
    </row>
    <row r="325" spans="1:10" s="51" customFormat="1" ht="15" customHeight="1">
      <c r="A325" s="59" t="s">
        <v>4351</v>
      </c>
      <c r="B325" s="67"/>
      <c r="C325" s="54"/>
      <c r="D325" s="56"/>
      <c r="E325" s="56"/>
      <c r="F325" s="54"/>
      <c r="G325" s="69"/>
      <c r="H325" s="85"/>
      <c r="I325" s="57"/>
      <c r="J325" s="58"/>
    </row>
    <row r="326" spans="1:10" ht="12" customHeight="1">
      <c r="A326" s="60">
        <v>4058075260696</v>
      </c>
      <c r="B326" s="61" t="s">
        <v>5120</v>
      </c>
      <c r="C326" s="62">
        <v>1</v>
      </c>
      <c r="D326" s="63" t="s">
        <v>4343</v>
      </c>
      <c r="E326" s="70" t="str">
        <f>HYPERLINK("https://ledvance.com/pt/product-datasheet/9295/45871","Ficha de Produto")</f>
        <v>Ficha de Produto</v>
      </c>
      <c r="F326" s="62"/>
      <c r="G326" s="65" t="s">
        <v>5121</v>
      </c>
      <c r="H326" s="62" t="s">
        <v>4992</v>
      </c>
      <c r="I326" s="30">
        <v>14.1</v>
      </c>
      <c r="J326" s="29" t="s">
        <v>721</v>
      </c>
    </row>
    <row r="327" spans="1:10" ht="12" customHeight="1">
      <c r="A327" s="60">
        <v>4058075260719</v>
      </c>
      <c r="B327" s="61" t="s">
        <v>5122</v>
      </c>
      <c r="C327" s="62">
        <v>1</v>
      </c>
      <c r="D327" s="63" t="s">
        <v>4343</v>
      </c>
      <c r="E327" s="70" t="str">
        <f>HYPERLINK("https://ledvance.com/pt/product-datasheet/9295/45877","Ficha de Produto")</f>
        <v>Ficha de Produto</v>
      </c>
      <c r="F327" s="62"/>
      <c r="G327" s="65" t="s">
        <v>5121</v>
      </c>
      <c r="H327" s="62" t="s">
        <v>4992</v>
      </c>
      <c r="I327" s="30">
        <v>14.1</v>
      </c>
      <c r="J327" s="29" t="s">
        <v>721</v>
      </c>
    </row>
    <row r="328" spans="1:10" s="51" customFormat="1" ht="15" customHeight="1">
      <c r="A328" s="59" t="s">
        <v>4352</v>
      </c>
      <c r="B328" s="67"/>
      <c r="C328" s="54"/>
      <c r="D328" s="56"/>
      <c r="E328" s="71"/>
      <c r="F328" s="54"/>
      <c r="G328" s="69"/>
      <c r="H328" s="85"/>
      <c r="I328" s="57"/>
      <c r="J328" s="58"/>
    </row>
    <row r="329" spans="1:10" ht="12" customHeight="1">
      <c r="A329" s="60">
        <v>4058075260733</v>
      </c>
      <c r="B329" s="61" t="s">
        <v>5123</v>
      </c>
      <c r="C329" s="62">
        <v>1</v>
      </c>
      <c r="D329" s="63" t="s">
        <v>4343</v>
      </c>
      <c r="E329" s="70" t="str">
        <f>HYPERLINK("https://ledvance.com/pt/product-datasheet/9297/110642","Ficha de Produto")</f>
        <v>Ficha de Produto</v>
      </c>
      <c r="F329" s="62"/>
      <c r="G329" s="65" t="s">
        <v>5118</v>
      </c>
      <c r="H329" s="62" t="s">
        <v>4992</v>
      </c>
      <c r="I329" s="30">
        <v>14.1</v>
      </c>
      <c r="J329" s="29" t="s">
        <v>721</v>
      </c>
    </row>
    <row r="330" spans="1:10" ht="12" customHeight="1">
      <c r="A330" s="60">
        <v>4058075260757</v>
      </c>
      <c r="B330" s="61" t="s">
        <v>5124</v>
      </c>
      <c r="C330" s="62">
        <v>1</v>
      </c>
      <c r="D330" s="63" t="s">
        <v>4343</v>
      </c>
      <c r="E330" s="70" t="str">
        <f>HYPERLINK("https://ledvance.com/pt/product-datasheet/9297/110648","Ficha de Produto")</f>
        <v>Ficha de Produto</v>
      </c>
      <c r="F330" s="62"/>
      <c r="G330" s="65" t="s">
        <v>5118</v>
      </c>
      <c r="H330" s="62" t="s">
        <v>4992</v>
      </c>
      <c r="I330" s="30">
        <v>14.1</v>
      </c>
      <c r="J330" s="29" t="s">
        <v>721</v>
      </c>
    </row>
    <row r="331" spans="1:10" s="51" customFormat="1" ht="15" customHeight="1">
      <c r="A331" s="92" t="s">
        <v>4353</v>
      </c>
      <c r="B331" s="67"/>
      <c r="C331" s="54"/>
      <c r="D331" s="93"/>
      <c r="E331" s="78"/>
      <c r="F331" s="54"/>
      <c r="G331" s="69"/>
      <c r="H331" s="85"/>
      <c r="I331" s="57"/>
      <c r="J331" s="58"/>
    </row>
    <row r="332" spans="1:10" ht="12" customHeight="1">
      <c r="A332" s="60">
        <v>4058075610484</v>
      </c>
      <c r="B332" s="61" t="s">
        <v>5125</v>
      </c>
      <c r="C332" s="62">
        <v>1</v>
      </c>
      <c r="D332" s="63" t="s">
        <v>4343</v>
      </c>
      <c r="E332" s="70" t="str">
        <f>HYPERLINK("https://ledvance.com/pt/product-datasheet/170678/143072","Ficha de Produto")</f>
        <v>Ficha de Produto</v>
      </c>
      <c r="F332" s="62"/>
      <c r="G332" s="65" t="s">
        <v>5126</v>
      </c>
      <c r="H332" s="62" t="s">
        <v>4992</v>
      </c>
      <c r="I332" s="30">
        <v>27.700000000000003</v>
      </c>
      <c r="J332" s="29" t="s">
        <v>721</v>
      </c>
    </row>
    <row r="333" spans="1:10" ht="12" customHeight="1">
      <c r="A333" s="60">
        <v>4058075610507</v>
      </c>
      <c r="B333" s="61" t="s">
        <v>5127</v>
      </c>
      <c r="C333" s="62">
        <v>1</v>
      </c>
      <c r="D333" s="63" t="s">
        <v>4343</v>
      </c>
      <c r="E333" s="70" t="str">
        <f>HYPERLINK("https://ledvance.com/pt/product-datasheet/170678/143075","Ficha de Produto")</f>
        <v>Ficha de Produto</v>
      </c>
      <c r="F333" s="62"/>
      <c r="G333" s="65" t="s">
        <v>5126</v>
      </c>
      <c r="H333" s="62" t="s">
        <v>4992</v>
      </c>
      <c r="I333" s="30">
        <v>34.5</v>
      </c>
      <c r="J333" s="29" t="s">
        <v>721</v>
      </c>
    </row>
    <row r="334" spans="1:10" s="51" customFormat="1" ht="15" customHeight="1">
      <c r="A334" s="59" t="s">
        <v>4354</v>
      </c>
      <c r="B334" s="67"/>
      <c r="C334" s="54"/>
      <c r="D334" s="56"/>
      <c r="E334" s="56"/>
      <c r="F334" s="54"/>
      <c r="G334" s="69"/>
      <c r="H334" s="85"/>
      <c r="I334" s="57"/>
      <c r="J334" s="58"/>
    </row>
    <row r="335" spans="1:10" ht="12" customHeight="1">
      <c r="A335" s="60">
        <v>4058075504363</v>
      </c>
      <c r="B335" s="61" t="s">
        <v>5128</v>
      </c>
      <c r="C335" s="62">
        <v>1</v>
      </c>
      <c r="D335" s="63" t="s">
        <v>4343</v>
      </c>
      <c r="E335" s="70" t="str">
        <f>HYPERLINK("https://ledvance.com/pt/product-datasheet/9322/113450","Ficha de Produto")</f>
        <v>Ficha de Produto</v>
      </c>
      <c r="F335" s="62"/>
      <c r="G335" s="65" t="s">
        <v>5129</v>
      </c>
      <c r="H335" s="62" t="s">
        <v>4992</v>
      </c>
      <c r="I335" s="30">
        <v>27.700000000000003</v>
      </c>
      <c r="J335" s="29" t="s">
        <v>721</v>
      </c>
    </row>
    <row r="336" spans="1:10" s="51" customFormat="1" ht="15" customHeight="1">
      <c r="A336" s="92" t="s">
        <v>4355</v>
      </c>
      <c r="B336" s="67"/>
      <c r="C336" s="54"/>
      <c r="D336" s="93"/>
      <c r="E336" s="93"/>
      <c r="F336" s="54"/>
      <c r="G336" s="69"/>
      <c r="H336" s="85"/>
      <c r="I336" s="57"/>
      <c r="J336" s="58"/>
    </row>
    <row r="337" spans="1:10" ht="12" customHeight="1">
      <c r="A337" s="60">
        <v>4058075575578</v>
      </c>
      <c r="B337" s="61" t="s">
        <v>5130</v>
      </c>
      <c r="C337" s="62">
        <v>1</v>
      </c>
      <c r="D337" s="63" t="s">
        <v>4343</v>
      </c>
      <c r="E337" s="70" t="str">
        <f>HYPERLINK("https://ledvance.com/pt/product-datasheet/170679/101428","Ficha de Produto")</f>
        <v>Ficha de Produto</v>
      </c>
      <c r="F337" s="62"/>
      <c r="G337" s="65" t="s">
        <v>5131</v>
      </c>
      <c r="H337" s="62" t="s">
        <v>4992</v>
      </c>
      <c r="I337" s="30">
        <v>27.700000000000003</v>
      </c>
      <c r="J337" s="29" t="s">
        <v>721</v>
      </c>
    </row>
    <row r="338" spans="1:10" s="51" customFormat="1" ht="15" customHeight="1">
      <c r="A338" s="92" t="s">
        <v>4356</v>
      </c>
      <c r="B338" s="67"/>
      <c r="C338" s="54"/>
      <c r="D338" s="93"/>
      <c r="E338" s="78"/>
      <c r="F338" s="54"/>
      <c r="G338" s="69"/>
      <c r="H338" s="85"/>
      <c r="I338" s="57"/>
      <c r="J338" s="58"/>
    </row>
    <row r="339" spans="1:10" ht="12" customHeight="1">
      <c r="A339" s="60">
        <v>4058075226838</v>
      </c>
      <c r="B339" s="61" t="s">
        <v>5132</v>
      </c>
      <c r="C339" s="62">
        <v>1</v>
      </c>
      <c r="D339" s="63" t="s">
        <v>4343</v>
      </c>
      <c r="E339" s="70" t="str">
        <f>HYPERLINK("https://ledvance.com/pt/product-datasheet/9317/110659","Ficha de Produto")</f>
        <v>Ficha de Produto</v>
      </c>
      <c r="F339" s="62"/>
      <c r="G339" s="65" t="s">
        <v>5131</v>
      </c>
      <c r="H339" s="62" t="s">
        <v>4992</v>
      </c>
      <c r="I339" s="30">
        <v>20.900000000000002</v>
      </c>
      <c r="J339" s="29" t="s">
        <v>721</v>
      </c>
    </row>
    <row r="340" spans="1:10" ht="12" customHeight="1">
      <c r="A340" s="60">
        <v>4058075226883</v>
      </c>
      <c r="B340" s="61" t="s">
        <v>5133</v>
      </c>
      <c r="C340" s="62">
        <v>1</v>
      </c>
      <c r="D340" s="63" t="s">
        <v>4343</v>
      </c>
      <c r="E340" s="70" t="str">
        <f>HYPERLINK("https://ledvance.com/pt/product-datasheet/9317/110663","Ficha de Produto")</f>
        <v>Ficha de Produto</v>
      </c>
      <c r="F340" s="62"/>
      <c r="G340" s="65" t="s">
        <v>5134</v>
      </c>
      <c r="H340" s="62" t="s">
        <v>4992</v>
      </c>
      <c r="I340" s="30">
        <v>25</v>
      </c>
      <c r="J340" s="29" t="s">
        <v>721</v>
      </c>
    </row>
    <row r="341" spans="1:10" ht="12" customHeight="1">
      <c r="A341" s="60">
        <v>4058075260436</v>
      </c>
      <c r="B341" s="61" t="s">
        <v>5135</v>
      </c>
      <c r="C341" s="62">
        <v>1</v>
      </c>
      <c r="D341" s="63" t="s">
        <v>4343</v>
      </c>
      <c r="E341" s="70" t="str">
        <f>HYPERLINK("https://ledvance.com/pt/product-datasheet/9318/110667","Ficha de Produto")</f>
        <v>Ficha de Produto</v>
      </c>
      <c r="F341" s="62"/>
      <c r="G341" s="65" t="s">
        <v>5126</v>
      </c>
      <c r="H341" s="62" t="s">
        <v>4992</v>
      </c>
      <c r="I341" s="30">
        <v>22.3</v>
      </c>
      <c r="J341" s="29" t="s">
        <v>721</v>
      </c>
    </row>
    <row r="342" spans="1:10" ht="12" customHeight="1">
      <c r="A342" s="60">
        <v>4058075260467</v>
      </c>
      <c r="B342" s="61" t="s">
        <v>5136</v>
      </c>
      <c r="C342" s="62">
        <v>1</v>
      </c>
      <c r="D342" s="63" t="s">
        <v>4343</v>
      </c>
      <c r="E342" s="70" t="str">
        <f>HYPERLINK("https://ledvance.com/pt/product-datasheet/9318/110675","Ficha de Produto")</f>
        <v>Ficha de Produto</v>
      </c>
      <c r="F342" s="62"/>
      <c r="G342" s="65" t="s">
        <v>5137</v>
      </c>
      <c r="H342" s="62" t="s">
        <v>4992</v>
      </c>
      <c r="I342" s="30">
        <v>26.3</v>
      </c>
      <c r="J342" s="29" t="s">
        <v>721</v>
      </c>
    </row>
    <row r="343" spans="1:10" s="51" customFormat="1" ht="15" customHeight="1">
      <c r="A343" s="92" t="s">
        <v>4357</v>
      </c>
      <c r="B343" s="67"/>
      <c r="C343" s="54"/>
      <c r="D343" s="93"/>
      <c r="E343" s="93"/>
      <c r="F343" s="54"/>
      <c r="G343" s="69"/>
      <c r="H343" s="85"/>
      <c r="I343" s="57"/>
      <c r="J343" s="58"/>
    </row>
    <row r="344" spans="1:10" ht="12" customHeight="1">
      <c r="A344" s="60">
        <v>4058075399747</v>
      </c>
      <c r="B344" s="61" t="s">
        <v>5138</v>
      </c>
      <c r="C344" s="62">
        <v>1</v>
      </c>
      <c r="D344" s="63" t="s">
        <v>4343</v>
      </c>
      <c r="E344" s="70" t="str">
        <f>HYPERLINK("https://ledvance.com/pt/product-datasheet/9321/116557","Ficha de Produto")</f>
        <v>Ficha de Produto</v>
      </c>
      <c r="F344" s="62"/>
      <c r="G344" s="65" t="s">
        <v>5104</v>
      </c>
      <c r="H344" s="62" t="s">
        <v>4992</v>
      </c>
      <c r="I344" s="30">
        <v>20.900000000000002</v>
      </c>
      <c r="J344" s="29" t="s">
        <v>721</v>
      </c>
    </row>
    <row r="345" spans="1:10" s="51" customFormat="1" ht="15" customHeight="1">
      <c r="A345" s="59" t="s">
        <v>4358</v>
      </c>
      <c r="B345" s="67"/>
      <c r="C345" s="54"/>
      <c r="D345" s="56"/>
      <c r="E345" s="56"/>
      <c r="F345" s="54"/>
      <c r="G345" s="69"/>
      <c r="H345" s="85"/>
      <c r="I345" s="57"/>
      <c r="J345" s="58"/>
    </row>
    <row r="346" spans="1:10" ht="12" customHeight="1">
      <c r="A346" s="60">
        <v>4058075399723</v>
      </c>
      <c r="B346" s="61" t="s">
        <v>5139</v>
      </c>
      <c r="C346" s="62">
        <v>1</v>
      </c>
      <c r="D346" s="63" t="s">
        <v>4343</v>
      </c>
      <c r="E346" s="70" t="str">
        <f>HYPERLINK("https://ledvance.com/pt/product-datasheet/9288/116554","Ficha de Produto")</f>
        <v>Ficha de Produto</v>
      </c>
      <c r="F346" s="62"/>
      <c r="G346" s="65" t="s">
        <v>5140</v>
      </c>
      <c r="H346" s="62" t="s">
        <v>4992</v>
      </c>
      <c r="I346" s="30">
        <v>20.900000000000002</v>
      </c>
      <c r="J346" s="29" t="s">
        <v>721</v>
      </c>
    </row>
    <row r="347" spans="1:10" s="51" customFormat="1" ht="15" customHeight="1">
      <c r="A347" s="59" t="s">
        <v>4359</v>
      </c>
      <c r="B347" s="67"/>
      <c r="C347" s="54"/>
      <c r="D347" s="56"/>
      <c r="E347" s="56"/>
      <c r="F347" s="54"/>
      <c r="G347" s="69"/>
      <c r="H347" s="85"/>
      <c r="I347" s="57"/>
      <c r="J347" s="58"/>
    </row>
    <row r="348" spans="1:10" ht="12" customHeight="1">
      <c r="A348" s="60">
        <v>4058075227866</v>
      </c>
      <c r="B348" s="61" t="s">
        <v>5141</v>
      </c>
      <c r="C348" s="62">
        <v>1</v>
      </c>
      <c r="D348" s="63" t="s">
        <v>4343</v>
      </c>
      <c r="E348" s="70" t="str">
        <f>HYPERLINK("https://ledvance.com/pt/product-datasheet/9287/110031","Ficha de Produto")</f>
        <v>Ficha de Produto</v>
      </c>
      <c r="F348" s="62"/>
      <c r="G348" s="65" t="s">
        <v>5142</v>
      </c>
      <c r="H348" s="62" t="s">
        <v>5143</v>
      </c>
      <c r="I348" s="30">
        <v>20.900000000000002</v>
      </c>
      <c r="J348" s="29" t="s">
        <v>721</v>
      </c>
    </row>
    <row r="349" spans="1:10" s="51" customFormat="1" ht="15" customHeight="1">
      <c r="A349" s="59" t="s">
        <v>4360</v>
      </c>
      <c r="B349" s="67"/>
      <c r="C349" s="54"/>
      <c r="D349" s="56"/>
      <c r="E349" s="71"/>
      <c r="F349" s="54"/>
      <c r="G349" s="69"/>
      <c r="H349" s="85"/>
      <c r="I349" s="57"/>
      <c r="J349" s="58"/>
    </row>
    <row r="350" spans="1:10" ht="12" customHeight="1">
      <c r="A350" s="60">
        <v>4058075227897</v>
      </c>
      <c r="B350" s="61" t="s">
        <v>5144</v>
      </c>
      <c r="C350" s="62">
        <v>1</v>
      </c>
      <c r="D350" s="63" t="s">
        <v>4343</v>
      </c>
      <c r="E350" s="70" t="str">
        <f>HYPERLINK("https://ledvance.com/pt/product-datasheet/9285/110024","Ficha de Produto")</f>
        <v>Ficha de Produto</v>
      </c>
      <c r="F350" s="62"/>
      <c r="G350" s="65" t="s">
        <v>5142</v>
      </c>
      <c r="H350" s="62" t="s">
        <v>5143</v>
      </c>
      <c r="I350" s="30">
        <v>15.4</v>
      </c>
      <c r="J350" s="29" t="s">
        <v>721</v>
      </c>
    </row>
    <row r="351" spans="1:10" s="51" customFormat="1" ht="15" customHeight="1">
      <c r="A351" s="59" t="s">
        <v>4361</v>
      </c>
      <c r="B351" s="67"/>
      <c r="C351" s="54"/>
      <c r="D351" s="56"/>
      <c r="E351" s="71"/>
      <c r="F351" s="54"/>
      <c r="G351" s="69"/>
      <c r="H351" s="85"/>
      <c r="I351" s="57"/>
      <c r="J351" s="58"/>
    </row>
    <row r="352" spans="1:10" ht="12" customHeight="1">
      <c r="A352" s="60">
        <v>4058075399686</v>
      </c>
      <c r="B352" s="61" t="s">
        <v>5145</v>
      </c>
      <c r="C352" s="62">
        <v>1</v>
      </c>
      <c r="D352" s="63" t="s">
        <v>4343</v>
      </c>
      <c r="E352" s="70" t="str">
        <f>HYPERLINK("https://ledvance.com/pt/product-datasheet/9292/116548","Ficha de Produto")</f>
        <v>Ficha de Produto</v>
      </c>
      <c r="F352" s="62"/>
      <c r="G352" s="65" t="s">
        <v>5146</v>
      </c>
      <c r="H352" s="62" t="s">
        <v>4992</v>
      </c>
      <c r="I352" s="30">
        <v>14.1</v>
      </c>
      <c r="J352" s="29" t="s">
        <v>721</v>
      </c>
    </row>
    <row r="353" spans="1:10" ht="12" customHeight="1">
      <c r="A353" s="60">
        <v>4058075399709</v>
      </c>
      <c r="B353" s="61" t="s">
        <v>5147</v>
      </c>
      <c r="C353" s="62">
        <v>1</v>
      </c>
      <c r="D353" s="63" t="s">
        <v>4343</v>
      </c>
      <c r="E353" s="70" t="str">
        <f>HYPERLINK("https://ledvance.com/pt/product-datasheet/9292/116551","Ficha de Produto")</f>
        <v>Ficha de Produto</v>
      </c>
      <c r="F353" s="62"/>
      <c r="G353" s="65" t="s">
        <v>5146</v>
      </c>
      <c r="H353" s="62" t="s">
        <v>4992</v>
      </c>
      <c r="I353" s="30">
        <v>14.1</v>
      </c>
      <c r="J353" s="29" t="s">
        <v>721</v>
      </c>
    </row>
    <row r="354" spans="1:10" s="51" customFormat="1" ht="15" customHeight="1">
      <c r="A354" s="59" t="s">
        <v>4362</v>
      </c>
      <c r="B354" s="67"/>
      <c r="C354" s="54"/>
      <c r="D354" s="56"/>
      <c r="E354" s="71"/>
      <c r="F354" s="54"/>
      <c r="G354" s="69"/>
      <c r="H354" s="85"/>
      <c r="I354" s="57"/>
      <c r="J354" s="58"/>
    </row>
    <row r="355" spans="1:10" ht="12" customHeight="1">
      <c r="A355" s="60">
        <v>4058075227804</v>
      </c>
      <c r="B355" s="61" t="s">
        <v>5148</v>
      </c>
      <c r="C355" s="62">
        <v>1</v>
      </c>
      <c r="D355" s="63" t="s">
        <v>4343</v>
      </c>
      <c r="E355" s="70" t="str">
        <f>HYPERLINK("https://ledvance.com/pt/product-datasheet/9291/112054","Ficha de Produto")</f>
        <v>Ficha de Produto</v>
      </c>
      <c r="F355" s="62"/>
      <c r="G355" s="65" t="s">
        <v>5149</v>
      </c>
      <c r="H355" s="62" t="s">
        <v>5150</v>
      </c>
      <c r="I355" s="30">
        <v>11.299999999999999</v>
      </c>
      <c r="J355" s="29" t="s">
        <v>721</v>
      </c>
    </row>
    <row r="356" spans="1:10" ht="12" customHeight="1">
      <c r="A356" s="60">
        <v>4058075575615</v>
      </c>
      <c r="B356" s="61" t="s">
        <v>5151</v>
      </c>
      <c r="C356" s="62">
        <v>1</v>
      </c>
      <c r="D356" s="63" t="s">
        <v>4343</v>
      </c>
      <c r="E356" s="70" t="str">
        <f>HYPERLINK("https://ledvance.com/pt/product-datasheet/170681/101434","Ficha de Produto")</f>
        <v>Ficha de Produto</v>
      </c>
      <c r="F356" s="101" t="s">
        <v>4251</v>
      </c>
      <c r="G356" s="65" t="s">
        <v>5111</v>
      </c>
      <c r="H356" s="62" t="s">
        <v>4963</v>
      </c>
      <c r="I356" s="30">
        <v>11.1</v>
      </c>
      <c r="J356" s="29" t="s">
        <v>721</v>
      </c>
    </row>
    <row r="357" spans="1:10" ht="12" customHeight="1">
      <c r="A357" s="60">
        <v>4058075575639</v>
      </c>
      <c r="B357" s="61" t="s">
        <v>5152</v>
      </c>
      <c r="C357" s="62">
        <v>1</v>
      </c>
      <c r="D357" s="63" t="s">
        <v>4343</v>
      </c>
      <c r="E357" s="70" t="str">
        <f>HYPERLINK("https://ledvance.com/pt/product-datasheet/170681/101437","Ficha de Produto")</f>
        <v>Ficha de Produto</v>
      </c>
      <c r="F357" s="101" t="s">
        <v>4251</v>
      </c>
      <c r="G357" s="65" t="s">
        <v>5153</v>
      </c>
      <c r="H357" s="62" t="s">
        <v>4963</v>
      </c>
      <c r="I357" s="30">
        <v>27.200000000000003</v>
      </c>
      <c r="J357" s="29" t="s">
        <v>721</v>
      </c>
    </row>
    <row r="358" spans="1:10" s="51" customFormat="1" ht="15" customHeight="1">
      <c r="A358" s="106" t="s">
        <v>4363</v>
      </c>
      <c r="B358" s="67"/>
      <c r="C358" s="107"/>
      <c r="D358" s="107"/>
      <c r="E358" s="68"/>
      <c r="F358" s="107"/>
      <c r="G358" s="69"/>
      <c r="H358" s="85"/>
      <c r="I358" s="57"/>
      <c r="J358" s="58"/>
    </row>
    <row r="359" spans="1:10" s="51" customFormat="1" ht="15" customHeight="1">
      <c r="A359" s="92" t="s">
        <v>4364</v>
      </c>
      <c r="B359" s="67"/>
      <c r="C359" s="57"/>
      <c r="D359" s="93"/>
      <c r="E359" s="93"/>
      <c r="F359" s="57"/>
      <c r="G359" s="69"/>
      <c r="H359" s="85"/>
      <c r="I359" s="57"/>
      <c r="J359" s="58"/>
    </row>
    <row r="360" spans="1:10" ht="12" customHeight="1">
      <c r="A360" s="83">
        <v>4099854088513</v>
      </c>
      <c r="B360" s="61" t="s">
        <v>5154</v>
      </c>
      <c r="C360" s="62">
        <v>1</v>
      </c>
      <c r="D360" s="63" t="s">
        <v>4343</v>
      </c>
      <c r="E360" s="70" t="str">
        <f>HYPERLINK("https://ledvance.com/pt/product-datasheet/250521/246616","Ficha de Produto")</f>
        <v>Ficha de Produto</v>
      </c>
      <c r="F360" s="84" t="s">
        <v>4183</v>
      </c>
      <c r="G360" s="65" t="s">
        <v>5155</v>
      </c>
      <c r="H360" s="62" t="s">
        <v>4974</v>
      </c>
      <c r="I360" s="30">
        <v>20</v>
      </c>
      <c r="J360" s="29" t="s">
        <v>721</v>
      </c>
    </row>
    <row r="361" spans="1:10" ht="12" customHeight="1">
      <c r="A361" s="83">
        <v>4099854088551</v>
      </c>
      <c r="B361" s="61" t="s">
        <v>5156</v>
      </c>
      <c r="C361" s="62">
        <v>1</v>
      </c>
      <c r="D361" s="63" t="s">
        <v>4343</v>
      </c>
      <c r="E361" s="70" t="str">
        <f>HYPERLINK("https://ledvance.com/pt/product-datasheet/250521/246619","Ficha de Produto")</f>
        <v>Ficha de Produto</v>
      </c>
      <c r="F361" s="84" t="s">
        <v>4183</v>
      </c>
      <c r="G361" s="65" t="s">
        <v>5155</v>
      </c>
      <c r="H361" s="62" t="s">
        <v>4974</v>
      </c>
      <c r="I361" s="30">
        <v>20</v>
      </c>
      <c r="J361" s="29" t="s">
        <v>721</v>
      </c>
    </row>
    <row r="362" spans="1:10" ht="12" customHeight="1">
      <c r="A362" s="83">
        <v>4099854090264</v>
      </c>
      <c r="B362" s="61" t="s">
        <v>5157</v>
      </c>
      <c r="C362" s="62">
        <v>1</v>
      </c>
      <c r="D362" s="63" t="s">
        <v>4343</v>
      </c>
      <c r="E362" s="70" t="str">
        <f>HYPERLINK("https://ledvance.com/pt/product-datasheet/250522/246596","Ficha de Produto")</f>
        <v>Ficha de Produto</v>
      </c>
      <c r="F362" s="84" t="s">
        <v>4183</v>
      </c>
      <c r="G362" s="65" t="s">
        <v>4934</v>
      </c>
      <c r="H362" s="62" t="s">
        <v>4974</v>
      </c>
      <c r="I362" s="30">
        <v>18.5</v>
      </c>
      <c r="J362" s="29" t="s">
        <v>721</v>
      </c>
    </row>
    <row r="363" spans="1:10" ht="12" customHeight="1">
      <c r="A363" s="74">
        <v>4058075759282</v>
      </c>
      <c r="B363" s="61" t="s">
        <v>5158</v>
      </c>
      <c r="C363" s="62">
        <v>1</v>
      </c>
      <c r="D363" s="63" t="s">
        <v>4343</v>
      </c>
      <c r="E363" s="70" t="str">
        <f>HYPERLINK("https://ledvance.com/pt/product-datasheet/231547/203817","Ficha de Produto")</f>
        <v>Ficha de Produto</v>
      </c>
      <c r="F363" s="62"/>
      <c r="G363" s="65" t="s">
        <v>5113</v>
      </c>
      <c r="H363" s="62">
        <v>0</v>
      </c>
      <c r="I363" s="30">
        <v>14.1</v>
      </c>
      <c r="J363" s="29" t="s">
        <v>721</v>
      </c>
    </row>
    <row r="364" spans="1:10" ht="12" customHeight="1">
      <c r="A364" s="74">
        <v>4058075759343</v>
      </c>
      <c r="B364" s="61" t="s">
        <v>5159</v>
      </c>
      <c r="C364" s="62">
        <v>1</v>
      </c>
      <c r="D364" s="63" t="s">
        <v>4343</v>
      </c>
      <c r="E364" s="70" t="str">
        <f>HYPERLINK("https://ledvance.com/pt/product-datasheet/231577/203820","Ficha de Produto")</f>
        <v>Ficha de Produto</v>
      </c>
      <c r="F364" s="62"/>
      <c r="G364" s="65" t="s">
        <v>5104</v>
      </c>
      <c r="H364" s="62" t="s">
        <v>4974</v>
      </c>
      <c r="I364" s="30">
        <v>12.7</v>
      </c>
      <c r="J364" s="29" t="s">
        <v>721</v>
      </c>
    </row>
    <row r="365" spans="1:10" ht="12" customHeight="1">
      <c r="A365" s="74">
        <v>4058075759404</v>
      </c>
      <c r="B365" s="61" t="s">
        <v>5160</v>
      </c>
      <c r="C365" s="62">
        <v>1</v>
      </c>
      <c r="D365" s="63" t="s">
        <v>4343</v>
      </c>
      <c r="E365" s="70" t="str">
        <f>HYPERLINK("https://ledvance.com/pt/product-datasheet/231579/203823","Ficha de Produto")</f>
        <v>Ficha de Produto</v>
      </c>
      <c r="F365" s="62"/>
      <c r="G365" s="65" t="s">
        <v>5140</v>
      </c>
      <c r="H365" s="62" t="s">
        <v>4974</v>
      </c>
      <c r="I365" s="30">
        <v>23.6</v>
      </c>
      <c r="J365" s="29" t="s">
        <v>721</v>
      </c>
    </row>
    <row r="366" spans="1:10" ht="12" customHeight="1">
      <c r="A366" s="60">
        <v>4058075399662</v>
      </c>
      <c r="B366" s="61" t="s">
        <v>5161</v>
      </c>
      <c r="C366" s="62">
        <v>1</v>
      </c>
      <c r="D366" s="63" t="s">
        <v>4343</v>
      </c>
      <c r="E366" s="70" t="str">
        <f>HYPERLINK("https://ledvance.com/pt/product-datasheet/9324/116545","Ficha de Produto")</f>
        <v>Ficha de Produto</v>
      </c>
      <c r="F366" s="62"/>
      <c r="G366" s="65" t="s">
        <v>5104</v>
      </c>
      <c r="H366" s="62" t="s">
        <v>4974</v>
      </c>
      <c r="I366" s="30">
        <v>7.1999999999999993</v>
      </c>
      <c r="J366" s="29" t="s">
        <v>721</v>
      </c>
    </row>
    <row r="367" spans="1:10" ht="12" customHeight="1">
      <c r="A367" s="60">
        <v>4058075266902</v>
      </c>
      <c r="B367" s="61" t="s">
        <v>5162</v>
      </c>
      <c r="C367" s="62">
        <v>1</v>
      </c>
      <c r="D367" s="63" t="s">
        <v>4343</v>
      </c>
      <c r="E367" s="70" t="str">
        <f>HYPERLINK("https://ledvance.com/pt/product-datasheet/9325/106877","Ficha de Produto")</f>
        <v>Ficha de Produto</v>
      </c>
      <c r="F367" s="62"/>
      <c r="G367" s="65" t="s">
        <v>4959</v>
      </c>
      <c r="H367" s="62" t="s">
        <v>4974</v>
      </c>
      <c r="I367" s="30">
        <v>20.900000000000002</v>
      </c>
      <c r="J367" s="29" t="s">
        <v>721</v>
      </c>
    </row>
    <row r="368" spans="1:10" ht="12" customHeight="1">
      <c r="A368" s="60">
        <v>4058075266803</v>
      </c>
      <c r="B368" s="61" t="s">
        <v>5163</v>
      </c>
      <c r="C368" s="62">
        <v>1</v>
      </c>
      <c r="D368" s="63" t="s">
        <v>4343</v>
      </c>
      <c r="E368" s="70" t="str">
        <f>HYPERLINK("https://ledvance.com/pt/product-datasheet/9329/110712","Ficha de Produto")</f>
        <v>Ficha de Produto</v>
      </c>
      <c r="F368" s="62"/>
      <c r="G368" s="65" t="s">
        <v>5111</v>
      </c>
      <c r="H368" s="62" t="s">
        <v>4974</v>
      </c>
      <c r="I368" s="30">
        <v>11.299999999999999</v>
      </c>
      <c r="J368" s="29" t="s">
        <v>721</v>
      </c>
    </row>
    <row r="369" spans="1:10" ht="12" customHeight="1">
      <c r="A369" s="60">
        <v>4058075266780</v>
      </c>
      <c r="B369" s="61" t="s">
        <v>5164</v>
      </c>
      <c r="C369" s="62">
        <v>1</v>
      </c>
      <c r="D369" s="63" t="s">
        <v>4343</v>
      </c>
      <c r="E369" s="70" t="str">
        <f>HYPERLINK("https://ledvance.com/pt/product-datasheet/9328/106883","Ficha de Produto")</f>
        <v>Ficha de Produto</v>
      </c>
      <c r="F369" s="62"/>
      <c r="G369" s="65" t="s">
        <v>5165</v>
      </c>
      <c r="H369" s="62" t="s">
        <v>4974</v>
      </c>
      <c r="I369" s="30">
        <v>14.1</v>
      </c>
      <c r="J369" s="29" t="s">
        <v>721</v>
      </c>
    </row>
    <row r="370" spans="1:10" ht="12" customHeight="1">
      <c r="A370" s="74">
        <v>4058075730120</v>
      </c>
      <c r="B370" s="61" t="s">
        <v>5166</v>
      </c>
      <c r="C370" s="62">
        <v>1</v>
      </c>
      <c r="D370" s="63" t="s">
        <v>4343</v>
      </c>
      <c r="E370" s="70" t="str">
        <f>HYPERLINK("https://ledvance.com/pt/product-datasheet/9329/195123","Ficha de Produto")</f>
        <v>Ficha de Produto</v>
      </c>
      <c r="F370" s="62"/>
      <c r="G370" s="65" t="s">
        <v>5111</v>
      </c>
      <c r="H370" s="62" t="s">
        <v>4974</v>
      </c>
      <c r="I370" s="30">
        <v>20</v>
      </c>
      <c r="J370" s="29" t="s">
        <v>721</v>
      </c>
    </row>
    <row r="371" spans="1:10" ht="12" customHeight="1">
      <c r="A371" s="60">
        <v>4058075227934</v>
      </c>
      <c r="B371" s="61" t="s">
        <v>5167</v>
      </c>
      <c r="C371" s="62">
        <v>1</v>
      </c>
      <c r="D371" s="63" t="s">
        <v>4343</v>
      </c>
      <c r="E371" s="70" t="str">
        <f>HYPERLINK("https://ledvance.com/pt/product-datasheet/9327/106889","Ficha de Produto")</f>
        <v>Ficha de Produto</v>
      </c>
      <c r="F371" s="62"/>
      <c r="G371" s="65" t="s">
        <v>5113</v>
      </c>
      <c r="H371" s="62" t="s">
        <v>4974</v>
      </c>
      <c r="I371" s="30">
        <v>10</v>
      </c>
      <c r="J371" s="29" t="s">
        <v>721</v>
      </c>
    </row>
    <row r="372" spans="1:10" ht="12" customHeight="1">
      <c r="A372" s="60">
        <v>4058075266827</v>
      </c>
      <c r="B372" s="61" t="s">
        <v>5168</v>
      </c>
      <c r="C372" s="62">
        <v>1</v>
      </c>
      <c r="D372" s="63" t="s">
        <v>4343</v>
      </c>
      <c r="E372" s="70" t="str">
        <f>HYPERLINK("https://ledvance.com/pt/product-datasheet/9326/106892","Ficha de Produto")</f>
        <v>Ficha de Produto</v>
      </c>
      <c r="F372" s="62"/>
      <c r="G372" s="65" t="s">
        <v>5113</v>
      </c>
      <c r="H372" s="62" t="s">
        <v>4974</v>
      </c>
      <c r="I372" s="30">
        <v>10</v>
      </c>
      <c r="J372" s="29" t="s">
        <v>721</v>
      </c>
    </row>
    <row r="373" spans="1:10" ht="12" customHeight="1">
      <c r="A373" s="60">
        <v>4058075570221</v>
      </c>
      <c r="B373" s="61" t="s">
        <v>5169</v>
      </c>
      <c r="C373" s="62">
        <v>1</v>
      </c>
      <c r="D373" s="63" t="s">
        <v>4343</v>
      </c>
      <c r="E373" s="70" t="str">
        <f>HYPERLINK("https://ledvance.com/pt/product-datasheet/170674/42905","Ficha de Produto")</f>
        <v>Ficha de Produto</v>
      </c>
      <c r="F373" s="62"/>
      <c r="G373" s="65" t="s">
        <v>5142</v>
      </c>
      <c r="H373" s="62" t="s">
        <v>4992</v>
      </c>
      <c r="I373" s="30">
        <v>12.7</v>
      </c>
      <c r="J373" s="29" t="s">
        <v>721</v>
      </c>
    </row>
    <row r="374" spans="1:10" ht="12" customHeight="1">
      <c r="A374" s="60">
        <v>4058075266889</v>
      </c>
      <c r="B374" s="61" t="s">
        <v>5170</v>
      </c>
      <c r="C374" s="62">
        <v>1</v>
      </c>
      <c r="D374" s="63" t="s">
        <v>4343</v>
      </c>
      <c r="E374" s="70" t="str">
        <f>HYPERLINK("https://ledvance.com/pt/product-datasheet/9331/110706","Ficha de Produto")</f>
        <v>Ficha de Produto</v>
      </c>
      <c r="F374" s="62"/>
      <c r="G374" s="65" t="s">
        <v>5171</v>
      </c>
      <c r="H374" s="62" t="s">
        <v>4974</v>
      </c>
      <c r="I374" s="30">
        <v>11.299999999999999</v>
      </c>
      <c r="J374" s="29" t="s">
        <v>721</v>
      </c>
    </row>
    <row r="375" spans="1:10" ht="12" customHeight="1">
      <c r="A375" s="60">
        <v>4058075266841</v>
      </c>
      <c r="B375" s="61" t="s">
        <v>5172</v>
      </c>
      <c r="C375" s="62">
        <v>1</v>
      </c>
      <c r="D375" s="63" t="s">
        <v>4343</v>
      </c>
      <c r="E375" s="70" t="str">
        <f>HYPERLINK("https://ledvance.com/pt/product-datasheet/9332/110700","Ficha de Produto")</f>
        <v>Ficha de Produto</v>
      </c>
      <c r="F375" s="62"/>
      <c r="G375" s="65" t="s">
        <v>5171</v>
      </c>
      <c r="H375" s="62" t="s">
        <v>5173</v>
      </c>
      <c r="I375" s="30">
        <v>14.1</v>
      </c>
      <c r="J375" s="29" t="s">
        <v>721</v>
      </c>
    </row>
    <row r="376" spans="1:10" ht="12" customHeight="1">
      <c r="A376" s="60">
        <v>4058075266766</v>
      </c>
      <c r="B376" s="61" t="s">
        <v>5174</v>
      </c>
      <c r="C376" s="62">
        <v>1</v>
      </c>
      <c r="D376" s="63" t="s">
        <v>4343</v>
      </c>
      <c r="E376" s="70" t="str">
        <f>HYPERLINK("https://ledvance.com/pt/product-datasheet/9330/110718","Ficha de Produto")</f>
        <v>Ficha de Produto</v>
      </c>
      <c r="F376" s="62"/>
      <c r="G376" s="65" t="s">
        <v>5171</v>
      </c>
      <c r="H376" s="62" t="s">
        <v>4974</v>
      </c>
      <c r="I376" s="30">
        <v>11.299999999999999</v>
      </c>
      <c r="J376" s="29" t="s">
        <v>721</v>
      </c>
    </row>
    <row r="377" spans="1:10" s="51" customFormat="1" ht="15" customHeight="1">
      <c r="A377" s="106" t="s">
        <v>4365</v>
      </c>
      <c r="B377" s="67"/>
      <c r="C377" s="107"/>
      <c r="D377" s="107"/>
      <c r="E377" s="68"/>
      <c r="F377" s="107"/>
      <c r="G377" s="69"/>
      <c r="H377" s="85"/>
      <c r="I377" s="57"/>
      <c r="J377" s="58"/>
    </row>
    <row r="378" spans="1:10" s="51" customFormat="1" ht="15" customHeight="1">
      <c r="A378" s="59" t="s">
        <v>4366</v>
      </c>
      <c r="B378" s="67"/>
      <c r="C378" s="54"/>
      <c r="D378" s="56"/>
      <c r="E378" s="56"/>
      <c r="F378" s="54"/>
      <c r="G378" s="69"/>
      <c r="H378" s="85"/>
      <c r="I378" s="57"/>
      <c r="J378" s="58"/>
    </row>
    <row r="379" spans="1:10" ht="12" customHeight="1">
      <c r="A379" s="60">
        <v>4058075575738</v>
      </c>
      <c r="B379" s="61" t="s">
        <v>5175</v>
      </c>
      <c r="C379" s="62">
        <v>1</v>
      </c>
      <c r="D379" s="63" t="s">
        <v>4343</v>
      </c>
      <c r="E379" s="70" t="str">
        <f>HYPERLINK("https://ledvance.com/pt/product-datasheet/170683/124156","Ficha de Produto")</f>
        <v>Ficha de Produto</v>
      </c>
      <c r="F379" s="62"/>
      <c r="G379" s="65" t="s">
        <v>5176</v>
      </c>
      <c r="H379" s="62" t="s">
        <v>4974</v>
      </c>
      <c r="I379" s="30">
        <v>68.699999999999989</v>
      </c>
      <c r="J379" s="29" t="s">
        <v>721</v>
      </c>
    </row>
    <row r="380" spans="1:10" ht="12" customHeight="1">
      <c r="A380" s="60">
        <v>4058075575752</v>
      </c>
      <c r="B380" s="61" t="s">
        <v>5177</v>
      </c>
      <c r="C380" s="62">
        <v>1</v>
      </c>
      <c r="D380" s="63" t="s">
        <v>4343</v>
      </c>
      <c r="E380" s="70" t="str">
        <f>HYPERLINK("https://ledvance.com/pt/product-datasheet/170683/124159","Ficha de Produto")</f>
        <v>Ficha de Produto</v>
      </c>
      <c r="F380" s="62"/>
      <c r="G380" s="65" t="s">
        <v>4940</v>
      </c>
      <c r="H380" s="62" t="s">
        <v>4974</v>
      </c>
      <c r="I380" s="30">
        <v>75.5</v>
      </c>
      <c r="J380" s="29" t="s">
        <v>721</v>
      </c>
    </row>
    <row r="381" spans="1:10" s="51" customFormat="1" ht="15" customHeight="1">
      <c r="A381" s="59" t="s">
        <v>4367</v>
      </c>
      <c r="B381" s="67"/>
      <c r="C381" s="54"/>
      <c r="D381" s="56"/>
      <c r="E381" s="71"/>
      <c r="F381" s="54"/>
      <c r="G381" s="69"/>
      <c r="H381" s="85"/>
      <c r="I381" s="57"/>
      <c r="J381" s="58"/>
    </row>
    <row r="382" spans="1:10" ht="12" customHeight="1">
      <c r="A382" s="60">
        <v>4058075575653</v>
      </c>
      <c r="B382" s="61" t="s">
        <v>5178</v>
      </c>
      <c r="C382" s="62">
        <v>1</v>
      </c>
      <c r="D382" s="63" t="s">
        <v>4343</v>
      </c>
      <c r="E382" s="70" t="str">
        <f>HYPERLINK("https://ledvance.com/pt/product-datasheet/170682/124144","Ficha de Produto")</f>
        <v>Ficha de Produto</v>
      </c>
      <c r="F382" s="62"/>
      <c r="G382" s="65" t="s">
        <v>4953</v>
      </c>
      <c r="H382" s="62" t="s">
        <v>4992</v>
      </c>
      <c r="I382" s="30">
        <v>61.9</v>
      </c>
      <c r="J382" s="29" t="s">
        <v>721</v>
      </c>
    </row>
    <row r="383" spans="1:10" ht="12" customHeight="1">
      <c r="A383" s="60">
        <v>4058075575677</v>
      </c>
      <c r="B383" s="61" t="s">
        <v>5179</v>
      </c>
      <c r="C383" s="62">
        <v>1</v>
      </c>
      <c r="D383" s="63" t="s">
        <v>4343</v>
      </c>
      <c r="E383" s="70" t="str">
        <f>HYPERLINK("https://ledvance.com/pt/product-datasheet/170682/124147","Ficha de Produto")</f>
        <v>Ficha de Produto</v>
      </c>
      <c r="F383" s="62"/>
      <c r="G383" s="65" t="s">
        <v>5180</v>
      </c>
      <c r="H383" s="62" t="s">
        <v>4992</v>
      </c>
      <c r="I383" s="30">
        <v>68.699999999999989</v>
      </c>
      <c r="J383" s="29" t="s">
        <v>721</v>
      </c>
    </row>
    <row r="384" spans="1:10" s="51" customFormat="1" ht="15" customHeight="1">
      <c r="A384" s="59" t="s">
        <v>4368</v>
      </c>
      <c r="B384" s="67"/>
      <c r="C384" s="54"/>
      <c r="D384" s="56"/>
      <c r="E384" s="71"/>
      <c r="F384" s="54"/>
      <c r="G384" s="69"/>
      <c r="H384" s="85"/>
      <c r="I384" s="57"/>
      <c r="J384" s="58"/>
    </row>
    <row r="385" spans="1:10" ht="12" customHeight="1">
      <c r="A385" s="60">
        <v>4058075668515</v>
      </c>
      <c r="B385" s="61" t="s">
        <v>5181</v>
      </c>
      <c r="C385" s="62">
        <v>1</v>
      </c>
      <c r="D385" s="63" t="s">
        <v>4343</v>
      </c>
      <c r="E385" s="70" t="str">
        <f>HYPERLINK("https://ledvance.com/pt/product-datasheet/170684/167037","Ficha de Produto")</f>
        <v>Ficha de Produto</v>
      </c>
      <c r="F385" s="62"/>
      <c r="G385" s="65" t="s">
        <v>1749</v>
      </c>
      <c r="H385" s="62" t="s">
        <v>4970</v>
      </c>
      <c r="I385" s="30">
        <v>38.5</v>
      </c>
      <c r="J385" s="29" t="s">
        <v>721</v>
      </c>
    </row>
    <row r="386" spans="1:10" ht="12" customHeight="1">
      <c r="A386" s="60">
        <v>4058075666870</v>
      </c>
      <c r="B386" s="61" t="s">
        <v>5182</v>
      </c>
      <c r="C386" s="62">
        <v>1</v>
      </c>
      <c r="D386" s="63" t="s">
        <v>4343</v>
      </c>
      <c r="E386" s="70" t="str">
        <f>HYPERLINK("https://ledvance.com/pt/product-datasheet/170684/167034","Ficha de Produto")</f>
        <v>Ficha de Produto</v>
      </c>
      <c r="F386" s="62"/>
      <c r="G386" s="65" t="s">
        <v>5183</v>
      </c>
      <c r="H386" s="62" t="s">
        <v>4970</v>
      </c>
      <c r="I386" s="30">
        <v>34.5</v>
      </c>
      <c r="J386" s="29" t="s">
        <v>721</v>
      </c>
    </row>
    <row r="387" spans="1:10" s="51" customFormat="1" ht="15" customHeight="1">
      <c r="A387" s="106" t="s">
        <v>4369</v>
      </c>
      <c r="B387" s="67"/>
      <c r="C387" s="54"/>
      <c r="D387" s="57"/>
      <c r="E387" s="57"/>
      <c r="F387" s="54"/>
      <c r="G387" s="69"/>
      <c r="H387" s="85"/>
      <c r="I387" s="57"/>
      <c r="J387" s="58"/>
    </row>
    <row r="388" spans="1:10" s="51" customFormat="1" ht="15" customHeight="1">
      <c r="A388" s="106" t="s">
        <v>4345</v>
      </c>
      <c r="B388" s="67"/>
      <c r="C388" s="105"/>
      <c r="D388" s="105"/>
      <c r="E388" s="105"/>
      <c r="F388" s="105"/>
      <c r="G388" s="69"/>
      <c r="H388" s="85"/>
      <c r="I388" s="57"/>
      <c r="J388" s="58"/>
    </row>
    <row r="389" spans="1:10" s="51" customFormat="1" ht="15" customHeight="1">
      <c r="A389" s="80" t="s">
        <v>4370</v>
      </c>
      <c r="B389" s="67"/>
      <c r="C389" s="81"/>
      <c r="D389" s="81"/>
      <c r="E389" s="81"/>
      <c r="F389" s="81"/>
      <c r="G389" s="69"/>
      <c r="H389" s="85"/>
      <c r="I389" s="57"/>
      <c r="J389" s="58"/>
    </row>
    <row r="390" spans="1:10" ht="12" customHeight="1">
      <c r="A390" s="74">
        <v>4058075759183</v>
      </c>
      <c r="B390" s="61" t="s">
        <v>5184</v>
      </c>
      <c r="C390" s="62">
        <v>1</v>
      </c>
      <c r="D390" s="63" t="s">
        <v>4343</v>
      </c>
      <c r="E390" s="70" t="str">
        <f>HYPERLINK("https://ledvance.com/pt/product-datasheet/231546/203814","Ficha de Produto")</f>
        <v>Ficha de Produto</v>
      </c>
      <c r="F390" s="62"/>
      <c r="G390" s="65" t="s">
        <v>5185</v>
      </c>
      <c r="H390" s="62" t="s">
        <v>5143</v>
      </c>
      <c r="I390" s="30">
        <v>34.5</v>
      </c>
      <c r="J390" s="29" t="s">
        <v>721</v>
      </c>
    </row>
    <row r="391" spans="1:10" s="51" customFormat="1" ht="15" customHeight="1">
      <c r="A391" s="80" t="s">
        <v>4371</v>
      </c>
      <c r="B391" s="67"/>
      <c r="C391" s="81"/>
      <c r="D391" s="81"/>
      <c r="E391" s="81"/>
      <c r="F391" s="81"/>
      <c r="G391" s="69"/>
      <c r="H391" s="85"/>
      <c r="I391" s="57"/>
      <c r="J391" s="58"/>
    </row>
    <row r="392" spans="1:10" ht="12" customHeight="1">
      <c r="A392" s="60">
        <v>4058075227835</v>
      </c>
      <c r="B392" s="61" t="s">
        <v>5186</v>
      </c>
      <c r="C392" s="62">
        <v>1</v>
      </c>
      <c r="D392" s="63" t="s">
        <v>4343</v>
      </c>
      <c r="E392" s="70" t="str">
        <f>HYPERLINK("https://ledvance.com/pt/product-datasheet/9289/43292","Ficha de Produto")</f>
        <v>Ficha de Produto</v>
      </c>
      <c r="F392" s="62"/>
      <c r="G392" s="65" t="s">
        <v>5187</v>
      </c>
      <c r="H392" s="62" t="s">
        <v>4974</v>
      </c>
      <c r="I392" s="30">
        <v>18.200000000000003</v>
      </c>
      <c r="J392" s="29" t="s">
        <v>721</v>
      </c>
    </row>
    <row r="393" spans="1:10" s="51" customFormat="1" ht="15" customHeight="1">
      <c r="A393" s="80" t="s">
        <v>4372</v>
      </c>
      <c r="B393" s="67"/>
      <c r="C393" s="81"/>
      <c r="D393" s="81"/>
      <c r="E393" s="81"/>
      <c r="F393" s="81"/>
      <c r="G393" s="69"/>
      <c r="H393" s="85"/>
      <c r="I393" s="57"/>
      <c r="J393" s="58"/>
    </row>
    <row r="394" spans="1:10" ht="12" customHeight="1">
      <c r="A394" s="60">
        <v>4058075227347</v>
      </c>
      <c r="B394" s="61" t="s">
        <v>5188</v>
      </c>
      <c r="C394" s="62">
        <v>1</v>
      </c>
      <c r="D394" s="63" t="s">
        <v>4343</v>
      </c>
      <c r="E394" s="70" t="str">
        <f>HYPERLINK("https://ledvance.com/pt/product-datasheet/9312/109883","Ficha de Produto")</f>
        <v>Ficha de Produto</v>
      </c>
      <c r="F394" s="62"/>
      <c r="G394" s="65" t="s">
        <v>1752</v>
      </c>
      <c r="H394" s="62" t="s">
        <v>4992</v>
      </c>
      <c r="I394" s="30">
        <v>31.6</v>
      </c>
      <c r="J394" s="29" t="s">
        <v>721</v>
      </c>
    </row>
    <row r="395" spans="1:10" ht="12" customHeight="1">
      <c r="A395" s="60">
        <v>4058075227361</v>
      </c>
      <c r="B395" s="61" t="s">
        <v>5189</v>
      </c>
      <c r="C395" s="62">
        <v>1</v>
      </c>
      <c r="D395" s="63" t="s">
        <v>4343</v>
      </c>
      <c r="E395" s="70" t="str">
        <f>HYPERLINK("https://ledvance.com/pt/product-datasheet/9313/109901","Ficha de Produto")</f>
        <v>Ficha de Produto</v>
      </c>
      <c r="F395" s="62"/>
      <c r="G395" s="65" t="s">
        <v>5005</v>
      </c>
      <c r="H395" s="62" t="s">
        <v>4992</v>
      </c>
      <c r="I395" s="30">
        <v>34.700000000000003</v>
      </c>
      <c r="J395" s="29" t="s">
        <v>721</v>
      </c>
    </row>
    <row r="396" spans="1:10" ht="12" customHeight="1">
      <c r="A396" s="60">
        <v>4058075227385</v>
      </c>
      <c r="B396" s="61" t="s">
        <v>5190</v>
      </c>
      <c r="C396" s="62">
        <v>1</v>
      </c>
      <c r="D396" s="63" t="s">
        <v>4343</v>
      </c>
      <c r="E396" s="70" t="str">
        <f>HYPERLINK("https://ledvance.com/pt/product-datasheet/9312/109895","Ficha de Produto")</f>
        <v>Ficha de Produto</v>
      </c>
      <c r="F396" s="62"/>
      <c r="G396" s="65" t="s">
        <v>1752</v>
      </c>
      <c r="H396" s="62" t="s">
        <v>4992</v>
      </c>
      <c r="I396" s="30">
        <v>31.6</v>
      </c>
      <c r="J396" s="29" t="s">
        <v>721</v>
      </c>
    </row>
    <row r="397" spans="1:10" ht="12" customHeight="1">
      <c r="A397" s="60">
        <v>4058075227408</v>
      </c>
      <c r="B397" s="61" t="s">
        <v>5191</v>
      </c>
      <c r="C397" s="62">
        <v>1</v>
      </c>
      <c r="D397" s="63" t="s">
        <v>4343</v>
      </c>
      <c r="E397" s="70" t="str">
        <f>HYPERLINK("https://ledvance.com/pt/product-datasheet/9313/109889","Ficha de Produto")</f>
        <v>Ficha de Produto</v>
      </c>
      <c r="F397" s="62"/>
      <c r="G397" s="65" t="s">
        <v>5005</v>
      </c>
      <c r="H397" s="62" t="s">
        <v>4992</v>
      </c>
      <c r="I397" s="30">
        <v>34.700000000000003</v>
      </c>
      <c r="J397" s="29" t="s">
        <v>721</v>
      </c>
    </row>
    <row r="398" spans="1:10" s="51" customFormat="1" ht="15" customHeight="1">
      <c r="A398" s="80" t="s">
        <v>4373</v>
      </c>
      <c r="B398" s="67"/>
      <c r="C398" s="81"/>
      <c r="D398" s="81"/>
      <c r="E398" s="82"/>
      <c r="F398" s="81"/>
      <c r="G398" s="69"/>
      <c r="H398" s="85"/>
      <c r="I398" s="57"/>
      <c r="J398" s="58"/>
    </row>
    <row r="399" spans="1:10" ht="12" customHeight="1">
      <c r="A399" s="60">
        <v>4058075267848</v>
      </c>
      <c r="B399" s="61" t="s">
        <v>5192</v>
      </c>
      <c r="C399" s="62">
        <v>1</v>
      </c>
      <c r="D399" s="63" t="s">
        <v>4343</v>
      </c>
      <c r="E399" s="70" t="str">
        <f>HYPERLINK("https://ledvance.com/pt/product-datasheet/9305/110685","Ficha de Produto")</f>
        <v>Ficha de Produto</v>
      </c>
      <c r="F399" s="62"/>
      <c r="G399" s="65" t="s">
        <v>5193</v>
      </c>
      <c r="H399" s="62" t="s">
        <v>4992</v>
      </c>
      <c r="I399" s="30">
        <v>18.200000000000003</v>
      </c>
      <c r="J399" s="29" t="s">
        <v>721</v>
      </c>
    </row>
    <row r="400" spans="1:10" ht="12" customHeight="1">
      <c r="A400" s="60">
        <v>4058075267824</v>
      </c>
      <c r="B400" s="61" t="s">
        <v>5194</v>
      </c>
      <c r="C400" s="62">
        <v>1</v>
      </c>
      <c r="D400" s="63" t="s">
        <v>4343</v>
      </c>
      <c r="E400" s="70" t="str">
        <f>HYPERLINK("https://ledvance.com/pt/product-datasheet/9305/110679","Ficha de Produto")</f>
        <v>Ficha de Produto</v>
      </c>
      <c r="F400" s="62"/>
      <c r="G400" s="65" t="s">
        <v>5193</v>
      </c>
      <c r="H400" s="62" t="s">
        <v>4992</v>
      </c>
      <c r="I400" s="30">
        <v>18.200000000000003</v>
      </c>
      <c r="J400" s="29" t="s">
        <v>721</v>
      </c>
    </row>
    <row r="401" spans="1:10" s="51" customFormat="1" ht="15" customHeight="1">
      <c r="A401" s="59" t="s">
        <v>4374</v>
      </c>
      <c r="B401" s="67"/>
      <c r="C401" s="54"/>
      <c r="D401" s="56"/>
      <c r="E401" s="56"/>
      <c r="F401" s="54"/>
      <c r="G401" s="69"/>
      <c r="H401" s="85"/>
      <c r="I401" s="57"/>
      <c r="J401" s="58"/>
    </row>
    <row r="402" spans="1:10" ht="12" customHeight="1">
      <c r="A402" s="60">
        <v>4058075472778</v>
      </c>
      <c r="B402" s="61" t="s">
        <v>5195</v>
      </c>
      <c r="C402" s="62">
        <v>1</v>
      </c>
      <c r="D402" s="63" t="s">
        <v>4343</v>
      </c>
      <c r="E402" s="70" t="str">
        <f>HYPERLINK("https://ledvance.com/pt/product-datasheet/9310/110691","Ficha de Produto")</f>
        <v>Ficha de Produto</v>
      </c>
      <c r="F402" s="62"/>
      <c r="G402" s="65" t="s">
        <v>5196</v>
      </c>
      <c r="H402" s="62" t="s">
        <v>4992</v>
      </c>
      <c r="I402" s="30">
        <v>17.8</v>
      </c>
      <c r="J402" s="29" t="s">
        <v>721</v>
      </c>
    </row>
    <row r="403" spans="1:10" s="51" customFormat="1" ht="15" customHeight="1">
      <c r="A403" s="106" t="s">
        <v>4375</v>
      </c>
      <c r="B403" s="67"/>
      <c r="C403" s="105"/>
      <c r="D403" s="105"/>
      <c r="E403" s="82"/>
      <c r="F403" s="105"/>
      <c r="G403" s="69"/>
      <c r="H403" s="85"/>
      <c r="I403" s="57"/>
      <c r="J403" s="58"/>
    </row>
    <row r="404" spans="1:10" s="51" customFormat="1" ht="15" customHeight="1">
      <c r="A404" s="80" t="s">
        <v>4376</v>
      </c>
      <c r="B404" s="67"/>
      <c r="C404" s="81"/>
      <c r="D404" s="81"/>
      <c r="E404" s="81"/>
      <c r="F404" s="81"/>
      <c r="G404" s="69"/>
      <c r="H404" s="85"/>
      <c r="I404" s="57"/>
      <c r="J404" s="58"/>
    </row>
    <row r="405" spans="1:10" ht="12" customHeight="1">
      <c r="A405" s="60">
        <v>4058075267909</v>
      </c>
      <c r="B405" s="61" t="s">
        <v>5197</v>
      </c>
      <c r="C405" s="62">
        <v>1</v>
      </c>
      <c r="D405" s="63" t="s">
        <v>4343</v>
      </c>
      <c r="E405" s="70" t="str">
        <f>HYPERLINK("https://ledvance.com/pt/product-datasheet/9304/106868","Ficha de Produto")</f>
        <v>Ficha de Produto</v>
      </c>
      <c r="F405" s="62"/>
      <c r="G405" s="65" t="s">
        <v>5198</v>
      </c>
      <c r="H405" s="62" t="s">
        <v>4992</v>
      </c>
      <c r="I405" s="30">
        <v>27.700000000000003</v>
      </c>
      <c r="J405" s="29" t="s">
        <v>721</v>
      </c>
    </row>
    <row r="406" spans="1:10" ht="12" customHeight="1">
      <c r="A406" s="60">
        <v>4058075267862</v>
      </c>
      <c r="B406" s="61" t="s">
        <v>5199</v>
      </c>
      <c r="C406" s="62">
        <v>1</v>
      </c>
      <c r="D406" s="63" t="s">
        <v>4343</v>
      </c>
      <c r="E406" s="70" t="str">
        <f>HYPERLINK("https://ledvance.com/pt/product-datasheet/9304/106874","Ficha de Produto")</f>
        <v>Ficha de Produto</v>
      </c>
      <c r="F406" s="62"/>
      <c r="G406" s="65" t="s">
        <v>5198</v>
      </c>
      <c r="H406" s="62" t="s">
        <v>4992</v>
      </c>
      <c r="I406" s="30">
        <v>27.700000000000003</v>
      </c>
      <c r="J406" s="29" t="s">
        <v>721</v>
      </c>
    </row>
    <row r="407" spans="1:10" s="51" customFormat="1" ht="15" customHeight="1">
      <c r="A407" s="104" t="s">
        <v>4377</v>
      </c>
      <c r="B407" s="67"/>
      <c r="C407" s="105"/>
      <c r="D407" s="105"/>
      <c r="E407" s="105"/>
      <c r="F407" s="105"/>
      <c r="G407" s="69"/>
      <c r="H407" s="85"/>
      <c r="I407" s="57"/>
      <c r="J407" s="58"/>
    </row>
    <row r="408" spans="1:10" s="51" customFormat="1" ht="15" customHeight="1">
      <c r="A408" s="104" t="s">
        <v>4378</v>
      </c>
      <c r="B408" s="67"/>
      <c r="C408" s="105"/>
      <c r="D408" s="105"/>
      <c r="E408" s="82"/>
      <c r="F408" s="105"/>
      <c r="G408" s="69"/>
      <c r="H408" s="85"/>
      <c r="I408" s="57"/>
      <c r="J408" s="58"/>
    </row>
    <row r="409" spans="1:10" s="51" customFormat="1" ht="15" customHeight="1">
      <c r="A409" s="92" t="s">
        <v>4379</v>
      </c>
      <c r="B409" s="67"/>
      <c r="C409" s="54"/>
      <c r="D409" s="93"/>
      <c r="E409" s="93"/>
      <c r="F409" s="54"/>
      <c r="G409" s="69"/>
      <c r="H409" s="85"/>
      <c r="I409" s="57"/>
      <c r="J409" s="58"/>
    </row>
    <row r="410" spans="1:10" ht="12" customHeight="1">
      <c r="A410" s="60">
        <v>4058075474604</v>
      </c>
      <c r="B410" s="61" t="s">
        <v>5200</v>
      </c>
      <c r="C410" s="62">
        <v>1</v>
      </c>
      <c r="D410" s="63" t="s">
        <v>4377</v>
      </c>
      <c r="E410" s="70" t="str">
        <f>HYPERLINK("https://ledvance.com/pt/product-datasheet/6469/124383","Ficha de Produto")</f>
        <v>Ficha de Produto</v>
      </c>
      <c r="F410" s="62"/>
      <c r="G410" s="65" t="s">
        <v>5005</v>
      </c>
      <c r="H410" s="62" t="s">
        <v>4974</v>
      </c>
      <c r="I410" s="30">
        <v>55</v>
      </c>
      <c r="J410" s="29" t="s">
        <v>721</v>
      </c>
    </row>
    <row r="411" spans="1:10" ht="12" customHeight="1">
      <c r="A411" s="60">
        <v>4058075474628</v>
      </c>
      <c r="B411" s="61" t="s">
        <v>5201</v>
      </c>
      <c r="C411" s="62">
        <v>1</v>
      </c>
      <c r="D411" s="63" t="s">
        <v>4377</v>
      </c>
      <c r="E411" s="70" t="str">
        <f>HYPERLINK("https://ledvance.com/pt/product-datasheet/6469/124386","Ficha de Produto")</f>
        <v>Ficha de Produto</v>
      </c>
      <c r="F411" s="62"/>
      <c r="G411" s="65" t="s">
        <v>4949</v>
      </c>
      <c r="H411" s="62" t="s">
        <v>4974</v>
      </c>
      <c r="I411" s="30">
        <v>61.9</v>
      </c>
      <c r="J411" s="29" t="s">
        <v>721</v>
      </c>
    </row>
    <row r="412" spans="1:10" ht="12" customHeight="1">
      <c r="A412" s="60">
        <v>4058075474642</v>
      </c>
      <c r="B412" s="61" t="s">
        <v>5202</v>
      </c>
      <c r="C412" s="62">
        <v>1</v>
      </c>
      <c r="D412" s="63" t="s">
        <v>4377</v>
      </c>
      <c r="E412" s="70" t="str">
        <f>HYPERLINK("https://ledvance.com/pt/product-datasheet/6469/124389","Ficha de Produto")</f>
        <v>Ficha de Produto</v>
      </c>
      <c r="F412" s="62"/>
      <c r="G412" s="65" t="s">
        <v>1743</v>
      </c>
      <c r="H412" s="62" t="s">
        <v>4974</v>
      </c>
      <c r="I412" s="30">
        <v>68.699999999999989</v>
      </c>
      <c r="J412" s="29" t="s">
        <v>721</v>
      </c>
    </row>
    <row r="413" spans="1:10" ht="12" customHeight="1">
      <c r="A413" s="60">
        <v>4058075474666</v>
      </c>
      <c r="B413" s="61" t="s">
        <v>5203</v>
      </c>
      <c r="C413" s="62">
        <v>1</v>
      </c>
      <c r="D413" s="63" t="s">
        <v>4377</v>
      </c>
      <c r="E413" s="70" t="str">
        <f>HYPERLINK("https://ledvance.com/pt/product-datasheet/6470/124392","Ficha de Produto")</f>
        <v>Ficha de Produto</v>
      </c>
      <c r="F413" s="62"/>
      <c r="G413" s="65" t="s">
        <v>5204</v>
      </c>
      <c r="H413" s="62" t="s">
        <v>4974</v>
      </c>
      <c r="I413" s="30">
        <v>82.3</v>
      </c>
      <c r="J413" s="29" t="s">
        <v>721</v>
      </c>
    </row>
    <row r="414" spans="1:10" s="51" customFormat="1" ht="15" customHeight="1">
      <c r="A414" s="92" t="s">
        <v>4380</v>
      </c>
      <c r="B414" s="67"/>
      <c r="C414" s="54"/>
      <c r="D414" s="93"/>
      <c r="E414" s="78"/>
      <c r="F414" s="54"/>
      <c r="G414" s="69"/>
      <c r="H414" s="85"/>
      <c r="I414" s="57"/>
      <c r="J414" s="58"/>
    </row>
    <row r="415" spans="1:10" ht="12" customHeight="1">
      <c r="A415" s="83">
        <v>4058075831438</v>
      </c>
      <c r="B415" s="61" t="s">
        <v>5205</v>
      </c>
      <c r="C415" s="62">
        <v>1</v>
      </c>
      <c r="D415" s="63" t="s">
        <v>4377</v>
      </c>
      <c r="E415" s="70" t="str">
        <f>HYPERLINK("https://ledvance.com/pt/product-datasheet/6469/265612","Ficha de Produto")</f>
        <v>Ficha de Produto</v>
      </c>
      <c r="F415" s="94" t="s">
        <v>4183</v>
      </c>
      <c r="G415" s="65" t="s">
        <v>5204</v>
      </c>
      <c r="H415" s="62" t="s">
        <v>4992</v>
      </c>
      <c r="I415" s="30">
        <v>102.8</v>
      </c>
      <c r="J415" s="29" t="s">
        <v>721</v>
      </c>
    </row>
    <row r="416" spans="1:10" ht="12" customHeight="1">
      <c r="A416" s="83">
        <v>4058075831452</v>
      </c>
      <c r="B416" s="61" t="s">
        <v>5206</v>
      </c>
      <c r="C416" s="62">
        <v>1</v>
      </c>
      <c r="D416" s="63" t="s">
        <v>4377</v>
      </c>
      <c r="E416" s="70" t="str">
        <f>HYPERLINK("https://ledvance.com/pt/product-datasheet/6469/265615","Ficha de Produto")</f>
        <v>Ficha de Produto</v>
      </c>
      <c r="F416" s="94" t="s">
        <v>4183</v>
      </c>
      <c r="G416" s="65" t="s">
        <v>5207</v>
      </c>
      <c r="H416" s="62" t="s">
        <v>4974</v>
      </c>
      <c r="I416" s="30">
        <v>164.29999999999998</v>
      </c>
      <c r="J416" s="29" t="s">
        <v>721</v>
      </c>
    </row>
    <row r="417" spans="1:10" s="51" customFormat="1" ht="15" customHeight="1">
      <c r="A417" s="92" t="s">
        <v>4381</v>
      </c>
      <c r="B417" s="67"/>
      <c r="C417" s="54"/>
      <c r="D417" s="93"/>
      <c r="E417" s="78"/>
      <c r="F417" s="54"/>
      <c r="G417" s="69"/>
      <c r="H417" s="85"/>
      <c r="I417" s="57"/>
      <c r="J417" s="58"/>
    </row>
    <row r="418" spans="1:10" ht="12" customHeight="1">
      <c r="A418" s="74">
        <v>4058075576674</v>
      </c>
      <c r="B418" s="61" t="s">
        <v>5208</v>
      </c>
      <c r="C418" s="62">
        <v>1</v>
      </c>
      <c r="D418" s="63" t="s">
        <v>4377</v>
      </c>
      <c r="E418" s="70" t="str">
        <f>HYPERLINK("https://ledvance.com/pt/product-datasheet/206783/164360","Ficha de Produto")</f>
        <v>Ficha de Produto</v>
      </c>
      <c r="F418" s="62"/>
      <c r="G418" s="65" t="s">
        <v>775</v>
      </c>
      <c r="H418" s="62" t="s">
        <v>4974</v>
      </c>
      <c r="I418" s="30">
        <v>68.699999999999989</v>
      </c>
      <c r="J418" s="29" t="s">
        <v>721</v>
      </c>
    </row>
    <row r="419" spans="1:10" s="51" customFormat="1" ht="15" customHeight="1">
      <c r="A419" s="104" t="s">
        <v>4382</v>
      </c>
      <c r="B419" s="67"/>
      <c r="C419" s="105"/>
      <c r="D419" s="105"/>
      <c r="E419" s="82"/>
      <c r="F419" s="105"/>
      <c r="G419" s="69"/>
      <c r="H419" s="85"/>
      <c r="I419" s="57"/>
      <c r="J419" s="58"/>
    </row>
    <row r="420" spans="1:10" s="51" customFormat="1" ht="15" customHeight="1">
      <c r="A420" s="80" t="s">
        <v>4383</v>
      </c>
      <c r="B420" s="67"/>
      <c r="C420" s="105"/>
      <c r="D420" s="81"/>
      <c r="E420" s="81"/>
      <c r="F420" s="105"/>
      <c r="G420" s="69"/>
      <c r="H420" s="85"/>
      <c r="I420" s="57"/>
      <c r="J420" s="58"/>
    </row>
    <row r="421" spans="1:10" ht="12" customHeight="1">
      <c r="A421" s="60">
        <v>4058075292154</v>
      </c>
      <c r="B421" s="61" t="s">
        <v>5209</v>
      </c>
      <c r="C421" s="62">
        <v>1</v>
      </c>
      <c r="D421" s="63" t="s">
        <v>4377</v>
      </c>
      <c r="E421" s="70" t="str">
        <f>HYPERLINK("https://ledvance.com/pt/product-datasheet/9466/116895","Ficha de Produto")</f>
        <v>Ficha de Produto</v>
      </c>
      <c r="F421" s="62"/>
      <c r="G421" s="65" t="s">
        <v>5005</v>
      </c>
      <c r="H421" s="62" t="s">
        <v>4974</v>
      </c>
      <c r="I421" s="30">
        <v>27.700000000000003</v>
      </c>
      <c r="J421" s="29" t="s">
        <v>721</v>
      </c>
    </row>
    <row r="422" spans="1:10" ht="12" customHeight="1">
      <c r="A422" s="60">
        <v>4058075292178</v>
      </c>
      <c r="B422" s="61" t="s">
        <v>5210</v>
      </c>
      <c r="C422" s="62">
        <v>1</v>
      </c>
      <c r="D422" s="63" t="s">
        <v>4377</v>
      </c>
      <c r="E422" s="70" t="str">
        <f>HYPERLINK("https://ledvance.com/pt/product-datasheet/9466/116898","Ficha de Produto")</f>
        <v>Ficha de Produto</v>
      </c>
      <c r="F422" s="62"/>
      <c r="G422" s="65" t="s">
        <v>5005</v>
      </c>
      <c r="H422" s="62" t="s">
        <v>4974</v>
      </c>
      <c r="I422" s="30">
        <v>27.700000000000003</v>
      </c>
      <c r="J422" s="29" t="s">
        <v>721</v>
      </c>
    </row>
    <row r="423" spans="1:10" ht="12" customHeight="1">
      <c r="A423" s="60">
        <v>4058075239500</v>
      </c>
      <c r="B423" s="61" t="s">
        <v>5211</v>
      </c>
      <c r="C423" s="62">
        <v>1</v>
      </c>
      <c r="D423" s="63" t="s">
        <v>4377</v>
      </c>
      <c r="E423" s="70" t="str">
        <f>HYPERLINK("https://ledvance.com/pt/product-datasheet/9466/107564","Ficha de Produto")</f>
        <v>Ficha de Produto</v>
      </c>
      <c r="F423" s="62"/>
      <c r="G423" s="65" t="s">
        <v>4949</v>
      </c>
      <c r="H423" s="62" t="s">
        <v>4974</v>
      </c>
      <c r="I423" s="30">
        <v>41.4</v>
      </c>
      <c r="J423" s="29" t="s">
        <v>721</v>
      </c>
    </row>
    <row r="424" spans="1:10" ht="12" customHeight="1">
      <c r="A424" s="60">
        <v>4058075239692</v>
      </c>
      <c r="B424" s="61" t="s">
        <v>5212</v>
      </c>
      <c r="C424" s="62">
        <v>1</v>
      </c>
      <c r="D424" s="63" t="s">
        <v>4377</v>
      </c>
      <c r="E424" s="70" t="str">
        <f>HYPERLINK("https://ledvance.com/pt/product-datasheet/9466/107585","Ficha de Produto")</f>
        <v>Ficha de Produto</v>
      </c>
      <c r="F424" s="62"/>
      <c r="G424" s="65" t="s">
        <v>4949</v>
      </c>
      <c r="H424" s="62" t="s">
        <v>4974</v>
      </c>
      <c r="I424" s="30">
        <v>41.4</v>
      </c>
      <c r="J424" s="29" t="s">
        <v>721</v>
      </c>
    </row>
    <row r="425" spans="1:10" ht="12" customHeight="1">
      <c r="A425" s="60">
        <v>4058075239548</v>
      </c>
      <c r="B425" s="61" t="s">
        <v>5213</v>
      </c>
      <c r="C425" s="62">
        <v>1</v>
      </c>
      <c r="D425" s="63" t="s">
        <v>4377</v>
      </c>
      <c r="E425" s="70" t="str">
        <f>HYPERLINK("https://ledvance.com/pt/product-datasheet/9466/107567","Ficha de Produto")</f>
        <v>Ficha de Produto</v>
      </c>
      <c r="F425" s="62"/>
      <c r="G425" s="65" t="s">
        <v>1743</v>
      </c>
      <c r="H425" s="62" t="s">
        <v>4974</v>
      </c>
      <c r="I425" s="30">
        <v>55</v>
      </c>
      <c r="J425" s="29" t="s">
        <v>721</v>
      </c>
    </row>
    <row r="426" spans="1:10" ht="12" customHeight="1">
      <c r="A426" s="60">
        <v>4058075239715</v>
      </c>
      <c r="B426" s="61" t="s">
        <v>5214</v>
      </c>
      <c r="C426" s="62">
        <v>1</v>
      </c>
      <c r="D426" s="63" t="s">
        <v>4377</v>
      </c>
      <c r="E426" s="70" t="str">
        <f>HYPERLINK("https://ledvance.com/pt/product-datasheet/9466/107588","Ficha de Produto")</f>
        <v>Ficha de Produto</v>
      </c>
      <c r="F426" s="62"/>
      <c r="G426" s="65" t="s">
        <v>1743</v>
      </c>
      <c r="H426" s="62" t="s">
        <v>4974</v>
      </c>
      <c r="I426" s="30">
        <v>55</v>
      </c>
      <c r="J426" s="29" t="s">
        <v>721</v>
      </c>
    </row>
    <row r="427" spans="1:10" ht="12" customHeight="1">
      <c r="A427" s="60">
        <v>4058075239593</v>
      </c>
      <c r="B427" s="61" t="s">
        <v>5215</v>
      </c>
      <c r="C427" s="62">
        <v>1</v>
      </c>
      <c r="D427" s="63" t="s">
        <v>4377</v>
      </c>
      <c r="E427" s="70" t="str">
        <f>HYPERLINK("https://ledvance.com/pt/product-datasheet/9466/107570","Ficha de Produto")</f>
        <v>Ficha de Produto</v>
      </c>
      <c r="F427" s="62"/>
      <c r="G427" s="65" t="s">
        <v>5204</v>
      </c>
      <c r="H427" s="62" t="s">
        <v>4974</v>
      </c>
      <c r="I427" s="30">
        <v>75.5</v>
      </c>
      <c r="J427" s="29" t="s">
        <v>721</v>
      </c>
    </row>
    <row r="428" spans="1:10" ht="12" customHeight="1">
      <c r="A428" s="60">
        <v>4058075239739</v>
      </c>
      <c r="B428" s="61" t="s">
        <v>5216</v>
      </c>
      <c r="C428" s="62">
        <v>1</v>
      </c>
      <c r="D428" s="63" t="s">
        <v>4377</v>
      </c>
      <c r="E428" s="70" t="str">
        <f>HYPERLINK("https://ledvance.com/pt/product-datasheet/9466/107591","Ficha de Produto")</f>
        <v>Ficha de Produto</v>
      </c>
      <c r="F428" s="62"/>
      <c r="G428" s="65" t="s">
        <v>5204</v>
      </c>
      <c r="H428" s="62" t="s">
        <v>4974</v>
      </c>
      <c r="I428" s="30">
        <v>75.5</v>
      </c>
      <c r="J428" s="29" t="s">
        <v>721</v>
      </c>
    </row>
    <row r="429" spans="1:10" s="51" customFormat="1" ht="15" customHeight="1">
      <c r="A429" s="80" t="s">
        <v>4384</v>
      </c>
      <c r="B429" s="67"/>
      <c r="C429" s="105"/>
      <c r="D429" s="81"/>
      <c r="E429" s="81"/>
      <c r="F429" s="105"/>
      <c r="G429" s="69"/>
      <c r="H429" s="85"/>
      <c r="I429" s="57"/>
      <c r="J429" s="58"/>
    </row>
    <row r="430" spans="1:10" ht="12" customHeight="1">
      <c r="A430" s="60">
        <v>4058075292192</v>
      </c>
      <c r="B430" s="61" t="s">
        <v>5217</v>
      </c>
      <c r="C430" s="62">
        <v>1</v>
      </c>
      <c r="D430" s="63" t="s">
        <v>4377</v>
      </c>
      <c r="E430" s="70" t="str">
        <f>HYPERLINK("https://ledvance.com/pt/product-datasheet/9467/116901","Ficha de Produto")</f>
        <v>Ficha de Produto</v>
      </c>
      <c r="F430" s="62"/>
      <c r="G430" s="65" t="s">
        <v>5005</v>
      </c>
      <c r="H430" s="62" t="s">
        <v>4992</v>
      </c>
      <c r="I430" s="30">
        <v>27.700000000000003</v>
      </c>
      <c r="J430" s="29" t="s">
        <v>721</v>
      </c>
    </row>
    <row r="431" spans="1:10" ht="12" customHeight="1">
      <c r="A431" s="60">
        <v>4058075206748</v>
      </c>
      <c r="B431" s="61" t="s">
        <v>5218</v>
      </c>
      <c r="C431" s="62">
        <v>1</v>
      </c>
      <c r="D431" s="63" t="s">
        <v>4377</v>
      </c>
      <c r="E431" s="70" t="str">
        <f>HYPERLINK("https://ledvance.com/pt/product-datasheet/9467/119293","Ficha de Produto")</f>
        <v>Ficha de Produto</v>
      </c>
      <c r="F431" s="62"/>
      <c r="G431" s="65" t="s">
        <v>4949</v>
      </c>
      <c r="H431" s="62" t="s">
        <v>4992</v>
      </c>
      <c r="I431" s="30">
        <v>41.4</v>
      </c>
      <c r="J431" s="29" t="s">
        <v>721</v>
      </c>
    </row>
    <row r="432" spans="1:10" ht="12" customHeight="1">
      <c r="A432" s="60">
        <v>4058075206762</v>
      </c>
      <c r="B432" s="61" t="s">
        <v>5219</v>
      </c>
      <c r="C432" s="62">
        <v>1</v>
      </c>
      <c r="D432" s="63" t="s">
        <v>4377</v>
      </c>
      <c r="E432" s="70" t="str">
        <f>HYPERLINK("https://ledvance.com/pt/product-datasheet/9467/119302","Ficha de Produto")</f>
        <v>Ficha de Produto</v>
      </c>
      <c r="F432" s="62"/>
      <c r="G432" s="65" t="s">
        <v>1743</v>
      </c>
      <c r="H432" s="62" t="s">
        <v>4992</v>
      </c>
      <c r="I432" s="30">
        <v>55</v>
      </c>
      <c r="J432" s="29" t="s">
        <v>721</v>
      </c>
    </row>
    <row r="433" spans="1:10" ht="12" customHeight="1">
      <c r="A433" s="60">
        <v>4058075206786</v>
      </c>
      <c r="B433" s="61" t="s">
        <v>5220</v>
      </c>
      <c r="C433" s="62">
        <v>1</v>
      </c>
      <c r="D433" s="63" t="s">
        <v>4377</v>
      </c>
      <c r="E433" s="70" t="str">
        <f>HYPERLINK("https://ledvance.com/pt/product-datasheet/9467/119308","Ficha de Produto")</f>
        <v>Ficha de Produto</v>
      </c>
      <c r="F433" s="62"/>
      <c r="G433" s="65" t="s">
        <v>5204</v>
      </c>
      <c r="H433" s="62" t="s">
        <v>4992</v>
      </c>
      <c r="I433" s="30">
        <v>75.5</v>
      </c>
      <c r="J433" s="29" t="s">
        <v>721</v>
      </c>
    </row>
    <row r="434" spans="1:10" s="51" customFormat="1" ht="15" customHeight="1">
      <c r="A434" s="80" t="s">
        <v>4385</v>
      </c>
      <c r="B434" s="67"/>
      <c r="C434" s="105"/>
      <c r="D434" s="81"/>
      <c r="E434" s="81"/>
      <c r="F434" s="105"/>
      <c r="G434" s="69"/>
      <c r="H434" s="85"/>
      <c r="I434" s="57"/>
      <c r="J434" s="58"/>
    </row>
    <row r="435" spans="1:10" ht="12" customHeight="1">
      <c r="A435" s="74">
        <v>4058075768178</v>
      </c>
      <c r="B435" s="61" t="s">
        <v>5221</v>
      </c>
      <c r="C435" s="62">
        <v>1</v>
      </c>
      <c r="D435" s="63" t="s">
        <v>4377</v>
      </c>
      <c r="E435" s="70" t="str">
        <f>HYPERLINK("https://ledvance.com/pt/product-datasheet/232041/207310","Ficha de Produto")</f>
        <v>Ficha de Produto</v>
      </c>
      <c r="F435" s="62"/>
      <c r="G435" s="65" t="s">
        <v>5005</v>
      </c>
      <c r="H435" s="62" t="s">
        <v>4974</v>
      </c>
      <c r="I435" s="30">
        <v>24.200000000000003</v>
      </c>
      <c r="J435" s="29" t="s">
        <v>721</v>
      </c>
    </row>
    <row r="436" spans="1:10" ht="12" customHeight="1">
      <c r="A436" s="74">
        <v>4058075768215</v>
      </c>
      <c r="B436" s="61" t="s">
        <v>5222</v>
      </c>
      <c r="C436" s="62">
        <v>1</v>
      </c>
      <c r="D436" s="63" t="s">
        <v>4377</v>
      </c>
      <c r="E436" s="70" t="str">
        <f>HYPERLINK("https://ledvance.com/pt/product-datasheet/232041/207313","Ficha de Produto")</f>
        <v>Ficha de Produto</v>
      </c>
      <c r="F436" s="62"/>
      <c r="G436" s="65" t="s">
        <v>5005</v>
      </c>
      <c r="H436" s="62" t="s">
        <v>4992</v>
      </c>
      <c r="I436" s="30">
        <v>24.200000000000003</v>
      </c>
      <c r="J436" s="29" t="s">
        <v>721</v>
      </c>
    </row>
    <row r="437" spans="1:10" ht="12" customHeight="1">
      <c r="A437" s="74">
        <v>4058075768239</v>
      </c>
      <c r="B437" s="61" t="s">
        <v>5223</v>
      </c>
      <c r="C437" s="62">
        <v>1</v>
      </c>
      <c r="D437" s="63" t="s">
        <v>4377</v>
      </c>
      <c r="E437" s="70" t="str">
        <f>HYPERLINK("https://ledvance.com/pt/product-datasheet/232041/207316","Ficha de Produto")</f>
        <v>Ficha de Produto</v>
      </c>
      <c r="F437" s="62"/>
      <c r="G437" s="65" t="s">
        <v>5005</v>
      </c>
      <c r="H437" s="62" t="s">
        <v>5143</v>
      </c>
      <c r="I437" s="30">
        <v>24.200000000000003</v>
      </c>
      <c r="J437" s="29" t="s">
        <v>721</v>
      </c>
    </row>
    <row r="438" spans="1:10" ht="12" customHeight="1">
      <c r="A438" s="74">
        <v>4058075768253</v>
      </c>
      <c r="B438" s="61" t="s">
        <v>5224</v>
      </c>
      <c r="C438" s="62">
        <v>1</v>
      </c>
      <c r="D438" s="63" t="s">
        <v>4377</v>
      </c>
      <c r="E438" s="70" t="str">
        <f>HYPERLINK("https://ledvance.com/pt/product-datasheet/232041/207319","Ficha de Produto")</f>
        <v>Ficha de Produto</v>
      </c>
      <c r="F438" s="62"/>
      <c r="G438" s="65" t="s">
        <v>4949</v>
      </c>
      <c r="H438" s="62" t="s">
        <v>4974</v>
      </c>
      <c r="I438" s="30">
        <v>34</v>
      </c>
      <c r="J438" s="29" t="s">
        <v>721</v>
      </c>
    </row>
    <row r="439" spans="1:10" ht="12" customHeight="1">
      <c r="A439" s="74">
        <v>4058075768277</v>
      </c>
      <c r="B439" s="61" t="s">
        <v>5225</v>
      </c>
      <c r="C439" s="62">
        <v>1</v>
      </c>
      <c r="D439" s="63" t="s">
        <v>4377</v>
      </c>
      <c r="E439" s="70" t="str">
        <f>HYPERLINK("https://ledvance.com/pt/product-datasheet/232041/207322","Ficha de Produto")</f>
        <v>Ficha de Produto</v>
      </c>
      <c r="F439" s="62"/>
      <c r="G439" s="65" t="s">
        <v>4949</v>
      </c>
      <c r="H439" s="62" t="s">
        <v>4992</v>
      </c>
      <c r="I439" s="30">
        <v>34</v>
      </c>
      <c r="J439" s="29" t="s">
        <v>721</v>
      </c>
    </row>
    <row r="440" spans="1:10" ht="12" customHeight="1">
      <c r="A440" s="74">
        <v>4058075768291</v>
      </c>
      <c r="B440" s="61" t="s">
        <v>5226</v>
      </c>
      <c r="C440" s="62">
        <v>1</v>
      </c>
      <c r="D440" s="63" t="s">
        <v>4377</v>
      </c>
      <c r="E440" s="70" t="str">
        <f>HYPERLINK("https://ledvance.com/pt/product-datasheet/232041/207326","Ficha de Produto")</f>
        <v>Ficha de Produto</v>
      </c>
      <c r="F440" s="62"/>
      <c r="G440" s="65" t="s">
        <v>4949</v>
      </c>
      <c r="H440" s="62" t="s">
        <v>5143</v>
      </c>
      <c r="I440" s="30">
        <v>34</v>
      </c>
      <c r="J440" s="29" t="s">
        <v>721</v>
      </c>
    </row>
    <row r="441" spans="1:10" ht="12" customHeight="1">
      <c r="A441" s="74">
        <v>4058075768314</v>
      </c>
      <c r="B441" s="61" t="s">
        <v>5227</v>
      </c>
      <c r="C441" s="62">
        <v>1</v>
      </c>
      <c r="D441" s="63" t="s">
        <v>4377</v>
      </c>
      <c r="E441" s="70" t="str">
        <f>HYPERLINK("https://ledvance.com/pt/product-datasheet/232041/207329","Ficha de Produto")</f>
        <v>Ficha de Produto</v>
      </c>
      <c r="F441" s="62"/>
      <c r="G441" s="65" t="s">
        <v>1743</v>
      </c>
      <c r="H441" s="62" t="s">
        <v>4974</v>
      </c>
      <c r="I441" s="30">
        <v>40</v>
      </c>
      <c r="J441" s="29" t="s">
        <v>721</v>
      </c>
    </row>
    <row r="442" spans="1:10" ht="12" customHeight="1">
      <c r="A442" s="74">
        <v>4058075768338</v>
      </c>
      <c r="B442" s="61" t="s">
        <v>5228</v>
      </c>
      <c r="C442" s="62">
        <v>1</v>
      </c>
      <c r="D442" s="63" t="s">
        <v>4377</v>
      </c>
      <c r="E442" s="70" t="str">
        <f>HYPERLINK("https://ledvance.com/pt/product-datasheet/232041/207332","Ficha de Produto")</f>
        <v>Ficha de Produto</v>
      </c>
      <c r="F442" s="62"/>
      <c r="G442" s="65" t="s">
        <v>1743</v>
      </c>
      <c r="H442" s="62" t="s">
        <v>4992</v>
      </c>
      <c r="I442" s="30">
        <v>40</v>
      </c>
      <c r="J442" s="29" t="s">
        <v>721</v>
      </c>
    </row>
    <row r="443" spans="1:10" ht="12" customHeight="1">
      <c r="A443" s="74">
        <v>4058075768352</v>
      </c>
      <c r="B443" s="61" t="s">
        <v>5229</v>
      </c>
      <c r="C443" s="62">
        <v>1</v>
      </c>
      <c r="D443" s="63" t="s">
        <v>4377</v>
      </c>
      <c r="E443" s="70" t="str">
        <f>HYPERLINK("https://ledvance.com/pt/product-datasheet/232041/207335","Ficha de Produto")</f>
        <v>Ficha de Produto</v>
      </c>
      <c r="F443" s="62"/>
      <c r="G443" s="65" t="s">
        <v>1743</v>
      </c>
      <c r="H443" s="62" t="s">
        <v>5143</v>
      </c>
      <c r="I443" s="30">
        <v>40</v>
      </c>
      <c r="J443" s="29" t="s">
        <v>721</v>
      </c>
    </row>
    <row r="444" spans="1:10" ht="12" customHeight="1">
      <c r="A444" s="74">
        <v>4058075768376</v>
      </c>
      <c r="B444" s="61" t="s">
        <v>5230</v>
      </c>
      <c r="C444" s="62">
        <v>1</v>
      </c>
      <c r="D444" s="63" t="s">
        <v>4377</v>
      </c>
      <c r="E444" s="70" t="str">
        <f>HYPERLINK("https://ledvance.com/pt/product-datasheet/232041/207338","Ficha de Produto")</f>
        <v>Ficha de Produto</v>
      </c>
      <c r="F444" s="62"/>
      <c r="G444" s="65" t="s">
        <v>5204</v>
      </c>
      <c r="H444" s="62" t="s">
        <v>4974</v>
      </c>
      <c r="I444" s="30">
        <v>51.9</v>
      </c>
      <c r="J444" s="29" t="s">
        <v>721</v>
      </c>
    </row>
    <row r="445" spans="1:10" ht="12" customHeight="1">
      <c r="A445" s="74">
        <v>4058075768390</v>
      </c>
      <c r="B445" s="61" t="s">
        <v>5231</v>
      </c>
      <c r="C445" s="62">
        <v>1</v>
      </c>
      <c r="D445" s="63" t="s">
        <v>4377</v>
      </c>
      <c r="E445" s="70" t="str">
        <f>HYPERLINK("https://ledvance.com/pt/product-datasheet/232041/207341","Ficha de Produto")</f>
        <v>Ficha de Produto</v>
      </c>
      <c r="F445" s="62"/>
      <c r="G445" s="65" t="s">
        <v>5204</v>
      </c>
      <c r="H445" s="62" t="s">
        <v>4992</v>
      </c>
      <c r="I445" s="30">
        <v>51.9</v>
      </c>
      <c r="J445" s="29" t="s">
        <v>721</v>
      </c>
    </row>
    <row r="446" spans="1:10" ht="12" customHeight="1">
      <c r="A446" s="108">
        <v>4058075768413</v>
      </c>
      <c r="B446" s="61" t="s">
        <v>5232</v>
      </c>
      <c r="C446" s="62">
        <v>1</v>
      </c>
      <c r="D446" s="63" t="s">
        <v>4377</v>
      </c>
      <c r="E446" s="70" t="str">
        <f>HYPERLINK("https://ledvance.com/pt/product-datasheet/232041/207344","Ficha de Produto")</f>
        <v>Ficha de Produto</v>
      </c>
      <c r="F446" s="62"/>
      <c r="G446" s="65" t="s">
        <v>5204</v>
      </c>
      <c r="H446" s="62" t="s">
        <v>5143</v>
      </c>
      <c r="I446" s="30">
        <v>51.9</v>
      </c>
      <c r="J446" s="29" t="s">
        <v>721</v>
      </c>
    </row>
    <row r="447" spans="1:10" s="51" customFormat="1" ht="15" customHeight="1">
      <c r="A447" s="104" t="s">
        <v>4386</v>
      </c>
      <c r="B447" s="67"/>
      <c r="C447" s="105"/>
      <c r="D447" s="105"/>
      <c r="E447" s="82"/>
      <c r="F447" s="105"/>
      <c r="G447" s="69"/>
      <c r="H447" s="85"/>
      <c r="I447" s="57"/>
      <c r="J447" s="58"/>
    </row>
    <row r="448" spans="1:10" s="51" customFormat="1" ht="15" customHeight="1">
      <c r="A448" s="92" t="s">
        <v>4387</v>
      </c>
      <c r="B448" s="67"/>
      <c r="C448" s="54"/>
      <c r="D448" s="93"/>
      <c r="E448" s="93"/>
      <c r="F448" s="54"/>
      <c r="G448" s="69"/>
      <c r="H448" s="85"/>
      <c r="I448" s="57"/>
      <c r="J448" s="58"/>
    </row>
    <row r="449" spans="1:10" ht="12" customHeight="1">
      <c r="A449" s="60">
        <v>4058075237926</v>
      </c>
      <c r="B449" s="61" t="s">
        <v>5233</v>
      </c>
      <c r="C449" s="62">
        <v>1</v>
      </c>
      <c r="D449" s="63" t="s">
        <v>4377</v>
      </c>
      <c r="E449" s="70" t="str">
        <f>HYPERLINK("https://ledvance.com/pt/product-datasheet/9464/61120","Ficha de Produto")</f>
        <v>Ficha de Produto</v>
      </c>
      <c r="F449" s="62"/>
      <c r="G449" s="65" t="s">
        <v>5005</v>
      </c>
      <c r="H449" s="62" t="s">
        <v>4974</v>
      </c>
      <c r="I449" s="30">
        <v>14.1</v>
      </c>
      <c r="J449" s="29" t="s">
        <v>721</v>
      </c>
    </row>
    <row r="450" spans="1:10" ht="12" customHeight="1">
      <c r="A450" s="60">
        <v>4058075239616</v>
      </c>
      <c r="B450" s="61" t="s">
        <v>5234</v>
      </c>
      <c r="C450" s="62">
        <v>1</v>
      </c>
      <c r="D450" s="63" t="s">
        <v>4377</v>
      </c>
      <c r="E450" s="70" t="str">
        <f>HYPERLINK("https://ledvance.com/pt/product-datasheet/9464/107573","Ficha de Produto")</f>
        <v>Ficha de Produto</v>
      </c>
      <c r="F450" s="62"/>
      <c r="G450" s="65" t="s">
        <v>5005</v>
      </c>
      <c r="H450" s="62" t="s">
        <v>4974</v>
      </c>
      <c r="I450" s="30">
        <v>14.1</v>
      </c>
      <c r="J450" s="29" t="s">
        <v>721</v>
      </c>
    </row>
    <row r="451" spans="1:10" ht="12" customHeight="1">
      <c r="A451" s="60">
        <v>4058075237940</v>
      </c>
      <c r="B451" s="61" t="s">
        <v>5235</v>
      </c>
      <c r="C451" s="62">
        <v>1</v>
      </c>
      <c r="D451" s="63" t="s">
        <v>4377</v>
      </c>
      <c r="E451" s="70" t="str">
        <f>HYPERLINK("https://ledvance.com/pt/product-datasheet/9464/107558","Ficha de Produto")</f>
        <v>Ficha de Produto</v>
      </c>
      <c r="F451" s="62"/>
      <c r="G451" s="65" t="s">
        <v>4949</v>
      </c>
      <c r="H451" s="62" t="s">
        <v>4974</v>
      </c>
      <c r="I451" s="30">
        <v>20.900000000000002</v>
      </c>
      <c r="J451" s="29" t="s">
        <v>721</v>
      </c>
    </row>
    <row r="452" spans="1:10" ht="12" customHeight="1">
      <c r="A452" s="60">
        <v>4058075239630</v>
      </c>
      <c r="B452" s="61" t="s">
        <v>5236</v>
      </c>
      <c r="C452" s="62">
        <v>1</v>
      </c>
      <c r="D452" s="63" t="s">
        <v>4377</v>
      </c>
      <c r="E452" s="70" t="str">
        <f>HYPERLINK("https://ledvance.com/pt/product-datasheet/9464/107576","Ficha de Produto")</f>
        <v>Ficha de Produto</v>
      </c>
      <c r="F452" s="62"/>
      <c r="G452" s="65" t="s">
        <v>4949</v>
      </c>
      <c r="H452" s="62" t="s">
        <v>4974</v>
      </c>
      <c r="I452" s="30">
        <v>20.900000000000002</v>
      </c>
      <c r="J452" s="29" t="s">
        <v>721</v>
      </c>
    </row>
    <row r="453" spans="1:10" ht="12" customHeight="1">
      <c r="A453" s="60">
        <v>4058075237964</v>
      </c>
      <c r="B453" s="61" t="s">
        <v>5237</v>
      </c>
      <c r="C453" s="62">
        <v>1</v>
      </c>
      <c r="D453" s="63" t="s">
        <v>4377</v>
      </c>
      <c r="E453" s="70" t="str">
        <f>HYPERLINK("https://ledvance.com/pt/product-datasheet/9464/107561","Ficha de Produto")</f>
        <v>Ficha de Produto</v>
      </c>
      <c r="F453" s="62"/>
      <c r="G453" s="65" t="s">
        <v>1743</v>
      </c>
      <c r="H453" s="62" t="s">
        <v>4974</v>
      </c>
      <c r="I453" s="30">
        <v>27.700000000000003</v>
      </c>
      <c r="J453" s="29" t="s">
        <v>721</v>
      </c>
    </row>
    <row r="454" spans="1:10" ht="12" customHeight="1">
      <c r="A454" s="60">
        <v>4058075239654</v>
      </c>
      <c r="B454" s="61" t="s">
        <v>5238</v>
      </c>
      <c r="C454" s="62">
        <v>1</v>
      </c>
      <c r="D454" s="63" t="s">
        <v>4377</v>
      </c>
      <c r="E454" s="70" t="str">
        <f>HYPERLINK("https://ledvance.com/pt/product-datasheet/9464/107579","Ficha de Produto")</f>
        <v>Ficha de Produto</v>
      </c>
      <c r="F454" s="62"/>
      <c r="G454" s="65" t="s">
        <v>1743</v>
      </c>
      <c r="H454" s="62" t="s">
        <v>4974</v>
      </c>
      <c r="I454" s="30">
        <v>27.700000000000003</v>
      </c>
      <c r="J454" s="29" t="s">
        <v>721</v>
      </c>
    </row>
    <row r="455" spans="1:10" ht="12" customHeight="1">
      <c r="A455" s="60">
        <v>4058075239340</v>
      </c>
      <c r="B455" s="61" t="s">
        <v>5239</v>
      </c>
      <c r="C455" s="62">
        <v>1</v>
      </c>
      <c r="D455" s="63" t="s">
        <v>4377</v>
      </c>
      <c r="E455" s="70" t="str">
        <f>HYPERLINK("https://ledvance.com/pt/product-datasheet/9464/36143","Ficha de Produto")</f>
        <v>Ficha de Produto</v>
      </c>
      <c r="F455" s="62"/>
      <c r="G455" s="65" t="s">
        <v>5204</v>
      </c>
      <c r="H455" s="62" t="s">
        <v>4974</v>
      </c>
      <c r="I455" s="30">
        <v>41.4</v>
      </c>
      <c r="J455" s="29" t="s">
        <v>721</v>
      </c>
    </row>
    <row r="456" spans="1:10" ht="12" customHeight="1">
      <c r="A456" s="60">
        <v>4058075239678</v>
      </c>
      <c r="B456" s="61" t="s">
        <v>5240</v>
      </c>
      <c r="C456" s="62">
        <v>1</v>
      </c>
      <c r="D456" s="63" t="s">
        <v>4377</v>
      </c>
      <c r="E456" s="70" t="str">
        <f>HYPERLINK("https://ledvance.com/pt/product-datasheet/9464/107582","Ficha de Produto")</f>
        <v>Ficha de Produto</v>
      </c>
      <c r="F456" s="62"/>
      <c r="G456" s="65" t="s">
        <v>5204</v>
      </c>
      <c r="H456" s="62" t="s">
        <v>4974</v>
      </c>
      <c r="I456" s="30">
        <v>41.4</v>
      </c>
      <c r="J456" s="29" t="s">
        <v>721</v>
      </c>
    </row>
    <row r="457" spans="1:10" s="51" customFormat="1" ht="15" customHeight="1">
      <c r="A457" s="92" t="s">
        <v>4388</v>
      </c>
      <c r="B457" s="67"/>
      <c r="C457" s="54"/>
      <c r="D457" s="93"/>
      <c r="E457" s="93"/>
      <c r="F457" s="54"/>
      <c r="G457" s="69"/>
      <c r="H457" s="85"/>
      <c r="I457" s="57"/>
      <c r="J457" s="58"/>
    </row>
    <row r="458" spans="1:10" ht="12" customHeight="1">
      <c r="A458" s="60">
        <v>4058075206663</v>
      </c>
      <c r="B458" s="61" t="s">
        <v>5241</v>
      </c>
      <c r="C458" s="62">
        <v>1</v>
      </c>
      <c r="D458" s="63" t="s">
        <v>4377</v>
      </c>
      <c r="E458" s="70" t="str">
        <f>HYPERLINK("https://ledvance.com/pt/product-datasheet/9465/119296","Ficha de Produto")</f>
        <v>Ficha de Produto</v>
      </c>
      <c r="F458" s="62"/>
      <c r="G458" s="65" t="s">
        <v>5005</v>
      </c>
      <c r="H458" s="62" t="s">
        <v>4992</v>
      </c>
      <c r="I458" s="30">
        <v>14.1</v>
      </c>
      <c r="J458" s="29" t="s">
        <v>721</v>
      </c>
    </row>
    <row r="459" spans="1:10" ht="12" customHeight="1">
      <c r="A459" s="60">
        <v>4058075206687</v>
      </c>
      <c r="B459" s="61" t="s">
        <v>5242</v>
      </c>
      <c r="C459" s="62">
        <v>1</v>
      </c>
      <c r="D459" s="63" t="s">
        <v>4377</v>
      </c>
      <c r="E459" s="70" t="str">
        <f>HYPERLINK("https://ledvance.com/pt/product-datasheet/9465/119314","Ficha de Produto")</f>
        <v>Ficha de Produto</v>
      </c>
      <c r="F459" s="62"/>
      <c r="G459" s="65" t="s">
        <v>4949</v>
      </c>
      <c r="H459" s="62" t="s">
        <v>4992</v>
      </c>
      <c r="I459" s="30">
        <v>20.900000000000002</v>
      </c>
      <c r="J459" s="29" t="s">
        <v>721</v>
      </c>
    </row>
    <row r="460" spans="1:10" ht="12" customHeight="1">
      <c r="A460" s="60">
        <v>4058075206700</v>
      </c>
      <c r="B460" s="61" t="s">
        <v>5243</v>
      </c>
      <c r="C460" s="62">
        <v>1</v>
      </c>
      <c r="D460" s="63" t="s">
        <v>4377</v>
      </c>
      <c r="E460" s="70" t="str">
        <f>HYPERLINK("https://ledvance.com/pt/product-datasheet/9465/119320","Ficha de Produto")</f>
        <v>Ficha de Produto</v>
      </c>
      <c r="F460" s="62"/>
      <c r="G460" s="65" t="s">
        <v>1743</v>
      </c>
      <c r="H460" s="62" t="s">
        <v>4992</v>
      </c>
      <c r="I460" s="30">
        <v>27.700000000000003</v>
      </c>
      <c r="J460" s="29" t="s">
        <v>721</v>
      </c>
    </row>
    <row r="461" spans="1:10" ht="12" customHeight="1">
      <c r="A461" s="60">
        <v>4058075206724</v>
      </c>
      <c r="B461" s="61" t="s">
        <v>5244</v>
      </c>
      <c r="C461" s="62">
        <v>1</v>
      </c>
      <c r="D461" s="63" t="s">
        <v>4377</v>
      </c>
      <c r="E461" s="70" t="str">
        <f>HYPERLINK("https://ledvance.com/pt/product-datasheet/9465/119317","Ficha de Produto")</f>
        <v>Ficha de Produto</v>
      </c>
      <c r="F461" s="62"/>
      <c r="G461" s="65" t="s">
        <v>5204</v>
      </c>
      <c r="H461" s="62" t="s">
        <v>4992</v>
      </c>
      <c r="I461" s="30">
        <v>41.4</v>
      </c>
      <c r="J461" s="29" t="s">
        <v>721</v>
      </c>
    </row>
    <row r="462" spans="1:10" ht="12" customHeight="1">
      <c r="A462" s="60">
        <v>4058075206809</v>
      </c>
      <c r="B462" s="61" t="s">
        <v>5245</v>
      </c>
      <c r="C462" s="62">
        <v>1</v>
      </c>
      <c r="D462" s="63" t="s">
        <v>4377</v>
      </c>
      <c r="E462" s="70" t="str">
        <f>HYPERLINK("https://ledvance.com/pt/product-datasheet/9465/119326","Ficha de Produto")</f>
        <v>Ficha de Produto</v>
      </c>
      <c r="F462" s="62"/>
      <c r="G462" s="65" t="s">
        <v>5207</v>
      </c>
      <c r="H462" s="62" t="s">
        <v>4992</v>
      </c>
      <c r="I462" s="30">
        <v>150.6</v>
      </c>
      <c r="J462" s="29" t="s">
        <v>721</v>
      </c>
    </row>
    <row r="463" spans="1:10" ht="12" customHeight="1">
      <c r="A463" s="60">
        <v>4058075206823</v>
      </c>
      <c r="B463" s="61" t="s">
        <v>5246</v>
      </c>
      <c r="C463" s="62">
        <v>1</v>
      </c>
      <c r="D463" s="63" t="s">
        <v>4377</v>
      </c>
      <c r="E463" s="70" t="str">
        <f>HYPERLINK("https://ledvance.com/pt/product-datasheet/9465/119329","Ficha de Produto")</f>
        <v>Ficha de Produto</v>
      </c>
      <c r="F463" s="62"/>
      <c r="G463" s="65" t="s">
        <v>5247</v>
      </c>
      <c r="H463" s="62" t="s">
        <v>4992</v>
      </c>
      <c r="I463" s="30">
        <v>218.9</v>
      </c>
      <c r="J463" s="29" t="s">
        <v>721</v>
      </c>
    </row>
    <row r="464" spans="1:10" s="51" customFormat="1" ht="15" customHeight="1">
      <c r="A464" s="92" t="s">
        <v>4389</v>
      </c>
      <c r="B464" s="67"/>
      <c r="C464" s="54"/>
      <c r="D464" s="93"/>
      <c r="E464" s="93"/>
      <c r="F464" s="54"/>
      <c r="G464" s="69"/>
      <c r="H464" s="85"/>
      <c r="I464" s="57"/>
      <c r="J464" s="58"/>
    </row>
    <row r="465" spans="1:10" ht="12" customHeight="1">
      <c r="A465" s="74">
        <v>4058075767911</v>
      </c>
      <c r="B465" s="61" t="s">
        <v>5248</v>
      </c>
      <c r="C465" s="62">
        <v>1</v>
      </c>
      <c r="D465" s="63" t="s">
        <v>4377</v>
      </c>
      <c r="E465" s="70" t="str">
        <f>HYPERLINK("https://ledvance.com/pt/product-datasheet/232040/207274","Ficha de Produto")</f>
        <v>Ficha de Produto</v>
      </c>
      <c r="F465" s="62"/>
      <c r="G465" s="65" t="s">
        <v>5005</v>
      </c>
      <c r="H465" s="62" t="s">
        <v>4974</v>
      </c>
      <c r="I465" s="30">
        <v>16.200000000000003</v>
      </c>
      <c r="J465" s="29" t="s">
        <v>721</v>
      </c>
    </row>
    <row r="466" spans="1:10" ht="12" customHeight="1">
      <c r="A466" s="74">
        <v>4058075767935</v>
      </c>
      <c r="B466" s="61" t="s">
        <v>5249</v>
      </c>
      <c r="C466" s="62">
        <v>1</v>
      </c>
      <c r="D466" s="63" t="s">
        <v>4377</v>
      </c>
      <c r="E466" s="70" t="str">
        <f>HYPERLINK("https://ledvance.com/pt/product-datasheet/232040/207277","Ficha de Produto")</f>
        <v>Ficha de Produto</v>
      </c>
      <c r="F466" s="62"/>
      <c r="G466" s="65" t="s">
        <v>5005</v>
      </c>
      <c r="H466" s="62" t="s">
        <v>4992</v>
      </c>
      <c r="I466" s="30">
        <v>16.200000000000003</v>
      </c>
      <c r="J466" s="29" t="s">
        <v>721</v>
      </c>
    </row>
    <row r="467" spans="1:10" ht="12" customHeight="1">
      <c r="A467" s="74">
        <v>4058075767973</v>
      </c>
      <c r="B467" s="61" t="s">
        <v>5250</v>
      </c>
      <c r="C467" s="62">
        <v>1</v>
      </c>
      <c r="D467" s="63" t="s">
        <v>4377</v>
      </c>
      <c r="E467" s="70" t="str">
        <f>HYPERLINK("https://ledvance.com/pt/product-datasheet/232040/207280","Ficha de Produto")</f>
        <v>Ficha de Produto</v>
      </c>
      <c r="F467" s="62"/>
      <c r="G467" s="65" t="s">
        <v>5005</v>
      </c>
      <c r="H467" s="62" t="s">
        <v>5143</v>
      </c>
      <c r="I467" s="30">
        <v>16.200000000000003</v>
      </c>
      <c r="J467" s="29" t="s">
        <v>721</v>
      </c>
    </row>
    <row r="468" spans="1:10" ht="12" customHeight="1">
      <c r="A468" s="74">
        <v>4058075767997</v>
      </c>
      <c r="B468" s="61" t="s">
        <v>5251</v>
      </c>
      <c r="C468" s="62">
        <v>1</v>
      </c>
      <c r="D468" s="63" t="s">
        <v>4377</v>
      </c>
      <c r="E468" s="70" t="str">
        <f>HYPERLINK("https://ledvance.com/pt/product-datasheet/232040/207283","Ficha de Produto")</f>
        <v>Ficha de Produto</v>
      </c>
      <c r="F468" s="62"/>
      <c r="G468" s="65" t="s">
        <v>4949</v>
      </c>
      <c r="H468" s="62" t="s">
        <v>4974</v>
      </c>
      <c r="I468" s="30">
        <v>20.200000000000003</v>
      </c>
      <c r="J468" s="29" t="s">
        <v>721</v>
      </c>
    </row>
    <row r="469" spans="1:10" ht="12" customHeight="1">
      <c r="A469" s="74">
        <v>4058075768017</v>
      </c>
      <c r="B469" s="61" t="s">
        <v>5252</v>
      </c>
      <c r="C469" s="62">
        <v>1</v>
      </c>
      <c r="D469" s="63" t="s">
        <v>4377</v>
      </c>
      <c r="E469" s="70" t="str">
        <f>HYPERLINK("https://ledvance.com/pt/product-datasheet/232040/207286","Ficha de Produto")</f>
        <v>Ficha de Produto</v>
      </c>
      <c r="F469" s="62"/>
      <c r="G469" s="65" t="s">
        <v>4949</v>
      </c>
      <c r="H469" s="62" t="s">
        <v>4992</v>
      </c>
      <c r="I469" s="30">
        <v>20.200000000000003</v>
      </c>
      <c r="J469" s="29" t="s">
        <v>721</v>
      </c>
    </row>
    <row r="470" spans="1:10" ht="12" customHeight="1">
      <c r="A470" s="74">
        <v>4058075768031</v>
      </c>
      <c r="B470" s="61" t="s">
        <v>5253</v>
      </c>
      <c r="C470" s="62">
        <v>1</v>
      </c>
      <c r="D470" s="63" t="s">
        <v>4377</v>
      </c>
      <c r="E470" s="70" t="str">
        <f>HYPERLINK("https://ledvance.com/pt/product-datasheet/232040/207289","Ficha de Produto")</f>
        <v>Ficha de Produto</v>
      </c>
      <c r="F470" s="62"/>
      <c r="G470" s="65" t="s">
        <v>4949</v>
      </c>
      <c r="H470" s="62" t="s">
        <v>5143</v>
      </c>
      <c r="I470" s="30">
        <v>20.200000000000003</v>
      </c>
      <c r="J470" s="29" t="s">
        <v>721</v>
      </c>
    </row>
    <row r="471" spans="1:10" ht="12" customHeight="1">
      <c r="A471" s="74">
        <v>4058075768055</v>
      </c>
      <c r="B471" s="61" t="s">
        <v>5254</v>
      </c>
      <c r="C471" s="62">
        <v>1</v>
      </c>
      <c r="D471" s="63" t="s">
        <v>4377</v>
      </c>
      <c r="E471" s="70" t="str">
        <f>HYPERLINK("https://ledvance.com/pt/product-datasheet/232040/207292","Ficha de Produto")</f>
        <v>Ficha de Produto</v>
      </c>
      <c r="F471" s="62"/>
      <c r="G471" s="65" t="s">
        <v>1743</v>
      </c>
      <c r="H471" s="62" t="s">
        <v>4974</v>
      </c>
      <c r="I471" s="30">
        <v>30.1</v>
      </c>
      <c r="J471" s="29" t="s">
        <v>721</v>
      </c>
    </row>
    <row r="472" spans="1:10" ht="12" customHeight="1">
      <c r="A472" s="74">
        <v>4058075768079</v>
      </c>
      <c r="B472" s="61" t="s">
        <v>5255</v>
      </c>
      <c r="C472" s="62">
        <v>1</v>
      </c>
      <c r="D472" s="63" t="s">
        <v>4377</v>
      </c>
      <c r="E472" s="70" t="str">
        <f>HYPERLINK("https://ledvance.com/pt/product-datasheet/232040/207295","Ficha de Produto")</f>
        <v>Ficha de Produto</v>
      </c>
      <c r="F472" s="62"/>
      <c r="G472" s="65" t="s">
        <v>1743</v>
      </c>
      <c r="H472" s="62" t="s">
        <v>4992</v>
      </c>
      <c r="I472" s="30">
        <v>30.1</v>
      </c>
      <c r="J472" s="29" t="s">
        <v>721</v>
      </c>
    </row>
    <row r="473" spans="1:10" ht="12" customHeight="1">
      <c r="A473" s="74">
        <v>4058075768093</v>
      </c>
      <c r="B473" s="61" t="s">
        <v>5256</v>
      </c>
      <c r="C473" s="62">
        <v>1</v>
      </c>
      <c r="D473" s="63" t="s">
        <v>4377</v>
      </c>
      <c r="E473" s="70" t="str">
        <f>HYPERLINK("https://ledvance.com/pt/product-datasheet/232040/207298","Ficha de Produto")</f>
        <v>Ficha de Produto</v>
      </c>
      <c r="F473" s="62"/>
      <c r="G473" s="65" t="s">
        <v>1743</v>
      </c>
      <c r="H473" s="62" t="s">
        <v>5143</v>
      </c>
      <c r="I473" s="30">
        <v>30.1</v>
      </c>
      <c r="J473" s="29" t="s">
        <v>721</v>
      </c>
    </row>
    <row r="474" spans="1:10" ht="12" customHeight="1">
      <c r="A474" s="74">
        <v>4058075768116</v>
      </c>
      <c r="B474" s="61" t="s">
        <v>5257</v>
      </c>
      <c r="C474" s="62">
        <v>1</v>
      </c>
      <c r="D474" s="63" t="s">
        <v>4377</v>
      </c>
      <c r="E474" s="70" t="str">
        <f>HYPERLINK("https://ledvance.com/pt/product-datasheet/232040/207301","Ficha de Produto")</f>
        <v>Ficha de Produto</v>
      </c>
      <c r="F474" s="62"/>
      <c r="G474" s="65" t="s">
        <v>5204</v>
      </c>
      <c r="H474" s="62" t="s">
        <v>4974</v>
      </c>
      <c r="I474" s="30">
        <v>40</v>
      </c>
      <c r="J474" s="29" t="s">
        <v>721</v>
      </c>
    </row>
    <row r="475" spans="1:10" ht="12" customHeight="1">
      <c r="A475" s="74">
        <v>4058075768130</v>
      </c>
      <c r="B475" s="61" t="s">
        <v>5258</v>
      </c>
      <c r="C475" s="62">
        <v>1</v>
      </c>
      <c r="D475" s="63" t="s">
        <v>4377</v>
      </c>
      <c r="E475" s="70" t="str">
        <f>HYPERLINK("https://ledvance.com/pt/product-datasheet/232040/207304","Ficha de Produto")</f>
        <v>Ficha de Produto</v>
      </c>
      <c r="F475" s="62"/>
      <c r="G475" s="65" t="s">
        <v>5204</v>
      </c>
      <c r="H475" s="62" t="s">
        <v>4992</v>
      </c>
      <c r="I475" s="30">
        <v>40</v>
      </c>
      <c r="J475" s="29" t="s">
        <v>721</v>
      </c>
    </row>
    <row r="476" spans="1:10" ht="12" customHeight="1">
      <c r="A476" s="74">
        <v>4058075768154</v>
      </c>
      <c r="B476" s="61" t="s">
        <v>5259</v>
      </c>
      <c r="C476" s="62">
        <v>1</v>
      </c>
      <c r="D476" s="63" t="s">
        <v>4377</v>
      </c>
      <c r="E476" s="70" t="str">
        <f>HYPERLINK("https://ledvance.com/pt/product-datasheet/232040/207307","Ficha de Produto")</f>
        <v>Ficha de Produto</v>
      </c>
      <c r="F476" s="62"/>
      <c r="G476" s="65" t="s">
        <v>5204</v>
      </c>
      <c r="H476" s="62" t="s">
        <v>5143</v>
      </c>
      <c r="I476" s="30">
        <v>40</v>
      </c>
      <c r="J476" s="29" t="s">
        <v>721</v>
      </c>
    </row>
    <row r="477" spans="1:10" s="51" customFormat="1" ht="15" customHeight="1">
      <c r="A477" s="92" t="s">
        <v>4390</v>
      </c>
      <c r="B477" s="67"/>
      <c r="C477" s="54"/>
      <c r="D477" s="93"/>
      <c r="E477" s="93"/>
      <c r="F477" s="54"/>
      <c r="G477" s="69"/>
      <c r="H477" s="85"/>
      <c r="I477" s="57"/>
      <c r="J477" s="58"/>
    </row>
    <row r="478" spans="1:10" ht="12" customHeight="1">
      <c r="A478" s="83">
        <v>4058075831476</v>
      </c>
      <c r="B478" s="61" t="s">
        <v>5260</v>
      </c>
      <c r="C478" s="62">
        <v>1</v>
      </c>
      <c r="D478" s="63" t="s">
        <v>4377</v>
      </c>
      <c r="E478" s="70" t="str">
        <f>HYPERLINK("https://ledvance.com/pt/product-datasheet/232040/266326","Ficha de Produto")</f>
        <v>Ficha de Produto</v>
      </c>
      <c r="F478" s="94" t="s">
        <v>4183</v>
      </c>
      <c r="G478" s="65" t="s">
        <v>5207</v>
      </c>
      <c r="H478" s="62" t="s">
        <v>4992</v>
      </c>
      <c r="I478" s="30">
        <v>46.9</v>
      </c>
      <c r="J478" s="29" t="s">
        <v>721</v>
      </c>
    </row>
    <row r="479" spans="1:10" ht="12" customHeight="1">
      <c r="A479" s="83">
        <v>4058075831490</v>
      </c>
      <c r="B479" s="61" t="s">
        <v>5261</v>
      </c>
      <c r="C479" s="62">
        <v>1</v>
      </c>
      <c r="D479" s="63" t="s">
        <v>4377</v>
      </c>
      <c r="E479" s="70" t="str">
        <f>HYPERLINK("https://ledvance.com/pt/product-datasheet/232040/266329","Ficha de Produto")</f>
        <v>Ficha de Produto</v>
      </c>
      <c r="F479" s="94" t="s">
        <v>4183</v>
      </c>
      <c r="G479" s="65" t="s">
        <v>5247</v>
      </c>
      <c r="H479" s="62" t="s">
        <v>4992</v>
      </c>
      <c r="I479" s="30">
        <v>73.399999999999991</v>
      </c>
      <c r="J479" s="29" t="s">
        <v>721</v>
      </c>
    </row>
    <row r="480" spans="1:10" ht="12" customHeight="1">
      <c r="A480" s="83">
        <v>4058075831513</v>
      </c>
      <c r="B480" s="61" t="s">
        <v>5262</v>
      </c>
      <c r="C480" s="62">
        <v>1</v>
      </c>
      <c r="D480" s="63" t="s">
        <v>4377</v>
      </c>
      <c r="E480" s="70" t="str">
        <f>HYPERLINK("https://ledvance.com/pt/product-datasheet/232040/266332","Ficha de Produto")</f>
        <v>Ficha de Produto</v>
      </c>
      <c r="F480" s="94" t="s">
        <v>4183</v>
      </c>
      <c r="G480" s="65" t="s">
        <v>5263</v>
      </c>
      <c r="H480" s="62" t="s">
        <v>4992</v>
      </c>
      <c r="I480" s="30">
        <v>86.699999999999989</v>
      </c>
      <c r="J480" s="29" t="s">
        <v>721</v>
      </c>
    </row>
    <row r="481" spans="1:10" ht="12" customHeight="1">
      <c r="A481" s="83">
        <v>4058075831599</v>
      </c>
      <c r="B481" s="61" t="s">
        <v>5264</v>
      </c>
      <c r="C481" s="62">
        <v>1</v>
      </c>
      <c r="D481" s="63" t="s">
        <v>4377</v>
      </c>
      <c r="E481" s="70" t="str">
        <f>HYPERLINK("https://ledvance.com/pt/product-datasheet/232041/266335","Ficha de Produto")</f>
        <v>Ficha de Produto</v>
      </c>
      <c r="F481" s="94" t="s">
        <v>4183</v>
      </c>
      <c r="G481" s="65" t="s">
        <v>5207</v>
      </c>
      <c r="H481" s="62" t="s">
        <v>4992</v>
      </c>
      <c r="I481" s="30">
        <v>60.2</v>
      </c>
      <c r="J481" s="29" t="s">
        <v>721</v>
      </c>
    </row>
    <row r="482" spans="1:10" ht="12" customHeight="1">
      <c r="A482" s="83">
        <v>4058075831612</v>
      </c>
      <c r="B482" s="61" t="s">
        <v>5265</v>
      </c>
      <c r="C482" s="62">
        <v>1</v>
      </c>
      <c r="D482" s="63" t="s">
        <v>4377</v>
      </c>
      <c r="E482" s="70" t="str">
        <f>HYPERLINK("https://ledvance.com/pt/product-datasheet/232041/266338","Ficha de Produto")</f>
        <v>Ficha de Produto</v>
      </c>
      <c r="F482" s="94" t="s">
        <v>4183</v>
      </c>
      <c r="G482" s="65" t="s">
        <v>5247</v>
      </c>
      <c r="H482" s="62" t="s">
        <v>4992</v>
      </c>
      <c r="I482" s="30">
        <v>86.699999999999989</v>
      </c>
      <c r="J482" s="29" t="s">
        <v>721</v>
      </c>
    </row>
    <row r="483" spans="1:10" ht="12" customHeight="1">
      <c r="A483" s="83">
        <v>4058075831636</v>
      </c>
      <c r="B483" s="61" t="s">
        <v>5266</v>
      </c>
      <c r="C483" s="62">
        <v>1</v>
      </c>
      <c r="D483" s="63" t="s">
        <v>4377</v>
      </c>
      <c r="E483" s="70" t="str">
        <f>HYPERLINK("https://ledvance.com/pt/product-datasheet/232041/266341","Ficha de Produto")</f>
        <v>Ficha de Produto</v>
      </c>
      <c r="F483" s="94" t="s">
        <v>4183</v>
      </c>
      <c r="G483" s="65" t="s">
        <v>5263</v>
      </c>
      <c r="H483" s="62" t="s">
        <v>4992</v>
      </c>
      <c r="I483" s="30">
        <v>100</v>
      </c>
      <c r="J483" s="29" t="s">
        <v>721</v>
      </c>
    </row>
    <row r="484" spans="1:10" s="51" customFormat="1" ht="15" customHeight="1">
      <c r="A484" s="92" t="s">
        <v>4391</v>
      </c>
      <c r="B484" s="67"/>
      <c r="C484" s="54"/>
      <c r="D484" s="93"/>
      <c r="E484" s="93"/>
      <c r="F484" s="54"/>
      <c r="G484" s="69"/>
      <c r="H484" s="85"/>
      <c r="I484" s="57"/>
      <c r="J484" s="58"/>
    </row>
    <row r="485" spans="1:10" ht="12" customHeight="1">
      <c r="A485" s="83">
        <v>4099854094507</v>
      </c>
      <c r="B485" s="61" t="s">
        <v>5267</v>
      </c>
      <c r="C485" s="62">
        <v>1</v>
      </c>
      <c r="D485" s="63" t="s">
        <v>4377</v>
      </c>
      <c r="E485" s="70" t="str">
        <f>HYPERLINK("https://ledvance.com/pt/product-datasheet/254448/248101","Ficha de Produto")</f>
        <v>Ficha de Produto</v>
      </c>
      <c r="F485" s="94" t="s">
        <v>4183</v>
      </c>
      <c r="G485" s="65" t="s">
        <v>5005</v>
      </c>
      <c r="H485" s="62" t="s">
        <v>4992</v>
      </c>
      <c r="I485" s="30">
        <v>28.8</v>
      </c>
      <c r="J485" s="29" t="s">
        <v>721</v>
      </c>
    </row>
    <row r="486" spans="1:10" ht="12" customHeight="1">
      <c r="A486" s="83">
        <v>4099854094521</v>
      </c>
      <c r="B486" s="61" t="s">
        <v>5268</v>
      </c>
      <c r="C486" s="62">
        <v>1</v>
      </c>
      <c r="D486" s="63" t="s">
        <v>4377</v>
      </c>
      <c r="E486" s="70" t="str">
        <f>HYPERLINK("https://ledvance.com/pt/product-datasheet/254448/248104","Ficha de Produto")</f>
        <v>Ficha de Produto</v>
      </c>
      <c r="F486" s="94" t="s">
        <v>4183</v>
      </c>
      <c r="G486" s="65" t="s">
        <v>1743</v>
      </c>
      <c r="H486" s="62" t="s">
        <v>4992</v>
      </c>
      <c r="I486" s="30">
        <v>42.1</v>
      </c>
      <c r="J486" s="29" t="s">
        <v>721</v>
      </c>
    </row>
    <row r="487" spans="1:10" ht="12" customHeight="1">
      <c r="A487" s="83">
        <v>4099854094545</v>
      </c>
      <c r="B487" s="61" t="s">
        <v>5269</v>
      </c>
      <c r="C487" s="62">
        <v>1</v>
      </c>
      <c r="D487" s="63" t="s">
        <v>4377</v>
      </c>
      <c r="E487" s="70" t="str">
        <f>HYPERLINK("https://ledvance.com/pt/product-datasheet/254448/248107","Ficha de Produto")</f>
        <v>Ficha de Produto</v>
      </c>
      <c r="F487" s="94" t="s">
        <v>4183</v>
      </c>
      <c r="G487" s="65" t="s">
        <v>4949</v>
      </c>
      <c r="H487" s="62" t="s">
        <v>4992</v>
      </c>
      <c r="I487" s="30">
        <v>50.5</v>
      </c>
      <c r="J487" s="29" t="s">
        <v>721</v>
      </c>
    </row>
    <row r="488" spans="1:10" s="51" customFormat="1" ht="15" customHeight="1">
      <c r="A488" s="104" t="s">
        <v>4392</v>
      </c>
      <c r="B488" s="67"/>
      <c r="C488" s="105"/>
      <c r="D488" s="105"/>
      <c r="E488" s="82"/>
      <c r="F488" s="105"/>
      <c r="G488" s="69"/>
      <c r="H488" s="85"/>
      <c r="I488" s="57"/>
      <c r="J488" s="58"/>
    </row>
    <row r="489" spans="1:10" s="51" customFormat="1" ht="15" customHeight="1">
      <c r="A489" s="104" t="s">
        <v>4393</v>
      </c>
      <c r="B489" s="67"/>
      <c r="C489" s="105"/>
      <c r="D489" s="105"/>
      <c r="E489" s="82"/>
      <c r="F489" s="105"/>
      <c r="G489" s="69"/>
      <c r="H489" s="85"/>
      <c r="I489" s="57"/>
      <c r="J489" s="58"/>
    </row>
    <row r="490" spans="1:10" s="51" customFormat="1" ht="15" customHeight="1">
      <c r="A490" s="92" t="s">
        <v>4394</v>
      </c>
      <c r="B490" s="67"/>
      <c r="C490" s="54"/>
      <c r="D490" s="93"/>
      <c r="E490" s="93"/>
      <c r="F490" s="54"/>
      <c r="G490" s="69"/>
      <c r="H490" s="85"/>
      <c r="I490" s="57"/>
      <c r="J490" s="58"/>
    </row>
    <row r="491" spans="1:10" ht="12" customHeight="1">
      <c r="A491" s="60">
        <v>4058075576476</v>
      </c>
      <c r="B491" s="61" t="s">
        <v>5270</v>
      </c>
      <c r="C491" s="62">
        <v>1</v>
      </c>
      <c r="D491" s="63" t="s">
        <v>4392</v>
      </c>
      <c r="E491" s="70" t="str">
        <f>HYPERLINK("https://ledvance.com/pt/product-datasheet/170795/163431","Ficha de Produto")</f>
        <v>Ficha de Produto</v>
      </c>
      <c r="F491" s="62"/>
      <c r="G491" s="65" t="s">
        <v>859</v>
      </c>
      <c r="H491" s="62" t="s">
        <v>4992</v>
      </c>
      <c r="I491" s="30">
        <v>73.399999999999991</v>
      </c>
      <c r="J491" s="29" t="s">
        <v>721</v>
      </c>
    </row>
    <row r="492" spans="1:10" ht="12" customHeight="1">
      <c r="A492" s="60">
        <v>4058075576490</v>
      </c>
      <c r="B492" s="61" t="s">
        <v>5271</v>
      </c>
      <c r="C492" s="62">
        <v>1</v>
      </c>
      <c r="D492" s="63" t="s">
        <v>4392</v>
      </c>
      <c r="E492" s="70" t="str">
        <f>HYPERLINK("https://ledvance.com/pt/product-datasheet/170795/163434","Ficha de Produto")</f>
        <v>Ficha de Produto</v>
      </c>
      <c r="F492" s="62"/>
      <c r="G492" s="65" t="s">
        <v>775</v>
      </c>
      <c r="H492" s="62" t="s">
        <v>4992</v>
      </c>
      <c r="I492" s="30">
        <v>95.399999999999991</v>
      </c>
      <c r="J492" s="29" t="s">
        <v>721</v>
      </c>
    </row>
    <row r="493" spans="1:10" ht="12" customHeight="1">
      <c r="A493" s="60">
        <v>4058075576513</v>
      </c>
      <c r="B493" s="61" t="s">
        <v>5272</v>
      </c>
      <c r="C493" s="62">
        <v>1</v>
      </c>
      <c r="D493" s="63" t="s">
        <v>4392</v>
      </c>
      <c r="E493" s="70" t="str">
        <f>HYPERLINK("https://ledvance.com/pt/product-datasheet/170795/163437","Ficha de Produto")</f>
        <v>Ficha de Produto</v>
      </c>
      <c r="F493" s="62"/>
      <c r="G493" s="65" t="s">
        <v>804</v>
      </c>
      <c r="H493" s="62" t="s">
        <v>4992</v>
      </c>
      <c r="I493" s="30">
        <v>117.3</v>
      </c>
      <c r="J493" s="29" t="s">
        <v>721</v>
      </c>
    </row>
    <row r="494" spans="1:10" s="51" customFormat="1" ht="15" customHeight="1">
      <c r="A494" s="92" t="s">
        <v>4395</v>
      </c>
      <c r="B494" s="67"/>
      <c r="C494" s="54"/>
      <c r="D494" s="93"/>
      <c r="E494" s="93"/>
      <c r="F494" s="54"/>
      <c r="G494" s="69"/>
      <c r="H494" s="85"/>
      <c r="I494" s="57"/>
      <c r="J494" s="58"/>
    </row>
    <row r="495" spans="1:10" ht="12" customHeight="1">
      <c r="A495" s="60">
        <v>4058075576551</v>
      </c>
      <c r="B495" s="61" t="s">
        <v>5273</v>
      </c>
      <c r="C495" s="62">
        <v>1</v>
      </c>
      <c r="D495" s="63" t="s">
        <v>4392</v>
      </c>
      <c r="E495" s="70" t="str">
        <f>HYPERLINK("https://ledvance.com/pt/product-datasheet/170795/163440","Ficha de Produto")</f>
        <v>Ficha de Produto</v>
      </c>
      <c r="F495" s="62"/>
      <c r="G495" s="65" t="s">
        <v>859</v>
      </c>
      <c r="H495" s="62" t="s">
        <v>4992</v>
      </c>
      <c r="I495" s="30">
        <v>68.699999999999989</v>
      </c>
      <c r="J495" s="29" t="s">
        <v>721</v>
      </c>
    </row>
    <row r="496" spans="1:10" s="51" customFormat="1" ht="15" customHeight="1">
      <c r="A496" s="104" t="s">
        <v>4396</v>
      </c>
      <c r="B496" s="67"/>
      <c r="C496" s="105"/>
      <c r="D496" s="105"/>
      <c r="E496" s="105"/>
      <c r="F496" s="105"/>
      <c r="G496" s="69"/>
      <c r="H496" s="85"/>
      <c r="I496" s="57"/>
      <c r="J496" s="58"/>
    </row>
    <row r="497" spans="1:10" s="51" customFormat="1" ht="15" customHeight="1">
      <c r="A497" s="92" t="s">
        <v>4397</v>
      </c>
      <c r="B497" s="67"/>
      <c r="C497" s="54"/>
      <c r="D497" s="93"/>
      <c r="E497" s="93"/>
      <c r="F497" s="54"/>
      <c r="G497" s="69"/>
      <c r="H497" s="85"/>
      <c r="I497" s="57"/>
      <c r="J497" s="58"/>
    </row>
    <row r="498" spans="1:10" ht="12" customHeight="1">
      <c r="A498" s="83">
        <v>4058075831117</v>
      </c>
      <c r="B498" s="61" t="s">
        <v>5274</v>
      </c>
      <c r="C498" s="62">
        <v>1</v>
      </c>
      <c r="D498" s="63" t="s">
        <v>4392</v>
      </c>
      <c r="E498" s="70" t="str">
        <f>HYPERLINK("https://ledvance.com/pt/product-datasheet/274044/264983","Ficha de Produto")</f>
        <v>Ficha de Produto</v>
      </c>
      <c r="F498" s="94" t="s">
        <v>4183</v>
      </c>
      <c r="G498" s="65" t="s">
        <v>5005</v>
      </c>
      <c r="H498" s="62" t="s">
        <v>5143</v>
      </c>
      <c r="I498" s="30">
        <v>50.1</v>
      </c>
      <c r="J498" s="29" t="s">
        <v>721</v>
      </c>
    </row>
    <row r="499" spans="1:10" s="51" customFormat="1" ht="15" customHeight="1">
      <c r="A499" s="92" t="s">
        <v>4398</v>
      </c>
      <c r="B499" s="67"/>
      <c r="C499" s="54"/>
      <c r="D499" s="93"/>
      <c r="E499" s="93"/>
      <c r="F499" s="54"/>
      <c r="G499" s="69"/>
      <c r="H499" s="85"/>
      <c r="I499" s="57"/>
      <c r="J499" s="58"/>
    </row>
    <row r="500" spans="1:10" ht="12" customHeight="1">
      <c r="A500" s="83">
        <v>4058075831131</v>
      </c>
      <c r="B500" s="61" t="s">
        <v>5275</v>
      </c>
      <c r="C500" s="62">
        <v>1</v>
      </c>
      <c r="D500" s="63" t="s">
        <v>4392</v>
      </c>
      <c r="E500" s="70" t="str">
        <f>HYPERLINK("https://ledvance.com/pt/product-datasheet/274044/264986","Ficha de Produto")</f>
        <v>Ficha de Produto</v>
      </c>
      <c r="F500" s="94" t="s">
        <v>4183</v>
      </c>
      <c r="G500" s="65" t="s">
        <v>4949</v>
      </c>
      <c r="H500" s="62" t="s">
        <v>5143</v>
      </c>
      <c r="I500" s="30">
        <v>99.699999999999989</v>
      </c>
      <c r="J500" s="29" t="s">
        <v>721</v>
      </c>
    </row>
    <row r="501" spans="1:10" ht="12" customHeight="1">
      <c r="A501" s="83">
        <v>4058075831155</v>
      </c>
      <c r="B501" s="61" t="s">
        <v>5276</v>
      </c>
      <c r="C501" s="62">
        <v>1</v>
      </c>
      <c r="D501" s="63" t="s">
        <v>4392</v>
      </c>
      <c r="E501" s="70" t="str">
        <f>HYPERLINK("https://ledvance.com/pt/product-datasheet/274044/264989","Ficha de Produto")</f>
        <v>Ficha de Produto</v>
      </c>
      <c r="F501" s="94" t="s">
        <v>4183</v>
      </c>
      <c r="G501" s="65" t="s">
        <v>1743</v>
      </c>
      <c r="H501" s="62" t="s">
        <v>5143</v>
      </c>
      <c r="I501" s="30">
        <v>119.6</v>
      </c>
      <c r="J501" s="29" t="s">
        <v>721</v>
      </c>
    </row>
    <row r="502" spans="1:10" s="51" customFormat="1" ht="15" customHeight="1">
      <c r="A502" s="92" t="s">
        <v>4399</v>
      </c>
      <c r="B502" s="67"/>
      <c r="C502" s="54"/>
      <c r="D502" s="93"/>
      <c r="E502" s="78"/>
      <c r="F502" s="54"/>
      <c r="G502" s="69"/>
      <c r="H502" s="85"/>
      <c r="I502" s="57"/>
      <c r="J502" s="58"/>
    </row>
    <row r="503" spans="1:10" ht="12" customHeight="1">
      <c r="A503" s="83">
        <v>4058075831179</v>
      </c>
      <c r="B503" s="61" t="s">
        <v>5277</v>
      </c>
      <c r="C503" s="62">
        <v>1</v>
      </c>
      <c r="D503" s="63" t="s">
        <v>4392</v>
      </c>
      <c r="E503" s="70" t="str">
        <f>HYPERLINK("https://ledvance.com/pt/product-datasheet/274044/264992","Ficha de Produto")</f>
        <v>Ficha de Produto</v>
      </c>
      <c r="F503" s="94" t="s">
        <v>4183</v>
      </c>
      <c r="G503" s="65" t="s">
        <v>4938</v>
      </c>
      <c r="H503" s="62" t="s">
        <v>5143</v>
      </c>
      <c r="I503" s="30">
        <v>149.4</v>
      </c>
      <c r="J503" s="29" t="s">
        <v>721</v>
      </c>
    </row>
    <row r="504" spans="1:10" s="51" customFormat="1" ht="15" customHeight="1">
      <c r="A504" s="92" t="s">
        <v>4400</v>
      </c>
      <c r="B504" s="67"/>
      <c r="C504" s="54"/>
      <c r="D504" s="93"/>
      <c r="E504" s="93"/>
      <c r="F504" s="54"/>
      <c r="G504" s="69"/>
      <c r="H504" s="85"/>
      <c r="I504" s="57"/>
      <c r="J504" s="58"/>
    </row>
    <row r="505" spans="1:10" ht="12" customHeight="1">
      <c r="A505" s="83">
        <v>4058075834026</v>
      </c>
      <c r="B505" s="61" t="s">
        <v>5278</v>
      </c>
      <c r="C505" s="62">
        <v>1</v>
      </c>
      <c r="D505" s="63" t="s">
        <v>4392</v>
      </c>
      <c r="E505" s="70" t="str">
        <f>HYPERLINK("https://ledvance.com/pt/product-datasheet/274044/264995","Ficha de Produto")</f>
        <v>Ficha de Produto</v>
      </c>
      <c r="F505" s="94" t="s">
        <v>4183</v>
      </c>
      <c r="G505" s="65" t="s">
        <v>4977</v>
      </c>
      <c r="H505" s="62" t="s">
        <v>5143</v>
      </c>
      <c r="I505" s="30">
        <v>89.8</v>
      </c>
      <c r="J505" s="29" t="s">
        <v>721</v>
      </c>
    </row>
    <row r="506" spans="1:10" s="51" customFormat="1" ht="15" customHeight="1">
      <c r="A506" s="80" t="s">
        <v>4401</v>
      </c>
      <c r="B506" s="67"/>
      <c r="C506" s="54"/>
      <c r="D506" s="81"/>
      <c r="E506" s="81"/>
      <c r="F506" s="54"/>
      <c r="G506" s="69"/>
      <c r="H506" s="85"/>
      <c r="I506" s="57"/>
      <c r="J506" s="58"/>
    </row>
    <row r="507" spans="1:10" s="51" customFormat="1" ht="15" customHeight="1">
      <c r="A507" s="92" t="s">
        <v>4402</v>
      </c>
      <c r="B507" s="67"/>
      <c r="C507" s="54"/>
      <c r="D507" s="93"/>
      <c r="E507" s="93"/>
      <c r="F507" s="54"/>
      <c r="G507" s="69"/>
      <c r="H507" s="85"/>
      <c r="I507" s="57"/>
      <c r="J507" s="58"/>
    </row>
    <row r="508" spans="1:10" ht="12" customHeight="1">
      <c r="A508" s="60">
        <v>4058075321304</v>
      </c>
      <c r="B508" s="61" t="s">
        <v>5279</v>
      </c>
      <c r="C508" s="62">
        <v>1</v>
      </c>
      <c r="D508" s="63" t="s">
        <v>4392</v>
      </c>
      <c r="E508" s="70" t="str">
        <f>HYPERLINK("https://ledvance.com/pt/product-datasheet/9508/116768","Ficha de Produto")</f>
        <v>Ficha de Produto</v>
      </c>
      <c r="F508" s="62"/>
      <c r="G508" s="65" t="s">
        <v>4949</v>
      </c>
      <c r="H508" s="62" t="s">
        <v>4992</v>
      </c>
      <c r="I508" s="30">
        <v>106.6</v>
      </c>
      <c r="J508" s="29" t="s">
        <v>721</v>
      </c>
    </row>
    <row r="509" spans="1:10" ht="12" customHeight="1">
      <c r="A509" s="60">
        <v>4058075321328</v>
      </c>
      <c r="B509" s="61" t="s">
        <v>5280</v>
      </c>
      <c r="C509" s="62">
        <v>1</v>
      </c>
      <c r="D509" s="63" t="s">
        <v>4392</v>
      </c>
      <c r="E509" s="70" t="str">
        <f>HYPERLINK("https://ledvance.com/pt/product-datasheet/9508/116771","Ficha de Produto")</f>
        <v>Ficha de Produto</v>
      </c>
      <c r="F509" s="62"/>
      <c r="G509" s="65" t="s">
        <v>1743</v>
      </c>
      <c r="H509" s="62" t="s">
        <v>4992</v>
      </c>
      <c r="I509" s="30">
        <v>119.89999999999999</v>
      </c>
      <c r="J509" s="29" t="s">
        <v>721</v>
      </c>
    </row>
    <row r="510" spans="1:10" ht="12" customHeight="1">
      <c r="A510" s="60">
        <v>4058075321342</v>
      </c>
      <c r="B510" s="61" t="s">
        <v>5281</v>
      </c>
      <c r="C510" s="62">
        <v>1</v>
      </c>
      <c r="D510" s="63" t="s">
        <v>4392</v>
      </c>
      <c r="E510" s="70" t="str">
        <f>HYPERLINK("https://ledvance.com/pt/product-datasheet/9508/116774","Ficha de Produto")</f>
        <v>Ficha de Produto</v>
      </c>
      <c r="F510" s="62"/>
      <c r="G510" s="65" t="s">
        <v>5204</v>
      </c>
      <c r="H510" s="62" t="s">
        <v>4992</v>
      </c>
      <c r="I510" s="30">
        <v>133.19999999999999</v>
      </c>
      <c r="J510" s="29" t="s">
        <v>721</v>
      </c>
    </row>
    <row r="511" spans="1:10" s="51" customFormat="1" ht="15" customHeight="1">
      <c r="A511" s="92" t="s">
        <v>4403</v>
      </c>
      <c r="B511" s="67"/>
      <c r="C511" s="54"/>
      <c r="D511" s="93"/>
      <c r="E511" s="93"/>
      <c r="F511" s="54"/>
      <c r="G511" s="69"/>
      <c r="H511" s="85"/>
      <c r="I511" s="57"/>
      <c r="J511" s="58"/>
    </row>
    <row r="512" spans="1:10" ht="12" customHeight="1">
      <c r="A512" s="60">
        <v>4058075213838</v>
      </c>
      <c r="B512" s="61" t="s">
        <v>5282</v>
      </c>
      <c r="C512" s="62">
        <v>1</v>
      </c>
      <c r="D512" s="63" t="s">
        <v>4392</v>
      </c>
      <c r="E512" s="70" t="str">
        <f>HYPERLINK("https://ledvance.com/pt/product-datasheet/9505/107597","Ficha de Produto")</f>
        <v>Ficha de Produto</v>
      </c>
      <c r="F512" s="62"/>
      <c r="G512" s="65" t="s">
        <v>4949</v>
      </c>
      <c r="H512" s="62" t="s">
        <v>4992</v>
      </c>
      <c r="I512" s="30">
        <v>33.6</v>
      </c>
      <c r="J512" s="29" t="s">
        <v>721</v>
      </c>
    </row>
    <row r="513" spans="1:10" ht="12" customHeight="1">
      <c r="A513" s="60">
        <v>4058075213852</v>
      </c>
      <c r="B513" s="61" t="s">
        <v>5283</v>
      </c>
      <c r="C513" s="62">
        <v>1</v>
      </c>
      <c r="D513" s="63" t="s">
        <v>4392</v>
      </c>
      <c r="E513" s="70" t="str">
        <f>HYPERLINK("https://ledvance.com/pt/product-datasheet/9505/107603","Ficha de Produto")</f>
        <v>Ficha de Produto</v>
      </c>
      <c r="F513" s="62"/>
      <c r="G513" s="65" t="s">
        <v>1743</v>
      </c>
      <c r="H513" s="62" t="s">
        <v>4992</v>
      </c>
      <c r="I513" s="30">
        <v>40.200000000000003</v>
      </c>
      <c r="J513" s="29" t="s">
        <v>721</v>
      </c>
    </row>
    <row r="514" spans="1:10" ht="12" customHeight="1">
      <c r="A514" s="60">
        <v>4058075213876</v>
      </c>
      <c r="B514" s="61" t="s">
        <v>5284</v>
      </c>
      <c r="C514" s="62">
        <v>1</v>
      </c>
      <c r="D514" s="63" t="s">
        <v>4392</v>
      </c>
      <c r="E514" s="70" t="str">
        <f>HYPERLINK("https://ledvance.com/pt/product-datasheet/9505/107609","Ficha de Produto")</f>
        <v>Ficha de Produto</v>
      </c>
      <c r="F514" s="62"/>
      <c r="G514" s="65" t="s">
        <v>5204</v>
      </c>
      <c r="H514" s="62" t="s">
        <v>4992</v>
      </c>
      <c r="I514" s="30">
        <v>66.8</v>
      </c>
      <c r="J514" s="29" t="s">
        <v>721</v>
      </c>
    </row>
    <row r="515" spans="1:10" s="51" customFormat="1" ht="15" customHeight="1">
      <c r="A515" s="80" t="s">
        <v>4396</v>
      </c>
      <c r="B515" s="67"/>
      <c r="C515" s="54"/>
      <c r="D515" s="81"/>
      <c r="E515" s="81"/>
      <c r="F515" s="54"/>
      <c r="G515" s="69"/>
      <c r="H515" s="85"/>
      <c r="I515" s="57"/>
      <c r="J515" s="58"/>
    </row>
    <row r="516" spans="1:10" s="51" customFormat="1" ht="15" customHeight="1">
      <c r="A516" s="92" t="s">
        <v>4404</v>
      </c>
      <c r="B516" s="67"/>
      <c r="C516" s="54"/>
      <c r="D516" s="93"/>
      <c r="E516" s="93"/>
      <c r="F516" s="54"/>
      <c r="G516" s="69"/>
      <c r="H516" s="85"/>
      <c r="I516" s="57"/>
      <c r="J516" s="58"/>
    </row>
    <row r="517" spans="1:10" ht="12" customHeight="1">
      <c r="A517" s="83">
        <v>4058075831193</v>
      </c>
      <c r="B517" s="61" t="s">
        <v>5285</v>
      </c>
      <c r="C517" s="62">
        <v>1</v>
      </c>
      <c r="D517" s="63" t="s">
        <v>4392</v>
      </c>
      <c r="E517" s="70" t="str">
        <f>HYPERLINK("https://ledvance.com/pt/product-datasheet/274045/264998","Ficha de Produto")</f>
        <v>Ficha de Produto</v>
      </c>
      <c r="F517" s="94" t="s">
        <v>4183</v>
      </c>
      <c r="G517" s="65" t="s">
        <v>5005</v>
      </c>
      <c r="H517" s="62" t="s">
        <v>5143</v>
      </c>
      <c r="I517" s="30">
        <v>36.200000000000003</v>
      </c>
      <c r="J517" s="29" t="s">
        <v>721</v>
      </c>
    </row>
    <row r="518" spans="1:10" ht="12" customHeight="1">
      <c r="A518" s="83">
        <v>4058075831230</v>
      </c>
      <c r="B518" s="61" t="s">
        <v>5286</v>
      </c>
      <c r="C518" s="62">
        <v>1</v>
      </c>
      <c r="D518" s="63" t="s">
        <v>4392</v>
      </c>
      <c r="E518" s="70" t="str">
        <f>HYPERLINK("https://ledvance.com/pt/product-datasheet/274045/265001","Ficha de Produto")</f>
        <v>Ficha de Produto</v>
      </c>
      <c r="F518" s="94" t="s">
        <v>4183</v>
      </c>
      <c r="G518" s="65" t="s">
        <v>4949</v>
      </c>
      <c r="H518" s="62" t="s">
        <v>5143</v>
      </c>
      <c r="I518" s="30">
        <v>50.1</v>
      </c>
      <c r="J518" s="29" t="s">
        <v>721</v>
      </c>
    </row>
    <row r="519" spans="1:10" ht="12" customHeight="1">
      <c r="A519" s="83">
        <v>4058075831254</v>
      </c>
      <c r="B519" s="61" t="s">
        <v>5287</v>
      </c>
      <c r="C519" s="62">
        <v>1</v>
      </c>
      <c r="D519" s="63" t="s">
        <v>4392</v>
      </c>
      <c r="E519" s="70" t="str">
        <f>HYPERLINK("https://ledvance.com/pt/product-datasheet/274045/265004","Ficha de Produto")</f>
        <v>Ficha de Produto</v>
      </c>
      <c r="F519" s="94" t="s">
        <v>4183</v>
      </c>
      <c r="G519" s="65" t="s">
        <v>1743</v>
      </c>
      <c r="H519" s="62" t="s">
        <v>5143</v>
      </c>
      <c r="I519" s="30">
        <v>70</v>
      </c>
      <c r="J519" s="29" t="s">
        <v>721</v>
      </c>
    </row>
    <row r="520" spans="1:10" ht="12" customHeight="1">
      <c r="A520" s="83">
        <v>4058075831278</v>
      </c>
      <c r="B520" s="61" t="s">
        <v>5288</v>
      </c>
      <c r="C520" s="62">
        <v>1</v>
      </c>
      <c r="D520" s="63" t="s">
        <v>4392</v>
      </c>
      <c r="E520" s="70" t="str">
        <f>HYPERLINK("https://ledvance.com/pt/product-datasheet/274045/265007","Ficha de Produto")</f>
        <v>Ficha de Produto</v>
      </c>
      <c r="F520" s="94" t="s">
        <v>4183</v>
      </c>
      <c r="G520" s="65" t="s">
        <v>5204</v>
      </c>
      <c r="H520" s="62" t="s">
        <v>5143</v>
      </c>
      <c r="I520" s="30">
        <v>89.699999999999989</v>
      </c>
      <c r="J520" s="29" t="s">
        <v>721</v>
      </c>
    </row>
    <row r="521" spans="1:10" s="51" customFormat="1" ht="15" customHeight="1">
      <c r="A521" s="92" t="s">
        <v>4405</v>
      </c>
      <c r="B521" s="67"/>
      <c r="C521" s="54"/>
      <c r="D521" s="93"/>
      <c r="E521" s="93"/>
      <c r="F521" s="54"/>
      <c r="G521" s="69"/>
      <c r="H521" s="85"/>
      <c r="I521" s="57"/>
      <c r="J521" s="58"/>
    </row>
    <row r="522" spans="1:10" ht="12" customHeight="1">
      <c r="A522" s="83">
        <v>4058075831292</v>
      </c>
      <c r="B522" s="61" t="s">
        <v>5289</v>
      </c>
      <c r="C522" s="62">
        <v>1</v>
      </c>
      <c r="D522" s="63" t="s">
        <v>4392</v>
      </c>
      <c r="E522" s="70" t="str">
        <f>HYPERLINK("https://ledvance.com/pt/product-datasheet/274046/265010","Ficha de Produto")</f>
        <v>Ficha de Produto</v>
      </c>
      <c r="F522" s="94" t="s">
        <v>4183</v>
      </c>
      <c r="G522" s="65" t="s">
        <v>5290</v>
      </c>
      <c r="H522" s="62" t="s">
        <v>5143</v>
      </c>
      <c r="I522" s="30">
        <v>139.5</v>
      </c>
      <c r="J522" s="29" t="s">
        <v>721</v>
      </c>
    </row>
    <row r="523" spans="1:10" s="51" customFormat="1" ht="15" customHeight="1">
      <c r="A523" s="92" t="s">
        <v>4406</v>
      </c>
      <c r="B523" s="67"/>
      <c r="C523" s="54"/>
      <c r="D523" s="93"/>
      <c r="E523" s="93"/>
      <c r="F523" s="54"/>
      <c r="G523" s="69"/>
      <c r="H523" s="85"/>
      <c r="I523" s="57"/>
      <c r="J523" s="58"/>
    </row>
    <row r="524" spans="1:10" ht="12" customHeight="1">
      <c r="A524" s="83">
        <v>4058075834040</v>
      </c>
      <c r="B524" s="61" t="s">
        <v>5291</v>
      </c>
      <c r="C524" s="62">
        <v>1</v>
      </c>
      <c r="D524" s="63" t="s">
        <v>4392</v>
      </c>
      <c r="E524" s="70" t="str">
        <f>HYPERLINK("https://ledvance.com/pt/product-datasheet/274047/265013","Ficha de Produto")</f>
        <v>Ficha de Produto</v>
      </c>
      <c r="F524" s="94" t="s">
        <v>4183</v>
      </c>
      <c r="G524" s="65" t="s">
        <v>1743</v>
      </c>
      <c r="H524" s="62" t="s">
        <v>5143</v>
      </c>
      <c r="I524" s="30">
        <v>159.29999999999998</v>
      </c>
      <c r="J524" s="29" t="s">
        <v>721</v>
      </c>
    </row>
    <row r="525" spans="1:10" s="51" customFormat="1" ht="15" customHeight="1">
      <c r="A525" s="80" t="s">
        <v>4401</v>
      </c>
      <c r="B525" s="67"/>
      <c r="C525" s="98"/>
      <c r="D525" s="81"/>
      <c r="E525" s="81"/>
      <c r="F525" s="98"/>
      <c r="G525" s="69"/>
      <c r="H525" s="85"/>
      <c r="I525" s="57"/>
      <c r="J525" s="58"/>
    </row>
    <row r="526" spans="1:10" s="51" customFormat="1" ht="15" customHeight="1">
      <c r="A526" s="92" t="s">
        <v>4407</v>
      </c>
      <c r="B526" s="67"/>
      <c r="C526" s="54"/>
      <c r="D526" s="93"/>
      <c r="E526" s="93"/>
      <c r="F526" s="54"/>
      <c r="G526" s="69"/>
      <c r="H526" s="85"/>
      <c r="I526" s="57"/>
      <c r="J526" s="58"/>
    </row>
    <row r="527" spans="1:10" ht="12" customHeight="1">
      <c r="A527" s="60">
        <v>4058075576599</v>
      </c>
      <c r="B527" s="61" t="s">
        <v>5292</v>
      </c>
      <c r="C527" s="62">
        <v>1</v>
      </c>
      <c r="D527" s="63" t="s">
        <v>4392</v>
      </c>
      <c r="E527" s="70" t="str">
        <f>HYPERLINK("https://ledvance.com/pt/product-datasheet/170798/163446","Ficha de Produto")</f>
        <v>Ficha de Produto</v>
      </c>
      <c r="F527" s="62"/>
      <c r="G527" s="65" t="s">
        <v>865</v>
      </c>
      <c r="H527" s="62" t="s">
        <v>4992</v>
      </c>
      <c r="I527" s="30">
        <v>62.800000000000004</v>
      </c>
      <c r="J527" s="29" t="s">
        <v>721</v>
      </c>
    </row>
    <row r="528" spans="1:10" s="51" customFormat="1" ht="15" customHeight="1">
      <c r="A528" s="104" t="s">
        <v>4408</v>
      </c>
      <c r="B528" s="67"/>
      <c r="C528" s="98"/>
      <c r="D528" s="105"/>
      <c r="E528" s="105"/>
      <c r="F528" s="98"/>
      <c r="G528" s="69"/>
      <c r="H528" s="85"/>
      <c r="I528" s="57"/>
      <c r="J528" s="58"/>
    </row>
    <row r="529" spans="1:10" s="51" customFormat="1" ht="15" customHeight="1">
      <c r="A529" s="92" t="s">
        <v>4409</v>
      </c>
      <c r="B529" s="67"/>
      <c r="C529" s="54"/>
      <c r="D529" s="93"/>
      <c r="E529" s="93"/>
      <c r="F529" s="54"/>
      <c r="G529" s="69"/>
      <c r="H529" s="85"/>
      <c r="I529" s="57"/>
      <c r="J529" s="58"/>
    </row>
    <row r="530" spans="1:10" ht="12" customHeight="1">
      <c r="A530" s="60">
        <v>4058075576575</v>
      </c>
      <c r="B530" s="61" t="s">
        <v>5293</v>
      </c>
      <c r="C530" s="62">
        <v>1</v>
      </c>
      <c r="D530" s="63" t="s">
        <v>4392</v>
      </c>
      <c r="E530" s="70" t="str">
        <f>HYPERLINK("https://ledvance.com/pt/product-datasheet/170797/163443","Ficha de Produto")</f>
        <v>Ficha de Produto</v>
      </c>
      <c r="F530" s="62"/>
      <c r="G530" s="65" t="s">
        <v>888</v>
      </c>
      <c r="H530" s="62" t="s">
        <v>4992</v>
      </c>
      <c r="I530" s="30">
        <v>218.9</v>
      </c>
      <c r="J530" s="29" t="s">
        <v>721</v>
      </c>
    </row>
    <row r="531" spans="1:10" s="51" customFormat="1" ht="15" customHeight="1">
      <c r="A531" s="92" t="s">
        <v>4410</v>
      </c>
      <c r="B531" s="67"/>
      <c r="C531" s="54"/>
      <c r="D531" s="93"/>
      <c r="E531" s="78"/>
      <c r="F531" s="54"/>
      <c r="G531" s="69"/>
      <c r="H531" s="85"/>
      <c r="I531" s="57"/>
      <c r="J531" s="58"/>
    </row>
    <row r="532" spans="1:10" ht="12" customHeight="1">
      <c r="A532" s="60">
        <v>4058075213890</v>
      </c>
      <c r="B532" s="61" t="s">
        <v>5294</v>
      </c>
      <c r="C532" s="62">
        <v>1</v>
      </c>
      <c r="D532" s="63" t="s">
        <v>4392</v>
      </c>
      <c r="E532" s="70" t="str">
        <f>HYPERLINK("https://ledvance.com/pt/product-datasheet/9509/107612","Ficha de Produto")</f>
        <v>Ficha de Produto</v>
      </c>
      <c r="F532" s="62"/>
      <c r="G532" s="65" t="s">
        <v>4949</v>
      </c>
      <c r="H532" s="62" t="s">
        <v>4992</v>
      </c>
      <c r="I532" s="30">
        <v>70.599999999999994</v>
      </c>
      <c r="J532" s="29" t="s">
        <v>721</v>
      </c>
    </row>
    <row r="533" spans="1:10" ht="12" customHeight="1">
      <c r="A533" s="60">
        <v>4058075213913</v>
      </c>
      <c r="B533" s="61" t="s">
        <v>5295</v>
      </c>
      <c r="C533" s="62">
        <v>1</v>
      </c>
      <c r="D533" s="63" t="s">
        <v>4392</v>
      </c>
      <c r="E533" s="70" t="str">
        <f>HYPERLINK("https://ledvance.com/pt/product-datasheet/9509/97763","Ficha de Produto")</f>
        <v>Ficha de Produto</v>
      </c>
      <c r="F533" s="62"/>
      <c r="G533" s="65" t="s">
        <v>5296</v>
      </c>
      <c r="H533" s="62" t="s">
        <v>4992</v>
      </c>
      <c r="I533" s="30">
        <v>97</v>
      </c>
      <c r="J533" s="29" t="s">
        <v>721</v>
      </c>
    </row>
    <row r="534" spans="1:10" ht="12" customHeight="1">
      <c r="A534" s="60">
        <v>4058075213937</v>
      </c>
      <c r="B534" s="61" t="s">
        <v>5297</v>
      </c>
      <c r="C534" s="62">
        <v>1</v>
      </c>
      <c r="D534" s="63" t="s">
        <v>4392</v>
      </c>
      <c r="E534" s="70" t="str">
        <f>HYPERLINK("https://ledvance.com/pt/product-datasheet/9509/107615","Ficha de Produto")</f>
        <v>Ficha de Produto</v>
      </c>
      <c r="F534" s="62"/>
      <c r="G534" s="65" t="s">
        <v>1743</v>
      </c>
      <c r="H534" s="62" t="s">
        <v>4992</v>
      </c>
      <c r="I534" s="30">
        <v>86.199999999999989</v>
      </c>
      <c r="J534" s="29" t="s">
        <v>721</v>
      </c>
    </row>
    <row r="535" spans="1:10" ht="12" customHeight="1">
      <c r="A535" s="60">
        <v>4058075213951</v>
      </c>
      <c r="B535" s="61" t="s">
        <v>5298</v>
      </c>
      <c r="C535" s="62">
        <v>1</v>
      </c>
      <c r="D535" s="63" t="s">
        <v>4392</v>
      </c>
      <c r="E535" s="70" t="str">
        <f>HYPERLINK("https://ledvance.com/pt/product-datasheet/9509/107621","Ficha de Produto")</f>
        <v>Ficha de Produto</v>
      </c>
      <c r="F535" s="62"/>
      <c r="G535" s="65" t="s">
        <v>5290</v>
      </c>
      <c r="H535" s="62" t="s">
        <v>4992</v>
      </c>
      <c r="I535" s="30">
        <v>109.69999999999999</v>
      </c>
      <c r="J535" s="29" t="s">
        <v>721</v>
      </c>
    </row>
    <row r="536" spans="1:10" ht="12" customHeight="1">
      <c r="A536" s="60">
        <v>4058075213975</v>
      </c>
      <c r="B536" s="61" t="s">
        <v>5299</v>
      </c>
      <c r="C536" s="62">
        <v>1</v>
      </c>
      <c r="D536" s="63" t="s">
        <v>4392</v>
      </c>
      <c r="E536" s="70" t="str">
        <f>HYPERLINK("https://ledvance.com/pt/product-datasheet/9509/107627","Ficha de Produto")</f>
        <v>Ficha de Produto</v>
      </c>
      <c r="F536" s="62"/>
      <c r="G536" s="65" t="s">
        <v>5204</v>
      </c>
      <c r="H536" s="62" t="s">
        <v>4992</v>
      </c>
      <c r="I536" s="30">
        <v>107.89999999999999</v>
      </c>
      <c r="J536" s="29" t="s">
        <v>721</v>
      </c>
    </row>
    <row r="537" spans="1:10" ht="12" customHeight="1">
      <c r="A537" s="60">
        <v>4058075213999</v>
      </c>
      <c r="B537" s="61" t="s">
        <v>5300</v>
      </c>
      <c r="C537" s="62">
        <v>1</v>
      </c>
      <c r="D537" s="63" t="s">
        <v>4392</v>
      </c>
      <c r="E537" s="70" t="str">
        <f>HYPERLINK("https://ledvance.com/pt/product-datasheet/9509/107633","Ficha de Produto")</f>
        <v>Ficha de Produto</v>
      </c>
      <c r="F537" s="62"/>
      <c r="G537" s="65" t="s">
        <v>5207</v>
      </c>
      <c r="H537" s="62" t="s">
        <v>4992</v>
      </c>
      <c r="I537" s="30">
        <v>140.9</v>
      </c>
      <c r="J537" s="29" t="s">
        <v>721</v>
      </c>
    </row>
    <row r="538" spans="1:10" s="51" customFormat="1" ht="15" customHeight="1">
      <c r="A538" s="92" t="s">
        <v>4396</v>
      </c>
      <c r="B538" s="67"/>
      <c r="C538" s="54"/>
      <c r="D538" s="93"/>
      <c r="E538" s="93"/>
      <c r="F538" s="54"/>
      <c r="G538" s="69"/>
      <c r="H538" s="85"/>
      <c r="I538" s="57"/>
      <c r="J538" s="58"/>
    </row>
    <row r="539" spans="1:10" s="51" customFormat="1" ht="15" customHeight="1">
      <c r="A539" s="92" t="s">
        <v>4411</v>
      </c>
      <c r="B539" s="67"/>
      <c r="C539" s="54"/>
      <c r="D539" s="93"/>
      <c r="E539" s="78"/>
      <c r="F539" s="54"/>
      <c r="G539" s="69"/>
      <c r="H539" s="85"/>
      <c r="I539" s="57"/>
      <c r="J539" s="58"/>
    </row>
    <row r="540" spans="1:10" ht="12" customHeight="1">
      <c r="A540" s="83">
        <v>4058075831315</v>
      </c>
      <c r="B540" s="61" t="s">
        <v>5301</v>
      </c>
      <c r="C540" s="62">
        <v>1</v>
      </c>
      <c r="D540" s="63" t="s">
        <v>4392</v>
      </c>
      <c r="E540" s="70" t="str">
        <f>HYPERLINK("https://ledvance.com/pt/product-datasheet/274048/265016","Ficha de Produto")</f>
        <v>Ficha de Produto</v>
      </c>
      <c r="F540" s="94" t="s">
        <v>4183</v>
      </c>
      <c r="G540" s="65" t="s">
        <v>5005</v>
      </c>
      <c r="H540" s="62" t="s">
        <v>5143</v>
      </c>
      <c r="I540" s="30">
        <v>60</v>
      </c>
      <c r="J540" s="29" t="s">
        <v>721</v>
      </c>
    </row>
    <row r="541" spans="1:10" ht="12" customHeight="1">
      <c r="A541" s="83">
        <v>4058075831353</v>
      </c>
      <c r="B541" s="61" t="s">
        <v>5302</v>
      </c>
      <c r="C541" s="62">
        <v>1</v>
      </c>
      <c r="D541" s="63" t="s">
        <v>4392</v>
      </c>
      <c r="E541" s="70" t="str">
        <f>HYPERLINK("https://ledvance.com/pt/product-datasheet/274048/265019","Ficha de Produto")</f>
        <v>Ficha de Produto</v>
      </c>
      <c r="F541" s="94" t="s">
        <v>4183</v>
      </c>
      <c r="G541" s="65" t="s">
        <v>4949</v>
      </c>
      <c r="H541" s="62" t="s">
        <v>5143</v>
      </c>
      <c r="I541" s="30">
        <v>109.6</v>
      </c>
      <c r="J541" s="29" t="s">
        <v>721</v>
      </c>
    </row>
    <row r="542" spans="1:10" ht="12" customHeight="1">
      <c r="A542" s="83">
        <v>4058075831339</v>
      </c>
      <c r="B542" s="61" t="s">
        <v>5303</v>
      </c>
      <c r="C542" s="62">
        <v>1</v>
      </c>
      <c r="D542" s="63" t="s">
        <v>4392</v>
      </c>
      <c r="E542" s="70" t="str">
        <f>HYPERLINK("https://ledvance.com/pt/product-datasheet/274048/265022","Ficha de Produto")</f>
        <v>Ficha de Produto</v>
      </c>
      <c r="F542" s="94" t="s">
        <v>4183</v>
      </c>
      <c r="G542" s="65" t="s">
        <v>4949</v>
      </c>
      <c r="H542" s="62" t="s">
        <v>5143</v>
      </c>
      <c r="I542" s="30">
        <v>109.6</v>
      </c>
      <c r="J542" s="29" t="s">
        <v>721</v>
      </c>
    </row>
    <row r="543" spans="1:10" ht="12" customHeight="1">
      <c r="A543" s="83">
        <v>4058075831377</v>
      </c>
      <c r="B543" s="61" t="s">
        <v>5304</v>
      </c>
      <c r="C543" s="62">
        <v>1</v>
      </c>
      <c r="D543" s="63" t="s">
        <v>4392</v>
      </c>
      <c r="E543" s="70" t="str">
        <f>HYPERLINK("https://ledvance.com/pt/product-datasheet/274048/265025","Ficha de Produto")</f>
        <v>Ficha de Produto</v>
      </c>
      <c r="F543" s="94" t="s">
        <v>4183</v>
      </c>
      <c r="G543" s="65" t="s">
        <v>5296</v>
      </c>
      <c r="H543" s="62" t="s">
        <v>5143</v>
      </c>
      <c r="I543" s="30">
        <v>129.5</v>
      </c>
      <c r="J543" s="29" t="s">
        <v>721</v>
      </c>
    </row>
    <row r="544" spans="1:10" ht="12" customHeight="1">
      <c r="A544" s="83">
        <v>4058075831391</v>
      </c>
      <c r="B544" s="61" t="s">
        <v>5305</v>
      </c>
      <c r="C544" s="62">
        <v>1</v>
      </c>
      <c r="D544" s="63" t="s">
        <v>4392</v>
      </c>
      <c r="E544" s="70" t="str">
        <f>HYPERLINK("https://ledvance.com/pt/product-datasheet/274048/265028","Ficha de Produto")</f>
        <v>Ficha de Produto</v>
      </c>
      <c r="F544" s="94" t="s">
        <v>4183</v>
      </c>
      <c r="G544" s="65" t="s">
        <v>1743</v>
      </c>
      <c r="H544" s="62" t="s">
        <v>5143</v>
      </c>
      <c r="I544" s="30">
        <v>119.6</v>
      </c>
      <c r="J544" s="29" t="s">
        <v>721</v>
      </c>
    </row>
    <row r="545" spans="1:10" ht="12" customHeight="1">
      <c r="A545" s="83">
        <v>4058075831414</v>
      </c>
      <c r="B545" s="61" t="s">
        <v>5306</v>
      </c>
      <c r="C545" s="62">
        <v>1</v>
      </c>
      <c r="D545" s="63" t="s">
        <v>4392</v>
      </c>
      <c r="E545" s="70" t="str">
        <f>HYPERLINK("https://ledvance.com/pt/product-datasheet/274048/265031","Ficha de Produto")</f>
        <v>Ficha de Produto</v>
      </c>
      <c r="F545" s="94" t="s">
        <v>4183</v>
      </c>
      <c r="G545" s="65" t="s">
        <v>5290</v>
      </c>
      <c r="H545" s="62" t="s">
        <v>5143</v>
      </c>
      <c r="I545" s="30">
        <v>159.29999999999998</v>
      </c>
      <c r="J545" s="29" t="s">
        <v>721</v>
      </c>
    </row>
    <row r="546" spans="1:10" s="51" customFormat="1" ht="15" customHeight="1">
      <c r="A546" s="104" t="s">
        <v>4412</v>
      </c>
      <c r="B546" s="67"/>
      <c r="C546" s="105"/>
      <c r="D546" s="105"/>
      <c r="E546" s="82"/>
      <c r="F546" s="105"/>
      <c r="G546" s="69"/>
      <c r="H546" s="85"/>
      <c r="I546" s="57"/>
      <c r="J546" s="58"/>
    </row>
    <row r="547" spans="1:10" s="51" customFormat="1" ht="15" customHeight="1">
      <c r="A547" s="104" t="s">
        <v>4413</v>
      </c>
      <c r="B547" s="67"/>
      <c r="C547" s="105"/>
      <c r="D547" s="105"/>
      <c r="E547" s="105"/>
      <c r="F547" s="105"/>
      <c r="G547" s="69"/>
      <c r="H547" s="85"/>
      <c r="I547" s="57"/>
      <c r="J547" s="58"/>
    </row>
    <row r="548" spans="1:10" s="51" customFormat="1" ht="15" customHeight="1">
      <c r="A548" s="92" t="s">
        <v>4414</v>
      </c>
      <c r="B548" s="67"/>
      <c r="C548" s="54"/>
      <c r="D548" s="93"/>
      <c r="E548" s="93"/>
      <c r="F548" s="54"/>
      <c r="G548" s="69"/>
      <c r="H548" s="85"/>
      <c r="I548" s="57"/>
      <c r="J548" s="58"/>
    </row>
    <row r="549" spans="1:10" ht="12" customHeight="1">
      <c r="A549" s="74">
        <v>4058075759527</v>
      </c>
      <c r="B549" s="61" t="s">
        <v>5307</v>
      </c>
      <c r="C549" s="62">
        <v>1</v>
      </c>
      <c r="D549" s="63" t="s">
        <v>4415</v>
      </c>
      <c r="E549" s="70" t="str">
        <f>HYPERLINK("https://ledvance.com/pt/product-datasheet/232228/203872","Ficha de Produto")</f>
        <v>Ficha de Produto</v>
      </c>
      <c r="F549" s="62"/>
      <c r="G549" s="65" t="s">
        <v>4936</v>
      </c>
      <c r="H549" s="62" t="s">
        <v>4930</v>
      </c>
      <c r="I549" s="30">
        <v>96</v>
      </c>
      <c r="J549" s="29" t="s">
        <v>721</v>
      </c>
    </row>
    <row r="550" spans="1:10" ht="12" customHeight="1">
      <c r="A550" s="74">
        <v>4058075759541</v>
      </c>
      <c r="B550" s="61" t="s">
        <v>5308</v>
      </c>
      <c r="C550" s="62">
        <v>1</v>
      </c>
      <c r="D550" s="63" t="s">
        <v>4415</v>
      </c>
      <c r="E550" s="70" t="str">
        <f>HYPERLINK("https://ledvance.com/pt/product-datasheet/232228/203875","Ficha de Produto")</f>
        <v>Ficha de Produto</v>
      </c>
      <c r="F550" s="62"/>
      <c r="G550" s="65" t="s">
        <v>5029</v>
      </c>
      <c r="H550" s="62" t="s">
        <v>4930</v>
      </c>
      <c r="I550" s="30">
        <v>137</v>
      </c>
      <c r="J550" s="29" t="s">
        <v>721</v>
      </c>
    </row>
    <row r="551" spans="1:10" ht="12" customHeight="1">
      <c r="A551" s="74">
        <v>4058075759589</v>
      </c>
      <c r="B551" s="61" t="s">
        <v>5309</v>
      </c>
      <c r="C551" s="62">
        <v>1</v>
      </c>
      <c r="D551" s="63" t="s">
        <v>4415</v>
      </c>
      <c r="E551" s="70" t="str">
        <f>HYPERLINK("https://ledvance.com/pt/product-datasheet/232228/203878","Ficha de Produto")</f>
        <v>Ficha de Produto</v>
      </c>
      <c r="F551" s="62"/>
      <c r="G551" s="65" t="s">
        <v>5015</v>
      </c>
      <c r="H551" s="62" t="s">
        <v>4930</v>
      </c>
      <c r="I551" s="30">
        <v>218.9</v>
      </c>
      <c r="J551" s="29" t="s">
        <v>721</v>
      </c>
    </row>
    <row r="552" spans="1:10" s="51" customFormat="1" ht="15" customHeight="1">
      <c r="A552" s="92" t="s">
        <v>4416</v>
      </c>
      <c r="B552" s="67"/>
      <c r="C552" s="54"/>
      <c r="D552" s="93"/>
      <c r="E552" s="78"/>
      <c r="F552" s="54"/>
      <c r="G552" s="69"/>
      <c r="H552" s="85"/>
      <c r="I552" s="57"/>
      <c r="J552" s="58"/>
    </row>
    <row r="553" spans="1:10" ht="12" customHeight="1">
      <c r="A553" s="74">
        <v>4058075484313</v>
      </c>
      <c r="B553" s="61" t="s">
        <v>5310</v>
      </c>
      <c r="C553" s="62">
        <v>1</v>
      </c>
      <c r="D553" s="63" t="s">
        <v>4415</v>
      </c>
      <c r="E553" s="70" t="str">
        <f>HYPERLINK("https://ledvance.com/pt/product-datasheet/204212/104214","Ficha de Produto")</f>
        <v>Ficha de Produto</v>
      </c>
      <c r="F553" s="62"/>
      <c r="G553" s="65" t="s">
        <v>4949</v>
      </c>
      <c r="H553" s="62" t="s">
        <v>4930</v>
      </c>
      <c r="I553" s="30">
        <v>137</v>
      </c>
      <c r="J553" s="29" t="s">
        <v>721</v>
      </c>
    </row>
    <row r="554" spans="1:10" ht="12" customHeight="1">
      <c r="A554" s="74">
        <v>4058075484351</v>
      </c>
      <c r="B554" s="61" t="s">
        <v>5311</v>
      </c>
      <c r="C554" s="62">
        <v>1</v>
      </c>
      <c r="D554" s="63" t="s">
        <v>4415</v>
      </c>
      <c r="E554" s="70" t="str">
        <f>HYPERLINK("https://ledvance.com/pt/product-datasheet/204213/104217","Ficha de Produto")</f>
        <v>Ficha de Produto</v>
      </c>
      <c r="F554" s="62"/>
      <c r="G554" s="65" t="s">
        <v>4949</v>
      </c>
      <c r="H554" s="62" t="s">
        <v>4930</v>
      </c>
      <c r="I554" s="30">
        <v>178</v>
      </c>
      <c r="J554" s="29" t="s">
        <v>721</v>
      </c>
    </row>
    <row r="555" spans="1:10" ht="12" customHeight="1">
      <c r="A555" s="74">
        <v>4058075484375</v>
      </c>
      <c r="B555" s="61" t="s">
        <v>5312</v>
      </c>
      <c r="C555" s="62">
        <v>1</v>
      </c>
      <c r="D555" s="63" t="s">
        <v>4415</v>
      </c>
      <c r="E555" s="70" t="str">
        <f>HYPERLINK("https://ledvance.com/pt/product-datasheet/204212/104220","Ficha de Produto")</f>
        <v>Ficha de Produto</v>
      </c>
      <c r="F555" s="62"/>
      <c r="G555" s="65" t="s">
        <v>1755</v>
      </c>
      <c r="H555" s="62" t="s">
        <v>4930</v>
      </c>
      <c r="I555" s="30">
        <v>218.9</v>
      </c>
      <c r="J555" s="29" t="s">
        <v>721</v>
      </c>
    </row>
    <row r="556" spans="1:10" ht="12" customHeight="1">
      <c r="A556" s="74">
        <v>4058075484436</v>
      </c>
      <c r="B556" s="61" t="s">
        <v>5313</v>
      </c>
      <c r="C556" s="62">
        <v>1</v>
      </c>
      <c r="D556" s="63" t="s">
        <v>4415</v>
      </c>
      <c r="E556" s="70" t="str">
        <f>HYPERLINK("https://ledvance.com/pt/product-datasheet/204212/104226","Ficha de Produto")</f>
        <v>Ficha de Produto</v>
      </c>
      <c r="F556" s="62"/>
      <c r="G556" s="65" t="s">
        <v>5296</v>
      </c>
      <c r="H556" s="62" t="s">
        <v>4930</v>
      </c>
      <c r="I556" s="30">
        <v>273.60000000000002</v>
      </c>
      <c r="J556" s="29" t="s">
        <v>721</v>
      </c>
    </row>
    <row r="557" spans="1:10" ht="12" customHeight="1">
      <c r="A557" s="74">
        <v>4058075484474</v>
      </c>
      <c r="B557" s="61" t="s">
        <v>5314</v>
      </c>
      <c r="C557" s="62">
        <v>1</v>
      </c>
      <c r="D557" s="63" t="s">
        <v>4415</v>
      </c>
      <c r="E557" s="70" t="str">
        <f>HYPERLINK("https://ledvance.com/pt/product-datasheet/204213/104229","Ficha de Produto")</f>
        <v>Ficha de Produto</v>
      </c>
      <c r="F557" s="62"/>
      <c r="G557" s="65" t="s">
        <v>5296</v>
      </c>
      <c r="H557" s="62" t="s">
        <v>4930</v>
      </c>
      <c r="I557" s="30">
        <v>314.5</v>
      </c>
      <c r="J557" s="29" t="s">
        <v>721</v>
      </c>
    </row>
    <row r="558" spans="1:10" s="51" customFormat="1" ht="15" customHeight="1">
      <c r="A558" s="92" t="s">
        <v>4417</v>
      </c>
      <c r="B558" s="67"/>
      <c r="C558" s="54"/>
      <c r="D558" s="93"/>
      <c r="E558" s="93"/>
      <c r="F558" s="54"/>
      <c r="G558" s="69"/>
      <c r="H558" s="85"/>
      <c r="I558" s="57"/>
      <c r="J558" s="58"/>
    </row>
    <row r="559" spans="1:10" ht="12" customHeight="1">
      <c r="A559" s="74">
        <v>4058075484634</v>
      </c>
      <c r="B559" s="61" t="s">
        <v>5315</v>
      </c>
      <c r="C559" s="62">
        <v>1</v>
      </c>
      <c r="D559" s="63" t="s">
        <v>4415</v>
      </c>
      <c r="E559" s="70" t="str">
        <f>HYPERLINK("https://ledvance.com/pt/product-datasheet/204212/104250","Ficha de Produto")</f>
        <v>Ficha de Produto</v>
      </c>
      <c r="F559" s="62"/>
      <c r="G559" s="65" t="s">
        <v>4994</v>
      </c>
      <c r="H559" s="62" t="s">
        <v>4930</v>
      </c>
      <c r="I559" s="30">
        <v>137</v>
      </c>
      <c r="J559" s="29" t="s">
        <v>721</v>
      </c>
    </row>
    <row r="560" spans="1:10" ht="12" customHeight="1">
      <c r="A560" s="74">
        <v>4058075484610</v>
      </c>
      <c r="B560" s="61" t="s">
        <v>5316</v>
      </c>
      <c r="C560" s="62">
        <v>1</v>
      </c>
      <c r="D560" s="63" t="s">
        <v>4415</v>
      </c>
      <c r="E560" s="70" t="str">
        <f>HYPERLINK("https://ledvance.com/pt/product-datasheet/204212/104247","Ficha de Produto")</f>
        <v>Ficha de Produto</v>
      </c>
      <c r="F560" s="62"/>
      <c r="G560" s="65" t="s">
        <v>1755</v>
      </c>
      <c r="H560" s="62" t="s">
        <v>4930</v>
      </c>
      <c r="I560" s="30">
        <v>164.29999999999998</v>
      </c>
      <c r="J560" s="29" t="s">
        <v>721</v>
      </c>
    </row>
    <row r="561" spans="1:10" ht="12" customHeight="1">
      <c r="A561" s="74">
        <v>4058075484412</v>
      </c>
      <c r="B561" s="61" t="s">
        <v>5317</v>
      </c>
      <c r="C561" s="62">
        <v>1</v>
      </c>
      <c r="D561" s="63" t="s">
        <v>4415</v>
      </c>
      <c r="E561" s="70" t="str">
        <f>HYPERLINK("https://ledvance.com/pt/product-datasheet/204212/104223","Ficha de Produto")</f>
        <v>Ficha de Produto</v>
      </c>
      <c r="F561" s="62"/>
      <c r="G561" s="65" t="s">
        <v>1755</v>
      </c>
      <c r="H561" s="62" t="s">
        <v>4930</v>
      </c>
      <c r="I561" s="30">
        <v>232.6</v>
      </c>
      <c r="J561" s="29" t="s">
        <v>721</v>
      </c>
    </row>
    <row r="562" spans="1:10" ht="12" customHeight="1">
      <c r="A562" s="74">
        <v>4058075484597</v>
      </c>
      <c r="B562" s="61" t="s">
        <v>5318</v>
      </c>
      <c r="C562" s="62">
        <v>1</v>
      </c>
      <c r="D562" s="63" t="s">
        <v>4415</v>
      </c>
      <c r="E562" s="70" t="str">
        <f>HYPERLINK("https://ledvance.com/pt/product-datasheet/204212/104244","Ficha de Produto")</f>
        <v>Ficha de Produto</v>
      </c>
      <c r="F562" s="62"/>
      <c r="G562" s="65" t="s">
        <v>4951</v>
      </c>
      <c r="H562" s="62" t="s">
        <v>4930</v>
      </c>
      <c r="I562" s="30">
        <v>178</v>
      </c>
      <c r="J562" s="29" t="s">
        <v>721</v>
      </c>
    </row>
    <row r="563" spans="1:10" ht="12" customHeight="1">
      <c r="A563" s="74">
        <v>4058075484535</v>
      </c>
      <c r="B563" s="61" t="s">
        <v>5319</v>
      </c>
      <c r="C563" s="62">
        <v>1</v>
      </c>
      <c r="D563" s="63" t="s">
        <v>4415</v>
      </c>
      <c r="E563" s="70" t="str">
        <f>HYPERLINK("https://ledvance.com/pt/product-datasheet/204212/104238","Ficha de Produto")</f>
        <v>Ficha de Produto</v>
      </c>
      <c r="F563" s="62"/>
      <c r="G563" s="65" t="s">
        <v>1758</v>
      </c>
      <c r="H563" s="62" t="s">
        <v>4930</v>
      </c>
      <c r="I563" s="30">
        <v>205.29999999999998</v>
      </c>
      <c r="J563" s="29" t="s">
        <v>721</v>
      </c>
    </row>
    <row r="564" spans="1:10" ht="12" customHeight="1">
      <c r="A564" s="74">
        <v>4058075484573</v>
      </c>
      <c r="B564" s="61" t="s">
        <v>5320</v>
      </c>
      <c r="C564" s="62">
        <v>1</v>
      </c>
      <c r="D564" s="63" t="s">
        <v>4415</v>
      </c>
      <c r="E564" s="70" t="str">
        <f>HYPERLINK("https://ledvance.com/pt/product-datasheet/204213/104241","Ficha de Produto")</f>
        <v>Ficha de Produto</v>
      </c>
      <c r="F564" s="62"/>
      <c r="G564" s="65" t="s">
        <v>1758</v>
      </c>
      <c r="H564" s="62" t="s">
        <v>4930</v>
      </c>
      <c r="I564" s="30">
        <v>246.2</v>
      </c>
      <c r="J564" s="29" t="s">
        <v>721</v>
      </c>
    </row>
    <row r="565" spans="1:10" ht="12" customHeight="1">
      <c r="A565" s="74">
        <v>4058075484498</v>
      </c>
      <c r="B565" s="61" t="s">
        <v>5321</v>
      </c>
      <c r="C565" s="62">
        <v>1</v>
      </c>
      <c r="D565" s="63" t="s">
        <v>4415</v>
      </c>
      <c r="E565" s="70" t="str">
        <f>HYPERLINK("https://ledvance.com/pt/product-datasheet/204212/104232","Ficha de Produto")</f>
        <v>Ficha de Produto</v>
      </c>
      <c r="F565" s="62"/>
      <c r="G565" s="65" t="s">
        <v>5296</v>
      </c>
      <c r="H565" s="62" t="s">
        <v>4930</v>
      </c>
      <c r="I565" s="30">
        <v>273.60000000000002</v>
      </c>
      <c r="J565" s="29" t="s">
        <v>721</v>
      </c>
    </row>
    <row r="566" spans="1:10" ht="12" customHeight="1">
      <c r="A566" s="74">
        <v>4058075484511</v>
      </c>
      <c r="B566" s="61" t="s">
        <v>5322</v>
      </c>
      <c r="C566" s="62">
        <v>1</v>
      </c>
      <c r="D566" s="63" t="s">
        <v>4415</v>
      </c>
      <c r="E566" s="70" t="str">
        <f>HYPERLINK("https://ledvance.com/pt/product-datasheet/204213/104235","Ficha de Produto")</f>
        <v>Ficha de Produto</v>
      </c>
      <c r="F566" s="62"/>
      <c r="G566" s="65" t="s">
        <v>5296</v>
      </c>
      <c r="H566" s="62" t="s">
        <v>4930</v>
      </c>
      <c r="I566" s="30">
        <v>341.8</v>
      </c>
      <c r="J566" s="29" t="s">
        <v>721</v>
      </c>
    </row>
    <row r="567" spans="1:10" s="51" customFormat="1" ht="15" customHeight="1">
      <c r="A567" s="92" t="s">
        <v>4418</v>
      </c>
      <c r="B567" s="67"/>
      <c r="C567" s="54"/>
      <c r="D567" s="93"/>
      <c r="E567" s="78"/>
      <c r="F567" s="54"/>
      <c r="G567" s="69"/>
      <c r="H567" s="85"/>
      <c r="I567" s="57"/>
      <c r="J567" s="58"/>
    </row>
    <row r="568" spans="1:10" ht="12" customHeight="1">
      <c r="A568" s="74">
        <v>4058075484672</v>
      </c>
      <c r="B568" s="61" t="s">
        <v>5323</v>
      </c>
      <c r="C568" s="62">
        <v>1</v>
      </c>
      <c r="D568" s="63" t="s">
        <v>4415</v>
      </c>
      <c r="E568" s="70" t="str">
        <f>HYPERLINK("https://ledvance.com/pt/product-datasheet/204212/104253","Ficha de Produto")</f>
        <v>Ficha de Produto</v>
      </c>
      <c r="F568" s="62"/>
      <c r="G568" s="65" t="s">
        <v>4949</v>
      </c>
      <c r="H568" s="62" t="s">
        <v>4930</v>
      </c>
      <c r="I568" s="30">
        <v>178</v>
      </c>
      <c r="J568" s="29" t="s">
        <v>721</v>
      </c>
    </row>
    <row r="569" spans="1:10" ht="12" customHeight="1">
      <c r="A569" s="74">
        <v>4058075484696</v>
      </c>
      <c r="B569" s="61" t="s">
        <v>5324</v>
      </c>
      <c r="C569" s="62">
        <v>1</v>
      </c>
      <c r="D569" s="63" t="s">
        <v>4415</v>
      </c>
      <c r="E569" s="70" t="str">
        <f>HYPERLINK("https://ledvance.com/pt/product-datasheet/204213/104256","Ficha de Produto")</f>
        <v>Ficha de Produto</v>
      </c>
      <c r="F569" s="62"/>
      <c r="G569" s="65" t="s">
        <v>4949</v>
      </c>
      <c r="H569" s="62" t="s">
        <v>4930</v>
      </c>
      <c r="I569" s="30">
        <v>205.29999999999998</v>
      </c>
      <c r="J569" s="29" t="s">
        <v>721</v>
      </c>
    </row>
    <row r="570" spans="1:10" ht="12" customHeight="1">
      <c r="A570" s="74">
        <v>4058075484719</v>
      </c>
      <c r="B570" s="61" t="s">
        <v>5325</v>
      </c>
      <c r="C570" s="62">
        <v>1</v>
      </c>
      <c r="D570" s="63" t="s">
        <v>4415</v>
      </c>
      <c r="E570" s="70" t="str">
        <f>HYPERLINK("https://ledvance.com/pt/product-datasheet/204212/104259","Ficha de Produto")</f>
        <v>Ficha de Produto</v>
      </c>
      <c r="F570" s="62"/>
      <c r="G570" s="65" t="s">
        <v>1755</v>
      </c>
      <c r="H570" s="62" t="s">
        <v>4930</v>
      </c>
      <c r="I570" s="30">
        <v>218.9</v>
      </c>
      <c r="J570" s="29" t="s">
        <v>721</v>
      </c>
    </row>
    <row r="571" spans="1:10" s="51" customFormat="1" ht="15" customHeight="1">
      <c r="A571" s="92" t="s">
        <v>4419</v>
      </c>
      <c r="B571" s="67"/>
      <c r="C571" s="54"/>
      <c r="D571" s="93"/>
      <c r="E571" s="78"/>
      <c r="F571" s="54"/>
      <c r="G571" s="69"/>
      <c r="H571" s="85"/>
      <c r="I571" s="57"/>
      <c r="J571" s="58"/>
    </row>
    <row r="572" spans="1:10" ht="12" customHeight="1">
      <c r="A572" s="74">
        <v>4058075752603</v>
      </c>
      <c r="B572" s="61" t="s">
        <v>5326</v>
      </c>
      <c r="C572" s="62">
        <v>1</v>
      </c>
      <c r="D572" s="63" t="s">
        <v>4415</v>
      </c>
      <c r="E572" s="70" t="str">
        <f>HYPERLINK("https://ledvance.com/pt/product-datasheet/204216/202023","Ficha de Produto")</f>
        <v>Ficha de Produto</v>
      </c>
      <c r="F572" s="62"/>
      <c r="G572" s="65" t="s">
        <v>1761</v>
      </c>
      <c r="H572" s="62" t="s">
        <v>4990</v>
      </c>
      <c r="I572" s="30">
        <v>137</v>
      </c>
      <c r="J572" s="29" t="s">
        <v>721</v>
      </c>
    </row>
    <row r="573" spans="1:10" ht="12" customHeight="1">
      <c r="A573" s="74">
        <v>4058075752627</v>
      </c>
      <c r="B573" s="61" t="s">
        <v>5327</v>
      </c>
      <c r="C573" s="62">
        <v>1</v>
      </c>
      <c r="D573" s="63" t="s">
        <v>4415</v>
      </c>
      <c r="E573" s="70" t="str">
        <f>HYPERLINK("https://ledvance.com/pt/product-datasheet/204216/202026","Ficha de Produto")</f>
        <v>Ficha de Produto</v>
      </c>
      <c r="F573" s="62"/>
      <c r="G573" s="65" t="s">
        <v>5008</v>
      </c>
      <c r="H573" s="62" t="s">
        <v>4990</v>
      </c>
      <c r="I573" s="30">
        <v>191.6</v>
      </c>
      <c r="J573" s="29" t="s">
        <v>721</v>
      </c>
    </row>
    <row r="574" spans="1:10" ht="12" customHeight="1">
      <c r="A574" s="74">
        <v>4058075752641</v>
      </c>
      <c r="B574" s="61" t="s">
        <v>5328</v>
      </c>
      <c r="C574" s="62">
        <v>1</v>
      </c>
      <c r="D574" s="63" t="s">
        <v>4415</v>
      </c>
      <c r="E574" s="70" t="str">
        <f>HYPERLINK("https://ledvance.com/pt/product-datasheet/204216/202029","Ficha de Produto")</f>
        <v>Ficha de Produto</v>
      </c>
      <c r="F574" s="62"/>
      <c r="G574" s="65" t="s">
        <v>5001</v>
      </c>
      <c r="H574" s="62" t="s">
        <v>4990</v>
      </c>
      <c r="I574" s="30">
        <v>259.90000000000003</v>
      </c>
      <c r="J574" s="29" t="s">
        <v>721</v>
      </c>
    </row>
    <row r="575" spans="1:10" s="51" customFormat="1" ht="15" customHeight="1">
      <c r="A575" s="92" t="s">
        <v>4420</v>
      </c>
      <c r="B575" s="67"/>
      <c r="C575" s="54"/>
      <c r="D575" s="93"/>
      <c r="E575" s="93"/>
      <c r="F575" s="54"/>
      <c r="G575" s="69"/>
      <c r="H575" s="85"/>
      <c r="I575" s="57"/>
      <c r="J575" s="58"/>
    </row>
    <row r="576" spans="1:10" ht="12" customHeight="1">
      <c r="A576" s="74">
        <v>4058075752665</v>
      </c>
      <c r="B576" s="61" t="s">
        <v>5329</v>
      </c>
      <c r="C576" s="62">
        <v>1</v>
      </c>
      <c r="D576" s="63" t="s">
        <v>4415</v>
      </c>
      <c r="E576" s="70" t="str">
        <f>HYPERLINK("https://ledvance.com/pt/product-datasheet/246820/202032","Ficha de Produto")</f>
        <v>Ficha de Produto</v>
      </c>
      <c r="F576" s="62"/>
      <c r="G576" s="65" t="s">
        <v>5008</v>
      </c>
      <c r="H576" s="62" t="s">
        <v>4990</v>
      </c>
      <c r="I576" s="30">
        <v>178</v>
      </c>
      <c r="J576" s="29" t="s">
        <v>721</v>
      </c>
    </row>
    <row r="577" spans="1:10" ht="12" customHeight="1">
      <c r="A577" s="74">
        <v>4058075752689</v>
      </c>
      <c r="B577" s="61" t="s">
        <v>5330</v>
      </c>
      <c r="C577" s="62">
        <v>1</v>
      </c>
      <c r="D577" s="63" t="s">
        <v>4415</v>
      </c>
      <c r="E577" s="70" t="str">
        <f>HYPERLINK("https://ledvance.com/pt/product-datasheet/246820/202035","Ficha de Produto")</f>
        <v>Ficha de Produto</v>
      </c>
      <c r="F577" s="62"/>
      <c r="G577" s="65" t="s">
        <v>5001</v>
      </c>
      <c r="H577" s="62" t="s">
        <v>4990</v>
      </c>
      <c r="I577" s="30">
        <v>232.6</v>
      </c>
      <c r="J577" s="29" t="s">
        <v>721</v>
      </c>
    </row>
    <row r="578" spans="1:10" s="51" customFormat="1" ht="15" customHeight="1">
      <c r="A578" s="92" t="s">
        <v>4421</v>
      </c>
      <c r="B578" s="67"/>
      <c r="C578" s="54"/>
      <c r="D578" s="93"/>
      <c r="E578" s="78"/>
      <c r="F578" s="54"/>
      <c r="G578" s="69"/>
      <c r="H578" s="85"/>
      <c r="I578" s="57"/>
      <c r="J578" s="58"/>
    </row>
    <row r="579" spans="1:10" ht="12" customHeight="1">
      <c r="A579" s="74">
        <v>4058075650152</v>
      </c>
      <c r="B579" s="61" t="s">
        <v>5331</v>
      </c>
      <c r="C579" s="62">
        <v>1</v>
      </c>
      <c r="D579" s="63" t="s">
        <v>4415</v>
      </c>
      <c r="E579" s="70" t="str">
        <f>HYPERLINK("https://ledvance.com/pt/product-datasheet/204214/163449","Ficha de Produto")</f>
        <v>Ficha de Produto</v>
      </c>
      <c r="F579" s="62"/>
      <c r="G579" s="65" t="s">
        <v>1755</v>
      </c>
      <c r="H579" s="62" t="s">
        <v>4930</v>
      </c>
      <c r="I579" s="30">
        <v>156.5</v>
      </c>
      <c r="J579" s="29" t="s">
        <v>721</v>
      </c>
    </row>
    <row r="580" spans="1:10" ht="12" customHeight="1">
      <c r="A580" s="74">
        <v>4058075650190</v>
      </c>
      <c r="B580" s="61" t="s">
        <v>5332</v>
      </c>
      <c r="C580" s="62">
        <v>1</v>
      </c>
      <c r="D580" s="63" t="s">
        <v>4415</v>
      </c>
      <c r="E580" s="70" t="str">
        <f>HYPERLINK("https://ledvance.com/pt/product-datasheet/204214/163452","Ficha de Produto")</f>
        <v>Ficha de Produto</v>
      </c>
      <c r="F580" s="62"/>
      <c r="G580" s="65" t="s">
        <v>5296</v>
      </c>
      <c r="H580" s="62" t="s">
        <v>4930</v>
      </c>
      <c r="I580" s="30">
        <v>178</v>
      </c>
      <c r="J580" s="29" t="s">
        <v>721</v>
      </c>
    </row>
    <row r="581" spans="1:10" ht="12" customHeight="1">
      <c r="A581" s="74">
        <v>4058075650213</v>
      </c>
      <c r="B581" s="61" t="s">
        <v>5333</v>
      </c>
      <c r="C581" s="62">
        <v>1</v>
      </c>
      <c r="D581" s="63" t="s">
        <v>4415</v>
      </c>
      <c r="E581" s="70" t="str">
        <f>HYPERLINK("https://ledvance.com/pt/product-datasheet/204214/163455","Ficha de Produto")</f>
        <v>Ficha de Produto</v>
      </c>
      <c r="F581" s="62"/>
      <c r="G581" s="65" t="s">
        <v>1743</v>
      </c>
      <c r="H581" s="62" t="s">
        <v>4930</v>
      </c>
      <c r="I581" s="30">
        <v>178</v>
      </c>
      <c r="J581" s="29" t="s">
        <v>721</v>
      </c>
    </row>
    <row r="582" spans="1:10" ht="12" customHeight="1">
      <c r="A582" s="74">
        <v>4058075650251</v>
      </c>
      <c r="B582" s="61" t="s">
        <v>5331</v>
      </c>
      <c r="C582" s="62">
        <v>1</v>
      </c>
      <c r="D582" s="63" t="s">
        <v>4415</v>
      </c>
      <c r="E582" s="70" t="str">
        <f>HYPERLINK("https://ledvance.com/pt/product-datasheet/204214/163458","Ficha de Produto")</f>
        <v>Ficha de Produto</v>
      </c>
      <c r="F582" s="62"/>
      <c r="G582" s="65" t="s">
        <v>1755</v>
      </c>
      <c r="H582" s="62" t="s">
        <v>4930</v>
      </c>
      <c r="I582" s="30">
        <v>156.5</v>
      </c>
      <c r="J582" s="29" t="s">
        <v>721</v>
      </c>
    </row>
    <row r="583" spans="1:10" ht="12" customHeight="1">
      <c r="A583" s="74">
        <v>4058075650275</v>
      </c>
      <c r="B583" s="61" t="s">
        <v>5332</v>
      </c>
      <c r="C583" s="62">
        <v>1</v>
      </c>
      <c r="D583" s="63" t="s">
        <v>4415</v>
      </c>
      <c r="E583" s="70" t="str">
        <f>HYPERLINK("https://ledvance.com/pt/product-datasheet/204214/163461","Ficha de Produto")</f>
        <v>Ficha de Produto</v>
      </c>
      <c r="F583" s="62"/>
      <c r="G583" s="65" t="s">
        <v>5296</v>
      </c>
      <c r="H583" s="62" t="s">
        <v>4930</v>
      </c>
      <c r="I583" s="30">
        <v>178</v>
      </c>
      <c r="J583" s="29" t="s">
        <v>721</v>
      </c>
    </row>
    <row r="584" spans="1:10" ht="12" customHeight="1">
      <c r="A584" s="74">
        <v>4058075650299</v>
      </c>
      <c r="B584" s="61" t="s">
        <v>5333</v>
      </c>
      <c r="C584" s="62">
        <v>1</v>
      </c>
      <c r="D584" s="63" t="s">
        <v>4415</v>
      </c>
      <c r="E584" s="70" t="str">
        <f>HYPERLINK("https://ledvance.com/pt/product-datasheet/204214/163464","Ficha de Produto")</f>
        <v>Ficha de Produto</v>
      </c>
      <c r="F584" s="62"/>
      <c r="G584" s="65" t="s">
        <v>1743</v>
      </c>
      <c r="H584" s="62" t="s">
        <v>4930</v>
      </c>
      <c r="I584" s="30">
        <v>178</v>
      </c>
      <c r="J584" s="29" t="s">
        <v>721</v>
      </c>
    </row>
    <row r="585" spans="1:10" s="51" customFormat="1" ht="15" customHeight="1">
      <c r="A585" s="92" t="s">
        <v>4422</v>
      </c>
      <c r="B585" s="67"/>
      <c r="C585" s="54"/>
      <c r="D585" s="93"/>
      <c r="E585" s="78"/>
      <c r="F585" s="54"/>
      <c r="G585" s="69"/>
      <c r="H585" s="85"/>
      <c r="I585" s="57"/>
      <c r="J585" s="58"/>
    </row>
    <row r="586" spans="1:10" ht="12" customHeight="1">
      <c r="A586" s="74">
        <v>4058075525313</v>
      </c>
      <c r="B586" s="61" t="s">
        <v>5334</v>
      </c>
      <c r="C586" s="62">
        <v>1</v>
      </c>
      <c r="D586" s="63" t="s">
        <v>4415</v>
      </c>
      <c r="E586" s="70" t="str">
        <f>HYPERLINK("https://ledvance.com/pt/product-datasheet/204215/46317","Ficha de Produto")</f>
        <v>Ficha de Produto</v>
      </c>
      <c r="F586" s="62"/>
      <c r="G586" s="65" t="s">
        <v>4949</v>
      </c>
      <c r="H586" s="62" t="s">
        <v>4930</v>
      </c>
      <c r="I586" s="30">
        <v>78.399999999999991</v>
      </c>
      <c r="J586" s="29" t="s">
        <v>721</v>
      </c>
    </row>
    <row r="587" spans="1:10" ht="12" customHeight="1">
      <c r="A587" s="74">
        <v>4058075495708</v>
      </c>
      <c r="B587" s="61" t="s">
        <v>5335</v>
      </c>
      <c r="C587" s="62">
        <v>1</v>
      </c>
      <c r="D587" s="63" t="s">
        <v>4415</v>
      </c>
      <c r="E587" s="70" t="str">
        <f>HYPERLINK("https://ledvance.com/pt/product-datasheet/204216/120246","Ficha de Produto")</f>
        <v>Ficha de Produto</v>
      </c>
      <c r="F587" s="62"/>
      <c r="G587" s="65" t="s">
        <v>4949</v>
      </c>
      <c r="H587" s="62" t="s">
        <v>4974</v>
      </c>
      <c r="I587" s="30">
        <v>96</v>
      </c>
      <c r="J587" s="29" t="s">
        <v>721</v>
      </c>
    </row>
    <row r="588" spans="1:10" ht="12" customHeight="1">
      <c r="A588" s="74">
        <v>4058075525337</v>
      </c>
      <c r="B588" s="61" t="s">
        <v>5336</v>
      </c>
      <c r="C588" s="62">
        <v>1</v>
      </c>
      <c r="D588" s="63" t="s">
        <v>4415</v>
      </c>
      <c r="E588" s="70" t="str">
        <f>HYPERLINK("https://ledvance.com/pt/product-datasheet/204215/46320","Ficha de Produto")</f>
        <v>Ficha de Produto</v>
      </c>
      <c r="F588" s="62"/>
      <c r="G588" s="65" t="s">
        <v>1755</v>
      </c>
      <c r="H588" s="62" t="s">
        <v>4930</v>
      </c>
      <c r="I588" s="30">
        <v>109.69999999999999</v>
      </c>
      <c r="J588" s="29" t="s">
        <v>721</v>
      </c>
    </row>
    <row r="589" spans="1:10" ht="12" customHeight="1">
      <c r="A589" s="74">
        <v>4058075525221</v>
      </c>
      <c r="B589" s="61" t="s">
        <v>5337</v>
      </c>
      <c r="C589" s="62">
        <v>1</v>
      </c>
      <c r="D589" s="63" t="s">
        <v>4415</v>
      </c>
      <c r="E589" s="70" t="str">
        <f>HYPERLINK("https://ledvance.com/pt/product-datasheet/204216/46308","Ficha de Produto")</f>
        <v>Ficha de Produto</v>
      </c>
      <c r="F589" s="62"/>
      <c r="G589" s="65" t="s">
        <v>1755</v>
      </c>
      <c r="H589" s="62" t="s">
        <v>4974</v>
      </c>
      <c r="I589" s="30">
        <v>123.3</v>
      </c>
      <c r="J589" s="29" t="s">
        <v>721</v>
      </c>
    </row>
    <row r="590" spans="1:10" ht="12" customHeight="1">
      <c r="A590" s="74">
        <v>4058075525382</v>
      </c>
      <c r="B590" s="61" t="s">
        <v>5338</v>
      </c>
      <c r="C590" s="62">
        <v>1</v>
      </c>
      <c r="D590" s="63" t="s">
        <v>4415</v>
      </c>
      <c r="E590" s="70" t="str">
        <f>HYPERLINK("https://ledvance.com/pt/product-datasheet/204215/45781","Ficha de Produto")</f>
        <v>Ficha de Produto</v>
      </c>
      <c r="F590" s="62"/>
      <c r="G590" s="65" t="s">
        <v>5001</v>
      </c>
      <c r="H590" s="62" t="s">
        <v>4930</v>
      </c>
      <c r="I590" s="30">
        <v>140.9</v>
      </c>
      <c r="J590" s="29" t="s">
        <v>721</v>
      </c>
    </row>
    <row r="591" spans="1:10" ht="12" customHeight="1">
      <c r="A591" s="74">
        <v>4058075525269</v>
      </c>
      <c r="B591" s="61" t="s">
        <v>5339</v>
      </c>
      <c r="C591" s="62">
        <v>1</v>
      </c>
      <c r="D591" s="63" t="s">
        <v>4415</v>
      </c>
      <c r="E591" s="70" t="str">
        <f>HYPERLINK("https://ledvance.com/pt/product-datasheet/204216/45775","Ficha de Produto")</f>
        <v>Ficha de Produto</v>
      </c>
      <c r="F591" s="62"/>
      <c r="G591" s="65" t="s">
        <v>5001</v>
      </c>
      <c r="H591" s="62" t="s">
        <v>4974</v>
      </c>
      <c r="I591" s="30">
        <v>164.29999999999998</v>
      </c>
      <c r="J591" s="29" t="s">
        <v>721</v>
      </c>
    </row>
    <row r="592" spans="1:10" s="51" customFormat="1" ht="15" customHeight="1">
      <c r="A592" s="59" t="s">
        <v>4423</v>
      </c>
      <c r="B592" s="67"/>
      <c r="C592" s="109"/>
      <c r="D592" s="56"/>
      <c r="E592" s="71"/>
      <c r="F592" s="109"/>
      <c r="G592" s="69"/>
      <c r="H592" s="85"/>
      <c r="I592" s="57"/>
      <c r="J592" s="58"/>
    </row>
    <row r="593" spans="1:10" ht="12" customHeight="1">
      <c r="A593" s="74">
        <v>4058075525405</v>
      </c>
      <c r="B593" s="61" t="s">
        <v>5340</v>
      </c>
      <c r="C593" s="62">
        <v>1</v>
      </c>
      <c r="D593" s="63" t="s">
        <v>4415</v>
      </c>
      <c r="E593" s="70" t="str">
        <f>HYPERLINK("https://ledvance.com/pt/product-datasheet/204215/45784","Ficha de Produto")</f>
        <v>Ficha de Produto</v>
      </c>
      <c r="F593" s="62"/>
      <c r="G593" s="65" t="s">
        <v>5001</v>
      </c>
      <c r="H593" s="62" t="s">
        <v>4930</v>
      </c>
      <c r="I593" s="30">
        <v>140.9</v>
      </c>
      <c r="J593" s="29" t="s">
        <v>721</v>
      </c>
    </row>
    <row r="594" spans="1:10" ht="12" customHeight="1">
      <c r="A594" s="74">
        <v>4058075525290</v>
      </c>
      <c r="B594" s="61" t="s">
        <v>5341</v>
      </c>
      <c r="C594" s="62">
        <v>1</v>
      </c>
      <c r="D594" s="63" t="s">
        <v>4415</v>
      </c>
      <c r="E594" s="70" t="str">
        <f>HYPERLINK("https://ledvance.com/pt/product-datasheet/204216/46314","Ficha de Produto")</f>
        <v>Ficha de Produto</v>
      </c>
      <c r="F594" s="62"/>
      <c r="G594" s="65" t="s">
        <v>5001</v>
      </c>
      <c r="H594" s="62" t="s">
        <v>4974</v>
      </c>
      <c r="I594" s="30">
        <v>164.29999999999998</v>
      </c>
      <c r="J594" s="29" t="s">
        <v>721</v>
      </c>
    </row>
    <row r="595" spans="1:10" ht="12" customHeight="1">
      <c r="A595" s="74">
        <v>4058075525245</v>
      </c>
      <c r="B595" s="61" t="s">
        <v>5342</v>
      </c>
      <c r="C595" s="62">
        <v>1</v>
      </c>
      <c r="D595" s="63" t="s">
        <v>4415</v>
      </c>
      <c r="E595" s="70" t="str">
        <f>HYPERLINK("https://ledvance.com/pt/product-datasheet/204216/46311","Ficha de Produto")</f>
        <v>Ficha de Produto</v>
      </c>
      <c r="F595" s="62"/>
      <c r="G595" s="65" t="s">
        <v>1755</v>
      </c>
      <c r="H595" s="62" t="s">
        <v>4974</v>
      </c>
      <c r="I595" s="30">
        <v>123.3</v>
      </c>
      <c r="J595" s="29" t="s">
        <v>721</v>
      </c>
    </row>
    <row r="596" spans="1:10" ht="12" customHeight="1">
      <c r="A596" s="74">
        <v>4058075525368</v>
      </c>
      <c r="B596" s="61" t="s">
        <v>5343</v>
      </c>
      <c r="C596" s="62">
        <v>1</v>
      </c>
      <c r="D596" s="63" t="s">
        <v>4415</v>
      </c>
      <c r="E596" s="70" t="str">
        <f>HYPERLINK("https://ledvance.com/pt/product-datasheet/204215/45778","Ficha de Produto")</f>
        <v>Ficha de Produto</v>
      </c>
      <c r="F596" s="62"/>
      <c r="G596" s="65" t="s">
        <v>5036</v>
      </c>
      <c r="H596" s="62" t="s">
        <v>4930</v>
      </c>
      <c r="I596" s="30">
        <v>109.69999999999999</v>
      </c>
      <c r="J596" s="29" t="s">
        <v>721</v>
      </c>
    </row>
    <row r="597" spans="1:10" s="51" customFormat="1" ht="15" customHeight="1">
      <c r="A597" s="92" t="s">
        <v>4424</v>
      </c>
      <c r="B597" s="67"/>
      <c r="C597" s="54"/>
      <c r="D597" s="93"/>
      <c r="E597" s="78"/>
      <c r="F597" s="54"/>
      <c r="G597" s="69"/>
      <c r="H597" s="85"/>
      <c r="I597" s="57"/>
      <c r="J597" s="58"/>
    </row>
    <row r="598" spans="1:10" ht="12" customHeight="1">
      <c r="A598" s="83">
        <v>4099854090370</v>
      </c>
      <c r="B598" s="61" t="s">
        <v>5344</v>
      </c>
      <c r="C598" s="62">
        <v>1</v>
      </c>
      <c r="D598" s="63" t="s">
        <v>4415</v>
      </c>
      <c r="E598" s="70" t="str">
        <f>HYPERLINK("https://ledvance.com/pt/product-datasheet/259418/246714","Ficha de Produto")</f>
        <v>Ficha de Produto</v>
      </c>
      <c r="F598" s="94" t="s">
        <v>4183</v>
      </c>
      <c r="G598" s="65" t="s">
        <v>4977</v>
      </c>
      <c r="H598" s="62" t="s">
        <v>4990</v>
      </c>
      <c r="I598" s="30">
        <v>82.3</v>
      </c>
      <c r="J598" s="29" t="s">
        <v>721</v>
      </c>
    </row>
    <row r="599" spans="1:10" ht="12" customHeight="1">
      <c r="A599" s="83">
        <v>4099854090394</v>
      </c>
      <c r="B599" s="61" t="s">
        <v>5345</v>
      </c>
      <c r="C599" s="62">
        <v>1</v>
      </c>
      <c r="D599" s="63" t="s">
        <v>4415</v>
      </c>
      <c r="E599" s="70" t="str">
        <f>HYPERLINK("https://ledvance.com/pt/product-datasheet/259418/246717","Ficha de Produto")</f>
        <v>Ficha de Produto</v>
      </c>
      <c r="F599" s="94" t="s">
        <v>4183</v>
      </c>
      <c r="G599" s="65" t="s">
        <v>5008</v>
      </c>
      <c r="H599" s="62" t="s">
        <v>4990</v>
      </c>
      <c r="I599" s="30">
        <v>109.69999999999999</v>
      </c>
      <c r="J599" s="29" t="s">
        <v>721</v>
      </c>
    </row>
    <row r="600" spans="1:10" ht="12" customHeight="1">
      <c r="A600" s="83">
        <v>4099854090417</v>
      </c>
      <c r="B600" s="61" t="s">
        <v>5346</v>
      </c>
      <c r="C600" s="62">
        <v>1</v>
      </c>
      <c r="D600" s="63" t="s">
        <v>4415</v>
      </c>
      <c r="E600" s="70" t="str">
        <f>HYPERLINK("https://ledvance.com/pt/product-datasheet/259418/246720","Ficha de Produto")</f>
        <v>Ficha de Produto</v>
      </c>
      <c r="F600" s="94" t="s">
        <v>4183</v>
      </c>
      <c r="G600" s="65" t="s">
        <v>5001</v>
      </c>
      <c r="H600" s="62" t="s">
        <v>4990</v>
      </c>
      <c r="I600" s="30">
        <v>137</v>
      </c>
      <c r="J600" s="29" t="s">
        <v>721</v>
      </c>
    </row>
    <row r="601" spans="1:10" s="51" customFormat="1" ht="15" customHeight="1">
      <c r="A601" s="104" t="s">
        <v>4425</v>
      </c>
      <c r="B601" s="67"/>
      <c r="C601" s="105"/>
      <c r="D601" s="105"/>
      <c r="E601" s="82"/>
      <c r="F601" s="105"/>
      <c r="G601" s="69"/>
      <c r="H601" s="85"/>
      <c r="I601" s="57"/>
      <c r="J601" s="58"/>
    </row>
    <row r="602" spans="1:10" s="51" customFormat="1" ht="15" customHeight="1">
      <c r="A602" s="92" t="s">
        <v>4426</v>
      </c>
      <c r="B602" s="67"/>
      <c r="C602" s="54"/>
      <c r="D602" s="93"/>
      <c r="E602" s="78"/>
      <c r="F602" s="54"/>
      <c r="G602" s="69"/>
      <c r="H602" s="85"/>
      <c r="I602" s="57"/>
      <c r="J602" s="58"/>
    </row>
    <row r="603" spans="1:10" ht="12" customHeight="1">
      <c r="A603" s="74">
        <v>4058075470675</v>
      </c>
      <c r="B603" s="61" t="s">
        <v>5347</v>
      </c>
      <c r="C603" s="62">
        <v>1</v>
      </c>
      <c r="D603" s="63" t="s">
        <v>4415</v>
      </c>
      <c r="E603" s="70" t="str">
        <f>HYPERLINK("https://ledvance.com/pt/product-datasheet/9133/116473","Ficha de Produto")</f>
        <v>Ficha de Produto</v>
      </c>
      <c r="F603" s="62"/>
      <c r="G603" s="65" t="s">
        <v>4996</v>
      </c>
      <c r="H603" s="62" t="s">
        <v>4974</v>
      </c>
      <c r="I603" s="30">
        <v>70.599999999999994</v>
      </c>
      <c r="J603" s="29" t="s">
        <v>721</v>
      </c>
    </row>
    <row r="604" spans="1:10" ht="12" customHeight="1">
      <c r="A604" s="74">
        <v>4058075470651</v>
      </c>
      <c r="B604" s="61" t="s">
        <v>5348</v>
      </c>
      <c r="C604" s="62">
        <v>1</v>
      </c>
      <c r="D604" s="63" t="s">
        <v>4415</v>
      </c>
      <c r="E604" s="70" t="str">
        <f>HYPERLINK("https://ledvance.com/pt/product-datasheet/9133/116476","Ficha de Produto")</f>
        <v>Ficha de Produto</v>
      </c>
      <c r="F604" s="62"/>
      <c r="G604" s="65" t="s">
        <v>5296</v>
      </c>
      <c r="H604" s="62" t="s">
        <v>4974</v>
      </c>
      <c r="I604" s="30">
        <v>125.3</v>
      </c>
      <c r="J604" s="29" t="s">
        <v>721</v>
      </c>
    </row>
    <row r="605" spans="1:10" s="51" customFormat="1" ht="15" customHeight="1">
      <c r="A605" s="59" t="s">
        <v>4427</v>
      </c>
      <c r="B605" s="67"/>
      <c r="C605" s="56"/>
      <c r="D605" s="56"/>
      <c r="E605" s="71"/>
      <c r="F605" s="56"/>
      <c r="G605" s="69"/>
      <c r="H605" s="85"/>
      <c r="I605" s="57"/>
      <c r="J605" s="58"/>
    </row>
    <row r="606" spans="1:10" ht="12" customHeight="1">
      <c r="A606" s="74">
        <v>4058075470699</v>
      </c>
      <c r="B606" s="61" t="s">
        <v>5349</v>
      </c>
      <c r="C606" s="62">
        <v>1</v>
      </c>
      <c r="D606" s="63" t="s">
        <v>4415</v>
      </c>
      <c r="E606" s="70" t="str">
        <f>HYPERLINK("https://ledvance.com/pt/product-datasheet/9133/116482","Ficha de Produto")</f>
        <v>Ficha de Produto</v>
      </c>
      <c r="F606" s="62"/>
      <c r="G606" s="65" t="s">
        <v>1758</v>
      </c>
      <c r="H606" s="62" t="s">
        <v>4974</v>
      </c>
      <c r="I606" s="30">
        <v>109.69999999999999</v>
      </c>
      <c r="J606" s="29" t="s">
        <v>721</v>
      </c>
    </row>
    <row r="607" spans="1:10" ht="12" customHeight="1">
      <c r="A607" s="74">
        <v>4058075470576</v>
      </c>
      <c r="B607" s="61" t="s">
        <v>5350</v>
      </c>
      <c r="C607" s="62">
        <v>1</v>
      </c>
      <c r="D607" s="63" t="s">
        <v>4415</v>
      </c>
      <c r="E607" s="70" t="str">
        <f>HYPERLINK("https://ledvance.com/pt/product-datasheet/9133/116479","Ficha de Produto")</f>
        <v>Ficha de Produto</v>
      </c>
      <c r="F607" s="62"/>
      <c r="G607" s="65" t="s">
        <v>5296</v>
      </c>
      <c r="H607" s="62" t="s">
        <v>4974</v>
      </c>
      <c r="I607" s="30">
        <v>156.5</v>
      </c>
      <c r="J607" s="29" t="s">
        <v>721</v>
      </c>
    </row>
    <row r="608" spans="1:10" s="51" customFormat="1" ht="15" customHeight="1">
      <c r="A608" s="59" t="s">
        <v>4428</v>
      </c>
      <c r="B608" s="67"/>
      <c r="C608" s="54"/>
      <c r="D608" s="56"/>
      <c r="E608" s="71"/>
      <c r="F608" s="54"/>
      <c r="G608" s="69"/>
      <c r="H608" s="85"/>
      <c r="I608" s="57"/>
      <c r="J608" s="58"/>
    </row>
    <row r="609" spans="1:10" ht="12" customHeight="1">
      <c r="A609" s="74">
        <v>4058075470712</v>
      </c>
      <c r="B609" s="61" t="s">
        <v>5351</v>
      </c>
      <c r="C609" s="62">
        <v>1</v>
      </c>
      <c r="D609" s="63" t="s">
        <v>4415</v>
      </c>
      <c r="E609" s="70" t="str">
        <f>HYPERLINK("https://ledvance.com/pt/product-datasheet/9133/116485","Ficha de Produto")</f>
        <v>Ficha de Produto</v>
      </c>
      <c r="F609" s="62"/>
      <c r="G609" s="65" t="s">
        <v>4996</v>
      </c>
      <c r="H609" s="62" t="s">
        <v>4974</v>
      </c>
      <c r="I609" s="30">
        <v>94</v>
      </c>
      <c r="J609" s="29" t="s">
        <v>721</v>
      </c>
    </row>
    <row r="610" spans="1:10" ht="12" customHeight="1">
      <c r="A610" s="74">
        <v>4058075470736</v>
      </c>
      <c r="B610" s="61" t="s">
        <v>5352</v>
      </c>
      <c r="C610" s="62">
        <v>1</v>
      </c>
      <c r="D610" s="63" t="s">
        <v>4415</v>
      </c>
      <c r="E610" s="70" t="str">
        <f>HYPERLINK("https://ledvance.com/pt/product-datasheet/9133/116488","Ficha de Produto")</f>
        <v>Ficha de Produto</v>
      </c>
      <c r="F610" s="62"/>
      <c r="G610" s="65" t="s">
        <v>1755</v>
      </c>
      <c r="H610" s="62" t="s">
        <v>4974</v>
      </c>
      <c r="I610" s="30">
        <v>156.5</v>
      </c>
      <c r="J610" s="29" t="s">
        <v>721</v>
      </c>
    </row>
    <row r="611" spans="1:10" s="51" customFormat="1" ht="15" customHeight="1">
      <c r="A611" s="59" t="s">
        <v>4429</v>
      </c>
      <c r="B611" s="67"/>
      <c r="C611" s="54"/>
      <c r="D611" s="56"/>
      <c r="E611" s="71"/>
      <c r="F611" s="54"/>
      <c r="G611" s="69"/>
      <c r="H611" s="85"/>
      <c r="I611" s="57"/>
      <c r="J611" s="58"/>
    </row>
    <row r="612" spans="1:10" ht="12" customHeight="1">
      <c r="A612" s="110">
        <v>4058075601253</v>
      </c>
      <c r="B612" s="61" t="s">
        <v>5353</v>
      </c>
      <c r="C612" s="62">
        <v>1</v>
      </c>
      <c r="D612" s="63" t="s">
        <v>4415</v>
      </c>
      <c r="E612" s="70" t="str">
        <f>HYPERLINK("https://ledvance.com/pt/product-datasheet/9132/140566","Ficha de Produto")</f>
        <v>Ficha de Produto</v>
      </c>
      <c r="F612" s="62"/>
      <c r="G612" s="65" t="s">
        <v>5036</v>
      </c>
      <c r="H612" s="62" t="s">
        <v>4974</v>
      </c>
      <c r="I612" s="30">
        <v>62.800000000000004</v>
      </c>
      <c r="J612" s="29" t="s">
        <v>721</v>
      </c>
    </row>
    <row r="613" spans="1:10" ht="12" customHeight="1">
      <c r="A613" s="74">
        <v>4058075601277</v>
      </c>
      <c r="B613" s="61" t="s">
        <v>5354</v>
      </c>
      <c r="C613" s="62">
        <v>1</v>
      </c>
      <c r="D613" s="63" t="s">
        <v>4415</v>
      </c>
      <c r="E613" s="70" t="str">
        <f>HYPERLINK("https://ledvance.com/pt/product-datasheet/9132/140569","Ficha de Produto")</f>
        <v>Ficha de Produto</v>
      </c>
      <c r="F613" s="62"/>
      <c r="G613" s="65" t="s">
        <v>5036</v>
      </c>
      <c r="H613" s="62" t="s">
        <v>4992</v>
      </c>
      <c r="I613" s="30">
        <v>62.800000000000004</v>
      </c>
      <c r="J613" s="29" t="s">
        <v>721</v>
      </c>
    </row>
    <row r="614" spans="1:10" ht="12" customHeight="1">
      <c r="A614" s="110">
        <v>4058075601291</v>
      </c>
      <c r="B614" s="61" t="s">
        <v>5355</v>
      </c>
      <c r="C614" s="62">
        <v>1</v>
      </c>
      <c r="D614" s="63" t="s">
        <v>4415</v>
      </c>
      <c r="E614" s="70" t="str">
        <f>HYPERLINK("https://ledvance.com/pt/product-datasheet/9132/140572","Ficha de Produto")</f>
        <v>Ficha de Produto</v>
      </c>
      <c r="F614" s="62"/>
      <c r="G614" s="65" t="s">
        <v>5001</v>
      </c>
      <c r="H614" s="62" t="s">
        <v>4974</v>
      </c>
      <c r="I614" s="30">
        <v>88.199999999999989</v>
      </c>
      <c r="J614" s="29" t="s">
        <v>721</v>
      </c>
    </row>
    <row r="615" spans="1:10" ht="12" customHeight="1">
      <c r="A615" s="74">
        <v>4058075601314</v>
      </c>
      <c r="B615" s="61" t="s">
        <v>5356</v>
      </c>
      <c r="C615" s="62">
        <v>1</v>
      </c>
      <c r="D615" s="63" t="s">
        <v>4415</v>
      </c>
      <c r="E615" s="70" t="str">
        <f>HYPERLINK("https://ledvance.com/pt/product-datasheet/9132/140575","Ficha de Produto")</f>
        <v>Ficha de Produto</v>
      </c>
      <c r="F615" s="62"/>
      <c r="G615" s="65" t="s">
        <v>5001</v>
      </c>
      <c r="H615" s="62" t="s">
        <v>4992</v>
      </c>
      <c r="I615" s="30">
        <v>88.199999999999989</v>
      </c>
      <c r="J615" s="29" t="s">
        <v>721</v>
      </c>
    </row>
    <row r="616" spans="1:10" ht="12" customHeight="1">
      <c r="A616" s="74">
        <v>4058075601338</v>
      </c>
      <c r="B616" s="61" t="s">
        <v>5357</v>
      </c>
      <c r="C616" s="62">
        <v>1</v>
      </c>
      <c r="D616" s="63" t="s">
        <v>4415</v>
      </c>
      <c r="E616" s="70" t="str">
        <f>HYPERLINK("https://ledvance.com/pt/product-datasheet/9132/140578","Ficha de Produto")</f>
        <v>Ficha de Produto</v>
      </c>
      <c r="F616" s="62"/>
      <c r="G616" s="65" t="s">
        <v>5001</v>
      </c>
      <c r="H616" s="62" t="s">
        <v>4974</v>
      </c>
      <c r="I616" s="30">
        <v>94</v>
      </c>
      <c r="J616" s="29" t="s">
        <v>721</v>
      </c>
    </row>
    <row r="617" spans="1:10" ht="12" customHeight="1">
      <c r="A617" s="74">
        <v>4058075601352</v>
      </c>
      <c r="B617" s="61" t="s">
        <v>5358</v>
      </c>
      <c r="C617" s="62">
        <v>1</v>
      </c>
      <c r="D617" s="63" t="s">
        <v>4415</v>
      </c>
      <c r="E617" s="70" t="str">
        <f>HYPERLINK("https://ledvance.com/pt/product-datasheet/9132/140581","Ficha de Produto")</f>
        <v>Ficha de Produto</v>
      </c>
      <c r="F617" s="62"/>
      <c r="G617" s="65" t="s">
        <v>5001</v>
      </c>
      <c r="H617" s="62" t="s">
        <v>4992</v>
      </c>
      <c r="I617" s="30">
        <v>94</v>
      </c>
      <c r="J617" s="29" t="s">
        <v>721</v>
      </c>
    </row>
    <row r="618" spans="1:10" s="51" customFormat="1" ht="15" customHeight="1">
      <c r="A618" s="59" t="s">
        <v>4430</v>
      </c>
      <c r="B618" s="67"/>
      <c r="C618" s="54"/>
      <c r="D618" s="56"/>
      <c r="E618" s="71"/>
      <c r="F618" s="54"/>
      <c r="G618" s="69"/>
      <c r="H618" s="85"/>
      <c r="I618" s="57"/>
      <c r="J618" s="58"/>
    </row>
    <row r="619" spans="1:10" ht="12" customHeight="1">
      <c r="A619" s="74">
        <v>4058075762657</v>
      </c>
      <c r="B619" s="61" t="s">
        <v>5359</v>
      </c>
      <c r="C619" s="62">
        <v>1</v>
      </c>
      <c r="D619" s="63" t="s">
        <v>4415</v>
      </c>
      <c r="E619" s="70" t="str">
        <f>HYPERLINK("https://ledvance.com/pt/product-datasheet/232042/204341","Ficha de Produto")</f>
        <v>Ficha de Produto</v>
      </c>
      <c r="F619" s="62"/>
      <c r="G619" s="65" t="s">
        <v>5001</v>
      </c>
      <c r="H619" s="62" t="s">
        <v>4992</v>
      </c>
      <c r="I619" s="30">
        <v>40.1</v>
      </c>
      <c r="J619" s="29" t="s">
        <v>721</v>
      </c>
    </row>
    <row r="620" spans="1:10" ht="12" customHeight="1">
      <c r="A620" s="74">
        <v>4058075762671</v>
      </c>
      <c r="B620" s="61" t="s">
        <v>5360</v>
      </c>
      <c r="C620" s="62">
        <v>1</v>
      </c>
      <c r="D620" s="63" t="s">
        <v>4415</v>
      </c>
      <c r="E620" s="70" t="str">
        <f>HYPERLINK("https://ledvance.com/pt/product-datasheet/232042/204344","Ficha de Produto")</f>
        <v>Ficha de Produto</v>
      </c>
      <c r="F620" s="62"/>
      <c r="G620" s="65" t="s">
        <v>5001</v>
      </c>
      <c r="H620" s="62" t="s">
        <v>5143</v>
      </c>
      <c r="I620" s="30">
        <v>40.1</v>
      </c>
      <c r="J620" s="29" t="s">
        <v>721</v>
      </c>
    </row>
    <row r="621" spans="1:10" ht="12" customHeight="1">
      <c r="A621" s="74">
        <v>4099854003097</v>
      </c>
      <c r="B621" s="61" t="s">
        <v>5361</v>
      </c>
      <c r="C621" s="62">
        <v>1</v>
      </c>
      <c r="D621" s="63" t="s">
        <v>4415</v>
      </c>
      <c r="E621" s="70" t="str">
        <f>HYPERLINK("https://ledvance.com/pt/product-datasheet/232042/220455","Ficha de Produto")</f>
        <v>Ficha de Produto</v>
      </c>
      <c r="F621" s="62"/>
      <c r="G621" s="65">
        <v>0</v>
      </c>
      <c r="H621" s="62">
        <v>0</v>
      </c>
      <c r="I621" s="30">
        <v>22.1</v>
      </c>
      <c r="J621" s="29" t="s">
        <v>721</v>
      </c>
    </row>
    <row r="622" spans="1:10" s="51" customFormat="1" ht="15" customHeight="1">
      <c r="A622" s="104" t="s">
        <v>4431</v>
      </c>
      <c r="B622" s="67"/>
      <c r="C622" s="105"/>
      <c r="D622" s="105"/>
      <c r="E622" s="82"/>
      <c r="F622" s="105"/>
      <c r="G622" s="69"/>
      <c r="H622" s="85"/>
      <c r="I622" s="57"/>
      <c r="J622" s="58"/>
    </row>
    <row r="623" spans="1:10" s="51" customFormat="1" ht="15" customHeight="1">
      <c r="A623" s="92" t="s">
        <v>4432</v>
      </c>
      <c r="B623" s="67"/>
      <c r="C623" s="54"/>
      <c r="D623" s="93"/>
      <c r="E623" s="78"/>
      <c r="F623" s="54"/>
      <c r="G623" s="69"/>
      <c r="H623" s="85"/>
      <c r="I623" s="57"/>
      <c r="J623" s="58"/>
    </row>
    <row r="624" spans="1:10" ht="12" customHeight="1">
      <c r="A624" s="74">
        <v>4058075572652</v>
      </c>
      <c r="B624" s="61" t="s">
        <v>5362</v>
      </c>
      <c r="C624" s="62">
        <v>1</v>
      </c>
      <c r="D624" s="63" t="s">
        <v>4415</v>
      </c>
      <c r="E624" s="70" t="str">
        <f>HYPERLINK("https://ledvance.com/pt/product-datasheet/207191/122535","Ficha de Produto")</f>
        <v>Ficha de Produto</v>
      </c>
      <c r="F624" s="62"/>
      <c r="G624" s="65" t="s">
        <v>4938</v>
      </c>
      <c r="H624" s="62" t="s">
        <v>4930</v>
      </c>
      <c r="I624" s="30">
        <v>123.3</v>
      </c>
      <c r="J624" s="29" t="s">
        <v>721</v>
      </c>
    </row>
    <row r="625" spans="1:10" ht="12" customHeight="1">
      <c r="A625" s="74">
        <v>4058075572690</v>
      </c>
      <c r="B625" s="61" t="s">
        <v>5363</v>
      </c>
      <c r="C625" s="62">
        <v>1</v>
      </c>
      <c r="D625" s="63" t="s">
        <v>4415</v>
      </c>
      <c r="E625" s="70" t="str">
        <f>HYPERLINK("https://ledvance.com/pt/product-datasheet/207191/122538","Ficha de Produto")</f>
        <v>Ficha de Produto</v>
      </c>
      <c r="F625" s="62"/>
      <c r="G625" s="65" t="s">
        <v>5364</v>
      </c>
      <c r="H625" s="62" t="s">
        <v>4930</v>
      </c>
      <c r="I625" s="30">
        <v>137</v>
      </c>
      <c r="J625" s="29" t="s">
        <v>721</v>
      </c>
    </row>
    <row r="626" spans="1:10" ht="12" customHeight="1">
      <c r="A626" s="74">
        <v>4058075572713</v>
      </c>
      <c r="B626" s="61" t="s">
        <v>5365</v>
      </c>
      <c r="C626" s="62">
        <v>1</v>
      </c>
      <c r="D626" s="63" t="s">
        <v>4415</v>
      </c>
      <c r="E626" s="70" t="str">
        <f>HYPERLINK("https://ledvance.com/pt/product-datasheet/207191/122541","Ficha de Produto")</f>
        <v>Ficha de Produto</v>
      </c>
      <c r="F626" s="62"/>
      <c r="G626" s="65" t="s">
        <v>5364</v>
      </c>
      <c r="H626" s="62" t="s">
        <v>4930</v>
      </c>
      <c r="I626" s="30">
        <v>137</v>
      </c>
      <c r="J626" s="29" t="s">
        <v>721</v>
      </c>
    </row>
    <row r="627" spans="1:10" ht="12" customHeight="1">
      <c r="A627" s="74">
        <v>4058075572737</v>
      </c>
      <c r="B627" s="61" t="s">
        <v>5366</v>
      </c>
      <c r="C627" s="62">
        <v>1</v>
      </c>
      <c r="D627" s="63" t="s">
        <v>4415</v>
      </c>
      <c r="E627" s="70" t="str">
        <f>HYPERLINK("https://ledvance.com/pt/product-datasheet/207191/122544","Ficha de Produto")</f>
        <v>Ficha de Produto</v>
      </c>
      <c r="F627" s="62"/>
      <c r="G627" s="65" t="s">
        <v>4938</v>
      </c>
      <c r="H627" s="62" t="s">
        <v>4930</v>
      </c>
      <c r="I627" s="30">
        <v>123.3</v>
      </c>
      <c r="J627" s="29" t="s">
        <v>721</v>
      </c>
    </row>
    <row r="628" spans="1:10" ht="12" customHeight="1">
      <c r="A628" s="74">
        <v>4058075572751</v>
      </c>
      <c r="B628" s="61" t="s">
        <v>5367</v>
      </c>
      <c r="C628" s="62">
        <v>1</v>
      </c>
      <c r="D628" s="63" t="s">
        <v>4415</v>
      </c>
      <c r="E628" s="70" t="str">
        <f>HYPERLINK("https://ledvance.com/pt/product-datasheet/207191/122547","Ficha de Produto")</f>
        <v>Ficha de Produto</v>
      </c>
      <c r="F628" s="62"/>
      <c r="G628" s="65" t="s">
        <v>5364</v>
      </c>
      <c r="H628" s="62" t="s">
        <v>4930</v>
      </c>
      <c r="I628" s="30">
        <v>137</v>
      </c>
      <c r="J628" s="29" t="s">
        <v>721</v>
      </c>
    </row>
    <row r="629" spans="1:10" ht="12" customHeight="1">
      <c r="A629" s="74">
        <v>4058075572775</v>
      </c>
      <c r="B629" s="61" t="s">
        <v>5368</v>
      </c>
      <c r="C629" s="62">
        <v>1</v>
      </c>
      <c r="D629" s="63" t="s">
        <v>4415</v>
      </c>
      <c r="E629" s="70" t="str">
        <f>HYPERLINK("https://ledvance.com/pt/product-datasheet/207191/112814","Ficha de Produto")</f>
        <v>Ficha de Produto</v>
      </c>
      <c r="F629" s="62"/>
      <c r="G629" s="65" t="s">
        <v>5364</v>
      </c>
      <c r="H629" s="62" t="s">
        <v>4930</v>
      </c>
      <c r="I629" s="30">
        <v>137</v>
      </c>
      <c r="J629" s="29" t="s">
        <v>721</v>
      </c>
    </row>
    <row r="630" spans="1:10" ht="12" customHeight="1">
      <c r="A630" s="74">
        <v>4058075572812</v>
      </c>
      <c r="B630" s="61" t="s">
        <v>5369</v>
      </c>
      <c r="C630" s="62">
        <v>1</v>
      </c>
      <c r="D630" s="63" t="s">
        <v>4415</v>
      </c>
      <c r="E630" s="70" t="str">
        <f>HYPERLINK("https://ledvance.com/pt/product-datasheet/207191/112820","Ficha de Produto")</f>
        <v>Ficha de Produto</v>
      </c>
      <c r="F630" s="101" t="s">
        <v>4251</v>
      </c>
      <c r="G630" s="65" t="s">
        <v>5364</v>
      </c>
      <c r="H630" s="62" t="s">
        <v>4930</v>
      </c>
      <c r="I630" s="30">
        <v>137</v>
      </c>
      <c r="J630" s="29" t="s">
        <v>721</v>
      </c>
    </row>
    <row r="631" spans="1:10" ht="12" customHeight="1">
      <c r="A631" s="74">
        <v>4058075572836</v>
      </c>
      <c r="B631" s="61" t="s">
        <v>5370</v>
      </c>
      <c r="C631" s="62">
        <v>1</v>
      </c>
      <c r="D631" s="63" t="s">
        <v>4415</v>
      </c>
      <c r="E631" s="70" t="str">
        <f>HYPERLINK("https://ledvance.com/pt/product-datasheet/207191/112823","Ficha de Produto")</f>
        <v>Ficha de Produto</v>
      </c>
      <c r="F631" s="101" t="s">
        <v>4251</v>
      </c>
      <c r="G631" s="65" t="s">
        <v>5364</v>
      </c>
      <c r="H631" s="62" t="s">
        <v>4930</v>
      </c>
      <c r="I631" s="30">
        <v>137</v>
      </c>
      <c r="J631" s="29" t="s">
        <v>721</v>
      </c>
    </row>
    <row r="632" spans="1:10" s="51" customFormat="1" ht="15" customHeight="1">
      <c r="A632" s="59" t="s">
        <v>4433</v>
      </c>
      <c r="B632" s="67"/>
      <c r="C632" s="54"/>
      <c r="D632" s="56"/>
      <c r="E632" s="56"/>
      <c r="F632" s="54"/>
      <c r="G632" s="69"/>
      <c r="H632" s="85"/>
      <c r="I632" s="57"/>
      <c r="J632" s="58"/>
    </row>
    <row r="633" spans="1:10" ht="12" customHeight="1">
      <c r="A633" s="74">
        <v>4058075572850</v>
      </c>
      <c r="B633" s="61" t="s">
        <v>5371</v>
      </c>
      <c r="C633" s="62">
        <v>1</v>
      </c>
      <c r="D633" s="63" t="s">
        <v>4415</v>
      </c>
      <c r="E633" s="70" t="str">
        <f>HYPERLINK("https://ledvance.com/pt/product-datasheet/205771/112826","Ficha de Produto")</f>
        <v>Ficha de Produto</v>
      </c>
      <c r="F633" s="62"/>
      <c r="G633" s="65" t="s">
        <v>1755</v>
      </c>
      <c r="H633" s="62" t="s">
        <v>4930</v>
      </c>
      <c r="I633" s="30">
        <v>130.1</v>
      </c>
      <c r="J633" s="29" t="s">
        <v>721</v>
      </c>
    </row>
    <row r="634" spans="1:10" ht="12" customHeight="1">
      <c r="A634" s="74">
        <v>4058075572874</v>
      </c>
      <c r="B634" s="61" t="s">
        <v>5372</v>
      </c>
      <c r="C634" s="62">
        <v>1</v>
      </c>
      <c r="D634" s="63" t="s">
        <v>4415</v>
      </c>
      <c r="E634" s="70" t="str">
        <f>HYPERLINK("https://ledvance.com/pt/product-datasheet/205771/112829","Ficha de Produto")</f>
        <v>Ficha de Produto</v>
      </c>
      <c r="F634" s="62"/>
      <c r="G634" s="65" t="s">
        <v>1755</v>
      </c>
      <c r="H634" s="62" t="s">
        <v>4930</v>
      </c>
      <c r="I634" s="30">
        <v>130.1</v>
      </c>
      <c r="J634" s="29" t="s">
        <v>721</v>
      </c>
    </row>
    <row r="635" spans="1:10" s="51" customFormat="1" ht="15" customHeight="1">
      <c r="A635" s="59" t="s">
        <v>4434</v>
      </c>
      <c r="B635" s="67"/>
      <c r="C635" s="54"/>
      <c r="D635" s="56"/>
      <c r="E635" s="56"/>
      <c r="F635" s="54"/>
      <c r="G635" s="69"/>
      <c r="H635" s="85"/>
      <c r="I635" s="57"/>
      <c r="J635" s="58"/>
    </row>
    <row r="636" spans="1:10" ht="12" customHeight="1">
      <c r="A636" s="74">
        <v>4058075573390</v>
      </c>
      <c r="B636" s="61" t="s">
        <v>5373</v>
      </c>
      <c r="C636" s="62">
        <v>1</v>
      </c>
      <c r="D636" s="63" t="s">
        <v>4415</v>
      </c>
      <c r="E636" s="70" t="str">
        <f>HYPERLINK("https://ledvance.com/pt/product-datasheet/170103/122556","Ficha de Produto")</f>
        <v>Ficha de Produto</v>
      </c>
      <c r="F636" s="62"/>
      <c r="G636" s="65" t="s">
        <v>1763</v>
      </c>
      <c r="H636" s="62" t="s">
        <v>4990</v>
      </c>
      <c r="I636" s="30">
        <v>205.29999999999998</v>
      </c>
      <c r="J636" s="29" t="s">
        <v>721</v>
      </c>
    </row>
    <row r="637" spans="1:10" s="51" customFormat="1" ht="15" customHeight="1">
      <c r="A637" s="59" t="s">
        <v>4435</v>
      </c>
      <c r="B637" s="67"/>
      <c r="C637" s="54"/>
      <c r="D637" s="56"/>
      <c r="E637" s="56"/>
      <c r="F637" s="54"/>
      <c r="G637" s="69"/>
      <c r="H637" s="85"/>
      <c r="I637" s="57"/>
      <c r="J637" s="58"/>
    </row>
    <row r="638" spans="1:10" ht="12" customHeight="1">
      <c r="A638" s="74">
        <v>4058075573451</v>
      </c>
      <c r="B638" s="61" t="s">
        <v>5374</v>
      </c>
      <c r="C638" s="62">
        <v>1</v>
      </c>
      <c r="D638" s="63" t="s">
        <v>4415</v>
      </c>
      <c r="E638" s="70" t="str">
        <f>HYPERLINK("https://ledvance.com/pt/product-datasheet/170103/122565","Ficha de Produto")</f>
        <v>Ficha de Produto</v>
      </c>
      <c r="F638" s="62"/>
      <c r="G638" s="65" t="s">
        <v>1763</v>
      </c>
      <c r="H638" s="62" t="s">
        <v>4990</v>
      </c>
      <c r="I638" s="30">
        <v>218.9</v>
      </c>
      <c r="J638" s="29" t="s">
        <v>721</v>
      </c>
    </row>
    <row r="639" spans="1:10" s="51" customFormat="1" ht="15" customHeight="1">
      <c r="A639" s="59" t="s">
        <v>4436</v>
      </c>
      <c r="B639" s="67"/>
      <c r="C639" s="54"/>
      <c r="D639" s="56"/>
      <c r="E639" s="56"/>
      <c r="F639" s="54"/>
      <c r="G639" s="69"/>
      <c r="H639" s="85"/>
      <c r="I639" s="57"/>
      <c r="J639" s="58"/>
    </row>
    <row r="640" spans="1:10" ht="12" customHeight="1">
      <c r="A640" s="74">
        <v>4058075572614</v>
      </c>
      <c r="B640" s="61" t="s">
        <v>5375</v>
      </c>
      <c r="C640" s="62">
        <v>1</v>
      </c>
      <c r="D640" s="63" t="s">
        <v>4415</v>
      </c>
      <c r="E640" s="70" t="str">
        <f>HYPERLINK("https://ledvance.com/pt/product-datasheet/210324/122532","Ficha de Produto")</f>
        <v>Ficha de Produto</v>
      </c>
      <c r="F640" s="62"/>
      <c r="G640" s="65" t="s">
        <v>5364</v>
      </c>
      <c r="H640" s="62" t="s">
        <v>4930</v>
      </c>
      <c r="I640" s="30">
        <v>123.3</v>
      </c>
      <c r="J640" s="29" t="s">
        <v>721</v>
      </c>
    </row>
    <row r="641" spans="1:10" s="51" customFormat="1" ht="15" customHeight="1">
      <c r="A641" s="104" t="s">
        <v>4437</v>
      </c>
      <c r="B641" s="67"/>
      <c r="C641" s="105"/>
      <c r="D641" s="105"/>
      <c r="E641" s="105"/>
      <c r="F641" s="105"/>
      <c r="G641" s="69"/>
      <c r="H641" s="85"/>
      <c r="I641" s="57"/>
      <c r="J641" s="58"/>
    </row>
    <row r="642" spans="1:10" s="51" customFormat="1" ht="15" customHeight="1">
      <c r="A642" s="92" t="s">
        <v>4438</v>
      </c>
      <c r="B642" s="67"/>
      <c r="C642" s="54"/>
      <c r="D642" s="93"/>
      <c r="E642" s="93"/>
      <c r="F642" s="54"/>
      <c r="G642" s="69"/>
      <c r="H642" s="85"/>
      <c r="I642" s="57"/>
      <c r="J642" s="58"/>
    </row>
    <row r="643" spans="1:10" ht="12" customHeight="1">
      <c r="A643" s="74">
        <v>4058075752719</v>
      </c>
      <c r="B643" s="61" t="s">
        <v>5376</v>
      </c>
      <c r="C643" s="62">
        <v>1</v>
      </c>
      <c r="D643" s="63" t="s">
        <v>4415</v>
      </c>
      <c r="E643" s="70" t="str">
        <f>HYPERLINK("https://ledvance.com/pt/product-datasheet/205771/201998","Ficha de Produto")</f>
        <v>Ficha de Produto</v>
      </c>
      <c r="F643" s="62"/>
      <c r="G643" s="65" t="s">
        <v>4996</v>
      </c>
      <c r="H643" s="62" t="s">
        <v>4990</v>
      </c>
      <c r="I643" s="30">
        <v>68.699999999999989</v>
      </c>
      <c r="J643" s="29" t="s">
        <v>721</v>
      </c>
    </row>
    <row r="644" spans="1:10" ht="12" customHeight="1">
      <c r="A644" s="74">
        <v>4058075752764</v>
      </c>
      <c r="B644" s="61" t="s">
        <v>5377</v>
      </c>
      <c r="C644" s="62">
        <v>1</v>
      </c>
      <c r="D644" s="63" t="s">
        <v>4415</v>
      </c>
      <c r="E644" s="70" t="str">
        <f>HYPERLINK("https://ledvance.com/pt/product-datasheet/205771/202001","Ficha de Produto")</f>
        <v>Ficha de Produto</v>
      </c>
      <c r="F644" s="62"/>
      <c r="G644" s="65" t="s">
        <v>4945</v>
      </c>
      <c r="H644" s="62" t="s">
        <v>4990</v>
      </c>
      <c r="I644" s="30">
        <v>102.8</v>
      </c>
      <c r="J644" s="29" t="s">
        <v>721</v>
      </c>
    </row>
    <row r="645" spans="1:10" ht="12" customHeight="1">
      <c r="A645" s="74">
        <v>4058075752788</v>
      </c>
      <c r="B645" s="61" t="s">
        <v>5378</v>
      </c>
      <c r="C645" s="62">
        <v>1</v>
      </c>
      <c r="D645" s="63" t="s">
        <v>4415</v>
      </c>
      <c r="E645" s="70" t="str">
        <f>HYPERLINK("https://ledvance.com/pt/product-datasheet/205771/202004","Ficha de Produto")</f>
        <v>Ficha de Produto</v>
      </c>
      <c r="F645" s="62"/>
      <c r="G645" s="65" t="s">
        <v>4996</v>
      </c>
      <c r="H645" s="62" t="s">
        <v>4990</v>
      </c>
      <c r="I645" s="30">
        <v>68.699999999999989</v>
      </c>
      <c r="J645" s="29" t="s">
        <v>721</v>
      </c>
    </row>
    <row r="646" spans="1:10" ht="12" customHeight="1">
      <c r="A646" s="74">
        <v>4058075752801</v>
      </c>
      <c r="B646" s="61" t="s">
        <v>5379</v>
      </c>
      <c r="C646" s="62">
        <v>1</v>
      </c>
      <c r="D646" s="63" t="s">
        <v>4415</v>
      </c>
      <c r="E646" s="70" t="str">
        <f>HYPERLINK("https://ledvance.com/pt/product-datasheet/205771/202007","Ficha de Produto")</f>
        <v>Ficha de Produto</v>
      </c>
      <c r="F646" s="62"/>
      <c r="G646" s="65" t="s">
        <v>4945</v>
      </c>
      <c r="H646" s="62" t="s">
        <v>4990</v>
      </c>
      <c r="I646" s="30">
        <v>102.8</v>
      </c>
      <c r="J646" s="29" t="s">
        <v>721</v>
      </c>
    </row>
    <row r="647" spans="1:10" s="51" customFormat="1" ht="15" customHeight="1">
      <c r="A647" s="92" t="s">
        <v>4439</v>
      </c>
      <c r="B647" s="67"/>
      <c r="C647" s="54"/>
      <c r="D647" s="93"/>
      <c r="E647" s="78"/>
      <c r="F647" s="54"/>
      <c r="G647" s="69"/>
      <c r="H647" s="85"/>
      <c r="I647" s="57"/>
      <c r="J647" s="58"/>
    </row>
    <row r="648" spans="1:10" ht="12" customHeight="1">
      <c r="A648" s="74">
        <v>4058075754775</v>
      </c>
      <c r="B648" s="61" t="s">
        <v>5380</v>
      </c>
      <c r="C648" s="62">
        <v>1</v>
      </c>
      <c r="D648" s="63" t="s">
        <v>4415</v>
      </c>
      <c r="E648" s="70" t="str">
        <f>HYPERLINK("https://ledvance.com/pt/product-datasheet/205772/202377","Ficha de Produto")</f>
        <v>Ficha de Produto</v>
      </c>
      <c r="F648" s="62"/>
      <c r="G648" s="65" t="s">
        <v>1763</v>
      </c>
      <c r="H648" s="62" t="s">
        <v>4990</v>
      </c>
      <c r="I648" s="30">
        <v>218.9</v>
      </c>
      <c r="J648" s="29" t="s">
        <v>721</v>
      </c>
    </row>
    <row r="649" spans="1:10" s="51" customFormat="1" ht="15" customHeight="1">
      <c r="A649" s="92" t="s">
        <v>4440</v>
      </c>
      <c r="B649" s="67"/>
      <c r="C649" s="54"/>
      <c r="D649" s="93"/>
      <c r="E649" s="93"/>
      <c r="F649" s="54"/>
      <c r="G649" s="69"/>
      <c r="H649" s="85"/>
      <c r="I649" s="57"/>
      <c r="J649" s="58"/>
    </row>
    <row r="650" spans="1:10" ht="12" customHeight="1">
      <c r="A650" s="74">
        <v>4058075754799</v>
      </c>
      <c r="B650" s="61" t="s">
        <v>5381</v>
      </c>
      <c r="C650" s="62">
        <v>1</v>
      </c>
      <c r="D650" s="63" t="s">
        <v>4415</v>
      </c>
      <c r="E650" s="70" t="str">
        <f>HYPERLINK("https://ledvance.com/pt/product-datasheet/232231/202374","Ficha de Produto")</f>
        <v>Ficha de Produto</v>
      </c>
      <c r="F650" s="62"/>
      <c r="G650" s="65" t="s">
        <v>1743</v>
      </c>
      <c r="H650" s="62" t="s">
        <v>4990</v>
      </c>
      <c r="I650" s="30">
        <v>178</v>
      </c>
      <c r="J650" s="29" t="s">
        <v>721</v>
      </c>
    </row>
    <row r="651" spans="1:10" s="51" customFormat="1" ht="15" customHeight="1">
      <c r="A651" s="92" t="s">
        <v>4441</v>
      </c>
      <c r="B651" s="67"/>
      <c r="C651" s="54"/>
      <c r="D651" s="93"/>
      <c r="E651" s="93"/>
      <c r="F651" s="54"/>
      <c r="G651" s="69"/>
      <c r="H651" s="85"/>
      <c r="I651" s="57"/>
      <c r="J651" s="58"/>
    </row>
    <row r="652" spans="1:10" ht="12" customHeight="1">
      <c r="A652" s="74">
        <v>4058075754751</v>
      </c>
      <c r="B652" s="61" t="s">
        <v>5382</v>
      </c>
      <c r="C652" s="62">
        <v>1</v>
      </c>
      <c r="D652" s="63" t="s">
        <v>4415</v>
      </c>
      <c r="E652" s="70" t="str">
        <f>HYPERLINK("https://ledvance.com/pt/product-datasheet/205772/202371","Ficha de Produto")</f>
        <v>Ficha de Produto</v>
      </c>
      <c r="F652" s="62"/>
      <c r="G652" s="65" t="s">
        <v>5008</v>
      </c>
      <c r="H652" s="62" t="s">
        <v>4990</v>
      </c>
      <c r="I652" s="30">
        <v>166.5</v>
      </c>
      <c r="J652" s="29" t="s">
        <v>721</v>
      </c>
    </row>
    <row r="653" spans="1:10" s="51" customFormat="1" ht="15" customHeight="1">
      <c r="A653" s="59" t="s">
        <v>4442</v>
      </c>
      <c r="B653" s="67"/>
      <c r="C653" s="54"/>
      <c r="D653" s="56"/>
      <c r="E653" s="56"/>
      <c r="F653" s="54"/>
      <c r="G653" s="69"/>
      <c r="H653" s="85"/>
      <c r="I653" s="57"/>
      <c r="J653" s="58"/>
    </row>
    <row r="654" spans="1:10" ht="12" customHeight="1">
      <c r="A654" s="74">
        <v>4058075573475</v>
      </c>
      <c r="B654" s="61" t="s">
        <v>5383</v>
      </c>
      <c r="C654" s="62">
        <v>1</v>
      </c>
      <c r="D654" s="63" t="s">
        <v>4415</v>
      </c>
      <c r="E654" s="70" t="str">
        <f>HYPERLINK("https://ledvance.com/pt/product-datasheet/210311/122550","Ficha de Produto")</f>
        <v>Ficha de Produto</v>
      </c>
      <c r="F654" s="62"/>
      <c r="G654" s="65" t="s">
        <v>5008</v>
      </c>
      <c r="H654" s="62" t="s">
        <v>4990</v>
      </c>
      <c r="I654" s="30">
        <v>102.8</v>
      </c>
      <c r="J654" s="29" t="s">
        <v>721</v>
      </c>
    </row>
    <row r="655" spans="1:10" ht="12" customHeight="1">
      <c r="A655" s="74">
        <v>4058075573499</v>
      </c>
      <c r="B655" s="61" t="s">
        <v>5384</v>
      </c>
      <c r="C655" s="62">
        <v>1</v>
      </c>
      <c r="D655" s="63" t="s">
        <v>4415</v>
      </c>
      <c r="E655" s="70" t="str">
        <f>HYPERLINK("https://ledvance.com/pt/product-datasheet/210311/122553","Ficha de Produto")</f>
        <v>Ficha de Produto</v>
      </c>
      <c r="F655" s="62"/>
      <c r="G655" s="65" t="s">
        <v>1743</v>
      </c>
      <c r="H655" s="62" t="s">
        <v>4990</v>
      </c>
      <c r="I655" s="30">
        <v>137</v>
      </c>
      <c r="J655" s="29" t="s">
        <v>721</v>
      </c>
    </row>
    <row r="656" spans="1:10" s="51" customFormat="1" ht="15" customHeight="1">
      <c r="A656" s="59" t="s">
        <v>4443</v>
      </c>
      <c r="B656" s="67"/>
      <c r="C656" s="54"/>
      <c r="D656" s="56"/>
      <c r="E656" s="56"/>
      <c r="F656" s="54"/>
      <c r="G656" s="69"/>
      <c r="H656" s="85"/>
      <c r="I656" s="57"/>
      <c r="J656" s="58"/>
    </row>
    <row r="657" spans="1:10" ht="12" customHeight="1">
      <c r="A657" s="74">
        <v>4058075573512</v>
      </c>
      <c r="B657" s="61" t="s">
        <v>5385</v>
      </c>
      <c r="C657" s="62">
        <v>1</v>
      </c>
      <c r="D657" s="63" t="s">
        <v>4415</v>
      </c>
      <c r="E657" s="70" t="str">
        <f>HYPERLINK("https://ledvance.com/pt/product-datasheet/210320/79545","Ficha de Produto")</f>
        <v>Ficha de Produto</v>
      </c>
      <c r="F657" s="62"/>
      <c r="G657" s="65" t="s">
        <v>1743</v>
      </c>
      <c r="H657" s="62" t="s">
        <v>4990</v>
      </c>
      <c r="I657" s="30">
        <v>137</v>
      </c>
      <c r="J657" s="29" t="s">
        <v>721</v>
      </c>
    </row>
    <row r="658" spans="1:10" s="51" customFormat="1" ht="15" customHeight="1">
      <c r="A658" s="59" t="s">
        <v>4444</v>
      </c>
      <c r="B658" s="67"/>
      <c r="C658" s="54"/>
      <c r="D658" s="56"/>
      <c r="E658" s="56"/>
      <c r="F658" s="54"/>
      <c r="G658" s="69"/>
      <c r="H658" s="85"/>
      <c r="I658" s="57"/>
      <c r="J658" s="58"/>
    </row>
    <row r="659" spans="1:10" ht="12" customHeight="1">
      <c r="A659" s="74">
        <v>4058075573536</v>
      </c>
      <c r="B659" s="61" t="s">
        <v>5386</v>
      </c>
      <c r="C659" s="62">
        <v>1</v>
      </c>
      <c r="D659" s="63" t="s">
        <v>4415</v>
      </c>
      <c r="E659" s="70" t="str">
        <f>HYPERLINK("https://ledvance.com/pt/product-datasheet/210317/79548","Ficha de Produto")</f>
        <v>Ficha de Produto</v>
      </c>
      <c r="F659" s="62"/>
      <c r="G659" s="65" t="s">
        <v>1743</v>
      </c>
      <c r="H659" s="62" t="s">
        <v>4990</v>
      </c>
      <c r="I659" s="30">
        <v>137</v>
      </c>
      <c r="J659" s="29" t="s">
        <v>721</v>
      </c>
    </row>
    <row r="660" spans="1:10" s="51" customFormat="1" ht="15" customHeight="1">
      <c r="A660" s="59" t="s">
        <v>4445</v>
      </c>
      <c r="B660" s="67"/>
      <c r="C660" s="54"/>
      <c r="D660" s="56"/>
      <c r="E660" s="56"/>
      <c r="F660" s="54"/>
      <c r="G660" s="69"/>
      <c r="H660" s="85"/>
      <c r="I660" s="57"/>
      <c r="J660" s="58"/>
    </row>
    <row r="661" spans="1:10" ht="12" customHeight="1">
      <c r="A661" s="74">
        <v>4058075573550</v>
      </c>
      <c r="B661" s="61" t="s">
        <v>5387</v>
      </c>
      <c r="C661" s="62">
        <v>1</v>
      </c>
      <c r="D661" s="63" t="s">
        <v>4415</v>
      </c>
      <c r="E661" s="70" t="str">
        <f>HYPERLINK("https://ledvance.com/pt/product-datasheet/210322/79551","Ficha de Produto")</f>
        <v>Ficha de Produto</v>
      </c>
      <c r="F661" s="62"/>
      <c r="G661" s="65" t="s">
        <v>1743</v>
      </c>
      <c r="H661" s="62" t="s">
        <v>4990</v>
      </c>
      <c r="I661" s="30">
        <v>137</v>
      </c>
      <c r="J661" s="29" t="s">
        <v>721</v>
      </c>
    </row>
    <row r="662" spans="1:10" s="51" customFormat="1" ht="15" customHeight="1">
      <c r="A662" s="59" t="s">
        <v>4446</v>
      </c>
      <c r="B662" s="67"/>
      <c r="C662" s="54"/>
      <c r="D662" s="56"/>
      <c r="E662" s="56"/>
      <c r="F662" s="54"/>
      <c r="G662" s="69"/>
      <c r="H662" s="85"/>
      <c r="I662" s="57"/>
      <c r="J662" s="58"/>
    </row>
    <row r="663" spans="1:10" ht="12" customHeight="1">
      <c r="A663" s="74">
        <v>4058075574397</v>
      </c>
      <c r="B663" s="61" t="s">
        <v>5371</v>
      </c>
      <c r="C663" s="62">
        <v>1</v>
      </c>
      <c r="D663" s="63" t="s">
        <v>4415</v>
      </c>
      <c r="E663" s="70" t="str">
        <f>HYPERLINK("https://ledvance.com/pt/product-datasheet/205771/112832","Ficha de Produto")</f>
        <v>Ficha de Produto</v>
      </c>
      <c r="F663" s="62"/>
      <c r="G663" s="65" t="s">
        <v>1755</v>
      </c>
      <c r="H663" s="62" t="s">
        <v>4930</v>
      </c>
      <c r="I663" s="30">
        <v>130.1</v>
      </c>
      <c r="J663" s="29" t="s">
        <v>721</v>
      </c>
    </row>
    <row r="664" spans="1:10" ht="12" customHeight="1">
      <c r="A664" s="74">
        <v>4058075573574</v>
      </c>
      <c r="B664" s="61" t="s">
        <v>5372</v>
      </c>
      <c r="C664" s="62">
        <v>1</v>
      </c>
      <c r="D664" s="63" t="s">
        <v>4415</v>
      </c>
      <c r="E664" s="70" t="str">
        <f>HYPERLINK("https://ledvance.com/pt/product-datasheet/205771/112835","Ficha de Produto")</f>
        <v>Ficha de Produto</v>
      </c>
      <c r="F664" s="62"/>
      <c r="G664" s="65" t="s">
        <v>1755</v>
      </c>
      <c r="H664" s="62" t="s">
        <v>4930</v>
      </c>
      <c r="I664" s="30">
        <v>130.1</v>
      </c>
      <c r="J664" s="29" t="s">
        <v>721</v>
      </c>
    </row>
    <row r="665" spans="1:10" s="51" customFormat="1" ht="15" customHeight="1">
      <c r="A665" s="59" t="s">
        <v>4447</v>
      </c>
      <c r="B665" s="67"/>
      <c r="C665" s="54"/>
      <c r="D665" s="56"/>
      <c r="E665" s="71"/>
      <c r="F665" s="54"/>
      <c r="G665" s="69"/>
      <c r="H665" s="85"/>
      <c r="I665" s="57"/>
      <c r="J665" s="58"/>
    </row>
    <row r="666" spans="1:10" ht="12" customHeight="1">
      <c r="A666" s="74">
        <v>4058075573833</v>
      </c>
      <c r="B666" s="61" t="s">
        <v>5388</v>
      </c>
      <c r="C666" s="62">
        <v>1</v>
      </c>
      <c r="D666" s="63" t="s">
        <v>4415</v>
      </c>
      <c r="E666" s="70" t="str">
        <f>HYPERLINK("https://ledvance.com/pt/product-datasheet/205772/112838","Ficha de Produto")</f>
        <v>Ficha de Produto</v>
      </c>
      <c r="F666" s="62"/>
      <c r="G666" s="65" t="s">
        <v>1755</v>
      </c>
      <c r="H666" s="62" t="s">
        <v>4930</v>
      </c>
      <c r="I666" s="30">
        <v>137</v>
      </c>
      <c r="J666" s="29" t="s">
        <v>721</v>
      </c>
    </row>
    <row r="667" spans="1:10" ht="12" customHeight="1">
      <c r="A667" s="74">
        <v>4058075573871</v>
      </c>
      <c r="B667" s="61" t="s">
        <v>5389</v>
      </c>
      <c r="C667" s="62">
        <v>1</v>
      </c>
      <c r="D667" s="63" t="s">
        <v>4415</v>
      </c>
      <c r="E667" s="70" t="str">
        <f>HYPERLINK("https://ledvance.com/pt/product-datasheet/205772/112841","Ficha de Produto")</f>
        <v>Ficha de Produto</v>
      </c>
      <c r="F667" s="62"/>
      <c r="G667" s="65" t="s">
        <v>1755</v>
      </c>
      <c r="H667" s="62" t="s">
        <v>4930</v>
      </c>
      <c r="I667" s="30">
        <v>137</v>
      </c>
      <c r="J667" s="29" t="s">
        <v>721</v>
      </c>
    </row>
    <row r="668" spans="1:10" s="51" customFormat="1" ht="15" customHeight="1">
      <c r="A668" s="59" t="s">
        <v>4448</v>
      </c>
      <c r="B668" s="67"/>
      <c r="C668" s="54"/>
      <c r="D668" s="56"/>
      <c r="E668" s="56"/>
      <c r="F668" s="54"/>
      <c r="G668" s="69"/>
      <c r="H668" s="85"/>
      <c r="I668" s="57"/>
      <c r="J668" s="58"/>
    </row>
    <row r="669" spans="1:10" ht="12" customHeight="1">
      <c r="A669" s="74">
        <v>4058075573413</v>
      </c>
      <c r="B669" s="61" t="s">
        <v>5390</v>
      </c>
      <c r="C669" s="62">
        <v>1</v>
      </c>
      <c r="D669" s="63" t="s">
        <v>4415</v>
      </c>
      <c r="E669" s="70" t="str">
        <f>HYPERLINK("https://ledvance.com/pt/product-datasheet/170103/122559","Ficha de Produto")</f>
        <v>Ficha de Produto</v>
      </c>
      <c r="F669" s="62"/>
      <c r="G669" s="65" t="s">
        <v>1763</v>
      </c>
      <c r="H669" s="62" t="s">
        <v>4990</v>
      </c>
      <c r="I669" s="30">
        <v>205.29999999999998</v>
      </c>
      <c r="J669" s="29" t="s">
        <v>721</v>
      </c>
    </row>
    <row r="670" spans="1:10" s="51" customFormat="1" ht="15" customHeight="1">
      <c r="A670" s="59" t="s">
        <v>4449</v>
      </c>
      <c r="B670" s="67"/>
      <c r="C670" s="54"/>
      <c r="D670" s="56"/>
      <c r="E670" s="71"/>
      <c r="F670" s="54"/>
      <c r="G670" s="69"/>
      <c r="H670" s="85"/>
      <c r="I670" s="57"/>
      <c r="J670" s="58"/>
    </row>
    <row r="671" spans="1:10" ht="12" customHeight="1">
      <c r="A671" s="74">
        <v>4058075573437</v>
      </c>
      <c r="B671" s="61" t="s">
        <v>5391</v>
      </c>
      <c r="C671" s="62">
        <v>1</v>
      </c>
      <c r="D671" s="63" t="s">
        <v>4415</v>
      </c>
      <c r="E671" s="70" t="str">
        <f>HYPERLINK("https://ledvance.com/pt/product-datasheet/170103/122562","Ficha de Produto")</f>
        <v>Ficha de Produto</v>
      </c>
      <c r="F671" s="62"/>
      <c r="G671" s="65" t="s">
        <v>1763</v>
      </c>
      <c r="H671" s="62" t="s">
        <v>4990</v>
      </c>
      <c r="I671" s="30">
        <v>218.9</v>
      </c>
      <c r="J671" s="29" t="s">
        <v>721</v>
      </c>
    </row>
    <row r="672" spans="1:10" s="51" customFormat="1" ht="15" customHeight="1">
      <c r="A672" s="59" t="s">
        <v>4450</v>
      </c>
      <c r="B672" s="67"/>
      <c r="C672" s="54"/>
      <c r="D672" s="56"/>
      <c r="E672" s="71"/>
      <c r="F672" s="54"/>
      <c r="G672" s="69"/>
      <c r="H672" s="85"/>
      <c r="I672" s="57"/>
      <c r="J672" s="58"/>
    </row>
    <row r="673" spans="1:10" ht="12" customHeight="1">
      <c r="A673" s="74">
        <v>4058075486300</v>
      </c>
      <c r="B673" s="61" t="s">
        <v>5392</v>
      </c>
      <c r="C673" s="62">
        <v>1</v>
      </c>
      <c r="D673" s="63" t="s">
        <v>4415</v>
      </c>
      <c r="E673" s="70" t="str">
        <f>HYPERLINK("https://ledvance.com/pt/product-datasheet/207182/120252","Ficha de Produto")</f>
        <v>Ficha de Produto</v>
      </c>
      <c r="F673" s="62"/>
      <c r="G673" s="65" t="s">
        <v>4938</v>
      </c>
      <c r="H673" s="62" t="s">
        <v>4930</v>
      </c>
      <c r="I673" s="30">
        <v>116.5</v>
      </c>
      <c r="J673" s="29" t="s">
        <v>721</v>
      </c>
    </row>
    <row r="674" spans="1:10" s="51" customFormat="1" ht="15" customHeight="1">
      <c r="A674" s="59" t="s">
        <v>4451</v>
      </c>
      <c r="B674" s="67"/>
      <c r="C674" s="54"/>
      <c r="D674" s="56"/>
      <c r="E674" s="71"/>
      <c r="F674" s="54"/>
      <c r="G674" s="69"/>
      <c r="H674" s="85"/>
      <c r="I674" s="57"/>
      <c r="J674" s="58"/>
    </row>
    <row r="675" spans="1:10" ht="12" customHeight="1">
      <c r="A675" s="74">
        <v>4058075495685</v>
      </c>
      <c r="B675" s="61" t="s">
        <v>5393</v>
      </c>
      <c r="C675" s="62">
        <v>1</v>
      </c>
      <c r="D675" s="63" t="s">
        <v>4415</v>
      </c>
      <c r="E675" s="70" t="str">
        <f>HYPERLINK("https://ledvance.com/pt/product-datasheet/208958/120249","Ficha de Produto")</f>
        <v>Ficha de Produto</v>
      </c>
      <c r="F675" s="62"/>
      <c r="G675" s="65" t="s">
        <v>1761</v>
      </c>
      <c r="H675" s="62" t="s">
        <v>4990</v>
      </c>
      <c r="I675" s="30">
        <v>96</v>
      </c>
      <c r="J675" s="29" t="s">
        <v>721</v>
      </c>
    </row>
    <row r="676" spans="1:10" ht="12" customHeight="1">
      <c r="A676" s="74">
        <v>4058075486324</v>
      </c>
      <c r="B676" s="61" t="s">
        <v>5394</v>
      </c>
      <c r="C676" s="62">
        <v>0</v>
      </c>
      <c r="D676" s="63" t="s">
        <v>4415</v>
      </c>
      <c r="E676" s="70" t="str">
        <f>HYPERLINK("https://ledvance.com/pt/product-datasheet/207189/120255","Ficha de Produto")</f>
        <v>Ficha de Produto</v>
      </c>
      <c r="F676" s="101" t="s">
        <v>4251</v>
      </c>
      <c r="G676" s="65" t="s">
        <v>4938</v>
      </c>
      <c r="H676" s="62" t="s">
        <v>4930</v>
      </c>
      <c r="I676" s="30">
        <v>120.6</v>
      </c>
      <c r="J676" s="29" t="s">
        <v>721</v>
      </c>
    </row>
    <row r="677" spans="1:10" ht="12" customHeight="1">
      <c r="A677" s="74">
        <v>4058075486348</v>
      </c>
      <c r="B677" s="61" t="s">
        <v>5395</v>
      </c>
      <c r="C677" s="62">
        <v>1</v>
      </c>
      <c r="D677" s="63" t="s">
        <v>4415</v>
      </c>
      <c r="E677" s="70" t="str">
        <f>HYPERLINK("https://ledvance.com/pt/product-datasheet/207189/120258","Ficha de Produto")</f>
        <v>Ficha de Produto</v>
      </c>
      <c r="F677" s="62"/>
      <c r="G677" s="65" t="s">
        <v>5396</v>
      </c>
      <c r="H677" s="62" t="s">
        <v>4930</v>
      </c>
      <c r="I677" s="30">
        <v>150.6</v>
      </c>
      <c r="J677" s="29" t="s">
        <v>721</v>
      </c>
    </row>
    <row r="678" spans="1:10" s="51" customFormat="1" ht="15" customHeight="1">
      <c r="A678" s="59" t="s">
        <v>4452</v>
      </c>
      <c r="B678" s="67"/>
      <c r="C678" s="54"/>
      <c r="D678" s="56"/>
      <c r="E678" s="71"/>
      <c r="F678" s="54"/>
      <c r="G678" s="69"/>
      <c r="H678" s="85"/>
      <c r="I678" s="57"/>
      <c r="J678" s="58"/>
    </row>
    <row r="679" spans="1:10" ht="12" customHeight="1">
      <c r="A679" s="74">
        <v>4058075486362</v>
      </c>
      <c r="B679" s="61" t="s">
        <v>5397</v>
      </c>
      <c r="C679" s="62">
        <v>1</v>
      </c>
      <c r="D679" s="63" t="s">
        <v>4415</v>
      </c>
      <c r="E679" s="70" t="str">
        <f>HYPERLINK("https://ledvance.com/pt/product-datasheet/207183/120261","Ficha de Produto")</f>
        <v>Ficha de Produto</v>
      </c>
      <c r="F679" s="62"/>
      <c r="G679" s="65" t="s">
        <v>4938</v>
      </c>
      <c r="H679" s="62" t="s">
        <v>4930</v>
      </c>
      <c r="I679" s="30">
        <v>102.8</v>
      </c>
      <c r="J679" s="29" t="s">
        <v>721</v>
      </c>
    </row>
    <row r="680" spans="1:10" ht="12" customHeight="1">
      <c r="A680" s="74">
        <v>4058075486386</v>
      </c>
      <c r="B680" s="61" t="s">
        <v>5398</v>
      </c>
      <c r="C680" s="62">
        <v>1</v>
      </c>
      <c r="D680" s="63" t="s">
        <v>4415</v>
      </c>
      <c r="E680" s="70" t="str">
        <f>HYPERLINK("https://ledvance.com/pt/product-datasheet/207183/120264","Ficha de Produto")</f>
        <v>Ficha de Produto</v>
      </c>
      <c r="F680" s="62"/>
      <c r="G680" s="65" t="s">
        <v>5396</v>
      </c>
      <c r="H680" s="62" t="s">
        <v>4930</v>
      </c>
      <c r="I680" s="30">
        <v>137</v>
      </c>
      <c r="J680" s="29" t="s">
        <v>721</v>
      </c>
    </row>
    <row r="681" spans="1:10" ht="12" customHeight="1">
      <c r="A681" s="74">
        <v>4058075486409</v>
      </c>
      <c r="B681" s="61" t="s">
        <v>5399</v>
      </c>
      <c r="C681" s="62">
        <v>1</v>
      </c>
      <c r="D681" s="63" t="s">
        <v>4415</v>
      </c>
      <c r="E681" s="70" t="str">
        <f>HYPERLINK("https://ledvance.com/pt/product-datasheet/207183/120267","Ficha de Produto")</f>
        <v>Ficha de Produto</v>
      </c>
      <c r="F681" s="62"/>
      <c r="G681" s="65" t="s">
        <v>4938</v>
      </c>
      <c r="H681" s="62" t="s">
        <v>4930</v>
      </c>
      <c r="I681" s="30">
        <v>102.8</v>
      </c>
      <c r="J681" s="29" t="s">
        <v>721</v>
      </c>
    </row>
    <row r="682" spans="1:10" ht="12" customHeight="1">
      <c r="A682" s="74">
        <v>4058075486423</v>
      </c>
      <c r="B682" s="61" t="s">
        <v>5400</v>
      </c>
      <c r="C682" s="62">
        <v>1</v>
      </c>
      <c r="D682" s="63" t="s">
        <v>4415</v>
      </c>
      <c r="E682" s="70" t="str">
        <f>HYPERLINK("https://ledvance.com/pt/product-datasheet/207183/121272","Ficha de Produto")</f>
        <v>Ficha de Produto</v>
      </c>
      <c r="F682" s="62"/>
      <c r="G682" s="65" t="s">
        <v>5396</v>
      </c>
      <c r="H682" s="62" t="s">
        <v>4930</v>
      </c>
      <c r="I682" s="30">
        <v>137</v>
      </c>
      <c r="J682" s="29" t="s">
        <v>721</v>
      </c>
    </row>
    <row r="683" spans="1:10" s="51" customFormat="1" ht="15" customHeight="1">
      <c r="A683" s="59" t="s">
        <v>4453</v>
      </c>
      <c r="B683" s="67"/>
      <c r="C683" s="54"/>
      <c r="D683" s="56"/>
      <c r="E683" s="71"/>
      <c r="F683" s="54"/>
      <c r="G683" s="69"/>
      <c r="H683" s="85"/>
      <c r="I683" s="57"/>
      <c r="J683" s="58"/>
    </row>
    <row r="684" spans="1:10" ht="12" customHeight="1">
      <c r="A684" s="74">
        <v>4058075486447</v>
      </c>
      <c r="B684" s="61" t="s">
        <v>5401</v>
      </c>
      <c r="C684" s="62">
        <v>0</v>
      </c>
      <c r="D684" s="63" t="s">
        <v>4415</v>
      </c>
      <c r="E684" s="70" t="str">
        <f>HYPERLINK("https://ledvance.com/pt/product-datasheet/207186/121275","Ficha de Produto")</f>
        <v>Ficha de Produto</v>
      </c>
      <c r="F684" s="101" t="s">
        <v>4251</v>
      </c>
      <c r="G684" s="65" t="s">
        <v>4938</v>
      </c>
      <c r="H684" s="62" t="s">
        <v>4930</v>
      </c>
      <c r="I684" s="30">
        <v>137</v>
      </c>
      <c r="J684" s="29" t="s">
        <v>721</v>
      </c>
    </row>
    <row r="685" spans="1:10" ht="12" customHeight="1">
      <c r="A685" s="74">
        <v>4058075486461</v>
      </c>
      <c r="B685" s="61" t="s">
        <v>5402</v>
      </c>
      <c r="C685" s="62">
        <v>1</v>
      </c>
      <c r="D685" s="63" t="s">
        <v>4415</v>
      </c>
      <c r="E685" s="70" t="str">
        <f>HYPERLINK("https://ledvance.com/pt/product-datasheet/207186/121278","Ficha de Produto")</f>
        <v>Ficha de Produto</v>
      </c>
      <c r="F685" s="62"/>
      <c r="G685" s="65" t="s">
        <v>4938</v>
      </c>
      <c r="H685" s="62" t="s">
        <v>4930</v>
      </c>
      <c r="I685" s="30">
        <v>137</v>
      </c>
      <c r="J685" s="29" t="s">
        <v>721</v>
      </c>
    </row>
    <row r="686" spans="1:10" s="51" customFormat="1" ht="15" customHeight="1">
      <c r="A686" s="59" t="s">
        <v>4454</v>
      </c>
      <c r="B686" s="67"/>
      <c r="C686" s="54"/>
      <c r="D686" s="56"/>
      <c r="E686" s="56"/>
      <c r="F686" s="54"/>
      <c r="G686" s="69"/>
      <c r="H686" s="85"/>
      <c r="I686" s="57"/>
      <c r="J686" s="58"/>
    </row>
    <row r="687" spans="1:10" ht="12" customHeight="1">
      <c r="A687" s="74">
        <v>4058075486485</v>
      </c>
      <c r="B687" s="61" t="s">
        <v>5403</v>
      </c>
      <c r="C687" s="62">
        <v>1</v>
      </c>
      <c r="D687" s="63" t="s">
        <v>4415</v>
      </c>
      <c r="E687" s="70" t="str">
        <f>HYPERLINK("https://ledvance.com/pt/product-datasheet/207185/121281","Ficha de Produto")</f>
        <v>Ficha de Produto</v>
      </c>
      <c r="F687" s="101" t="s">
        <v>4251</v>
      </c>
      <c r="G687" s="65" t="s">
        <v>5396</v>
      </c>
      <c r="H687" s="62" t="s">
        <v>4930</v>
      </c>
      <c r="I687" s="30">
        <v>137</v>
      </c>
      <c r="J687" s="29" t="s">
        <v>721</v>
      </c>
    </row>
    <row r="688" spans="1:10" s="51" customFormat="1" ht="15" customHeight="1">
      <c r="A688" s="59" t="s">
        <v>4455</v>
      </c>
      <c r="B688" s="67"/>
      <c r="C688" s="54"/>
      <c r="D688" s="56"/>
      <c r="E688" s="71"/>
      <c r="F688" s="54"/>
      <c r="G688" s="69"/>
      <c r="H688" s="85"/>
      <c r="I688" s="57"/>
      <c r="J688" s="58"/>
    </row>
    <row r="689" spans="1:10" ht="12" customHeight="1">
      <c r="A689" s="74">
        <v>4058075486508</v>
      </c>
      <c r="B689" s="61" t="s">
        <v>5404</v>
      </c>
      <c r="C689" s="62">
        <v>1</v>
      </c>
      <c r="D689" s="63" t="s">
        <v>4415</v>
      </c>
      <c r="E689" s="70" t="str">
        <f>HYPERLINK("https://ledvance.com/pt/product-datasheet/207188/121284","Ficha de Produto")</f>
        <v>Ficha de Produto</v>
      </c>
      <c r="F689" s="62"/>
      <c r="G689" s="65" t="s">
        <v>5396</v>
      </c>
      <c r="H689" s="62" t="s">
        <v>4930</v>
      </c>
      <c r="I689" s="30">
        <v>137</v>
      </c>
      <c r="J689" s="29" t="s">
        <v>721</v>
      </c>
    </row>
    <row r="690" spans="1:10" s="51" customFormat="1" ht="15" customHeight="1">
      <c r="A690" s="59" t="s">
        <v>4456</v>
      </c>
      <c r="B690" s="67"/>
      <c r="C690" s="54"/>
      <c r="D690" s="56"/>
      <c r="E690" s="71"/>
      <c r="F690" s="54"/>
      <c r="G690" s="69"/>
      <c r="H690" s="85"/>
      <c r="I690" s="57"/>
      <c r="J690" s="58"/>
    </row>
    <row r="691" spans="1:10" ht="12" customHeight="1">
      <c r="A691" s="74">
        <v>4058075486546</v>
      </c>
      <c r="B691" s="61" t="s">
        <v>5405</v>
      </c>
      <c r="C691" s="62">
        <v>1</v>
      </c>
      <c r="D691" s="63" t="s">
        <v>4415</v>
      </c>
      <c r="E691" s="70" t="str">
        <f>HYPERLINK("https://ledvance.com/pt/product-datasheet/207187/121290","Ficha de Produto")</f>
        <v>Ficha de Produto</v>
      </c>
      <c r="F691" s="101" t="s">
        <v>4251</v>
      </c>
      <c r="G691" s="65" t="s">
        <v>5396</v>
      </c>
      <c r="H691" s="62" t="s">
        <v>4930</v>
      </c>
      <c r="I691" s="30">
        <v>164.29999999999998</v>
      </c>
      <c r="J691" s="29" t="s">
        <v>721</v>
      </c>
    </row>
    <row r="692" spans="1:10" s="51" customFormat="1" ht="15" customHeight="1">
      <c r="A692" s="59" t="s">
        <v>4457</v>
      </c>
      <c r="B692" s="67"/>
      <c r="C692" s="54"/>
      <c r="D692" s="56"/>
      <c r="E692" s="56"/>
      <c r="F692" s="54"/>
      <c r="G692" s="69"/>
      <c r="H692" s="85"/>
      <c r="I692" s="57"/>
      <c r="J692" s="58"/>
    </row>
    <row r="693" spans="1:10" ht="12" customHeight="1">
      <c r="A693" s="74">
        <v>4058075486560</v>
      </c>
      <c r="B693" s="61" t="s">
        <v>5406</v>
      </c>
      <c r="C693" s="62">
        <v>1</v>
      </c>
      <c r="D693" s="63" t="s">
        <v>4415</v>
      </c>
      <c r="E693" s="70" t="str">
        <f>HYPERLINK("https://ledvance.com/pt/product-datasheet/207184/121293","Ficha de Produto")</f>
        <v>Ficha de Produto</v>
      </c>
      <c r="F693" s="62"/>
      <c r="G693" s="65" t="s">
        <v>4938</v>
      </c>
      <c r="H693" s="62" t="s">
        <v>4930</v>
      </c>
      <c r="I693" s="30">
        <v>156.5</v>
      </c>
      <c r="J693" s="29" t="s">
        <v>721</v>
      </c>
    </row>
    <row r="694" spans="1:10" ht="12" customHeight="1">
      <c r="A694" s="74">
        <v>4058075486584</v>
      </c>
      <c r="B694" s="61" t="s">
        <v>5407</v>
      </c>
      <c r="C694" s="62">
        <v>1</v>
      </c>
      <c r="D694" s="63" t="s">
        <v>4415</v>
      </c>
      <c r="E694" s="70" t="str">
        <f>HYPERLINK("https://ledvance.com/pt/product-datasheet/207184/121296","Ficha de Produto")</f>
        <v>Ficha de Produto</v>
      </c>
      <c r="F694" s="62"/>
      <c r="G694" s="65" t="s">
        <v>4938</v>
      </c>
      <c r="H694" s="62" t="s">
        <v>4930</v>
      </c>
      <c r="I694" s="30">
        <v>156.5</v>
      </c>
      <c r="J694" s="29" t="s">
        <v>721</v>
      </c>
    </row>
    <row r="695" spans="1:10" s="51" customFormat="1" ht="15" customHeight="1">
      <c r="A695" s="59" t="s">
        <v>4458</v>
      </c>
      <c r="B695" s="67"/>
      <c r="C695" s="54"/>
      <c r="D695" s="56"/>
      <c r="E695" s="56"/>
      <c r="F695" s="54"/>
      <c r="G695" s="69"/>
      <c r="H695" s="85"/>
      <c r="I695" s="57"/>
      <c r="J695" s="58"/>
    </row>
    <row r="696" spans="1:10" ht="12" customHeight="1">
      <c r="A696" s="74">
        <v>4058075486607</v>
      </c>
      <c r="B696" s="61" t="s">
        <v>5408</v>
      </c>
      <c r="C696" s="62">
        <v>1</v>
      </c>
      <c r="D696" s="63" t="s">
        <v>4415</v>
      </c>
      <c r="E696" s="70" t="str">
        <f>HYPERLINK("https://ledvance.com/pt/product-datasheet/207190/121299","Ficha de Produto")</f>
        <v>Ficha de Produto</v>
      </c>
      <c r="F696" s="62"/>
      <c r="G696" s="65" t="s">
        <v>5296</v>
      </c>
      <c r="H696" s="62" t="s">
        <v>4930</v>
      </c>
      <c r="I696" s="30">
        <v>246.2</v>
      </c>
      <c r="J696" s="29" t="s">
        <v>721</v>
      </c>
    </row>
    <row r="697" spans="1:10" s="51" customFormat="1" ht="15" customHeight="1">
      <c r="A697" s="59" t="s">
        <v>4459</v>
      </c>
      <c r="B697" s="67"/>
      <c r="C697" s="54"/>
      <c r="D697" s="56"/>
      <c r="E697" s="56"/>
      <c r="F697" s="54"/>
      <c r="G697" s="69"/>
      <c r="H697" s="85"/>
      <c r="I697" s="57"/>
      <c r="J697" s="58"/>
    </row>
    <row r="698" spans="1:10" ht="12" customHeight="1">
      <c r="A698" s="83">
        <v>4099854090288</v>
      </c>
      <c r="B698" s="61" t="s">
        <v>5409</v>
      </c>
      <c r="C698" s="62">
        <v>1</v>
      </c>
      <c r="D698" s="63" t="s">
        <v>4415</v>
      </c>
      <c r="E698" s="70" t="str">
        <f>HYPERLINK("https://ledvance.com/pt/product-datasheet/257790/246602","Ficha de Produto")</f>
        <v>Ficha de Produto</v>
      </c>
      <c r="F698" s="94" t="s">
        <v>4183</v>
      </c>
      <c r="G698" s="65" t="s">
        <v>5015</v>
      </c>
      <c r="H698" s="62" t="s">
        <v>4990</v>
      </c>
      <c r="I698" s="30">
        <v>163</v>
      </c>
      <c r="J698" s="29" t="s">
        <v>721</v>
      </c>
    </row>
    <row r="699" spans="1:10" s="51" customFormat="1" ht="15" customHeight="1">
      <c r="A699" s="59" t="s">
        <v>4460</v>
      </c>
      <c r="B699" s="67"/>
      <c r="C699" s="54"/>
      <c r="D699" s="56"/>
      <c r="E699" s="71"/>
      <c r="F699" s="54"/>
      <c r="G699" s="69"/>
      <c r="H699" s="85"/>
      <c r="I699" s="57"/>
      <c r="J699" s="58"/>
    </row>
    <row r="700" spans="1:10" ht="12" customHeight="1">
      <c r="A700" s="83">
        <v>4099854090301</v>
      </c>
      <c r="B700" s="61" t="s">
        <v>5410</v>
      </c>
      <c r="C700" s="62">
        <v>1</v>
      </c>
      <c r="D700" s="63" t="s">
        <v>4415</v>
      </c>
      <c r="E700" s="70" t="str">
        <f>HYPERLINK("https://ledvance.com/pt/product-datasheet/257790/246605","Ficha de Produto")</f>
        <v>Ficha de Produto</v>
      </c>
      <c r="F700" s="94" t="s">
        <v>4183</v>
      </c>
      <c r="G700" s="65" t="s">
        <v>5015</v>
      </c>
      <c r="H700" s="62" t="s">
        <v>4990</v>
      </c>
      <c r="I700" s="30">
        <v>163</v>
      </c>
      <c r="J700" s="29" t="s">
        <v>721</v>
      </c>
    </row>
    <row r="701" spans="1:10" s="51" customFormat="1" ht="15" customHeight="1">
      <c r="A701" s="104" t="s">
        <v>4461</v>
      </c>
      <c r="B701" s="67"/>
      <c r="C701" s="105"/>
      <c r="D701" s="105"/>
      <c r="E701" s="105"/>
      <c r="F701" s="105"/>
      <c r="G701" s="69"/>
      <c r="H701" s="85"/>
      <c r="I701" s="57"/>
      <c r="J701" s="58"/>
    </row>
    <row r="702" spans="1:10" s="51" customFormat="1" ht="15" customHeight="1">
      <c r="A702" s="92" t="s">
        <v>4462</v>
      </c>
      <c r="B702" s="67"/>
      <c r="C702" s="54"/>
      <c r="D702" s="93"/>
      <c r="E702" s="93"/>
      <c r="F702" s="54"/>
      <c r="G702" s="69"/>
      <c r="H702" s="85"/>
      <c r="I702" s="57"/>
      <c r="J702" s="58"/>
    </row>
    <row r="703" spans="1:10" ht="12" customHeight="1">
      <c r="A703" s="74">
        <v>4058075572553</v>
      </c>
      <c r="B703" s="61" t="s">
        <v>5411</v>
      </c>
      <c r="C703" s="62">
        <v>1</v>
      </c>
      <c r="D703" s="63" t="s">
        <v>4415</v>
      </c>
      <c r="E703" s="70" t="str">
        <f>HYPERLINK("https://ledvance.com/pt/product-datasheet/200719/47927","Ficha de Produto")</f>
        <v>Ficha de Produto</v>
      </c>
      <c r="F703" s="62"/>
      <c r="G703" s="65" t="s">
        <v>5412</v>
      </c>
      <c r="H703" s="62" t="s">
        <v>4930</v>
      </c>
      <c r="I703" s="30">
        <v>225.79999999999998</v>
      </c>
      <c r="J703" s="29" t="s">
        <v>721</v>
      </c>
    </row>
    <row r="704" spans="1:10" ht="12" customHeight="1">
      <c r="A704" s="74">
        <v>4058075572577</v>
      </c>
      <c r="B704" s="61" t="s">
        <v>5413</v>
      </c>
      <c r="C704" s="62">
        <v>1</v>
      </c>
      <c r="D704" s="63" t="s">
        <v>4415</v>
      </c>
      <c r="E704" s="70" t="str">
        <f>HYPERLINK("https://ledvance.com/pt/product-datasheet/200719/47874","Ficha de Produto")</f>
        <v>Ficha de Produto</v>
      </c>
      <c r="F704" s="62"/>
      <c r="G704" s="65" t="s">
        <v>5414</v>
      </c>
      <c r="H704" s="62" t="s">
        <v>4930</v>
      </c>
      <c r="I704" s="30">
        <v>250.29999999999998</v>
      </c>
      <c r="J704" s="29" t="s">
        <v>721</v>
      </c>
    </row>
    <row r="705" spans="1:10" s="51" customFormat="1" ht="15" customHeight="1">
      <c r="A705" s="104" t="s">
        <v>4463</v>
      </c>
      <c r="B705" s="67"/>
      <c r="C705" s="105"/>
      <c r="D705" s="105"/>
      <c r="E705" s="82"/>
      <c r="F705" s="105"/>
      <c r="G705" s="69"/>
      <c r="H705" s="85"/>
      <c r="I705" s="57"/>
      <c r="J705" s="58"/>
    </row>
    <row r="706" spans="1:10" s="51" customFormat="1" ht="15" customHeight="1">
      <c r="A706" s="59" t="s">
        <v>4464</v>
      </c>
      <c r="B706" s="67"/>
      <c r="C706" s="54"/>
      <c r="D706" s="56"/>
      <c r="E706" s="56"/>
      <c r="F706" s="54"/>
      <c r="G706" s="69"/>
      <c r="H706" s="85"/>
      <c r="I706" s="57"/>
      <c r="J706" s="58"/>
    </row>
    <row r="707" spans="1:10" ht="12" customHeight="1">
      <c r="A707" s="74">
        <v>4058075472792</v>
      </c>
      <c r="B707" s="61" t="s">
        <v>5415</v>
      </c>
      <c r="C707" s="62">
        <v>1</v>
      </c>
      <c r="D707" s="63" t="s">
        <v>4415</v>
      </c>
      <c r="E707" s="70" t="str">
        <f>HYPERLINK("https://ledvance.com/pt/product-datasheet/9121/116491","Ficha de Produto")</f>
        <v>Ficha de Produto</v>
      </c>
      <c r="F707" s="101" t="s">
        <v>4251</v>
      </c>
      <c r="G707" s="65" t="s">
        <v>5008</v>
      </c>
      <c r="H707" s="62" t="s">
        <v>4974</v>
      </c>
      <c r="I707" s="30">
        <v>78.399999999999991</v>
      </c>
      <c r="J707" s="29" t="s">
        <v>721</v>
      </c>
    </row>
    <row r="708" spans="1:10" s="51" customFormat="1" ht="15" customHeight="1">
      <c r="A708" s="59" t="s">
        <v>4465</v>
      </c>
      <c r="B708" s="67"/>
      <c r="C708" s="54"/>
      <c r="D708" s="56"/>
      <c r="E708" s="56"/>
      <c r="F708" s="54"/>
      <c r="G708" s="69"/>
      <c r="H708" s="85"/>
      <c r="I708" s="57"/>
      <c r="J708" s="58"/>
    </row>
    <row r="709" spans="1:10" ht="12" customHeight="1">
      <c r="A709" s="74">
        <v>4058075472853</v>
      </c>
      <c r="B709" s="61" t="s">
        <v>5416</v>
      </c>
      <c r="C709" s="62">
        <v>1</v>
      </c>
      <c r="D709" s="63" t="s">
        <v>4415</v>
      </c>
      <c r="E709" s="70" t="str">
        <f>HYPERLINK("https://ledvance.com/pt/product-datasheet/9121/116497","Ficha de Produto")</f>
        <v>Ficha de Produto</v>
      </c>
      <c r="F709" s="101" t="s">
        <v>4251</v>
      </c>
      <c r="G709" s="65" t="s">
        <v>1763</v>
      </c>
      <c r="H709" s="62" t="s">
        <v>4974</v>
      </c>
      <c r="I709" s="30">
        <v>137</v>
      </c>
      <c r="J709" s="29" t="s">
        <v>721</v>
      </c>
    </row>
    <row r="710" spans="1:10" s="51" customFormat="1" ht="15" customHeight="1">
      <c r="A710" s="59" t="s">
        <v>4466</v>
      </c>
      <c r="B710" s="67"/>
      <c r="C710" s="54"/>
      <c r="D710" s="56"/>
      <c r="E710" s="56"/>
      <c r="F710" s="54"/>
      <c r="G710" s="69"/>
      <c r="H710" s="85"/>
      <c r="I710" s="57"/>
      <c r="J710" s="58"/>
    </row>
    <row r="711" spans="1:10" ht="12" customHeight="1">
      <c r="A711" s="74">
        <v>4058075472815</v>
      </c>
      <c r="B711" s="61" t="s">
        <v>5417</v>
      </c>
      <c r="C711" s="62">
        <v>1</v>
      </c>
      <c r="D711" s="63" t="s">
        <v>4415</v>
      </c>
      <c r="E711" s="70" t="str">
        <f>HYPERLINK("https://ledvance.com/pt/product-datasheet/9121/108877","Ficha de Produto")</f>
        <v>Ficha de Produto</v>
      </c>
      <c r="F711" s="101" t="s">
        <v>4251</v>
      </c>
      <c r="G711" s="65" t="s">
        <v>5204</v>
      </c>
      <c r="H711" s="62" t="s">
        <v>4974</v>
      </c>
      <c r="I711" s="30">
        <v>125.3</v>
      </c>
      <c r="J711" s="29" t="s">
        <v>721</v>
      </c>
    </row>
    <row r="712" spans="1:10" ht="12" customHeight="1">
      <c r="A712" s="74">
        <v>4058075472839</v>
      </c>
      <c r="B712" s="61" t="s">
        <v>5418</v>
      </c>
      <c r="C712" s="62">
        <v>1</v>
      </c>
      <c r="D712" s="63" t="s">
        <v>4415</v>
      </c>
      <c r="E712" s="70" t="str">
        <f>HYPERLINK("https://ledvance.com/pt/product-datasheet/9121/116494","Ficha de Produto")</f>
        <v>Ficha de Produto</v>
      </c>
      <c r="F712" s="101" t="s">
        <v>4251</v>
      </c>
      <c r="G712" s="65" t="s">
        <v>5290</v>
      </c>
      <c r="H712" s="62" t="s">
        <v>4974</v>
      </c>
      <c r="I712" s="30">
        <v>156.5</v>
      </c>
      <c r="J712" s="29" t="s">
        <v>721</v>
      </c>
    </row>
    <row r="713" spans="1:10" s="51" customFormat="1" ht="15" customHeight="1">
      <c r="A713" s="104" t="s">
        <v>4467</v>
      </c>
      <c r="B713" s="67"/>
      <c r="C713" s="105"/>
      <c r="D713" s="105"/>
      <c r="E713" s="105"/>
      <c r="F713" s="105"/>
      <c r="G713" s="69"/>
      <c r="H713" s="85"/>
      <c r="I713" s="57"/>
      <c r="J713" s="58"/>
    </row>
    <row r="714" spans="1:10" s="51" customFormat="1" ht="15" customHeight="1">
      <c r="A714" s="59" t="s">
        <v>4468</v>
      </c>
      <c r="B714" s="67"/>
      <c r="C714" s="54"/>
      <c r="D714" s="56"/>
      <c r="E714" s="56"/>
      <c r="F714" s="54"/>
      <c r="G714" s="69"/>
      <c r="H714" s="85"/>
      <c r="I714" s="57"/>
      <c r="J714" s="58"/>
    </row>
    <row r="715" spans="1:10" s="51" customFormat="1" ht="15" customHeight="1">
      <c r="A715" s="59" t="s">
        <v>4469</v>
      </c>
      <c r="B715" s="67"/>
      <c r="C715" s="54"/>
      <c r="D715" s="56"/>
      <c r="E715" s="56"/>
      <c r="F715" s="54"/>
      <c r="G715" s="69"/>
      <c r="H715" s="85"/>
      <c r="I715" s="57"/>
      <c r="J715" s="58"/>
    </row>
    <row r="716" spans="1:10" ht="12" customHeight="1">
      <c r="A716" s="74">
        <v>4058075752825</v>
      </c>
      <c r="B716" s="61" t="s">
        <v>5419</v>
      </c>
      <c r="C716" s="62">
        <v>1</v>
      </c>
      <c r="D716" s="63" t="s">
        <v>4415</v>
      </c>
      <c r="E716" s="70" t="str">
        <f>HYPERLINK("https://ledvance.com/pt/product-datasheet/231451/202010","Ficha de Produto")</f>
        <v>Ficha de Produto</v>
      </c>
      <c r="F716" s="62"/>
      <c r="G716" s="65" t="s">
        <v>4934</v>
      </c>
      <c r="H716" s="62" t="s">
        <v>4974</v>
      </c>
      <c r="I716" s="30">
        <v>41.4</v>
      </c>
      <c r="J716" s="29" t="s">
        <v>721</v>
      </c>
    </row>
    <row r="717" spans="1:10" ht="12" customHeight="1">
      <c r="A717" s="74">
        <v>4058075752849</v>
      </c>
      <c r="B717" s="61" t="s">
        <v>5420</v>
      </c>
      <c r="C717" s="62">
        <v>1</v>
      </c>
      <c r="D717" s="63" t="s">
        <v>4415</v>
      </c>
      <c r="E717" s="70" t="str">
        <f>HYPERLINK("https://ledvance.com/pt/product-datasheet/231451/202013","Ficha de Produto")</f>
        <v>Ficha de Produto</v>
      </c>
      <c r="F717" s="62"/>
      <c r="G717" s="65" t="s">
        <v>5036</v>
      </c>
      <c r="H717" s="62" t="s">
        <v>4974</v>
      </c>
      <c r="I717" s="30">
        <v>68.699999999999989</v>
      </c>
      <c r="J717" s="29" t="s">
        <v>721</v>
      </c>
    </row>
    <row r="718" spans="1:10" ht="12" customHeight="1">
      <c r="A718" s="74">
        <v>4058075752863</v>
      </c>
      <c r="B718" s="61" t="s">
        <v>5421</v>
      </c>
      <c r="C718" s="62">
        <v>1</v>
      </c>
      <c r="D718" s="63" t="s">
        <v>4415</v>
      </c>
      <c r="E718" s="70" t="str">
        <f>HYPERLINK("https://ledvance.com/pt/product-datasheet/231451/202016","Ficha de Produto")</f>
        <v>Ficha de Produto</v>
      </c>
      <c r="F718" s="62"/>
      <c r="G718" s="65" t="s">
        <v>4934</v>
      </c>
      <c r="H718" s="62" t="s">
        <v>4974</v>
      </c>
      <c r="I718" s="30">
        <v>41.4</v>
      </c>
      <c r="J718" s="29" t="s">
        <v>721</v>
      </c>
    </row>
    <row r="719" spans="1:10" ht="12" customHeight="1">
      <c r="A719" s="74">
        <v>4058075752887</v>
      </c>
      <c r="B719" s="61" t="s">
        <v>5422</v>
      </c>
      <c r="C719" s="62">
        <v>1</v>
      </c>
      <c r="D719" s="63" t="s">
        <v>4415</v>
      </c>
      <c r="E719" s="70" t="str">
        <f>HYPERLINK("https://ledvance.com/pt/product-datasheet/231451/202019","Ficha de Produto")</f>
        <v>Ficha de Produto</v>
      </c>
      <c r="F719" s="62"/>
      <c r="G719" s="65" t="s">
        <v>5036</v>
      </c>
      <c r="H719" s="62" t="s">
        <v>4974</v>
      </c>
      <c r="I719" s="30">
        <v>68.699999999999989</v>
      </c>
      <c r="J719" s="29" t="s">
        <v>721</v>
      </c>
    </row>
    <row r="720" spans="1:10" s="51" customFormat="1" ht="15" customHeight="1">
      <c r="A720" s="59" t="s">
        <v>4470</v>
      </c>
      <c r="B720" s="67"/>
      <c r="C720" s="54"/>
      <c r="D720" s="56"/>
      <c r="E720" s="56"/>
      <c r="F720" s="54"/>
      <c r="G720" s="69"/>
      <c r="H720" s="85"/>
      <c r="I720" s="57"/>
      <c r="J720" s="58"/>
    </row>
    <row r="721" spans="1:10" ht="12" customHeight="1">
      <c r="A721" s="74">
        <v>4058075260511</v>
      </c>
      <c r="B721" s="61" t="s">
        <v>5423</v>
      </c>
      <c r="C721" s="62">
        <v>1</v>
      </c>
      <c r="D721" s="63" t="s">
        <v>4415</v>
      </c>
      <c r="E721" s="70" t="str">
        <f>HYPERLINK("https://ledvance.com/pt/product-datasheet/9123/45622","Ficha de Produto")</f>
        <v>Ficha de Produto</v>
      </c>
      <c r="F721" s="62"/>
      <c r="G721" s="65" t="s">
        <v>4994</v>
      </c>
      <c r="H721" s="62" t="s">
        <v>4974</v>
      </c>
      <c r="I721" s="30">
        <v>47.2</v>
      </c>
      <c r="J721" s="29" t="s">
        <v>721</v>
      </c>
    </row>
    <row r="722" spans="1:10" ht="12" customHeight="1">
      <c r="A722" s="74">
        <v>4058075260559</v>
      </c>
      <c r="B722" s="61" t="s">
        <v>5424</v>
      </c>
      <c r="C722" s="62">
        <v>1</v>
      </c>
      <c r="D722" s="63" t="s">
        <v>4415</v>
      </c>
      <c r="E722" s="70" t="str">
        <f>HYPERLINK("https://ledvance.com/pt/product-datasheet/9123/45630","Ficha de Produto")</f>
        <v>Ficha de Produto</v>
      </c>
      <c r="F722" s="62"/>
      <c r="G722" s="65" t="s">
        <v>1761</v>
      </c>
      <c r="H722" s="62" t="s">
        <v>4974</v>
      </c>
      <c r="I722" s="30">
        <v>62.800000000000004</v>
      </c>
      <c r="J722" s="29" t="s">
        <v>721</v>
      </c>
    </row>
    <row r="723" spans="1:10" ht="12" customHeight="1">
      <c r="A723" s="74">
        <v>4058075260535</v>
      </c>
      <c r="B723" s="61" t="s">
        <v>5425</v>
      </c>
      <c r="C723" s="62">
        <v>1</v>
      </c>
      <c r="D723" s="63" t="s">
        <v>4415</v>
      </c>
      <c r="E723" s="70" t="str">
        <f>HYPERLINK("https://ledvance.com/pt/product-datasheet/9123/45618","Ficha de Produto")</f>
        <v>Ficha de Produto</v>
      </c>
      <c r="F723" s="62"/>
      <c r="G723" s="65" t="s">
        <v>4994</v>
      </c>
      <c r="H723" s="62" t="s">
        <v>4974</v>
      </c>
      <c r="I723" s="30">
        <v>47.2</v>
      </c>
      <c r="J723" s="29" t="s">
        <v>721</v>
      </c>
    </row>
    <row r="724" spans="1:10" ht="12" customHeight="1">
      <c r="A724" s="74">
        <v>4058075260573</v>
      </c>
      <c r="B724" s="61" t="s">
        <v>5426</v>
      </c>
      <c r="C724" s="62">
        <v>1</v>
      </c>
      <c r="D724" s="63" t="s">
        <v>4415</v>
      </c>
      <c r="E724" s="70" t="str">
        <f>HYPERLINK("https://ledvance.com/pt/product-datasheet/9123/45626","Ficha de Produto")</f>
        <v>Ficha de Produto</v>
      </c>
      <c r="F724" s="62"/>
      <c r="G724" s="65" t="s">
        <v>1761</v>
      </c>
      <c r="H724" s="62" t="s">
        <v>4974</v>
      </c>
      <c r="I724" s="30">
        <v>62.800000000000004</v>
      </c>
      <c r="J724" s="29" t="s">
        <v>721</v>
      </c>
    </row>
    <row r="725" spans="1:10" s="51" customFormat="1" ht="15" customHeight="1">
      <c r="A725" s="59" t="s">
        <v>4471</v>
      </c>
      <c r="B725" s="67"/>
      <c r="C725" s="54"/>
      <c r="D725" s="56"/>
      <c r="E725" s="71"/>
      <c r="F725" s="54"/>
      <c r="G725" s="69"/>
      <c r="H725" s="85"/>
      <c r="I725" s="57"/>
      <c r="J725" s="58"/>
    </row>
    <row r="726" spans="1:10" ht="12" customHeight="1">
      <c r="A726" s="74">
        <v>4058075227590</v>
      </c>
      <c r="B726" s="61" t="s">
        <v>5427</v>
      </c>
      <c r="C726" s="62">
        <v>1</v>
      </c>
      <c r="D726" s="63" t="s">
        <v>4415</v>
      </c>
      <c r="E726" s="70" t="str">
        <f>HYPERLINK("https://ledvance.com/pt/product-datasheet/9122/107101","Ficha de Produto")</f>
        <v>Ficha de Produto</v>
      </c>
      <c r="F726" s="62"/>
      <c r="G726" s="65" t="s">
        <v>1761</v>
      </c>
      <c r="H726" s="62" t="s">
        <v>4974</v>
      </c>
      <c r="I726" s="30">
        <v>55</v>
      </c>
      <c r="J726" s="29" t="s">
        <v>721</v>
      </c>
    </row>
    <row r="727" spans="1:10" ht="12" customHeight="1">
      <c r="A727" s="74">
        <v>4058075265721</v>
      </c>
      <c r="B727" s="61" t="s">
        <v>5428</v>
      </c>
      <c r="C727" s="62">
        <v>1</v>
      </c>
      <c r="D727" s="63" t="s">
        <v>4415</v>
      </c>
      <c r="E727" s="70" t="str">
        <f>HYPERLINK("https://ledvance.com/pt/product-datasheet/9122/108014","Ficha de Produto")</f>
        <v>Ficha de Produto</v>
      </c>
      <c r="F727" s="62"/>
      <c r="G727" s="65" t="s">
        <v>1755</v>
      </c>
      <c r="H727" s="62" t="s">
        <v>4974</v>
      </c>
      <c r="I727" s="30">
        <v>109.69999999999999</v>
      </c>
      <c r="J727" s="29" t="s">
        <v>721</v>
      </c>
    </row>
    <row r="728" spans="1:10" ht="12" customHeight="1">
      <c r="A728" s="74">
        <v>4058075227576</v>
      </c>
      <c r="B728" s="61" t="s">
        <v>5429</v>
      </c>
      <c r="C728" s="62">
        <v>1</v>
      </c>
      <c r="D728" s="63" t="s">
        <v>4415</v>
      </c>
      <c r="E728" s="70" t="str">
        <f>HYPERLINK("https://ledvance.com/pt/product-datasheet/9122/45421","Ficha de Produto")</f>
        <v>Ficha de Produto</v>
      </c>
      <c r="F728" s="62"/>
      <c r="G728" s="65" t="s">
        <v>4957</v>
      </c>
      <c r="H728" s="62" t="s">
        <v>4974</v>
      </c>
      <c r="I728" s="30">
        <v>55</v>
      </c>
      <c r="J728" s="29" t="s">
        <v>721</v>
      </c>
    </row>
    <row r="729" spans="1:10" ht="12" customHeight="1">
      <c r="A729" s="74">
        <v>4058075265769</v>
      </c>
      <c r="B729" s="61" t="s">
        <v>5430</v>
      </c>
      <c r="C729" s="62">
        <v>1</v>
      </c>
      <c r="D729" s="63" t="s">
        <v>4415</v>
      </c>
      <c r="E729" s="70" t="str">
        <f>HYPERLINK("https://ledvance.com/pt/product-datasheet/9122/45565","Ficha de Produto")</f>
        <v>Ficha de Produto</v>
      </c>
      <c r="F729" s="62"/>
      <c r="G729" s="65" t="s">
        <v>1743</v>
      </c>
      <c r="H729" s="62" t="s">
        <v>4974</v>
      </c>
      <c r="I729" s="30">
        <v>109.69999999999999</v>
      </c>
      <c r="J729" s="29" t="s">
        <v>721</v>
      </c>
    </row>
    <row r="730" spans="1:10" s="51" customFormat="1" ht="15" customHeight="1">
      <c r="A730" s="59" t="s">
        <v>4472</v>
      </c>
      <c r="B730" s="67"/>
      <c r="C730" s="54"/>
      <c r="D730" s="56"/>
      <c r="E730" s="56"/>
      <c r="F730" s="54"/>
      <c r="G730" s="69"/>
      <c r="H730" s="85"/>
      <c r="I730" s="57"/>
      <c r="J730" s="58"/>
    </row>
    <row r="731" spans="1:10" ht="12" customHeight="1">
      <c r="A731" s="74">
        <v>4058075633155</v>
      </c>
      <c r="B731" s="61" t="s">
        <v>5431</v>
      </c>
      <c r="C731" s="62">
        <v>1</v>
      </c>
      <c r="D731" s="63" t="s">
        <v>4415</v>
      </c>
      <c r="E731" s="70" t="str">
        <f>HYPERLINK("https://ledvance.com/pt/product-datasheet/9105/157568","Ficha de Produto")</f>
        <v>Ficha de Produto</v>
      </c>
      <c r="F731" s="62"/>
      <c r="G731" s="65" t="s">
        <v>5008</v>
      </c>
      <c r="H731" s="62" t="s">
        <v>4974</v>
      </c>
      <c r="I731" s="30">
        <v>68.699999999999989</v>
      </c>
      <c r="J731" s="29" t="s">
        <v>721</v>
      </c>
    </row>
    <row r="732" spans="1:10" ht="12" customHeight="1">
      <c r="A732" s="74">
        <v>4058075633131</v>
      </c>
      <c r="B732" s="61" t="s">
        <v>5432</v>
      </c>
      <c r="C732" s="62">
        <v>1</v>
      </c>
      <c r="D732" s="63" t="s">
        <v>4415</v>
      </c>
      <c r="E732" s="70" t="str">
        <f>HYPERLINK("https://ledvance.com/pt/product-datasheet/9105/157565","Ficha de Produto")</f>
        <v>Ficha de Produto</v>
      </c>
      <c r="F732" s="62"/>
      <c r="G732" s="65" t="s">
        <v>5008</v>
      </c>
      <c r="H732" s="62" t="s">
        <v>4990</v>
      </c>
      <c r="I732" s="30">
        <v>82.3</v>
      </c>
      <c r="J732" s="29" t="s">
        <v>721</v>
      </c>
    </row>
    <row r="733" spans="1:10" ht="12" customHeight="1">
      <c r="A733" s="74">
        <v>4058075633179</v>
      </c>
      <c r="B733" s="61" t="s">
        <v>5433</v>
      </c>
      <c r="C733" s="62">
        <v>1</v>
      </c>
      <c r="D733" s="63" t="s">
        <v>4415</v>
      </c>
      <c r="E733" s="70" t="str">
        <f>HYPERLINK("https://ledvance.com/pt/product-datasheet/9105/157571","Ficha de Produto")</f>
        <v>Ficha de Produto</v>
      </c>
      <c r="F733" s="62"/>
      <c r="G733" s="65" t="s">
        <v>1755</v>
      </c>
      <c r="H733" s="62" t="s">
        <v>5434</v>
      </c>
      <c r="I733" s="30">
        <v>89.199999999999989</v>
      </c>
      <c r="J733" s="29" t="s">
        <v>721</v>
      </c>
    </row>
    <row r="734" spans="1:10" ht="12" customHeight="1">
      <c r="A734" s="74">
        <v>4058075633193</v>
      </c>
      <c r="B734" s="61" t="s">
        <v>5435</v>
      </c>
      <c r="C734" s="62">
        <v>1</v>
      </c>
      <c r="D734" s="63" t="s">
        <v>4415</v>
      </c>
      <c r="E734" s="70" t="str">
        <f>HYPERLINK("https://ledvance.com/pt/product-datasheet/9105/157574","Ficha de Produto")</f>
        <v>Ficha de Produto</v>
      </c>
      <c r="F734" s="62"/>
      <c r="G734" s="65" t="s">
        <v>5015</v>
      </c>
      <c r="H734" s="62" t="s">
        <v>5434</v>
      </c>
      <c r="I734" s="30">
        <v>119</v>
      </c>
      <c r="J734" s="29" t="s">
        <v>721</v>
      </c>
    </row>
    <row r="735" spans="1:10" s="51" customFormat="1" ht="15" customHeight="1">
      <c r="A735" s="59" t="s">
        <v>4473</v>
      </c>
      <c r="B735" s="67"/>
      <c r="C735" s="54"/>
      <c r="D735" s="56"/>
      <c r="E735" s="56"/>
      <c r="F735" s="54"/>
      <c r="G735" s="69"/>
      <c r="H735" s="85"/>
      <c r="I735" s="57"/>
      <c r="J735" s="58"/>
    </row>
    <row r="736" spans="1:10" ht="12" customHeight="1">
      <c r="A736" s="74">
        <v>4058075651739</v>
      </c>
      <c r="B736" s="61" t="s">
        <v>5436</v>
      </c>
      <c r="C736" s="62">
        <v>1</v>
      </c>
      <c r="D736" s="63" t="s">
        <v>4415</v>
      </c>
      <c r="E736" s="70" t="str">
        <f>HYPERLINK("https://ledvance.com/pt/product-datasheet/9106/162479","Ficha de Produto")</f>
        <v>Ficha de Produto</v>
      </c>
      <c r="F736" s="62"/>
      <c r="G736" s="65" t="s">
        <v>4934</v>
      </c>
      <c r="H736" s="62" t="s">
        <v>5437</v>
      </c>
      <c r="I736" s="30">
        <v>41.4</v>
      </c>
      <c r="J736" s="29" t="s">
        <v>721</v>
      </c>
    </row>
    <row r="737" spans="1:10" ht="12" customHeight="1">
      <c r="A737" s="74">
        <v>4058075651753</v>
      </c>
      <c r="B737" s="61" t="s">
        <v>5438</v>
      </c>
      <c r="C737" s="62">
        <v>1</v>
      </c>
      <c r="D737" s="63" t="s">
        <v>4415</v>
      </c>
      <c r="E737" s="70" t="str">
        <f>HYPERLINK("https://ledvance.com/pt/product-datasheet/9106/162482","Ficha de Produto")</f>
        <v>Ficha de Produto</v>
      </c>
      <c r="F737" s="62"/>
      <c r="G737" s="65" t="s">
        <v>5008</v>
      </c>
      <c r="H737" s="62" t="s">
        <v>5437</v>
      </c>
      <c r="I737" s="30">
        <v>55</v>
      </c>
      <c r="J737" s="29" t="s">
        <v>721</v>
      </c>
    </row>
    <row r="738" spans="1:10" ht="12" customHeight="1">
      <c r="A738" s="74">
        <v>4058075651715</v>
      </c>
      <c r="B738" s="61" t="s">
        <v>5439</v>
      </c>
      <c r="C738" s="62">
        <v>1</v>
      </c>
      <c r="D738" s="63" t="s">
        <v>4415</v>
      </c>
      <c r="E738" s="70" t="str">
        <f>HYPERLINK("https://ledvance.com/pt/product-datasheet/9106/162476","Ficha de Produto")</f>
        <v>Ficha de Produto</v>
      </c>
      <c r="F738" s="62"/>
      <c r="G738" s="65" t="s">
        <v>4957</v>
      </c>
      <c r="H738" s="62" t="s">
        <v>4990</v>
      </c>
      <c r="I738" s="30">
        <v>55</v>
      </c>
      <c r="J738" s="29" t="s">
        <v>721</v>
      </c>
    </row>
    <row r="739" spans="1:10" ht="12" customHeight="1">
      <c r="A739" s="74">
        <v>4058075651777</v>
      </c>
      <c r="B739" s="61" t="s">
        <v>5440</v>
      </c>
      <c r="C739" s="62">
        <v>1</v>
      </c>
      <c r="D739" s="63" t="s">
        <v>4415</v>
      </c>
      <c r="E739" s="70" t="str">
        <f>HYPERLINK("https://ledvance.com/pt/product-datasheet/9106/162485","Ficha de Produto")</f>
        <v>Ficha de Produto</v>
      </c>
      <c r="F739" s="62"/>
      <c r="G739" s="65" t="s">
        <v>4945</v>
      </c>
      <c r="H739" s="62" t="s">
        <v>4990</v>
      </c>
      <c r="I739" s="30">
        <v>68.699999999999989</v>
      </c>
      <c r="J739" s="29" t="s">
        <v>721</v>
      </c>
    </row>
    <row r="740" spans="1:10" ht="12" customHeight="1">
      <c r="A740" s="110">
        <v>4058075651890</v>
      </c>
      <c r="B740" s="61" t="s">
        <v>5441</v>
      </c>
      <c r="C740" s="62">
        <v>1</v>
      </c>
      <c r="D740" s="63" t="s">
        <v>4415</v>
      </c>
      <c r="E740" s="70" t="str">
        <f>HYPERLINK("https://ledvance.com/pt/product-datasheet/9107/162494","Ficha de Produto")</f>
        <v>Ficha de Produto</v>
      </c>
      <c r="F740" s="62"/>
      <c r="G740" s="65" t="s">
        <v>5442</v>
      </c>
      <c r="H740" s="62" t="s">
        <v>4974</v>
      </c>
      <c r="I740" s="30">
        <v>27.700000000000003</v>
      </c>
      <c r="J740" s="29" t="s">
        <v>721</v>
      </c>
    </row>
    <row r="741" spans="1:10" ht="12" customHeight="1">
      <c r="A741" s="110">
        <v>4058075651913</v>
      </c>
      <c r="B741" s="61" t="s">
        <v>5443</v>
      </c>
      <c r="C741" s="62">
        <v>1</v>
      </c>
      <c r="D741" s="63" t="s">
        <v>4415</v>
      </c>
      <c r="E741" s="70" t="str">
        <f>HYPERLINK("https://ledvance.com/pt/product-datasheet/9107/162497","Ficha de Produto")</f>
        <v>Ficha de Produto</v>
      </c>
      <c r="F741" s="62"/>
      <c r="G741" s="65" t="s">
        <v>5008</v>
      </c>
      <c r="H741" s="62" t="s">
        <v>4974</v>
      </c>
      <c r="I741" s="30">
        <v>34.5</v>
      </c>
      <c r="J741" s="29" t="s">
        <v>721</v>
      </c>
    </row>
    <row r="742" spans="1:10" s="51" customFormat="1" ht="15" customHeight="1">
      <c r="A742" s="52" t="s">
        <v>4474</v>
      </c>
      <c r="B742" s="67"/>
      <c r="C742" s="54"/>
      <c r="D742" s="55"/>
      <c r="E742" s="71"/>
      <c r="F742" s="54"/>
      <c r="G742" s="69"/>
      <c r="H742" s="85"/>
      <c r="I742" s="57"/>
      <c r="J742" s="58"/>
    </row>
    <row r="743" spans="1:10" s="51" customFormat="1" ht="15" customHeight="1">
      <c r="A743" s="59" t="s">
        <v>4475</v>
      </c>
      <c r="B743" s="67"/>
      <c r="C743" s="54"/>
      <c r="D743" s="56"/>
      <c r="E743" s="56"/>
      <c r="F743" s="54"/>
      <c r="G743" s="69"/>
      <c r="H743" s="85"/>
      <c r="I743" s="57"/>
      <c r="J743" s="58"/>
    </row>
    <row r="744" spans="1:10" ht="12" customHeight="1">
      <c r="A744" s="83">
        <v>4099854092428</v>
      </c>
      <c r="B744" s="61" t="s">
        <v>5444</v>
      </c>
      <c r="C744" s="62">
        <v>1</v>
      </c>
      <c r="D744" s="63" t="s">
        <v>4415</v>
      </c>
      <c r="E744" s="70" t="str">
        <f>HYPERLINK("https://ledvance.com/pt/product-datasheet/257788/247487","Ficha de Produto")</f>
        <v>Ficha de Produto</v>
      </c>
      <c r="F744" s="94" t="s">
        <v>4183</v>
      </c>
      <c r="G744" s="65" t="s">
        <v>4949</v>
      </c>
      <c r="H744" s="62" t="s">
        <v>4974</v>
      </c>
      <c r="I744" s="30">
        <v>48.2</v>
      </c>
      <c r="J744" s="29" t="s">
        <v>721</v>
      </c>
    </row>
    <row r="745" spans="1:10" ht="12" customHeight="1">
      <c r="A745" s="83">
        <v>4099854092442</v>
      </c>
      <c r="B745" s="61" t="s">
        <v>5445</v>
      </c>
      <c r="C745" s="62">
        <v>1</v>
      </c>
      <c r="D745" s="63" t="s">
        <v>4415</v>
      </c>
      <c r="E745" s="70" t="str">
        <f>HYPERLINK("https://ledvance.com/pt/product-datasheet/257788/247490","Ficha de Produto")</f>
        <v>Ficha de Produto</v>
      </c>
      <c r="F745" s="94" t="s">
        <v>4183</v>
      </c>
      <c r="G745" s="65" t="s">
        <v>4949</v>
      </c>
      <c r="H745" s="62" t="s">
        <v>4974</v>
      </c>
      <c r="I745" s="30">
        <v>48.2</v>
      </c>
      <c r="J745" s="29" t="s">
        <v>721</v>
      </c>
    </row>
    <row r="746" spans="1:10" ht="12" customHeight="1">
      <c r="A746" s="83">
        <v>4058075832817</v>
      </c>
      <c r="B746" s="61" t="s">
        <v>5446</v>
      </c>
      <c r="C746" s="62">
        <v>1</v>
      </c>
      <c r="D746" s="63" t="s">
        <v>4415</v>
      </c>
      <c r="E746" s="70" t="str">
        <f>HYPERLINK("https://ledvance.com/pt/product-datasheet/257788/262250","Ficha de Produto")</f>
        <v>Ficha de Produto</v>
      </c>
      <c r="F746" s="94" t="s">
        <v>4183</v>
      </c>
      <c r="G746" s="65" t="s">
        <v>5008</v>
      </c>
      <c r="H746" s="62" t="s">
        <v>4974</v>
      </c>
      <c r="I746" s="30">
        <v>69.199999999999989</v>
      </c>
      <c r="J746" s="29" t="s">
        <v>721</v>
      </c>
    </row>
    <row r="747" spans="1:10" ht="12" customHeight="1">
      <c r="A747" s="83">
        <v>4058075832831</v>
      </c>
      <c r="B747" s="61" t="s">
        <v>5447</v>
      </c>
      <c r="C747" s="62">
        <v>1</v>
      </c>
      <c r="D747" s="63" t="s">
        <v>4415</v>
      </c>
      <c r="E747" s="70" t="str">
        <f>HYPERLINK("https://ledvance.com/pt/product-datasheet/257788/262253","Ficha de Produto")</f>
        <v>Ficha de Produto</v>
      </c>
      <c r="F747" s="94" t="s">
        <v>4183</v>
      </c>
      <c r="G747" s="65" t="s">
        <v>5008</v>
      </c>
      <c r="H747" s="62" t="s">
        <v>4974</v>
      </c>
      <c r="I747" s="30">
        <v>69.199999999999989</v>
      </c>
      <c r="J747" s="29" t="s">
        <v>721</v>
      </c>
    </row>
    <row r="748" spans="1:10" ht="12" customHeight="1">
      <c r="A748" s="83">
        <v>4099854092466</v>
      </c>
      <c r="B748" s="61" t="s">
        <v>5448</v>
      </c>
      <c r="C748" s="62">
        <v>1</v>
      </c>
      <c r="D748" s="63" t="s">
        <v>4415</v>
      </c>
      <c r="E748" s="70" t="str">
        <f>HYPERLINK("https://ledvance.com/pt/product-datasheet/257788/247493","Ficha de Produto")</f>
        <v>Ficha de Produto</v>
      </c>
      <c r="F748" s="94" t="s">
        <v>4183</v>
      </c>
      <c r="G748" s="65" t="s">
        <v>5001</v>
      </c>
      <c r="H748" s="62" t="s">
        <v>4974</v>
      </c>
      <c r="I748" s="30">
        <v>82.3</v>
      </c>
      <c r="J748" s="29" t="s">
        <v>721</v>
      </c>
    </row>
    <row r="749" spans="1:10" ht="12" customHeight="1">
      <c r="A749" s="83">
        <v>4099854092480</v>
      </c>
      <c r="B749" s="61" t="s">
        <v>5449</v>
      </c>
      <c r="C749" s="62">
        <v>1</v>
      </c>
      <c r="D749" s="63" t="s">
        <v>4415</v>
      </c>
      <c r="E749" s="70" t="str">
        <f>HYPERLINK("https://ledvance.com/pt/product-datasheet/257788/247496","Ficha de Produto")</f>
        <v>Ficha de Produto</v>
      </c>
      <c r="F749" s="94" t="s">
        <v>4183</v>
      </c>
      <c r="G749" s="65" t="s">
        <v>5001</v>
      </c>
      <c r="H749" s="62" t="s">
        <v>4974</v>
      </c>
      <c r="I749" s="30">
        <v>82.3</v>
      </c>
      <c r="J749" s="29" t="s">
        <v>721</v>
      </c>
    </row>
    <row r="750" spans="1:10" s="51" customFormat="1" ht="15" customHeight="1">
      <c r="A750" s="92" t="s">
        <v>4476</v>
      </c>
      <c r="B750" s="67"/>
      <c r="C750" s="54"/>
      <c r="D750" s="93"/>
      <c r="E750" s="78"/>
      <c r="F750" s="54"/>
      <c r="G750" s="69"/>
      <c r="H750" s="85"/>
      <c r="I750" s="57"/>
      <c r="J750" s="58"/>
    </row>
    <row r="751" spans="1:10" ht="12" customHeight="1">
      <c r="A751" s="83">
        <v>4058075828889</v>
      </c>
      <c r="B751" s="61" t="s">
        <v>5450</v>
      </c>
      <c r="C751" s="62">
        <v>1</v>
      </c>
      <c r="D751" s="63" t="s">
        <v>4415</v>
      </c>
      <c r="E751" s="70" t="str">
        <f>HYPERLINK("https://ledvance.com/pt/product-datasheet/273536/265047","Ficha de Produto")</f>
        <v>Ficha de Produto</v>
      </c>
      <c r="F751" s="94" t="s">
        <v>4183</v>
      </c>
      <c r="G751" s="65" t="s">
        <v>4963</v>
      </c>
      <c r="H751" s="62" t="s">
        <v>4963</v>
      </c>
      <c r="I751" s="30">
        <v>48.2</v>
      </c>
      <c r="J751" s="29" t="s">
        <v>721</v>
      </c>
    </row>
    <row r="752" spans="1:10" ht="12" customHeight="1">
      <c r="A752" s="83">
        <v>4058075828865</v>
      </c>
      <c r="B752" s="61" t="s">
        <v>5451</v>
      </c>
      <c r="C752" s="62">
        <v>1</v>
      </c>
      <c r="D752" s="63" t="s">
        <v>4415</v>
      </c>
      <c r="E752" s="70" t="str">
        <f>HYPERLINK("https://ledvance.com/pt/product-datasheet/273536/265044","Ficha de Produto")</f>
        <v>Ficha de Produto</v>
      </c>
      <c r="F752" s="94" t="s">
        <v>4183</v>
      </c>
      <c r="G752" s="65" t="s">
        <v>4963</v>
      </c>
      <c r="H752" s="62" t="s">
        <v>4963</v>
      </c>
      <c r="I752" s="30">
        <v>48.2</v>
      </c>
      <c r="J752" s="29" t="s">
        <v>721</v>
      </c>
    </row>
    <row r="753" spans="1:10" ht="12" customHeight="1">
      <c r="A753" s="83">
        <v>4058075828902</v>
      </c>
      <c r="B753" s="61" t="s">
        <v>5452</v>
      </c>
      <c r="C753" s="62">
        <v>1</v>
      </c>
      <c r="D753" s="63" t="s">
        <v>4415</v>
      </c>
      <c r="E753" s="70" t="str">
        <f>HYPERLINK("https://ledvance.com/pt/product-datasheet/273536/265050","Ficha de Produto")</f>
        <v>Ficha de Produto</v>
      </c>
      <c r="F753" s="94" t="s">
        <v>4183</v>
      </c>
      <c r="G753" s="65" t="s">
        <v>4963</v>
      </c>
      <c r="H753" s="62" t="s">
        <v>4963</v>
      </c>
      <c r="I753" s="30">
        <v>55</v>
      </c>
      <c r="J753" s="29" t="s">
        <v>721</v>
      </c>
    </row>
    <row r="754" spans="1:10" ht="12" customHeight="1">
      <c r="A754" s="83">
        <v>4058075828926</v>
      </c>
      <c r="B754" s="61" t="s">
        <v>5453</v>
      </c>
      <c r="C754" s="62">
        <v>1</v>
      </c>
      <c r="D754" s="63" t="s">
        <v>4415</v>
      </c>
      <c r="E754" s="70" t="str">
        <f>HYPERLINK("https://ledvance.com/pt/product-datasheet/273536/265053","Ficha de Produto")</f>
        <v>Ficha de Produto</v>
      </c>
      <c r="F754" s="94" t="s">
        <v>4183</v>
      </c>
      <c r="G754" s="65" t="s">
        <v>4963</v>
      </c>
      <c r="H754" s="62" t="s">
        <v>4963</v>
      </c>
      <c r="I754" s="30">
        <v>55</v>
      </c>
      <c r="J754" s="29" t="s">
        <v>721</v>
      </c>
    </row>
    <row r="755" spans="1:10" s="51" customFormat="1" ht="15" customHeight="1">
      <c r="A755" s="92" t="s">
        <v>4477</v>
      </c>
      <c r="B755" s="67"/>
      <c r="C755" s="54"/>
      <c r="D755" s="93"/>
      <c r="E755" s="93"/>
      <c r="F755" s="54"/>
      <c r="G755" s="69"/>
      <c r="H755" s="85"/>
      <c r="I755" s="57"/>
      <c r="J755" s="58"/>
    </row>
    <row r="756" spans="1:10" ht="12" customHeight="1">
      <c r="A756" s="83">
        <v>4058075828940</v>
      </c>
      <c r="B756" s="61" t="s">
        <v>5454</v>
      </c>
      <c r="C756" s="62">
        <v>1</v>
      </c>
      <c r="D756" s="63" t="s">
        <v>4415</v>
      </c>
      <c r="E756" s="70" t="str">
        <f>HYPERLINK("https://ledvance.com/pt/product-datasheet/273537/265056","Ficha de Produto")</f>
        <v>Ficha de Produto</v>
      </c>
      <c r="F756" s="94" t="s">
        <v>4183</v>
      </c>
      <c r="G756" s="65" t="s">
        <v>4963</v>
      </c>
      <c r="H756" s="62" t="s">
        <v>4963</v>
      </c>
      <c r="I756" s="30">
        <v>34.5</v>
      </c>
      <c r="J756" s="29" t="s">
        <v>721</v>
      </c>
    </row>
    <row r="757" spans="1:10" ht="12" customHeight="1">
      <c r="A757" s="83">
        <v>4058075828964</v>
      </c>
      <c r="B757" s="61" t="s">
        <v>5455</v>
      </c>
      <c r="C757" s="62">
        <v>1</v>
      </c>
      <c r="D757" s="63" t="s">
        <v>4415</v>
      </c>
      <c r="E757" s="70" t="str">
        <f>HYPERLINK("https://ledvance.com/pt/product-datasheet/273537/265059","Ficha de Produto")</f>
        <v>Ficha de Produto</v>
      </c>
      <c r="F757" s="94" t="s">
        <v>4183</v>
      </c>
      <c r="G757" s="65" t="s">
        <v>4963</v>
      </c>
      <c r="H757" s="62" t="s">
        <v>4963</v>
      </c>
      <c r="I757" s="30">
        <v>34.5</v>
      </c>
      <c r="J757" s="29" t="s">
        <v>721</v>
      </c>
    </row>
    <row r="758" spans="1:10" ht="12" customHeight="1">
      <c r="A758" s="83">
        <v>4058075828988</v>
      </c>
      <c r="B758" s="61" t="s">
        <v>5456</v>
      </c>
      <c r="C758" s="62">
        <v>1</v>
      </c>
      <c r="D758" s="63" t="s">
        <v>4415</v>
      </c>
      <c r="E758" s="70" t="str">
        <f>HYPERLINK("https://ledvance.com/pt/product-datasheet/273537/265062","Ficha de Produto")</f>
        <v>Ficha de Produto</v>
      </c>
      <c r="F758" s="94" t="s">
        <v>4183</v>
      </c>
      <c r="G758" s="65" t="s">
        <v>4963</v>
      </c>
      <c r="H758" s="62" t="s">
        <v>4963</v>
      </c>
      <c r="I758" s="30">
        <v>34.5</v>
      </c>
      <c r="J758" s="29" t="s">
        <v>721</v>
      </c>
    </row>
    <row r="759" spans="1:10" ht="12" customHeight="1">
      <c r="A759" s="83">
        <v>4058075829008</v>
      </c>
      <c r="B759" s="61" t="s">
        <v>5457</v>
      </c>
      <c r="C759" s="62">
        <v>1</v>
      </c>
      <c r="D759" s="63" t="s">
        <v>4415</v>
      </c>
      <c r="E759" s="70" t="str">
        <f>HYPERLINK("https://ledvance.com/pt/product-datasheet/273537/265065","Ficha de Produto")</f>
        <v>Ficha de Produto</v>
      </c>
      <c r="F759" s="94" t="s">
        <v>4183</v>
      </c>
      <c r="G759" s="65" t="s">
        <v>4963</v>
      </c>
      <c r="H759" s="62" t="s">
        <v>4963</v>
      </c>
      <c r="I759" s="30">
        <v>34.5</v>
      </c>
      <c r="J759" s="29" t="s">
        <v>721</v>
      </c>
    </row>
    <row r="760" spans="1:10" ht="12" customHeight="1">
      <c r="A760" s="83">
        <v>4058075832633</v>
      </c>
      <c r="B760" s="61" t="s">
        <v>5458</v>
      </c>
      <c r="C760" s="62">
        <v>1</v>
      </c>
      <c r="D760" s="63" t="s">
        <v>4415</v>
      </c>
      <c r="E760" s="70" t="str">
        <f>HYPERLINK("https://ledvance.com/pt/product-datasheet/273537/265068","Ficha de Produto")</f>
        <v>Ficha de Produto</v>
      </c>
      <c r="F760" s="94" t="s">
        <v>4183</v>
      </c>
      <c r="G760" s="65" t="s">
        <v>4963</v>
      </c>
      <c r="H760" s="62" t="s">
        <v>4963</v>
      </c>
      <c r="I760" s="30">
        <v>55</v>
      </c>
      <c r="J760" s="29" t="s">
        <v>721</v>
      </c>
    </row>
    <row r="761" spans="1:10" ht="12" customHeight="1">
      <c r="A761" s="83">
        <v>4058075832657</v>
      </c>
      <c r="B761" s="61" t="s">
        <v>5459</v>
      </c>
      <c r="C761" s="62">
        <v>1</v>
      </c>
      <c r="D761" s="63" t="s">
        <v>4415</v>
      </c>
      <c r="E761" s="70" t="str">
        <f>HYPERLINK("https://ledvance.com/pt/product-datasheet/273537/265071","Ficha de Produto")</f>
        <v>Ficha de Produto</v>
      </c>
      <c r="F761" s="94" t="s">
        <v>4183</v>
      </c>
      <c r="G761" s="65" t="s">
        <v>4963</v>
      </c>
      <c r="H761" s="62" t="s">
        <v>4963</v>
      </c>
      <c r="I761" s="30">
        <v>55</v>
      </c>
      <c r="J761" s="29" t="s">
        <v>721</v>
      </c>
    </row>
    <row r="762" spans="1:10" ht="12" customHeight="1">
      <c r="A762" s="83">
        <v>4058075832671</v>
      </c>
      <c r="B762" s="61" t="s">
        <v>5460</v>
      </c>
      <c r="C762" s="62">
        <v>1</v>
      </c>
      <c r="D762" s="63" t="s">
        <v>4415</v>
      </c>
      <c r="E762" s="70" t="str">
        <f>HYPERLINK("https://ledvance.com/pt/product-datasheet/273537/265074","Ficha de Produto")</f>
        <v>Ficha de Produto</v>
      </c>
      <c r="F762" s="94" t="s">
        <v>4183</v>
      </c>
      <c r="G762" s="65" t="s">
        <v>4963</v>
      </c>
      <c r="H762" s="62" t="s">
        <v>4963</v>
      </c>
      <c r="I762" s="30">
        <v>55</v>
      </c>
      <c r="J762" s="29" t="s">
        <v>721</v>
      </c>
    </row>
    <row r="763" spans="1:10" ht="12" customHeight="1">
      <c r="A763" s="83">
        <v>4058075832695</v>
      </c>
      <c r="B763" s="61" t="s">
        <v>5461</v>
      </c>
      <c r="C763" s="62">
        <v>1</v>
      </c>
      <c r="D763" s="63" t="s">
        <v>4415</v>
      </c>
      <c r="E763" s="70" t="str">
        <f>HYPERLINK("https://ledvance.com/pt/product-datasheet/273537/265077","Ficha de Produto")</f>
        <v>Ficha de Produto</v>
      </c>
      <c r="F763" s="94" t="s">
        <v>4183</v>
      </c>
      <c r="G763" s="65" t="s">
        <v>4963</v>
      </c>
      <c r="H763" s="62" t="s">
        <v>4963</v>
      </c>
      <c r="I763" s="30">
        <v>55</v>
      </c>
      <c r="J763" s="29" t="s">
        <v>721</v>
      </c>
    </row>
    <row r="764" spans="1:10" ht="12" customHeight="1">
      <c r="A764" s="83">
        <v>4058075829022</v>
      </c>
      <c r="B764" s="61" t="s">
        <v>5462</v>
      </c>
      <c r="C764" s="62">
        <v>1</v>
      </c>
      <c r="D764" s="63" t="s">
        <v>4415</v>
      </c>
      <c r="E764" s="70" t="str">
        <f>HYPERLINK("https://ledvance.com/pt/product-datasheet/273537/265080","Ficha de Produto")</f>
        <v>Ficha de Produto</v>
      </c>
      <c r="F764" s="94" t="s">
        <v>4183</v>
      </c>
      <c r="G764" s="65" t="s">
        <v>4963</v>
      </c>
      <c r="H764" s="62" t="s">
        <v>4963</v>
      </c>
      <c r="I764" s="30">
        <v>68.699999999999989</v>
      </c>
      <c r="J764" s="29" t="s">
        <v>721</v>
      </c>
    </row>
    <row r="765" spans="1:10" ht="12" customHeight="1">
      <c r="A765" s="83">
        <v>4058075829046</v>
      </c>
      <c r="B765" s="61" t="s">
        <v>5463</v>
      </c>
      <c r="C765" s="62">
        <v>1</v>
      </c>
      <c r="D765" s="63" t="s">
        <v>4415</v>
      </c>
      <c r="E765" s="70" t="str">
        <f>HYPERLINK("https://ledvance.com/pt/product-datasheet/273537/265083","Ficha de Produto")</f>
        <v>Ficha de Produto</v>
      </c>
      <c r="F765" s="94" t="s">
        <v>4183</v>
      </c>
      <c r="G765" s="65" t="s">
        <v>4963</v>
      </c>
      <c r="H765" s="62" t="s">
        <v>4963</v>
      </c>
      <c r="I765" s="30">
        <v>68.699999999999989</v>
      </c>
      <c r="J765" s="29" t="s">
        <v>721</v>
      </c>
    </row>
    <row r="766" spans="1:10" ht="12" customHeight="1">
      <c r="A766" s="83">
        <v>4058075829060</v>
      </c>
      <c r="B766" s="61" t="s">
        <v>5464</v>
      </c>
      <c r="C766" s="62">
        <v>1</v>
      </c>
      <c r="D766" s="63" t="s">
        <v>4415</v>
      </c>
      <c r="E766" s="70" t="str">
        <f>HYPERLINK("https://ledvance.com/pt/product-datasheet/273537/265086","Ficha de Produto")</f>
        <v>Ficha de Produto</v>
      </c>
      <c r="F766" s="94" t="s">
        <v>4183</v>
      </c>
      <c r="G766" s="65" t="s">
        <v>4963</v>
      </c>
      <c r="H766" s="62" t="s">
        <v>4963</v>
      </c>
      <c r="I766" s="30">
        <v>68.699999999999989</v>
      </c>
      <c r="J766" s="29" t="s">
        <v>721</v>
      </c>
    </row>
    <row r="767" spans="1:10" ht="12" customHeight="1">
      <c r="A767" s="83">
        <v>4058075829084</v>
      </c>
      <c r="B767" s="61" t="s">
        <v>5465</v>
      </c>
      <c r="C767" s="62">
        <v>1</v>
      </c>
      <c r="D767" s="63" t="s">
        <v>4415</v>
      </c>
      <c r="E767" s="70" t="str">
        <f>HYPERLINK("https://ledvance.com/pt/product-datasheet/273537/265089","Ficha de Produto")</f>
        <v>Ficha de Produto</v>
      </c>
      <c r="F767" s="94" t="s">
        <v>4183</v>
      </c>
      <c r="G767" s="65" t="s">
        <v>4963</v>
      </c>
      <c r="H767" s="62" t="s">
        <v>4963</v>
      </c>
      <c r="I767" s="30">
        <v>68.699999999999989</v>
      </c>
      <c r="J767" s="29" t="s">
        <v>721</v>
      </c>
    </row>
    <row r="768" spans="1:10" s="51" customFormat="1" ht="15" customHeight="1">
      <c r="A768" s="92" t="s">
        <v>4478</v>
      </c>
      <c r="B768" s="67"/>
      <c r="C768" s="54"/>
      <c r="D768" s="93"/>
      <c r="E768" s="93"/>
      <c r="F768" s="54"/>
      <c r="G768" s="69"/>
      <c r="H768" s="85"/>
      <c r="I768" s="57"/>
      <c r="J768" s="58"/>
    </row>
    <row r="769" spans="1:10" ht="12" customHeight="1">
      <c r="A769" s="83">
        <v>4058075829121</v>
      </c>
      <c r="B769" s="61" t="s">
        <v>5466</v>
      </c>
      <c r="C769" s="62">
        <v>1</v>
      </c>
      <c r="D769" s="63" t="s">
        <v>4415</v>
      </c>
      <c r="E769" s="70" t="str">
        <f>HYPERLINK("https://ledvance.com/pt/product-datasheet/273538/265095","Ficha de Produto")</f>
        <v>Ficha de Produto</v>
      </c>
      <c r="F769" s="94" t="s">
        <v>4183</v>
      </c>
      <c r="G769" s="65" t="s">
        <v>4963</v>
      </c>
      <c r="H769" s="62" t="s">
        <v>4963</v>
      </c>
      <c r="I769" s="30">
        <v>48.2</v>
      </c>
      <c r="J769" s="29" t="s">
        <v>721</v>
      </c>
    </row>
    <row r="770" spans="1:10" ht="12" customHeight="1">
      <c r="A770" s="83">
        <v>4058075829107</v>
      </c>
      <c r="B770" s="61" t="s">
        <v>5467</v>
      </c>
      <c r="C770" s="62">
        <v>1</v>
      </c>
      <c r="D770" s="63" t="s">
        <v>4415</v>
      </c>
      <c r="E770" s="70" t="str">
        <f>HYPERLINK("https://ledvance.com/pt/product-datasheet/273538/265092","Ficha de Produto")</f>
        <v>Ficha de Produto</v>
      </c>
      <c r="F770" s="94" t="s">
        <v>4183</v>
      </c>
      <c r="G770" s="65" t="s">
        <v>4963</v>
      </c>
      <c r="H770" s="62" t="s">
        <v>4963</v>
      </c>
      <c r="I770" s="30">
        <v>48.2</v>
      </c>
      <c r="J770" s="29" t="s">
        <v>721</v>
      </c>
    </row>
    <row r="771" spans="1:10" ht="12" customHeight="1">
      <c r="A771" s="83">
        <v>4058075829145</v>
      </c>
      <c r="B771" s="61" t="s">
        <v>5468</v>
      </c>
      <c r="C771" s="62">
        <v>1</v>
      </c>
      <c r="D771" s="63" t="s">
        <v>4415</v>
      </c>
      <c r="E771" s="70" t="str">
        <f>HYPERLINK("https://ledvance.com/pt/product-datasheet/273538/265098","Ficha de Produto")</f>
        <v>Ficha de Produto</v>
      </c>
      <c r="F771" s="94" t="s">
        <v>4183</v>
      </c>
      <c r="G771" s="65" t="s">
        <v>4963</v>
      </c>
      <c r="H771" s="62" t="s">
        <v>4963</v>
      </c>
      <c r="I771" s="30">
        <v>55</v>
      </c>
      <c r="J771" s="29" t="s">
        <v>721</v>
      </c>
    </row>
    <row r="772" spans="1:10" ht="12" customHeight="1">
      <c r="A772" s="83">
        <v>4058075829169</v>
      </c>
      <c r="B772" s="61" t="s">
        <v>5469</v>
      </c>
      <c r="C772" s="62">
        <v>1</v>
      </c>
      <c r="D772" s="63" t="s">
        <v>4415</v>
      </c>
      <c r="E772" s="70" t="str">
        <f>HYPERLINK("https://ledvance.com/pt/product-datasheet/273538/265101","Ficha de Produto")</f>
        <v>Ficha de Produto</v>
      </c>
      <c r="F772" s="94" t="s">
        <v>4183</v>
      </c>
      <c r="G772" s="65" t="s">
        <v>4963</v>
      </c>
      <c r="H772" s="62" t="s">
        <v>4963</v>
      </c>
      <c r="I772" s="30">
        <v>55</v>
      </c>
      <c r="J772" s="29" t="s">
        <v>721</v>
      </c>
    </row>
    <row r="773" spans="1:10" s="51" customFormat="1" ht="15" customHeight="1">
      <c r="A773" s="92" t="s">
        <v>4479</v>
      </c>
      <c r="B773" s="67"/>
      <c r="C773" s="54"/>
      <c r="D773" s="93"/>
      <c r="E773" s="78"/>
      <c r="F773" s="54"/>
      <c r="G773" s="69"/>
      <c r="H773" s="85"/>
      <c r="I773" s="57"/>
      <c r="J773" s="58"/>
    </row>
    <row r="774" spans="1:10" ht="12" customHeight="1">
      <c r="A774" s="83">
        <v>4058075829305</v>
      </c>
      <c r="B774" s="61" t="s">
        <v>5470</v>
      </c>
      <c r="C774" s="62">
        <v>1</v>
      </c>
      <c r="D774" s="63" t="s">
        <v>4415</v>
      </c>
      <c r="E774" s="70" t="str">
        <f>HYPERLINK("https://ledvance.com/pt/product-datasheet/273535/261021","Ficha de Produto")</f>
        <v>Ficha de Produto</v>
      </c>
      <c r="F774" s="94" t="s">
        <v>4183</v>
      </c>
      <c r="G774" s="65" t="s">
        <v>4994</v>
      </c>
      <c r="H774" s="62" t="s">
        <v>4974</v>
      </c>
      <c r="I774" s="30">
        <v>27.700000000000003</v>
      </c>
      <c r="J774" s="29" t="s">
        <v>721</v>
      </c>
    </row>
    <row r="775" spans="1:10" ht="12" customHeight="1">
      <c r="A775" s="83">
        <v>4058075829329</v>
      </c>
      <c r="B775" s="61" t="s">
        <v>5471</v>
      </c>
      <c r="C775" s="62">
        <v>1</v>
      </c>
      <c r="D775" s="63" t="s">
        <v>4415</v>
      </c>
      <c r="E775" s="70" t="str">
        <f>HYPERLINK("https://ledvance.com/pt/product-datasheet/273535/261024","Ficha de Produto")</f>
        <v>Ficha de Produto</v>
      </c>
      <c r="F775" s="94" t="s">
        <v>4183</v>
      </c>
      <c r="G775" s="65" t="s">
        <v>4994</v>
      </c>
      <c r="H775" s="62" t="s">
        <v>4974</v>
      </c>
      <c r="I775" s="30">
        <v>27.700000000000003</v>
      </c>
      <c r="J775" s="29" t="s">
        <v>721</v>
      </c>
    </row>
    <row r="776" spans="1:10" ht="12" customHeight="1">
      <c r="A776" s="83">
        <v>4058075832770</v>
      </c>
      <c r="B776" s="61" t="s">
        <v>5472</v>
      </c>
      <c r="C776" s="62">
        <v>1</v>
      </c>
      <c r="D776" s="63" t="s">
        <v>4415</v>
      </c>
      <c r="E776" s="70" t="str">
        <f>HYPERLINK("https://ledvance.com/pt/product-datasheet/273535/261027","Ficha de Produto")</f>
        <v>Ficha de Produto</v>
      </c>
      <c r="F776" s="94" t="s">
        <v>4183</v>
      </c>
      <c r="G776" s="65" t="s">
        <v>5008</v>
      </c>
      <c r="H776" s="62" t="s">
        <v>4974</v>
      </c>
      <c r="I776" s="30">
        <v>41.4</v>
      </c>
      <c r="J776" s="29" t="s">
        <v>721</v>
      </c>
    </row>
    <row r="777" spans="1:10" ht="12" customHeight="1">
      <c r="A777" s="83">
        <v>4058075832794</v>
      </c>
      <c r="B777" s="61" t="s">
        <v>5473</v>
      </c>
      <c r="C777" s="62">
        <v>1</v>
      </c>
      <c r="D777" s="63" t="s">
        <v>4415</v>
      </c>
      <c r="E777" s="70" t="str">
        <f>HYPERLINK("https://ledvance.com/pt/product-datasheet/273535/261030","Ficha de Produto")</f>
        <v>Ficha de Produto</v>
      </c>
      <c r="F777" s="94" t="s">
        <v>4183</v>
      </c>
      <c r="G777" s="65" t="s">
        <v>5008</v>
      </c>
      <c r="H777" s="62" t="s">
        <v>4974</v>
      </c>
      <c r="I777" s="30">
        <v>41.4</v>
      </c>
      <c r="J777" s="29" t="s">
        <v>721</v>
      </c>
    </row>
    <row r="778" spans="1:10" ht="12" customHeight="1">
      <c r="A778" s="83">
        <v>4058075829343</v>
      </c>
      <c r="B778" s="61" t="s">
        <v>5474</v>
      </c>
      <c r="C778" s="62">
        <v>1</v>
      </c>
      <c r="D778" s="63" t="s">
        <v>4415</v>
      </c>
      <c r="E778" s="70" t="str">
        <f>HYPERLINK("https://ledvance.com/pt/product-datasheet/273535/261033","Ficha de Produto")</f>
        <v>Ficha de Produto</v>
      </c>
      <c r="F778" s="94" t="s">
        <v>4183</v>
      </c>
      <c r="G778" s="65" t="s">
        <v>5001</v>
      </c>
      <c r="H778" s="62" t="s">
        <v>4974</v>
      </c>
      <c r="I778" s="30">
        <v>55</v>
      </c>
      <c r="J778" s="29" t="s">
        <v>721</v>
      </c>
    </row>
    <row r="779" spans="1:10" ht="12" customHeight="1">
      <c r="A779" s="83">
        <v>4058075829367</v>
      </c>
      <c r="B779" s="61" t="s">
        <v>5475</v>
      </c>
      <c r="C779" s="62">
        <v>1</v>
      </c>
      <c r="D779" s="63" t="s">
        <v>4415</v>
      </c>
      <c r="E779" s="70" t="str">
        <f>HYPERLINK("https://ledvance.com/pt/product-datasheet/273535/261036","Ficha de Produto")</f>
        <v>Ficha de Produto</v>
      </c>
      <c r="F779" s="94" t="s">
        <v>4183</v>
      </c>
      <c r="G779" s="65" t="s">
        <v>5001</v>
      </c>
      <c r="H779" s="62" t="s">
        <v>4974</v>
      </c>
      <c r="I779" s="30">
        <v>55</v>
      </c>
      <c r="J779" s="29" t="s">
        <v>721</v>
      </c>
    </row>
    <row r="780" spans="1:10" s="51" customFormat="1" ht="15" customHeight="1">
      <c r="A780" s="92" t="s">
        <v>4480</v>
      </c>
      <c r="B780" s="67"/>
      <c r="C780" s="54"/>
      <c r="D780" s="93"/>
      <c r="E780" s="78"/>
      <c r="F780" s="54"/>
      <c r="G780" s="69"/>
      <c r="H780" s="85"/>
      <c r="I780" s="57"/>
      <c r="J780" s="58"/>
    </row>
    <row r="781" spans="1:10" ht="12" customHeight="1">
      <c r="A781" s="83">
        <v>4058075829268</v>
      </c>
      <c r="B781" s="61" t="s">
        <v>5476</v>
      </c>
      <c r="C781" s="62">
        <v>1</v>
      </c>
      <c r="D781" s="63" t="s">
        <v>4415</v>
      </c>
      <c r="E781" s="70" t="str">
        <f>HYPERLINK("https://ledvance.com/pt/product-datasheet/273534/261012","Ficha de Produto")</f>
        <v>Ficha de Produto</v>
      </c>
      <c r="F781" s="94" t="s">
        <v>4183</v>
      </c>
      <c r="G781" s="65" t="s">
        <v>4994</v>
      </c>
      <c r="H781" s="62" t="s">
        <v>4974</v>
      </c>
      <c r="I781" s="30">
        <v>27.8</v>
      </c>
      <c r="J781" s="29" t="s">
        <v>721</v>
      </c>
    </row>
    <row r="782" spans="1:10" ht="12" customHeight="1">
      <c r="A782" s="83">
        <v>4058075832756</v>
      </c>
      <c r="B782" s="61" t="s">
        <v>5477</v>
      </c>
      <c r="C782" s="62">
        <v>1</v>
      </c>
      <c r="D782" s="63" t="s">
        <v>4415</v>
      </c>
      <c r="E782" s="70" t="str">
        <f>HYPERLINK("https://ledvance.com/pt/product-datasheet/273534/261015","Ficha de Produto")</f>
        <v>Ficha de Produto</v>
      </c>
      <c r="F782" s="94" t="s">
        <v>4183</v>
      </c>
      <c r="G782" s="65" t="s">
        <v>5008</v>
      </c>
      <c r="H782" s="62" t="s">
        <v>4974</v>
      </c>
      <c r="I782" s="30">
        <v>41.4</v>
      </c>
      <c r="J782" s="29" t="s">
        <v>721</v>
      </c>
    </row>
    <row r="783" spans="1:10" ht="12" customHeight="1">
      <c r="A783" s="83">
        <v>4058075829282</v>
      </c>
      <c r="B783" s="61" t="s">
        <v>5478</v>
      </c>
      <c r="C783" s="62">
        <v>1</v>
      </c>
      <c r="D783" s="63" t="s">
        <v>4415</v>
      </c>
      <c r="E783" s="70" t="str">
        <f>HYPERLINK("https://ledvance.com/pt/product-datasheet/273534/261018","Ficha de Produto")</f>
        <v>Ficha de Produto</v>
      </c>
      <c r="F783" s="94" t="s">
        <v>4183</v>
      </c>
      <c r="G783" s="65" t="s">
        <v>5001</v>
      </c>
      <c r="H783" s="62" t="s">
        <v>4974</v>
      </c>
      <c r="I783" s="30">
        <v>55.1</v>
      </c>
      <c r="J783" s="29" t="s">
        <v>721</v>
      </c>
    </row>
    <row r="784" spans="1:10" s="51" customFormat="1" ht="15" customHeight="1">
      <c r="A784" s="92" t="s">
        <v>4481</v>
      </c>
      <c r="B784" s="67"/>
      <c r="C784" s="54"/>
      <c r="D784" s="93"/>
      <c r="E784" s="78"/>
      <c r="F784" s="54"/>
      <c r="G784" s="69"/>
      <c r="H784" s="85"/>
      <c r="I784" s="57"/>
      <c r="J784" s="58"/>
    </row>
    <row r="785" spans="1:10" ht="12" customHeight="1">
      <c r="A785" s="83">
        <v>4058075829183</v>
      </c>
      <c r="B785" s="61" t="s">
        <v>5479</v>
      </c>
      <c r="C785" s="62">
        <v>1</v>
      </c>
      <c r="D785" s="63" t="s">
        <v>4415</v>
      </c>
      <c r="E785" s="70" t="str">
        <f>HYPERLINK("https://ledvance.com/pt/product-datasheet/273533/260994","Ficha de Produto")</f>
        <v>Ficha de Produto</v>
      </c>
      <c r="F785" s="94" t="s">
        <v>4183</v>
      </c>
      <c r="G785" s="65" t="s">
        <v>4994</v>
      </c>
      <c r="H785" s="62" t="s">
        <v>4974</v>
      </c>
      <c r="I785" s="30">
        <v>27.700000000000003</v>
      </c>
      <c r="J785" s="29" t="s">
        <v>721</v>
      </c>
    </row>
    <row r="786" spans="1:10" ht="12" customHeight="1">
      <c r="A786" s="83">
        <v>4058075829206</v>
      </c>
      <c r="B786" s="61" t="s">
        <v>5480</v>
      </c>
      <c r="C786" s="62">
        <v>1</v>
      </c>
      <c r="D786" s="63" t="s">
        <v>4415</v>
      </c>
      <c r="E786" s="70" t="str">
        <f>HYPERLINK("https://ledvance.com/pt/product-datasheet/273533/260997","Ficha de Produto")</f>
        <v>Ficha de Produto</v>
      </c>
      <c r="F786" s="94" t="s">
        <v>4183</v>
      </c>
      <c r="G786" s="65" t="s">
        <v>4994</v>
      </c>
      <c r="H786" s="62" t="s">
        <v>4974</v>
      </c>
      <c r="I786" s="30">
        <v>27.700000000000003</v>
      </c>
      <c r="J786" s="29" t="s">
        <v>721</v>
      </c>
    </row>
    <row r="787" spans="1:10" ht="12" customHeight="1">
      <c r="A787" s="83">
        <v>4058075832718</v>
      </c>
      <c r="B787" s="61" t="s">
        <v>5481</v>
      </c>
      <c r="C787" s="62">
        <v>1</v>
      </c>
      <c r="D787" s="63" t="s">
        <v>4415</v>
      </c>
      <c r="E787" s="70" t="str">
        <f>HYPERLINK("https://ledvance.com/pt/product-datasheet/273533/261000","Ficha de Produto")</f>
        <v>Ficha de Produto</v>
      </c>
      <c r="F787" s="94" t="s">
        <v>4183</v>
      </c>
      <c r="G787" s="65" t="s">
        <v>5008</v>
      </c>
      <c r="H787" s="62" t="s">
        <v>4974</v>
      </c>
      <c r="I787" s="30">
        <v>41.4</v>
      </c>
      <c r="J787" s="29" t="s">
        <v>721</v>
      </c>
    </row>
    <row r="788" spans="1:10" ht="12" customHeight="1">
      <c r="A788" s="83">
        <v>4058075832732</v>
      </c>
      <c r="B788" s="61" t="s">
        <v>5482</v>
      </c>
      <c r="C788" s="62">
        <v>1</v>
      </c>
      <c r="D788" s="63" t="s">
        <v>4415</v>
      </c>
      <c r="E788" s="70" t="str">
        <f>HYPERLINK("https://ledvance.com/pt/product-datasheet/273533/261003","Ficha de Produto")</f>
        <v>Ficha de Produto</v>
      </c>
      <c r="F788" s="94" t="s">
        <v>4183</v>
      </c>
      <c r="G788" s="65" t="s">
        <v>5008</v>
      </c>
      <c r="H788" s="62" t="s">
        <v>4974</v>
      </c>
      <c r="I788" s="30">
        <v>41.4</v>
      </c>
      <c r="J788" s="29" t="s">
        <v>721</v>
      </c>
    </row>
    <row r="789" spans="1:10" ht="12" customHeight="1">
      <c r="A789" s="83">
        <v>4058075829220</v>
      </c>
      <c r="B789" s="61" t="s">
        <v>5483</v>
      </c>
      <c r="C789" s="62">
        <v>1</v>
      </c>
      <c r="D789" s="63" t="s">
        <v>4415</v>
      </c>
      <c r="E789" s="70" t="str">
        <f>HYPERLINK("https://ledvance.com/pt/product-datasheet/273533/261006","Ficha de Produto")</f>
        <v>Ficha de Produto</v>
      </c>
      <c r="F789" s="94" t="s">
        <v>4183</v>
      </c>
      <c r="G789" s="65" t="s">
        <v>5001</v>
      </c>
      <c r="H789" s="62" t="s">
        <v>4974</v>
      </c>
      <c r="I789" s="30">
        <v>55</v>
      </c>
      <c r="J789" s="29" t="s">
        <v>721</v>
      </c>
    </row>
    <row r="790" spans="1:10" ht="12" customHeight="1">
      <c r="A790" s="83">
        <v>4058075829244</v>
      </c>
      <c r="B790" s="61" t="s">
        <v>5484</v>
      </c>
      <c r="C790" s="62">
        <v>1</v>
      </c>
      <c r="D790" s="63" t="s">
        <v>4415</v>
      </c>
      <c r="E790" s="70" t="str">
        <f>HYPERLINK("https://ledvance.com/pt/product-datasheet/273533/261009","Ficha de Produto")</f>
        <v>Ficha de Produto</v>
      </c>
      <c r="F790" s="94" t="s">
        <v>4183</v>
      </c>
      <c r="G790" s="65" t="s">
        <v>5001</v>
      </c>
      <c r="H790" s="62" t="s">
        <v>4974</v>
      </c>
      <c r="I790" s="30">
        <v>55</v>
      </c>
      <c r="J790" s="29" t="s">
        <v>721</v>
      </c>
    </row>
    <row r="791" spans="1:10" s="51" customFormat="1" ht="15" customHeight="1">
      <c r="A791" s="92" t="s">
        <v>4482</v>
      </c>
      <c r="B791" s="67"/>
      <c r="C791" s="54"/>
      <c r="D791" s="93"/>
      <c r="E791" s="78"/>
      <c r="F791" s="54"/>
      <c r="G791" s="69"/>
      <c r="H791" s="85"/>
      <c r="I791" s="57"/>
      <c r="J791" s="58"/>
    </row>
    <row r="792" spans="1:10" ht="12" customHeight="1">
      <c r="A792" s="83">
        <v>4099854093357</v>
      </c>
      <c r="B792" s="61" t="s">
        <v>5485</v>
      </c>
      <c r="C792" s="62">
        <v>1</v>
      </c>
      <c r="D792" s="63" t="s">
        <v>4415</v>
      </c>
      <c r="E792" s="70" t="str">
        <f>HYPERLINK("https://ledvance.com/pt/product-datasheet/257795/247822","Ficha de Produto")</f>
        <v>Ficha de Produto</v>
      </c>
      <c r="F792" s="94" t="s">
        <v>4183</v>
      </c>
      <c r="G792" s="65" t="s">
        <v>5015</v>
      </c>
      <c r="H792" s="62" t="s">
        <v>4974</v>
      </c>
      <c r="I792" s="30">
        <v>181.5</v>
      </c>
      <c r="J792" s="29" t="s">
        <v>721</v>
      </c>
    </row>
    <row r="793" spans="1:10" ht="12" customHeight="1">
      <c r="A793" s="83">
        <v>4099854093371</v>
      </c>
      <c r="B793" s="61" t="s">
        <v>5486</v>
      </c>
      <c r="C793" s="62">
        <v>1</v>
      </c>
      <c r="D793" s="63" t="s">
        <v>4415</v>
      </c>
      <c r="E793" s="70" t="str">
        <f>HYPERLINK("https://ledvance.com/pt/product-datasheet/257795/247825","Ficha de Produto")</f>
        <v>Ficha de Produto</v>
      </c>
      <c r="F793" s="94" t="s">
        <v>4183</v>
      </c>
      <c r="G793" s="65" t="s">
        <v>5364</v>
      </c>
      <c r="H793" s="62" t="s">
        <v>4974</v>
      </c>
      <c r="I793" s="30">
        <v>241.79999999999998</v>
      </c>
      <c r="J793" s="29" t="s">
        <v>721</v>
      </c>
    </row>
    <row r="794" spans="1:10" ht="12" customHeight="1">
      <c r="A794" s="83">
        <v>4099854093470</v>
      </c>
      <c r="B794" s="61" t="s">
        <v>5487</v>
      </c>
      <c r="C794" s="62">
        <v>1</v>
      </c>
      <c r="D794" s="63" t="s">
        <v>4415</v>
      </c>
      <c r="E794" s="70" t="str">
        <f>HYPERLINK("https://ledvance.com/pt/product-datasheet/257795/247828","Ficha de Produto")</f>
        <v>Ficha de Produto</v>
      </c>
      <c r="F794" s="94" t="s">
        <v>4183</v>
      </c>
      <c r="G794" s="65" t="s">
        <v>5488</v>
      </c>
      <c r="H794" s="62" t="s">
        <v>4974</v>
      </c>
      <c r="I794" s="30">
        <v>302.20000000000005</v>
      </c>
      <c r="J794" s="29" t="s">
        <v>721</v>
      </c>
    </row>
    <row r="795" spans="1:10" s="51" customFormat="1" ht="15" customHeight="1">
      <c r="A795" s="92" t="s">
        <v>4483</v>
      </c>
      <c r="B795" s="67"/>
      <c r="C795" s="54"/>
      <c r="D795" s="93"/>
      <c r="E795" s="93"/>
      <c r="F795" s="54"/>
      <c r="G795" s="69"/>
      <c r="H795" s="85"/>
      <c r="I795" s="57"/>
      <c r="J795" s="58"/>
    </row>
    <row r="796" spans="1:10" ht="12" customHeight="1">
      <c r="A796" s="83">
        <v>4099854093494</v>
      </c>
      <c r="B796" s="61" t="s">
        <v>5489</v>
      </c>
      <c r="C796" s="62">
        <v>1</v>
      </c>
      <c r="D796" s="63" t="s">
        <v>4415</v>
      </c>
      <c r="E796" s="70" t="str">
        <f>HYPERLINK("https://ledvance.com/pt/product-datasheet/257796/247831","Ficha de Produto")</f>
        <v>Ficha de Produto</v>
      </c>
      <c r="F796" s="94" t="s">
        <v>4183</v>
      </c>
      <c r="G796" s="65" t="s">
        <v>4951</v>
      </c>
      <c r="H796" s="62" t="s">
        <v>4974</v>
      </c>
      <c r="I796" s="30">
        <v>140.79999999999998</v>
      </c>
      <c r="J796" s="29" t="s">
        <v>721</v>
      </c>
    </row>
    <row r="797" spans="1:10" ht="12" customHeight="1">
      <c r="A797" s="83">
        <v>4099854093517</v>
      </c>
      <c r="B797" s="61" t="s">
        <v>5490</v>
      </c>
      <c r="C797" s="62">
        <v>1</v>
      </c>
      <c r="D797" s="63" t="s">
        <v>4415</v>
      </c>
      <c r="E797" s="70" t="str">
        <f>HYPERLINK("https://ledvance.com/pt/product-datasheet/257796/247834","Ficha de Produto")</f>
        <v>Ficha de Produto</v>
      </c>
      <c r="F797" s="94" t="s">
        <v>4183</v>
      </c>
      <c r="G797" s="65" t="s">
        <v>5491</v>
      </c>
      <c r="H797" s="62" t="s">
        <v>4974</v>
      </c>
      <c r="I797" s="30">
        <v>187.5</v>
      </c>
      <c r="J797" s="29" t="s">
        <v>721</v>
      </c>
    </row>
    <row r="798" spans="1:10" ht="12" customHeight="1">
      <c r="A798" s="83">
        <v>4099854093531</v>
      </c>
      <c r="B798" s="61" t="s">
        <v>5492</v>
      </c>
      <c r="C798" s="62">
        <v>1</v>
      </c>
      <c r="D798" s="63" t="s">
        <v>4415</v>
      </c>
      <c r="E798" s="70" t="str">
        <f>HYPERLINK("https://ledvance.com/pt/product-datasheet/257796/247837","Ficha de Produto")</f>
        <v>Ficha de Produto</v>
      </c>
      <c r="F798" s="94" t="s">
        <v>4183</v>
      </c>
      <c r="G798" s="65" t="s">
        <v>5488</v>
      </c>
      <c r="H798" s="62" t="s">
        <v>4974</v>
      </c>
      <c r="I798" s="30">
        <v>234.29999999999998</v>
      </c>
      <c r="J798" s="29" t="s">
        <v>721</v>
      </c>
    </row>
    <row r="799" spans="1:10" s="51" customFormat="1" ht="15" customHeight="1">
      <c r="A799" s="92" t="s">
        <v>4484</v>
      </c>
      <c r="B799" s="67"/>
      <c r="C799" s="54"/>
      <c r="D799" s="93"/>
      <c r="E799" s="78"/>
      <c r="F799" s="54"/>
      <c r="G799" s="69"/>
      <c r="H799" s="85"/>
      <c r="I799" s="57"/>
      <c r="J799" s="58"/>
    </row>
    <row r="800" spans="1:10" ht="12" customHeight="1">
      <c r="A800" s="83">
        <v>4099854093104</v>
      </c>
      <c r="B800" s="61" t="s">
        <v>5493</v>
      </c>
      <c r="C800" s="62">
        <v>1</v>
      </c>
      <c r="D800" s="63" t="s">
        <v>4415</v>
      </c>
      <c r="E800" s="70" t="str">
        <f>HYPERLINK("https://ledvance.com/pt/product-datasheet/257793/247807","Ficha de Produto")</f>
        <v>Ficha de Produto</v>
      </c>
      <c r="F800" s="94" t="s">
        <v>4183</v>
      </c>
      <c r="G800" s="65" t="s">
        <v>4951</v>
      </c>
      <c r="H800" s="62" t="s">
        <v>4974</v>
      </c>
      <c r="I800" s="30">
        <v>140.79999999999998</v>
      </c>
      <c r="J800" s="29" t="s">
        <v>721</v>
      </c>
    </row>
    <row r="801" spans="1:10" ht="12" customHeight="1">
      <c r="A801" s="83">
        <v>4099854093203</v>
      </c>
      <c r="B801" s="61" t="s">
        <v>5494</v>
      </c>
      <c r="C801" s="62">
        <v>1</v>
      </c>
      <c r="D801" s="63" t="s">
        <v>4415</v>
      </c>
      <c r="E801" s="70" t="str">
        <f>HYPERLINK("https://ledvance.com/pt/product-datasheet/257793/247810","Ficha de Produto")</f>
        <v>Ficha de Produto</v>
      </c>
      <c r="F801" s="94" t="s">
        <v>4183</v>
      </c>
      <c r="G801" s="65" t="s">
        <v>5364</v>
      </c>
      <c r="H801" s="62" t="s">
        <v>4974</v>
      </c>
      <c r="I801" s="30">
        <v>187.5</v>
      </c>
      <c r="J801" s="29" t="s">
        <v>721</v>
      </c>
    </row>
    <row r="802" spans="1:10" ht="12" customHeight="1">
      <c r="A802" s="83">
        <v>4099854093333</v>
      </c>
      <c r="B802" s="61" t="s">
        <v>5494</v>
      </c>
      <c r="C802" s="62">
        <v>1</v>
      </c>
      <c r="D802" s="63" t="s">
        <v>4415</v>
      </c>
      <c r="E802" s="70" t="str">
        <f>HYPERLINK("https://ledvance.com/pt/product-datasheet/257793/247819","Ficha de Produto")</f>
        <v>Ficha de Produto</v>
      </c>
      <c r="F802" s="94" t="s">
        <v>4183</v>
      </c>
      <c r="G802" s="65" t="s">
        <v>5364</v>
      </c>
      <c r="H802" s="62" t="s">
        <v>4974</v>
      </c>
      <c r="I802" s="30">
        <v>187.5</v>
      </c>
      <c r="J802" s="29" t="s">
        <v>721</v>
      </c>
    </row>
    <row r="803" spans="1:10" s="51" customFormat="1" ht="15" customHeight="1">
      <c r="A803" s="92" t="s">
        <v>4485</v>
      </c>
      <c r="B803" s="67"/>
      <c r="C803" s="54"/>
      <c r="D803" s="93"/>
      <c r="E803" s="78"/>
      <c r="F803" s="54"/>
      <c r="G803" s="69"/>
      <c r="H803" s="85"/>
      <c r="I803" s="57"/>
      <c r="J803" s="58"/>
    </row>
    <row r="804" spans="1:10" ht="12" customHeight="1">
      <c r="A804" s="83">
        <v>4099854093296</v>
      </c>
      <c r="B804" s="61" t="s">
        <v>5495</v>
      </c>
      <c r="C804" s="62">
        <v>1</v>
      </c>
      <c r="D804" s="63" t="s">
        <v>4415</v>
      </c>
      <c r="E804" s="70" t="str">
        <f>HYPERLINK("https://ledvance.com/pt/product-datasheet/257794/247813","Ficha de Produto")</f>
        <v>Ficha de Produto</v>
      </c>
      <c r="F804" s="94" t="s">
        <v>4183</v>
      </c>
      <c r="G804" s="65" t="s">
        <v>5015</v>
      </c>
      <c r="H804" s="62" t="s">
        <v>4974</v>
      </c>
      <c r="I804" s="30">
        <v>187.5</v>
      </c>
      <c r="J804" s="29" t="s">
        <v>721</v>
      </c>
    </row>
    <row r="805" spans="1:10" ht="12" customHeight="1">
      <c r="A805" s="83">
        <v>4099854093319</v>
      </c>
      <c r="B805" s="61" t="s">
        <v>5496</v>
      </c>
      <c r="C805" s="62">
        <v>1</v>
      </c>
      <c r="D805" s="63" t="s">
        <v>4415</v>
      </c>
      <c r="E805" s="70" t="str">
        <f>HYPERLINK("https://ledvance.com/pt/product-datasheet/257794/247816","Ficha de Produto")</f>
        <v>Ficha de Produto</v>
      </c>
      <c r="F805" s="94" t="s">
        <v>4183</v>
      </c>
      <c r="G805" s="65" t="s">
        <v>4938</v>
      </c>
      <c r="H805" s="62" t="s">
        <v>4974</v>
      </c>
      <c r="I805" s="30">
        <v>187.5</v>
      </c>
      <c r="J805" s="29" t="s">
        <v>721</v>
      </c>
    </row>
    <row r="806" spans="1:10" s="51" customFormat="1" ht="15" customHeight="1">
      <c r="A806" s="59" t="s">
        <v>4486</v>
      </c>
      <c r="B806" s="67"/>
      <c r="C806" s="54"/>
      <c r="D806" s="56"/>
      <c r="E806" s="71"/>
      <c r="F806" s="54"/>
      <c r="G806" s="69"/>
      <c r="H806" s="85"/>
      <c r="I806" s="57"/>
      <c r="J806" s="58"/>
    </row>
    <row r="807" spans="1:10" ht="12" customHeight="1">
      <c r="A807" s="74">
        <v>4058075472891</v>
      </c>
      <c r="B807" s="61" t="s">
        <v>5497</v>
      </c>
      <c r="C807" s="62">
        <v>1</v>
      </c>
      <c r="D807" s="63" t="s">
        <v>4415</v>
      </c>
      <c r="E807" s="70" t="str">
        <f>HYPERLINK("https://ledvance.com/pt/product-datasheet/9121/116503","Ficha de Produto")</f>
        <v>Ficha de Produto</v>
      </c>
      <c r="F807" s="101" t="s">
        <v>4251</v>
      </c>
      <c r="G807" s="65" t="s">
        <v>1763</v>
      </c>
      <c r="H807" s="62" t="s">
        <v>4974</v>
      </c>
      <c r="I807" s="30">
        <v>97</v>
      </c>
      <c r="J807" s="29" t="s">
        <v>721</v>
      </c>
    </row>
    <row r="808" spans="1:10" ht="12" customHeight="1">
      <c r="A808" s="74">
        <v>4058075472877</v>
      </c>
      <c r="B808" s="61" t="s">
        <v>5498</v>
      </c>
      <c r="C808" s="62">
        <v>1</v>
      </c>
      <c r="D808" s="63" t="s">
        <v>4415</v>
      </c>
      <c r="E808" s="70" t="str">
        <f>HYPERLINK("https://ledvance.com/pt/product-datasheet/9121/116500","Ficha de Produto")</f>
        <v>Ficha de Produto</v>
      </c>
      <c r="F808" s="101" t="s">
        <v>4251</v>
      </c>
      <c r="G808" s="65" t="s">
        <v>5008</v>
      </c>
      <c r="H808" s="62" t="s">
        <v>4974</v>
      </c>
      <c r="I808" s="30">
        <v>72.899999999999991</v>
      </c>
      <c r="J808" s="29" t="s">
        <v>721</v>
      </c>
    </row>
    <row r="809" spans="1:10" s="51" customFormat="1" ht="15" customHeight="1">
      <c r="A809" s="91" t="s">
        <v>4468</v>
      </c>
      <c r="B809" s="67"/>
      <c r="C809" s="54"/>
      <c r="D809" s="57"/>
      <c r="E809" s="57"/>
      <c r="F809" s="54"/>
      <c r="G809" s="69"/>
      <c r="H809" s="85"/>
      <c r="I809" s="57"/>
      <c r="J809" s="58"/>
    </row>
    <row r="810" spans="1:10" s="51" customFormat="1" ht="15" customHeight="1">
      <c r="A810" s="92" t="s">
        <v>4487</v>
      </c>
      <c r="B810" s="67"/>
      <c r="C810" s="54"/>
      <c r="D810" s="93"/>
      <c r="E810" s="93"/>
      <c r="F810" s="54"/>
      <c r="G810" s="69"/>
      <c r="H810" s="85"/>
      <c r="I810" s="57"/>
      <c r="J810" s="58"/>
    </row>
    <row r="811" spans="1:10" ht="12" customHeight="1">
      <c r="A811" s="74">
        <v>4058075762473</v>
      </c>
      <c r="B811" s="61" t="s">
        <v>5499</v>
      </c>
      <c r="C811" s="62">
        <v>1</v>
      </c>
      <c r="D811" s="63" t="s">
        <v>4415</v>
      </c>
      <c r="E811" s="70" t="str">
        <f>HYPERLINK("https://ledvance.com/pt/product-datasheet/232031/204312","Ficha de Produto")</f>
        <v>Ficha de Produto</v>
      </c>
      <c r="F811" s="62"/>
      <c r="G811" s="65" t="s">
        <v>4959</v>
      </c>
      <c r="H811" s="62" t="s">
        <v>4974</v>
      </c>
      <c r="I811" s="30">
        <v>38.800000000000004</v>
      </c>
      <c r="J811" s="29" t="s">
        <v>721</v>
      </c>
    </row>
    <row r="812" spans="1:10" ht="12" customHeight="1">
      <c r="A812" s="74">
        <v>4058075762497</v>
      </c>
      <c r="B812" s="61" t="s">
        <v>5500</v>
      </c>
      <c r="C812" s="62">
        <v>1</v>
      </c>
      <c r="D812" s="63" t="s">
        <v>4415</v>
      </c>
      <c r="E812" s="70" t="str">
        <f>HYPERLINK("https://ledvance.com/pt/product-datasheet/232031/204315","Ficha de Produto")</f>
        <v>Ficha de Produto</v>
      </c>
      <c r="F812" s="62"/>
      <c r="G812" s="65" t="s">
        <v>4959</v>
      </c>
      <c r="H812" s="62" t="s">
        <v>4992</v>
      </c>
      <c r="I812" s="30">
        <v>38.800000000000004</v>
      </c>
      <c r="J812" s="29" t="s">
        <v>721</v>
      </c>
    </row>
    <row r="813" spans="1:10" ht="12" customHeight="1">
      <c r="A813" s="74">
        <v>4058075762510</v>
      </c>
      <c r="B813" s="61" t="s">
        <v>5501</v>
      </c>
      <c r="C813" s="62">
        <v>1</v>
      </c>
      <c r="D813" s="63" t="s">
        <v>4415</v>
      </c>
      <c r="E813" s="70" t="str">
        <f>HYPERLINK("https://ledvance.com/pt/product-datasheet/232031/204318","Ficha de Produto")</f>
        <v>Ficha de Produto</v>
      </c>
      <c r="F813" s="62"/>
      <c r="G813" s="65" t="s">
        <v>4959</v>
      </c>
      <c r="H813" s="62" t="s">
        <v>5143</v>
      </c>
      <c r="I813" s="30">
        <v>38.800000000000004</v>
      </c>
      <c r="J813" s="29" t="s">
        <v>721</v>
      </c>
    </row>
    <row r="814" spans="1:10" ht="12" customHeight="1">
      <c r="A814" s="74">
        <v>4099854003110</v>
      </c>
      <c r="B814" s="61" t="s">
        <v>5502</v>
      </c>
      <c r="C814" s="62">
        <v>1</v>
      </c>
      <c r="D814" s="63" t="s">
        <v>4415</v>
      </c>
      <c r="E814" s="70" t="str">
        <f>HYPERLINK("https://ledvance.com/pt/product-datasheet/232031/219756","Ficha de Produto")</f>
        <v>Ficha de Produto</v>
      </c>
      <c r="F814" s="62"/>
      <c r="G814" s="65" t="s">
        <v>5008</v>
      </c>
      <c r="H814" s="62" t="s">
        <v>4974</v>
      </c>
      <c r="I814" s="30">
        <v>49.9</v>
      </c>
      <c r="J814" s="29" t="s">
        <v>721</v>
      </c>
    </row>
    <row r="815" spans="1:10" ht="12" customHeight="1">
      <c r="A815" s="74">
        <v>4099854003134</v>
      </c>
      <c r="B815" s="61" t="s">
        <v>5503</v>
      </c>
      <c r="C815" s="62">
        <v>1</v>
      </c>
      <c r="D815" s="63" t="s">
        <v>4415</v>
      </c>
      <c r="E815" s="70" t="str">
        <f>HYPERLINK("https://ledvance.com/pt/product-datasheet/232031/219763","Ficha de Produto")</f>
        <v>Ficha de Produto</v>
      </c>
      <c r="F815" s="62"/>
      <c r="G815" s="65" t="s">
        <v>5008</v>
      </c>
      <c r="H815" s="62" t="s">
        <v>4992</v>
      </c>
      <c r="I815" s="30">
        <v>49.9</v>
      </c>
      <c r="J815" s="29" t="s">
        <v>721</v>
      </c>
    </row>
    <row r="816" spans="1:10" ht="12" customHeight="1">
      <c r="A816" s="74">
        <v>4099854003158</v>
      </c>
      <c r="B816" s="61" t="s">
        <v>5504</v>
      </c>
      <c r="C816" s="62">
        <v>1</v>
      </c>
      <c r="D816" s="63" t="s">
        <v>4415</v>
      </c>
      <c r="E816" s="70" t="str">
        <f>HYPERLINK("https://ledvance.com/pt/product-datasheet/232031/219772","Ficha de Produto")</f>
        <v>Ficha de Produto</v>
      </c>
      <c r="F816" s="62"/>
      <c r="G816" s="65" t="s">
        <v>5008</v>
      </c>
      <c r="H816" s="62" t="s">
        <v>5143</v>
      </c>
      <c r="I816" s="30">
        <v>49.9</v>
      </c>
      <c r="J816" s="29" t="s">
        <v>721</v>
      </c>
    </row>
    <row r="817" spans="1:10" s="51" customFormat="1" ht="15" customHeight="1">
      <c r="A817" s="92" t="s">
        <v>4488</v>
      </c>
      <c r="B817" s="67"/>
      <c r="C817" s="54"/>
      <c r="D817" s="93"/>
      <c r="E817" s="93"/>
      <c r="F817" s="54"/>
      <c r="G817" s="69"/>
      <c r="H817" s="85"/>
      <c r="I817" s="57"/>
      <c r="J817" s="58"/>
    </row>
    <row r="818" spans="1:10" ht="12" customHeight="1">
      <c r="A818" s="83">
        <v>4099854094569</v>
      </c>
      <c r="B818" s="61" t="s">
        <v>5505</v>
      </c>
      <c r="C818" s="62">
        <v>1</v>
      </c>
      <c r="D818" s="63" t="s">
        <v>4415</v>
      </c>
      <c r="E818" s="70" t="str">
        <f>HYPERLINK("https://ledvance.com/pt/product-datasheet/254293/248095","Ficha de Produto")</f>
        <v>Ficha de Produto</v>
      </c>
      <c r="F818" s="94" t="s">
        <v>4183</v>
      </c>
      <c r="G818" s="65" t="s">
        <v>4963</v>
      </c>
      <c r="H818" s="62" t="s">
        <v>4963</v>
      </c>
      <c r="I818" s="30">
        <v>18.200000000000003</v>
      </c>
      <c r="J818" s="29" t="s">
        <v>721</v>
      </c>
    </row>
    <row r="819" spans="1:10" ht="12" customHeight="1">
      <c r="A819" s="83">
        <v>4099854094583</v>
      </c>
      <c r="B819" s="61" t="s">
        <v>5506</v>
      </c>
      <c r="C819" s="62">
        <v>1</v>
      </c>
      <c r="D819" s="63" t="s">
        <v>4415</v>
      </c>
      <c r="E819" s="70" t="str">
        <f>HYPERLINK("https://ledvance.com/pt/product-datasheet/254293/248098","Ficha de Produto")</f>
        <v>Ficha de Produto</v>
      </c>
      <c r="F819" s="94" t="s">
        <v>4183</v>
      </c>
      <c r="G819" s="65" t="s">
        <v>4963</v>
      </c>
      <c r="H819" s="62" t="s">
        <v>4963</v>
      </c>
      <c r="I819" s="30">
        <v>23.8</v>
      </c>
      <c r="J819" s="29" t="s">
        <v>721</v>
      </c>
    </row>
    <row r="820" spans="1:10" s="51" customFormat="1" ht="15" customHeight="1">
      <c r="A820" s="91" t="s">
        <v>4489</v>
      </c>
      <c r="B820" s="67"/>
      <c r="C820" s="54"/>
      <c r="D820" s="57"/>
      <c r="E820" s="78"/>
      <c r="F820" s="54"/>
      <c r="G820" s="69"/>
      <c r="H820" s="85"/>
      <c r="I820" s="57"/>
      <c r="J820" s="58"/>
    </row>
    <row r="821" spans="1:10" s="51" customFormat="1" ht="15" customHeight="1">
      <c r="A821" s="52" t="s">
        <v>4490</v>
      </c>
      <c r="B821" s="67"/>
      <c r="C821" s="54"/>
      <c r="D821" s="55"/>
      <c r="E821" s="71"/>
      <c r="F821" s="54"/>
      <c r="G821" s="69"/>
      <c r="H821" s="85"/>
      <c r="I821" s="57"/>
      <c r="J821" s="58"/>
    </row>
    <row r="822" spans="1:10" ht="12" customHeight="1">
      <c r="A822" s="83">
        <v>4099854095283</v>
      </c>
      <c r="B822" s="61" t="s">
        <v>5507</v>
      </c>
      <c r="C822" s="62">
        <v>1</v>
      </c>
      <c r="D822" s="63" t="s">
        <v>4491</v>
      </c>
      <c r="E822" s="70" t="str">
        <f>HYPERLINK("https://ledvance.com/pt/product-datasheet/261598/248387","Ficha de Produto")</f>
        <v>Ficha de Produto</v>
      </c>
      <c r="F822" s="94" t="s">
        <v>4183</v>
      </c>
      <c r="G822" s="65" t="s">
        <v>5508</v>
      </c>
      <c r="H822" s="62">
        <v>0</v>
      </c>
      <c r="I822" s="30">
        <v>41.4</v>
      </c>
      <c r="J822" s="29" t="s">
        <v>721</v>
      </c>
    </row>
    <row r="823" spans="1:10" s="51" customFormat="1" ht="15" customHeight="1">
      <c r="A823" s="52" t="s">
        <v>4492</v>
      </c>
      <c r="B823" s="67"/>
      <c r="C823" s="54"/>
      <c r="D823" s="55"/>
      <c r="E823" s="71"/>
      <c r="F823" s="54"/>
      <c r="G823" s="69"/>
      <c r="H823" s="85"/>
      <c r="I823" s="57"/>
      <c r="J823" s="58"/>
    </row>
    <row r="824" spans="1:10" ht="12" customHeight="1">
      <c r="A824" s="83">
        <v>4099854095368</v>
      </c>
      <c r="B824" s="61" t="s">
        <v>5509</v>
      </c>
      <c r="C824" s="62">
        <v>1</v>
      </c>
      <c r="D824" s="63" t="s">
        <v>4491</v>
      </c>
      <c r="E824" s="70" t="str">
        <f>HYPERLINK("https://ledvance.com/pt/product-datasheet/261600/248399","Ficha de Produto")</f>
        <v>Ficha de Produto</v>
      </c>
      <c r="F824" s="84" t="s">
        <v>4183</v>
      </c>
      <c r="G824" s="65" t="s">
        <v>5510</v>
      </c>
      <c r="H824" s="62">
        <v>0</v>
      </c>
      <c r="I824" s="30">
        <v>18.200000000000003</v>
      </c>
      <c r="J824" s="29" t="s">
        <v>721</v>
      </c>
    </row>
    <row r="825" spans="1:10" ht="12" customHeight="1">
      <c r="A825" s="83">
        <v>4099854095382</v>
      </c>
      <c r="B825" s="61" t="s">
        <v>5511</v>
      </c>
      <c r="C825" s="62">
        <v>1</v>
      </c>
      <c r="D825" s="63" t="s">
        <v>4491</v>
      </c>
      <c r="E825" s="70" t="str">
        <f>HYPERLINK("https://ledvance.com/pt/product-datasheet/261601/248402","Ficha de Produto")</f>
        <v>Ficha de Produto</v>
      </c>
      <c r="F825" s="84" t="s">
        <v>4183</v>
      </c>
      <c r="G825" s="65" t="s">
        <v>5155</v>
      </c>
      <c r="H825" s="62">
        <v>0</v>
      </c>
      <c r="I825" s="30">
        <v>27.700000000000003</v>
      </c>
      <c r="J825" s="29" t="s">
        <v>721</v>
      </c>
    </row>
    <row r="826" spans="1:10" ht="12" customHeight="1">
      <c r="A826" s="83">
        <v>4099854095405</v>
      </c>
      <c r="B826" s="61" t="s">
        <v>5512</v>
      </c>
      <c r="C826" s="62">
        <v>1</v>
      </c>
      <c r="D826" s="63" t="s">
        <v>4491</v>
      </c>
      <c r="E826" s="70" t="str">
        <f>HYPERLINK("https://ledvance.com/pt/product-datasheet/261601/248405","Ficha de Produto")</f>
        <v>Ficha de Produto</v>
      </c>
      <c r="F826" s="84" t="s">
        <v>4183</v>
      </c>
      <c r="G826" s="65" t="s">
        <v>4949</v>
      </c>
      <c r="H826" s="62">
        <v>0</v>
      </c>
      <c r="I826" s="30">
        <v>34.5</v>
      </c>
      <c r="J826" s="29" t="s">
        <v>721</v>
      </c>
    </row>
    <row r="827" spans="1:10" ht="12" customHeight="1">
      <c r="A827" s="83">
        <v>4099854095429</v>
      </c>
      <c r="B827" s="61" t="s">
        <v>5513</v>
      </c>
      <c r="C827" s="62">
        <v>1</v>
      </c>
      <c r="D827" s="63" t="s">
        <v>4491</v>
      </c>
      <c r="E827" s="70" t="str">
        <f>HYPERLINK("https://ledvance.com/pt/product-datasheet/261602/248408","Ficha de Produto")</f>
        <v>Ficha de Produto</v>
      </c>
      <c r="F827" s="84" t="s">
        <v>4183</v>
      </c>
      <c r="G827" s="65" t="s">
        <v>5005</v>
      </c>
      <c r="H827" s="62" t="s">
        <v>4974</v>
      </c>
      <c r="I827" s="30">
        <v>25</v>
      </c>
      <c r="J827" s="29" t="s">
        <v>721</v>
      </c>
    </row>
    <row r="828" spans="1:10" ht="12" customHeight="1">
      <c r="A828" s="83">
        <v>4099854095443</v>
      </c>
      <c r="B828" s="61" t="s">
        <v>5514</v>
      </c>
      <c r="C828" s="62">
        <v>1</v>
      </c>
      <c r="D828" s="63" t="s">
        <v>4491</v>
      </c>
      <c r="E828" s="70" t="str">
        <f>HYPERLINK("https://ledvance.com/pt/product-datasheet/261602/248412","Ficha de Produto")</f>
        <v>Ficha de Produto</v>
      </c>
      <c r="F828" s="84" t="s">
        <v>4183</v>
      </c>
      <c r="G828" s="65" t="s">
        <v>4977</v>
      </c>
      <c r="H828" s="62" t="s">
        <v>4974</v>
      </c>
      <c r="I828" s="30">
        <v>31.8</v>
      </c>
      <c r="J828" s="29" t="s">
        <v>721</v>
      </c>
    </row>
    <row r="829" spans="1:10" s="51" customFormat="1" ht="15" customHeight="1">
      <c r="A829" s="52" t="s">
        <v>4493</v>
      </c>
      <c r="B829" s="67"/>
      <c r="C829" s="54"/>
      <c r="D829" s="55"/>
      <c r="E829" s="71"/>
      <c r="F829" s="54"/>
      <c r="G829" s="69"/>
      <c r="H829" s="85"/>
      <c r="I829" s="57"/>
      <c r="J829" s="58"/>
    </row>
    <row r="830" spans="1:10" ht="12" customHeight="1">
      <c r="A830" s="83">
        <v>4099854095306</v>
      </c>
      <c r="B830" s="61" t="s">
        <v>5515</v>
      </c>
      <c r="C830" s="62">
        <v>1</v>
      </c>
      <c r="D830" s="63" t="s">
        <v>4491</v>
      </c>
      <c r="E830" s="70" t="str">
        <f>HYPERLINK("https://ledvance.com/pt/product-datasheet/261599/248390","Ficha de Produto")</f>
        <v>Ficha de Produto</v>
      </c>
      <c r="F830" s="94" t="s">
        <v>4183</v>
      </c>
      <c r="G830" s="65" t="s">
        <v>1752</v>
      </c>
      <c r="H830" s="62">
        <v>0</v>
      </c>
      <c r="I830" s="30">
        <v>27.700000000000003</v>
      </c>
      <c r="J830" s="29" t="s">
        <v>721</v>
      </c>
    </row>
    <row r="831" spans="1:10" s="51" customFormat="1" ht="15" customHeight="1">
      <c r="A831" s="52" t="s">
        <v>4494</v>
      </c>
      <c r="B831" s="67"/>
      <c r="C831" s="54"/>
      <c r="D831" s="55"/>
      <c r="E831" s="71"/>
      <c r="F831" s="54"/>
      <c r="G831" s="69"/>
      <c r="H831" s="85"/>
      <c r="I831" s="57"/>
      <c r="J831" s="58"/>
    </row>
    <row r="832" spans="1:10" ht="12" customHeight="1">
      <c r="A832" s="83">
        <v>4099854095160</v>
      </c>
      <c r="B832" s="61" t="s">
        <v>5516</v>
      </c>
      <c r="C832" s="62">
        <v>1</v>
      </c>
      <c r="D832" s="63" t="s">
        <v>4491</v>
      </c>
      <c r="E832" s="70" t="str">
        <f>HYPERLINK("https://ledvance.com/pt/product-datasheet/261595/248369","Ficha de Produto")</f>
        <v>Ficha de Produto</v>
      </c>
      <c r="F832" s="94" t="s">
        <v>4183</v>
      </c>
      <c r="G832" s="65" t="s">
        <v>5155</v>
      </c>
      <c r="H832" s="62" t="s">
        <v>4990</v>
      </c>
      <c r="I832" s="30">
        <v>89.199999999999989</v>
      </c>
      <c r="J832" s="29" t="s">
        <v>721</v>
      </c>
    </row>
    <row r="833" spans="1:10" ht="12" customHeight="1">
      <c r="A833" s="83">
        <v>4099854095184</v>
      </c>
      <c r="B833" s="61" t="s">
        <v>5517</v>
      </c>
      <c r="C833" s="62">
        <v>1</v>
      </c>
      <c r="D833" s="63" t="s">
        <v>4491</v>
      </c>
      <c r="E833" s="70" t="str">
        <f>HYPERLINK("https://ledvance.com/pt/product-datasheet/261595/248372","Ficha de Produto")</f>
        <v>Ficha de Produto</v>
      </c>
      <c r="F833" s="94" t="s">
        <v>4183</v>
      </c>
      <c r="G833" s="65" t="s">
        <v>5442</v>
      </c>
      <c r="H833" s="62" t="s">
        <v>4990</v>
      </c>
      <c r="I833" s="30">
        <v>123.3</v>
      </c>
      <c r="J833" s="29" t="s">
        <v>721</v>
      </c>
    </row>
    <row r="834" spans="1:10" s="51" customFormat="1" ht="15" customHeight="1">
      <c r="A834" s="52" t="s">
        <v>4330</v>
      </c>
      <c r="B834" s="67"/>
      <c r="C834" s="54"/>
      <c r="D834" s="55"/>
      <c r="E834" s="71"/>
      <c r="F834" s="54"/>
      <c r="G834" s="69"/>
      <c r="H834" s="85"/>
      <c r="I834" s="57"/>
      <c r="J834" s="58"/>
    </row>
    <row r="835" spans="1:10" s="51" customFormat="1" ht="15" customHeight="1">
      <c r="A835" s="59" t="s">
        <v>4495</v>
      </c>
      <c r="B835" s="67"/>
      <c r="C835" s="54"/>
      <c r="D835" s="56"/>
      <c r="E835" s="56"/>
      <c r="F835" s="54"/>
      <c r="G835" s="69"/>
      <c r="H835" s="85"/>
      <c r="I835" s="57"/>
      <c r="J835" s="58"/>
    </row>
    <row r="836" spans="1:10" ht="12" customHeight="1">
      <c r="A836" s="83">
        <v>4099854095207</v>
      </c>
      <c r="B836" s="61" t="s">
        <v>5518</v>
      </c>
      <c r="C836" s="62">
        <v>1</v>
      </c>
      <c r="D836" s="63" t="s">
        <v>4491</v>
      </c>
      <c r="E836" s="70" t="str">
        <f>HYPERLINK("https://ledvance.com/pt/product-datasheet/261597/248378","Ficha de Produto")</f>
        <v>Ficha de Produto</v>
      </c>
      <c r="F836" s="84" t="s">
        <v>4183</v>
      </c>
      <c r="G836" s="65" t="s">
        <v>4959</v>
      </c>
      <c r="H836" s="62" t="s">
        <v>4990</v>
      </c>
      <c r="I836" s="30">
        <v>55</v>
      </c>
      <c r="J836" s="29" t="s">
        <v>721</v>
      </c>
    </row>
    <row r="837" spans="1:10" ht="12" customHeight="1">
      <c r="A837" s="83">
        <v>4099854095221</v>
      </c>
      <c r="B837" s="61" t="s">
        <v>5519</v>
      </c>
      <c r="C837" s="62">
        <v>1</v>
      </c>
      <c r="D837" s="63" t="s">
        <v>4491</v>
      </c>
      <c r="E837" s="70" t="str">
        <f>HYPERLINK("https://ledvance.com/pt/product-datasheet/261597/248381","Ficha de Produto")</f>
        <v>Ficha de Produto</v>
      </c>
      <c r="F837" s="84" t="s">
        <v>4183</v>
      </c>
      <c r="G837" s="65" t="s">
        <v>1758</v>
      </c>
      <c r="H837" s="62" t="s">
        <v>4990</v>
      </c>
      <c r="I837" s="30">
        <v>150.19999999999999</v>
      </c>
      <c r="J837" s="29" t="s">
        <v>721</v>
      </c>
    </row>
    <row r="838" spans="1:10" ht="12" customHeight="1">
      <c r="A838" s="83">
        <v>4099854095245</v>
      </c>
      <c r="B838" s="61" t="s">
        <v>5520</v>
      </c>
      <c r="C838" s="62">
        <v>1</v>
      </c>
      <c r="D838" s="63" t="s">
        <v>4491</v>
      </c>
      <c r="E838" s="70" t="str">
        <f>HYPERLINK("https://ledvance.com/pt/product-datasheet/261596/248384","Ficha de Produto")</f>
        <v>Ficha de Produto</v>
      </c>
      <c r="F838" s="84" t="s">
        <v>4183</v>
      </c>
      <c r="G838" s="65" t="s">
        <v>5521</v>
      </c>
      <c r="H838" s="62" t="s">
        <v>4974</v>
      </c>
      <c r="I838" s="30">
        <v>34.5</v>
      </c>
      <c r="J838" s="29" t="s">
        <v>721</v>
      </c>
    </row>
    <row r="839" spans="1:10" ht="12" customHeight="1">
      <c r="A839" s="83">
        <v>4099854095269</v>
      </c>
      <c r="B839" s="61" t="s">
        <v>5522</v>
      </c>
      <c r="C839" s="62">
        <v>1</v>
      </c>
      <c r="D839" s="63" t="s">
        <v>4491</v>
      </c>
      <c r="E839" s="70" t="str">
        <f>HYPERLINK("https://ledvance.com/pt/product-datasheet/261596/248375","Ficha de Produto")</f>
        <v>Ficha de Produto</v>
      </c>
      <c r="F839" s="84" t="s">
        <v>4183</v>
      </c>
      <c r="G839" s="65" t="s">
        <v>5008</v>
      </c>
      <c r="H839" s="62" t="s">
        <v>4974</v>
      </c>
      <c r="I839" s="30">
        <v>82.3</v>
      </c>
      <c r="J839" s="29" t="s">
        <v>721</v>
      </c>
    </row>
    <row r="840" spans="1:10" s="51" customFormat="1" ht="15" customHeight="1">
      <c r="A840" s="59" t="s">
        <v>4496</v>
      </c>
      <c r="B840" s="67"/>
      <c r="C840" s="54"/>
      <c r="D840" s="56"/>
      <c r="E840" s="56"/>
      <c r="F840" s="54"/>
      <c r="G840" s="69"/>
      <c r="H840" s="85"/>
      <c r="I840" s="57"/>
      <c r="J840" s="58"/>
    </row>
    <row r="841" spans="1:10" ht="12" customHeight="1">
      <c r="A841" s="83">
        <v>4099854095320</v>
      </c>
      <c r="B841" s="61" t="s">
        <v>5523</v>
      </c>
      <c r="C841" s="62">
        <v>1</v>
      </c>
      <c r="D841" s="63" t="s">
        <v>4491</v>
      </c>
      <c r="E841" s="70" t="str">
        <f>HYPERLINK("https://ledvance.com/pt/product-datasheet/261604/248393","Ficha de Produto")</f>
        <v>Ficha de Produto</v>
      </c>
      <c r="F841" s="84" t="s">
        <v>4183</v>
      </c>
      <c r="G841" s="65" t="s">
        <v>5008</v>
      </c>
      <c r="H841" s="62" t="s">
        <v>4974</v>
      </c>
      <c r="I841" s="30">
        <v>96</v>
      </c>
      <c r="J841" s="29" t="s">
        <v>721</v>
      </c>
    </row>
    <row r="842" spans="1:10" ht="12" customHeight="1">
      <c r="A842" s="83">
        <v>4099854095344</v>
      </c>
      <c r="B842" s="61" t="s">
        <v>5524</v>
      </c>
      <c r="C842" s="62">
        <v>1</v>
      </c>
      <c r="D842" s="63" t="s">
        <v>4491</v>
      </c>
      <c r="E842" s="70" t="str">
        <f>HYPERLINK("https://ledvance.com/pt/product-datasheet/261604/248396","Ficha de Produto")</f>
        <v>Ficha de Produto</v>
      </c>
      <c r="F842" s="84" t="s">
        <v>4183</v>
      </c>
      <c r="G842" s="65" t="s">
        <v>4934</v>
      </c>
      <c r="H842" s="62" t="s">
        <v>4974</v>
      </c>
      <c r="I842" s="30">
        <v>61.9</v>
      </c>
      <c r="J842" s="29" t="s">
        <v>721</v>
      </c>
    </row>
    <row r="843" spans="1:10" s="51" customFormat="1" ht="15" customHeight="1">
      <c r="A843" s="91" t="s">
        <v>4491</v>
      </c>
      <c r="B843" s="67"/>
      <c r="C843" s="54"/>
      <c r="D843" s="57"/>
      <c r="E843" s="78"/>
      <c r="F843" s="54"/>
      <c r="G843" s="69"/>
      <c r="H843" s="85"/>
      <c r="I843" s="57"/>
      <c r="J843" s="58"/>
    </row>
    <row r="844" spans="1:10" s="51" customFormat="1" ht="15" customHeight="1">
      <c r="A844" s="91" t="s">
        <v>4497</v>
      </c>
      <c r="B844" s="67"/>
      <c r="C844" s="54"/>
      <c r="D844" s="57"/>
      <c r="E844" s="57"/>
      <c r="F844" s="54"/>
      <c r="G844" s="69"/>
      <c r="H844" s="85"/>
      <c r="I844" s="57"/>
      <c r="J844" s="58"/>
    </row>
    <row r="845" spans="1:10" s="51" customFormat="1" ht="15" customHeight="1">
      <c r="A845" s="91" t="s">
        <v>4498</v>
      </c>
      <c r="B845" s="67"/>
      <c r="C845" s="54"/>
      <c r="D845" s="57"/>
      <c r="E845" s="57"/>
      <c r="F845" s="54"/>
      <c r="G845" s="69"/>
      <c r="H845" s="85"/>
      <c r="I845" s="57"/>
      <c r="J845" s="58"/>
    </row>
    <row r="846" spans="1:10" s="51" customFormat="1" ht="15" customHeight="1">
      <c r="A846" s="92" t="s">
        <v>4499</v>
      </c>
      <c r="B846" s="67"/>
      <c r="C846" s="54"/>
      <c r="D846" s="93"/>
      <c r="E846" s="93"/>
      <c r="F846" s="54"/>
      <c r="G846" s="69"/>
      <c r="H846" s="85"/>
      <c r="I846" s="57"/>
      <c r="J846" s="58"/>
    </row>
    <row r="847" spans="1:10" ht="12" customHeight="1">
      <c r="A847" s="60">
        <v>4058075515932</v>
      </c>
      <c r="B847" s="61" t="s">
        <v>5525</v>
      </c>
      <c r="C847" s="62">
        <v>1</v>
      </c>
      <c r="D847" s="63" t="s">
        <v>4491</v>
      </c>
      <c r="E847" s="70" t="str">
        <f>HYPERLINK("https://ledvance.com/pt/product-datasheet/249366/120411","Ficha de Produto")</f>
        <v>Ficha de Produto</v>
      </c>
      <c r="F847" s="111"/>
      <c r="G847" s="65" t="s">
        <v>5526</v>
      </c>
      <c r="H847" s="62" t="s">
        <v>4990</v>
      </c>
      <c r="I847" s="30">
        <v>41.4</v>
      </c>
      <c r="J847" s="29" t="s">
        <v>721</v>
      </c>
    </row>
    <row r="848" spans="1:10" ht="12" customHeight="1">
      <c r="A848" s="60">
        <v>4058075523838</v>
      </c>
      <c r="B848" s="61" t="s">
        <v>5527</v>
      </c>
      <c r="C848" s="62">
        <v>1</v>
      </c>
      <c r="D848" s="63" t="s">
        <v>4491</v>
      </c>
      <c r="E848" s="70" t="str">
        <f>HYPERLINK("https://ledvance.com/pt/product-datasheet/6467/122725","Ficha de Produto")</f>
        <v>Ficha de Produto</v>
      </c>
      <c r="F848" s="62"/>
      <c r="G848" s="65" t="s">
        <v>5510</v>
      </c>
      <c r="H848" s="62" t="s">
        <v>4990</v>
      </c>
      <c r="I848" s="30">
        <v>15.4</v>
      </c>
      <c r="J848" s="29" t="s">
        <v>721</v>
      </c>
    </row>
    <row r="849" spans="1:10" s="51" customFormat="1" ht="15" customHeight="1">
      <c r="A849" s="92" t="s">
        <v>4500</v>
      </c>
      <c r="B849" s="67"/>
      <c r="C849" s="54"/>
      <c r="D849" s="93"/>
      <c r="E849" s="93"/>
      <c r="F849" s="54"/>
      <c r="G849" s="69"/>
      <c r="H849" s="85"/>
      <c r="I849" s="57"/>
      <c r="J849" s="58"/>
    </row>
    <row r="850" spans="1:10" ht="12" customHeight="1">
      <c r="A850" s="60">
        <v>4058075504820</v>
      </c>
      <c r="B850" s="112" t="s">
        <v>4501</v>
      </c>
      <c r="C850" s="62">
        <v>0</v>
      </c>
      <c r="D850" s="63" t="s">
        <v>4491</v>
      </c>
      <c r="E850" s="70" t="str">
        <f>HYPERLINK("https://ledvance.com/pt/product-datasheet/6360/44263","Ficha de Produto")</f>
        <v>Ficha de Produto</v>
      </c>
      <c r="F850" s="101" t="s">
        <v>4251</v>
      </c>
      <c r="G850" s="65" t="s">
        <v>1201</v>
      </c>
      <c r="H850" s="65" t="s">
        <v>1201</v>
      </c>
      <c r="I850" s="30">
        <v>90.5</v>
      </c>
      <c r="J850" s="29" t="s">
        <v>721</v>
      </c>
    </row>
    <row r="851" spans="1:10" ht="12" customHeight="1">
      <c r="A851" s="60">
        <v>4058075504844</v>
      </c>
      <c r="B851" s="112" t="s">
        <v>4502</v>
      </c>
      <c r="C851" s="62">
        <v>0</v>
      </c>
      <c r="D851" s="63" t="s">
        <v>4491</v>
      </c>
      <c r="E851" s="70" t="str">
        <f>HYPERLINK("https://ledvance.com/pt/product-datasheet/6360/47224","Ficha de Produto")</f>
        <v>Ficha de Produto</v>
      </c>
      <c r="F851" s="101" t="s">
        <v>4251</v>
      </c>
      <c r="G851" s="65" t="s">
        <v>1201</v>
      </c>
      <c r="H851" s="65" t="s">
        <v>1201</v>
      </c>
      <c r="I851" s="30">
        <v>134.19999999999999</v>
      </c>
      <c r="J851" s="29" t="s">
        <v>721</v>
      </c>
    </row>
    <row r="852" spans="1:10" s="51" customFormat="1" ht="15" customHeight="1">
      <c r="A852" s="92" t="s">
        <v>4503</v>
      </c>
      <c r="B852" s="67"/>
      <c r="C852" s="54"/>
      <c r="D852" s="93"/>
      <c r="E852" s="78"/>
      <c r="F852" s="54"/>
      <c r="G852" s="69"/>
      <c r="H852" s="85"/>
      <c r="I852" s="57"/>
      <c r="J852" s="58"/>
    </row>
    <row r="853" spans="1:10" ht="12" customHeight="1">
      <c r="A853" s="60">
        <v>4058075208339</v>
      </c>
      <c r="B853" s="61" t="s">
        <v>5528</v>
      </c>
      <c r="C853" s="62">
        <v>1</v>
      </c>
      <c r="D853" s="63" t="s">
        <v>4491</v>
      </c>
      <c r="E853" s="70" t="str">
        <f>HYPERLINK("https://ledvance.com/pt/product-datasheet/6410/107212","Ficha de Produto")</f>
        <v>Ficha de Produto</v>
      </c>
      <c r="F853" s="62"/>
      <c r="G853" s="65" t="s">
        <v>5026</v>
      </c>
      <c r="H853" s="62" t="s">
        <v>5529</v>
      </c>
      <c r="I853" s="30">
        <v>75.3</v>
      </c>
      <c r="J853" s="29" t="s">
        <v>721</v>
      </c>
    </row>
    <row r="854" spans="1:10" ht="12" customHeight="1">
      <c r="A854" s="60">
        <v>4058075208612</v>
      </c>
      <c r="B854" s="61" t="s">
        <v>5530</v>
      </c>
      <c r="C854" s="62">
        <v>1</v>
      </c>
      <c r="D854" s="63" t="s">
        <v>4491</v>
      </c>
      <c r="E854" s="70" t="str">
        <f>HYPERLINK("https://ledvance.com/pt/product-datasheet/6410/107218","Ficha de Produto")</f>
        <v>Ficha de Produto</v>
      </c>
      <c r="F854" s="62"/>
      <c r="G854" s="65" t="s">
        <v>1749</v>
      </c>
      <c r="H854" s="62" t="s">
        <v>5529</v>
      </c>
      <c r="I854" s="30">
        <v>18</v>
      </c>
      <c r="J854" s="29" t="s">
        <v>721</v>
      </c>
    </row>
    <row r="855" spans="1:10" s="51" customFormat="1" ht="15" customHeight="1">
      <c r="A855" s="91" t="s">
        <v>4504</v>
      </c>
      <c r="B855" s="67"/>
      <c r="C855" s="54"/>
      <c r="D855" s="57"/>
      <c r="E855" s="78"/>
      <c r="F855" s="54"/>
      <c r="G855" s="69"/>
      <c r="H855" s="85"/>
      <c r="I855" s="57"/>
      <c r="J855" s="58"/>
    </row>
    <row r="856" spans="1:10" s="51" customFormat="1" ht="15" customHeight="1">
      <c r="A856" s="92" t="s">
        <v>4505</v>
      </c>
      <c r="B856" s="67"/>
      <c r="C856" s="54"/>
      <c r="D856" s="93"/>
      <c r="E856" s="93"/>
      <c r="F856" s="54"/>
      <c r="G856" s="69"/>
      <c r="H856" s="85"/>
      <c r="I856" s="57"/>
      <c r="J856" s="58"/>
    </row>
    <row r="857" spans="1:10" ht="12" customHeight="1">
      <c r="A857" s="60">
        <v>4058075666894</v>
      </c>
      <c r="B857" s="61" t="s">
        <v>5531</v>
      </c>
      <c r="C857" s="62">
        <v>1</v>
      </c>
      <c r="D857" s="63" t="s">
        <v>4491</v>
      </c>
      <c r="E857" s="70" t="str">
        <f>HYPERLINK("https://ledvance.com/pt/product-datasheet/170860/167028","Ficha de Produto")</f>
        <v>Ficha de Produto</v>
      </c>
      <c r="F857" s="62"/>
      <c r="G857" s="65" t="s">
        <v>5532</v>
      </c>
      <c r="H857" s="62" t="s">
        <v>5533</v>
      </c>
      <c r="I857" s="30">
        <v>12.7</v>
      </c>
      <c r="J857" s="29" t="s">
        <v>721</v>
      </c>
    </row>
    <row r="858" spans="1:10" ht="12" customHeight="1">
      <c r="A858" s="60">
        <v>4058075666917</v>
      </c>
      <c r="B858" s="61" t="s">
        <v>5534</v>
      </c>
      <c r="C858" s="62">
        <v>1</v>
      </c>
      <c r="D858" s="63" t="s">
        <v>4491</v>
      </c>
      <c r="E858" s="70" t="str">
        <f>HYPERLINK("https://ledvance.com/pt/product-datasheet/254039/167031","Ficha de Produto")</f>
        <v>Ficha de Produto</v>
      </c>
      <c r="F858" s="62"/>
      <c r="G858" s="65" t="s">
        <v>5535</v>
      </c>
      <c r="H858" s="62" t="s">
        <v>5536</v>
      </c>
      <c r="I858" s="30">
        <v>14.1</v>
      </c>
      <c r="J858" s="29" t="s">
        <v>721</v>
      </c>
    </row>
    <row r="859" spans="1:10" s="51" customFormat="1" ht="15" customHeight="1">
      <c r="A859" s="91" t="s">
        <v>4506</v>
      </c>
      <c r="B859" s="67"/>
      <c r="C859" s="54"/>
      <c r="D859" s="57"/>
      <c r="E859" s="57"/>
      <c r="F859" s="54"/>
      <c r="G859" s="69"/>
      <c r="H859" s="85"/>
      <c r="I859" s="57"/>
      <c r="J859" s="58"/>
    </row>
    <row r="860" spans="1:10" s="51" customFormat="1" ht="15" customHeight="1">
      <c r="A860" s="91" t="s">
        <v>4498</v>
      </c>
      <c r="B860" s="67"/>
      <c r="C860" s="54"/>
      <c r="D860" s="57"/>
      <c r="E860" s="57"/>
      <c r="F860" s="54"/>
      <c r="G860" s="69"/>
      <c r="H860" s="85"/>
      <c r="I860" s="57"/>
      <c r="J860" s="58"/>
    </row>
    <row r="861" spans="1:10" s="51" customFormat="1" ht="15" customHeight="1">
      <c r="A861" s="92" t="s">
        <v>4507</v>
      </c>
      <c r="B861" s="67"/>
      <c r="C861" s="54"/>
      <c r="D861" s="93"/>
      <c r="E861" s="93"/>
      <c r="F861" s="54"/>
      <c r="G861" s="69"/>
      <c r="H861" s="85"/>
      <c r="I861" s="57"/>
      <c r="J861" s="58"/>
    </row>
    <row r="862" spans="1:10" ht="12" customHeight="1">
      <c r="A862" s="60">
        <v>4058075504783</v>
      </c>
      <c r="B862" s="61" t="s">
        <v>5537</v>
      </c>
      <c r="C862" s="62">
        <v>1</v>
      </c>
      <c r="D862" s="63" t="s">
        <v>4491</v>
      </c>
      <c r="E862" s="70" t="str">
        <f>HYPERLINK("https://ledvance.com/pt/product-datasheet/6466/36517","Ficha de Produto")</f>
        <v>Ficha de Produto</v>
      </c>
      <c r="F862" s="62"/>
      <c r="G862" s="65" t="s">
        <v>4934</v>
      </c>
      <c r="H862" s="62" t="s">
        <v>4990</v>
      </c>
      <c r="I862" s="30">
        <v>109.69999999999999</v>
      </c>
      <c r="J862" s="29" t="s">
        <v>721</v>
      </c>
    </row>
    <row r="863" spans="1:10" ht="12" customHeight="1">
      <c r="A863" s="60">
        <v>4058075504806</v>
      </c>
      <c r="B863" s="61" t="s">
        <v>5538</v>
      </c>
      <c r="C863" s="62">
        <v>1</v>
      </c>
      <c r="D863" s="63" t="s">
        <v>4491</v>
      </c>
      <c r="E863" s="70" t="str">
        <f>HYPERLINK("https://ledvance.com/pt/product-datasheet/6466/120851","Ficha de Produto")</f>
        <v>Ficha de Produto</v>
      </c>
      <c r="F863" s="62"/>
      <c r="G863" s="65" t="s">
        <v>4949</v>
      </c>
      <c r="H863" s="62" t="s">
        <v>4990</v>
      </c>
      <c r="I863" s="30">
        <v>137</v>
      </c>
      <c r="J863" s="29" t="s">
        <v>721</v>
      </c>
    </row>
    <row r="864" spans="1:10" s="51" customFormat="1" ht="15" customHeight="1">
      <c r="A864" s="92" t="s">
        <v>4508</v>
      </c>
      <c r="B864" s="67"/>
      <c r="C864" s="54"/>
      <c r="D864" s="93"/>
      <c r="E864" s="93"/>
      <c r="F864" s="54"/>
      <c r="G864" s="69"/>
      <c r="H864" s="85"/>
      <c r="I864" s="57"/>
      <c r="J864" s="58"/>
    </row>
    <row r="865" spans="1:10" ht="12" customHeight="1">
      <c r="A865" s="60">
        <v>4058075504868</v>
      </c>
      <c r="B865" s="112" t="s">
        <v>4501</v>
      </c>
      <c r="C865" s="62">
        <v>0</v>
      </c>
      <c r="D865" s="63" t="s">
        <v>4491</v>
      </c>
      <c r="E865" s="70" t="str">
        <f>HYPERLINK("https://ledvance.com/pt/product-datasheet/6361/44266","Ficha de Produto")</f>
        <v>Ficha de Produto</v>
      </c>
      <c r="F865" s="101" t="s">
        <v>4251</v>
      </c>
      <c r="G865" s="65" t="s">
        <v>1201</v>
      </c>
      <c r="H865" s="65" t="s">
        <v>1201</v>
      </c>
      <c r="I865" s="30">
        <v>102.8</v>
      </c>
      <c r="J865" s="29" t="s">
        <v>721</v>
      </c>
    </row>
    <row r="866" spans="1:10" ht="12" customHeight="1">
      <c r="A866" s="60">
        <v>4058075504882</v>
      </c>
      <c r="B866" s="112" t="s">
        <v>4502</v>
      </c>
      <c r="C866" s="62">
        <v>0</v>
      </c>
      <c r="D866" s="63" t="s">
        <v>4491</v>
      </c>
      <c r="E866" s="70" t="str">
        <f>HYPERLINK("https://ledvance.com/pt/product-datasheet/6361/44269","Ficha de Produto")</f>
        <v>Ficha de Produto</v>
      </c>
      <c r="F866" s="101" t="s">
        <v>4251</v>
      </c>
      <c r="G866" s="65" t="s">
        <v>1201</v>
      </c>
      <c r="H866" s="65" t="s">
        <v>1201</v>
      </c>
      <c r="I866" s="30">
        <v>143.79999999999998</v>
      </c>
      <c r="J866" s="29" t="s">
        <v>721</v>
      </c>
    </row>
    <row r="867" spans="1:10" s="51" customFormat="1" ht="15" customHeight="1">
      <c r="A867" s="59" t="s">
        <v>4509</v>
      </c>
      <c r="B867" s="67"/>
      <c r="C867" s="54"/>
      <c r="D867" s="56"/>
      <c r="E867" s="56"/>
      <c r="F867" s="54"/>
      <c r="G867" s="69"/>
      <c r="H867" s="85"/>
      <c r="I867" s="57"/>
      <c r="J867" s="58"/>
    </row>
    <row r="868" spans="1:10" ht="12" customHeight="1">
      <c r="A868" s="113">
        <v>4058075729360</v>
      </c>
      <c r="B868" s="61" t="s">
        <v>5539</v>
      </c>
      <c r="C868" s="62">
        <v>1</v>
      </c>
      <c r="D868" s="63" t="s">
        <v>4491</v>
      </c>
      <c r="E868" s="70" t="str">
        <f>HYPERLINK("https://ledvance.com/pt/product-datasheet/6418/205591","Ficha de Produto")</f>
        <v>Ficha de Produto</v>
      </c>
      <c r="F868" s="112"/>
      <c r="G868" s="65" t="s">
        <v>5026</v>
      </c>
      <c r="H868" s="62" t="s">
        <v>5540</v>
      </c>
      <c r="I868" s="30">
        <v>186.1</v>
      </c>
      <c r="J868" s="29" t="s">
        <v>721</v>
      </c>
    </row>
    <row r="869" spans="1:10" s="51" customFormat="1" ht="15" customHeight="1">
      <c r="A869" s="91" t="s">
        <v>4510</v>
      </c>
      <c r="B869" s="67"/>
      <c r="C869" s="54"/>
      <c r="D869" s="57"/>
      <c r="E869" s="78"/>
      <c r="F869" s="54"/>
      <c r="G869" s="69"/>
      <c r="H869" s="85"/>
      <c r="I869" s="57"/>
      <c r="J869" s="58"/>
    </row>
    <row r="870" spans="1:10" s="51" customFormat="1" ht="15" customHeight="1">
      <c r="A870" s="52" t="s">
        <v>4511</v>
      </c>
      <c r="B870" s="67"/>
      <c r="C870" s="54"/>
      <c r="D870" s="55"/>
      <c r="E870" s="55"/>
      <c r="F870" s="54"/>
      <c r="G870" s="69"/>
      <c r="H870" s="85"/>
      <c r="I870" s="57"/>
      <c r="J870" s="58"/>
    </row>
    <row r="871" spans="1:10" s="51" customFormat="1" ht="15" customHeight="1">
      <c r="A871" s="92" t="s">
        <v>4512</v>
      </c>
      <c r="B871" s="67"/>
      <c r="C871" s="54"/>
      <c r="D871" s="93"/>
      <c r="E871" s="93"/>
      <c r="F871" s="54"/>
      <c r="G871" s="69"/>
      <c r="H871" s="85"/>
      <c r="I871" s="57"/>
      <c r="J871" s="58"/>
    </row>
    <row r="872" spans="1:10" ht="12" customHeight="1">
      <c r="A872" s="60">
        <v>4058075504745</v>
      </c>
      <c r="B872" s="61" t="s">
        <v>5541</v>
      </c>
      <c r="C872" s="62">
        <v>1</v>
      </c>
      <c r="D872" s="63" t="s">
        <v>4491</v>
      </c>
      <c r="E872" s="70" t="str">
        <f>HYPERLINK("https://ledvance.com/pt/product-datasheet/9502/120867","Ficha de Produto")</f>
        <v>Ficha de Produto</v>
      </c>
      <c r="F872" s="62"/>
      <c r="G872" s="65" t="s">
        <v>4934</v>
      </c>
      <c r="H872" s="62" t="s">
        <v>5536</v>
      </c>
      <c r="I872" s="30">
        <v>89.199999999999989</v>
      </c>
      <c r="J872" s="29" t="s">
        <v>721</v>
      </c>
    </row>
    <row r="873" spans="1:10" ht="12" customHeight="1">
      <c r="A873" s="60">
        <v>4058075504769</v>
      </c>
      <c r="B873" s="61" t="s">
        <v>5542</v>
      </c>
      <c r="C873" s="62">
        <v>1</v>
      </c>
      <c r="D873" s="63" t="s">
        <v>4491</v>
      </c>
      <c r="E873" s="70" t="str">
        <f>HYPERLINK("https://ledvance.com/pt/product-datasheet/9502/120848","Ficha de Produto")</f>
        <v>Ficha de Produto</v>
      </c>
      <c r="F873" s="62"/>
      <c r="G873" s="65" t="s">
        <v>5038</v>
      </c>
      <c r="H873" s="62" t="s">
        <v>5536</v>
      </c>
      <c r="I873" s="30">
        <v>116.5</v>
      </c>
      <c r="J873" s="29" t="s">
        <v>721</v>
      </c>
    </row>
    <row r="874" spans="1:10" s="51" customFormat="1" ht="15" customHeight="1">
      <c r="A874" s="92" t="s">
        <v>4513</v>
      </c>
      <c r="B874" s="67"/>
      <c r="C874" s="54"/>
      <c r="D874" s="93"/>
      <c r="E874" s="93"/>
      <c r="F874" s="54"/>
      <c r="G874" s="69"/>
      <c r="H874" s="85"/>
      <c r="I874" s="57"/>
      <c r="J874" s="58"/>
    </row>
    <row r="875" spans="1:10" ht="12" customHeight="1">
      <c r="A875" s="60">
        <v>4058075504707</v>
      </c>
      <c r="B875" s="61" t="s">
        <v>5543</v>
      </c>
      <c r="C875" s="62">
        <v>1</v>
      </c>
      <c r="D875" s="63" t="s">
        <v>4491</v>
      </c>
      <c r="E875" s="70" t="str">
        <f>HYPERLINK("https://ledvance.com/pt/product-datasheet/9501/120861","Ficha de Produto")</f>
        <v>Ficha de Produto</v>
      </c>
      <c r="F875" s="62"/>
      <c r="G875" s="65" t="s">
        <v>4996</v>
      </c>
      <c r="H875" s="62" t="s">
        <v>4974</v>
      </c>
      <c r="I875" s="30">
        <v>68.699999999999989</v>
      </c>
      <c r="J875" s="29" t="s">
        <v>721</v>
      </c>
    </row>
    <row r="876" spans="1:10" ht="12" customHeight="1">
      <c r="A876" s="60">
        <v>4058075504721</v>
      </c>
      <c r="B876" s="61" t="s">
        <v>5544</v>
      </c>
      <c r="C876" s="62">
        <v>1</v>
      </c>
      <c r="D876" s="63" t="s">
        <v>4491</v>
      </c>
      <c r="E876" s="70" t="str">
        <f>HYPERLINK("https://ledvance.com/pt/product-datasheet/9501/120864","Ficha de Produto")</f>
        <v>Ficha de Produto</v>
      </c>
      <c r="F876" s="62"/>
      <c r="G876" s="65" t="s">
        <v>5545</v>
      </c>
      <c r="H876" s="62" t="s">
        <v>4974</v>
      </c>
      <c r="I876" s="30">
        <v>96</v>
      </c>
      <c r="J876" s="29" t="s">
        <v>721</v>
      </c>
    </row>
    <row r="877" spans="1:10" s="51" customFormat="1" ht="15" customHeight="1">
      <c r="A877" s="91" t="s">
        <v>4514</v>
      </c>
      <c r="B877" s="67"/>
      <c r="C877" s="54"/>
      <c r="D877" s="57"/>
      <c r="E877" s="78"/>
      <c r="F877" s="54"/>
      <c r="G877" s="69"/>
      <c r="H877" s="85"/>
      <c r="I877" s="57"/>
      <c r="J877" s="58"/>
    </row>
    <row r="878" spans="1:10" s="51" customFormat="1" ht="15" customHeight="1">
      <c r="A878" s="91" t="s">
        <v>4515</v>
      </c>
      <c r="B878" s="67"/>
      <c r="C878" s="54"/>
      <c r="D878" s="57"/>
      <c r="E878" s="57"/>
      <c r="F878" s="54"/>
      <c r="G878" s="69"/>
      <c r="H878" s="85"/>
      <c r="I878" s="57"/>
      <c r="J878" s="58"/>
    </row>
    <row r="879" spans="1:10" s="51" customFormat="1" ht="15" customHeight="1">
      <c r="A879" s="91" t="s">
        <v>4516</v>
      </c>
      <c r="B879" s="67"/>
      <c r="C879" s="54"/>
      <c r="D879" s="57"/>
      <c r="E879" s="57"/>
      <c r="F879" s="54"/>
      <c r="G879" s="69"/>
      <c r="H879" s="85"/>
      <c r="I879" s="57"/>
      <c r="J879" s="58"/>
    </row>
    <row r="880" spans="1:10" s="51" customFormat="1" ht="15" customHeight="1">
      <c r="A880" s="92" t="s">
        <v>4517</v>
      </c>
      <c r="B880" s="67"/>
      <c r="C880" s="54"/>
      <c r="D880" s="93"/>
      <c r="E880" s="93"/>
      <c r="F880" s="54"/>
      <c r="G880" s="69"/>
      <c r="H880" s="85"/>
      <c r="I880" s="57"/>
      <c r="J880" s="58"/>
    </row>
    <row r="881" spans="1:10" ht="12" customHeight="1">
      <c r="A881" s="74">
        <v>4058075762190</v>
      </c>
      <c r="B881" s="61" t="s">
        <v>5546</v>
      </c>
      <c r="C881" s="62">
        <v>1</v>
      </c>
      <c r="D881" s="63" t="s">
        <v>4518</v>
      </c>
      <c r="E881" s="70" t="str">
        <f>HYPERLINK("https://ledvance.com/pt/product-datasheet/232016/204161","Ficha de Produto")</f>
        <v>Ficha de Produto</v>
      </c>
      <c r="F881" s="62"/>
      <c r="G881" s="65" t="s">
        <v>5176</v>
      </c>
      <c r="H881" s="62" t="s">
        <v>4930</v>
      </c>
      <c r="I881" s="30">
        <v>55</v>
      </c>
      <c r="J881" s="29" t="s">
        <v>721</v>
      </c>
    </row>
    <row r="882" spans="1:10" s="51" customFormat="1" ht="15" customHeight="1">
      <c r="A882" s="92" t="s">
        <v>4519</v>
      </c>
      <c r="B882" s="67"/>
      <c r="C882" s="54"/>
      <c r="D882" s="93"/>
      <c r="E882" s="93"/>
      <c r="F882" s="54"/>
      <c r="G882" s="69"/>
      <c r="H882" s="85"/>
      <c r="I882" s="57"/>
      <c r="J882" s="58"/>
    </row>
    <row r="883" spans="1:10" ht="12" customHeight="1">
      <c r="A883" s="60">
        <v>4058075576278</v>
      </c>
      <c r="B883" s="61" t="s">
        <v>5547</v>
      </c>
      <c r="C883" s="62">
        <v>1</v>
      </c>
      <c r="D883" s="63" t="s">
        <v>4518</v>
      </c>
      <c r="E883" s="70" t="str">
        <f>HYPERLINK("https://ledvance.com/pt/product-datasheet/170790/163612","Ficha de Produto")</f>
        <v>Ficha de Produto</v>
      </c>
      <c r="F883" s="62"/>
      <c r="G883" s="65" t="s">
        <v>5021</v>
      </c>
      <c r="H883" s="62" t="s">
        <v>4990</v>
      </c>
      <c r="I883" s="30">
        <v>91.899999999999991</v>
      </c>
      <c r="J883" s="29" t="s">
        <v>721</v>
      </c>
    </row>
    <row r="884" spans="1:10" ht="12" customHeight="1">
      <c r="A884" s="60">
        <v>4058075576292</v>
      </c>
      <c r="B884" s="61" t="s">
        <v>5548</v>
      </c>
      <c r="C884" s="62">
        <v>1</v>
      </c>
      <c r="D884" s="63" t="s">
        <v>4518</v>
      </c>
      <c r="E884" s="70" t="str">
        <f>HYPERLINK("https://ledvance.com/pt/product-datasheet/170790/163615","Ficha de Produto")</f>
        <v>Ficha de Produto</v>
      </c>
      <c r="F884" s="62"/>
      <c r="G884" s="65" t="s">
        <v>1746</v>
      </c>
      <c r="H884" s="62" t="s">
        <v>4990</v>
      </c>
      <c r="I884" s="30">
        <v>61.9</v>
      </c>
      <c r="J884" s="29" t="s">
        <v>721</v>
      </c>
    </row>
    <row r="885" spans="1:10" ht="12" customHeight="1">
      <c r="A885" s="60">
        <v>4058075575691</v>
      </c>
      <c r="B885" s="61" t="s">
        <v>5549</v>
      </c>
      <c r="C885" s="62">
        <v>1</v>
      </c>
      <c r="D885" s="63" t="s">
        <v>4518</v>
      </c>
      <c r="E885" s="70" t="str">
        <f>HYPERLINK("https://ledvance.com/pt/product-datasheet/170789/124150","Ficha de Produto")</f>
        <v>Ficha de Produto</v>
      </c>
      <c r="F885" s="62"/>
      <c r="G885" s="65" t="s">
        <v>4953</v>
      </c>
      <c r="H885" s="62" t="s">
        <v>4990</v>
      </c>
      <c r="I885" s="30">
        <v>68.699999999999989</v>
      </c>
      <c r="J885" s="29" t="s">
        <v>721</v>
      </c>
    </row>
    <row r="886" spans="1:10" ht="12" customHeight="1">
      <c r="A886" s="60">
        <v>4058075575714</v>
      </c>
      <c r="B886" s="61" t="s">
        <v>5550</v>
      </c>
      <c r="C886" s="62">
        <v>1</v>
      </c>
      <c r="D886" s="63" t="s">
        <v>4518</v>
      </c>
      <c r="E886" s="70" t="str">
        <f>HYPERLINK("https://ledvance.com/pt/product-datasheet/170789/124153","Ficha de Produto")</f>
        <v>Ficha de Produto</v>
      </c>
      <c r="F886" s="62"/>
      <c r="G886" s="65" t="s">
        <v>4940</v>
      </c>
      <c r="H886" s="62" t="s">
        <v>4990</v>
      </c>
      <c r="I886" s="30">
        <v>76.899999999999991</v>
      </c>
      <c r="J886" s="29" t="s">
        <v>721</v>
      </c>
    </row>
    <row r="887" spans="1:10" s="51" customFormat="1" ht="15" customHeight="1">
      <c r="A887" s="92" t="s">
        <v>4520</v>
      </c>
      <c r="B887" s="67"/>
      <c r="C887" s="54"/>
      <c r="D887" s="93"/>
      <c r="E887" s="93"/>
      <c r="F887" s="54"/>
      <c r="G887" s="69"/>
      <c r="H887" s="85"/>
      <c r="I887" s="57"/>
      <c r="J887" s="58"/>
    </row>
    <row r="888" spans="1:10" ht="12" customHeight="1">
      <c r="A888" s="60">
        <v>4058075576315</v>
      </c>
      <c r="B888" s="61" t="s">
        <v>5551</v>
      </c>
      <c r="C888" s="62">
        <v>1</v>
      </c>
      <c r="D888" s="63" t="s">
        <v>4518</v>
      </c>
      <c r="E888" s="70" t="str">
        <f>HYPERLINK("https://ledvance.com/pt/product-datasheet/170791/163618","Ficha de Produto")</f>
        <v>Ficha de Produto</v>
      </c>
      <c r="F888" s="62"/>
      <c r="G888" s="65" t="s">
        <v>1746</v>
      </c>
      <c r="H888" s="62" t="s">
        <v>4990</v>
      </c>
      <c r="I888" s="30">
        <v>102.8</v>
      </c>
      <c r="J888" s="29" t="s">
        <v>721</v>
      </c>
    </row>
    <row r="889" spans="1:10" ht="12" customHeight="1">
      <c r="A889" s="60">
        <v>4058075576339</v>
      </c>
      <c r="B889" s="61" t="s">
        <v>5552</v>
      </c>
      <c r="C889" s="62">
        <v>1</v>
      </c>
      <c r="D889" s="63" t="s">
        <v>4518</v>
      </c>
      <c r="E889" s="70" t="str">
        <f>HYPERLINK("https://ledvance.com/pt/product-datasheet/170791/163621","Ficha de Produto")</f>
        <v>Ficha de Produto</v>
      </c>
      <c r="F889" s="62"/>
      <c r="G889" s="65" t="s">
        <v>5553</v>
      </c>
      <c r="H889" s="62" t="s">
        <v>4990</v>
      </c>
      <c r="I889" s="30">
        <v>82.3</v>
      </c>
      <c r="J889" s="29" t="s">
        <v>721</v>
      </c>
    </row>
    <row r="890" spans="1:10" s="51" customFormat="1" ht="15" customHeight="1">
      <c r="A890" s="92" t="s">
        <v>4521</v>
      </c>
      <c r="B890" s="67"/>
      <c r="C890" s="54"/>
      <c r="D890" s="93"/>
      <c r="E890" s="93"/>
      <c r="F890" s="54"/>
      <c r="G890" s="69"/>
      <c r="H890" s="85"/>
      <c r="I890" s="57"/>
      <c r="J890" s="58"/>
    </row>
    <row r="891" spans="1:10" ht="12" customHeight="1">
      <c r="A891" s="83">
        <v>4099854096532</v>
      </c>
      <c r="B891" s="61" t="s">
        <v>5554</v>
      </c>
      <c r="C891" s="62">
        <v>1</v>
      </c>
      <c r="D891" s="63" t="s">
        <v>4518</v>
      </c>
      <c r="E891" s="70" t="str">
        <f>HYPERLINK("https://ledvance.com/pt/product-datasheet/254324/248836","Ficha de Produto")</f>
        <v>Ficha de Produto</v>
      </c>
      <c r="F891" s="84" t="s">
        <v>4183</v>
      </c>
      <c r="G891" s="65" t="s">
        <v>5021</v>
      </c>
      <c r="H891" s="62" t="s">
        <v>4930</v>
      </c>
      <c r="I891" s="30">
        <v>55</v>
      </c>
      <c r="J891" s="29" t="s">
        <v>721</v>
      </c>
    </row>
    <row r="892" spans="1:10" s="51" customFormat="1" ht="15" customHeight="1">
      <c r="A892" s="91" t="s">
        <v>4522</v>
      </c>
      <c r="B892" s="67"/>
      <c r="C892" s="54"/>
      <c r="D892" s="57"/>
      <c r="E892" s="57"/>
      <c r="F892" s="54"/>
      <c r="G892" s="69"/>
      <c r="H892" s="85"/>
      <c r="I892" s="57"/>
      <c r="J892" s="58"/>
    </row>
    <row r="893" spans="1:10" s="51" customFormat="1" ht="15" customHeight="1">
      <c r="A893" s="92" t="s">
        <v>4523</v>
      </c>
      <c r="B893" s="67"/>
      <c r="C893" s="54"/>
      <c r="D893" s="93"/>
      <c r="E893" s="78"/>
      <c r="F893" s="54"/>
      <c r="G893" s="69"/>
      <c r="H893" s="85"/>
      <c r="I893" s="57"/>
      <c r="J893" s="58"/>
    </row>
    <row r="894" spans="1:10" ht="12" customHeight="1">
      <c r="A894" s="74">
        <v>4058075762251</v>
      </c>
      <c r="B894" s="61" t="s">
        <v>5555</v>
      </c>
      <c r="C894" s="62">
        <v>1</v>
      </c>
      <c r="D894" s="63" t="s">
        <v>4518</v>
      </c>
      <c r="E894" s="70" t="str">
        <f>HYPERLINK("https://ledvance.com/pt/product-datasheet/232019/204149","Ficha de Produto")</f>
        <v>Ficha de Produto</v>
      </c>
      <c r="F894" s="62"/>
      <c r="G894" s="65" t="s">
        <v>5005</v>
      </c>
      <c r="H894" s="62" t="s">
        <v>4992</v>
      </c>
      <c r="I894" s="30">
        <v>68.699999999999989</v>
      </c>
      <c r="J894" s="29" t="s">
        <v>721</v>
      </c>
    </row>
    <row r="895" spans="1:10" s="51" customFormat="1" ht="15" customHeight="1">
      <c r="A895" s="92" t="s">
        <v>4524</v>
      </c>
      <c r="B895" s="67"/>
      <c r="C895" s="54"/>
      <c r="D895" s="93"/>
      <c r="E895" s="93"/>
      <c r="F895" s="54"/>
      <c r="G895" s="69"/>
      <c r="H895" s="85"/>
      <c r="I895" s="57"/>
      <c r="J895" s="58"/>
    </row>
    <row r="896" spans="1:10" ht="12" customHeight="1">
      <c r="A896" s="74">
        <v>4058075791565</v>
      </c>
      <c r="B896" s="61" t="s">
        <v>5556</v>
      </c>
      <c r="C896" s="62">
        <v>3</v>
      </c>
      <c r="D896" s="63" t="s">
        <v>4518</v>
      </c>
      <c r="E896" s="70" t="str">
        <f>HYPERLINK("https://ledvance.com/pt/product-datasheet/232024/214472","Ficha de Produto")</f>
        <v>Ficha de Produto</v>
      </c>
      <c r="F896" s="62"/>
      <c r="G896" s="65" t="s">
        <v>5198</v>
      </c>
      <c r="H896" s="62" t="s">
        <v>4974</v>
      </c>
      <c r="I896" s="30">
        <v>34.5</v>
      </c>
      <c r="J896" s="29" t="s">
        <v>721</v>
      </c>
    </row>
    <row r="897" spans="1:10" ht="12" customHeight="1">
      <c r="A897" s="74">
        <v>4058075791589</v>
      </c>
      <c r="B897" s="61" t="s">
        <v>5557</v>
      </c>
      <c r="C897" s="62">
        <v>3</v>
      </c>
      <c r="D897" s="63" t="s">
        <v>4518</v>
      </c>
      <c r="E897" s="70" t="str">
        <f>HYPERLINK("https://ledvance.com/pt/product-datasheet/232024/214476","Ficha de Produto")</f>
        <v>Ficha de Produto</v>
      </c>
      <c r="F897" s="62"/>
      <c r="G897" s="65" t="s">
        <v>5198</v>
      </c>
      <c r="H897" s="62" t="s">
        <v>4974</v>
      </c>
      <c r="I897" s="30">
        <v>34.5</v>
      </c>
      <c r="J897" s="29" t="s">
        <v>721</v>
      </c>
    </row>
    <row r="898" spans="1:10" s="51" customFormat="1" ht="15" customHeight="1">
      <c r="A898" s="92" t="s">
        <v>4525</v>
      </c>
      <c r="B898" s="67"/>
      <c r="C898" s="54"/>
      <c r="D898" s="93"/>
      <c r="E898" s="93"/>
      <c r="F898" s="54"/>
      <c r="G898" s="69"/>
      <c r="H898" s="85"/>
      <c r="I898" s="57"/>
      <c r="J898" s="58"/>
    </row>
    <row r="899" spans="1:10" ht="12" customHeight="1">
      <c r="A899" s="74">
        <v>4058075762312</v>
      </c>
      <c r="B899" s="61" t="s">
        <v>5558</v>
      </c>
      <c r="C899" s="62">
        <v>1</v>
      </c>
      <c r="D899" s="63" t="s">
        <v>4518</v>
      </c>
      <c r="E899" s="70" t="str">
        <f>HYPERLINK("https://ledvance.com/pt/product-datasheet/232025/204158","Ficha de Produto")</f>
        <v>Ficha de Produto</v>
      </c>
      <c r="F899" s="62"/>
      <c r="G899" s="65" t="s">
        <v>5526</v>
      </c>
      <c r="H899" s="62" t="s">
        <v>4974</v>
      </c>
      <c r="I899" s="30">
        <v>55</v>
      </c>
      <c r="J899" s="29" t="s">
        <v>721</v>
      </c>
    </row>
    <row r="900" spans="1:10" s="51" customFormat="1" ht="15" customHeight="1">
      <c r="A900" s="59" t="s">
        <v>4526</v>
      </c>
      <c r="B900" s="67"/>
      <c r="C900" s="54"/>
      <c r="D900" s="56"/>
      <c r="E900" s="56"/>
      <c r="F900" s="54"/>
      <c r="G900" s="69"/>
      <c r="H900" s="85"/>
      <c r="I900" s="57"/>
      <c r="J900" s="58"/>
    </row>
    <row r="901" spans="1:10" ht="12" customHeight="1">
      <c r="A901" s="74">
        <v>4058075762213</v>
      </c>
      <c r="B901" s="61" t="s">
        <v>5559</v>
      </c>
      <c r="C901" s="62">
        <v>1</v>
      </c>
      <c r="D901" s="63" t="s">
        <v>4518</v>
      </c>
      <c r="E901" s="70" t="str">
        <f>HYPERLINK("https://ledvance.com/pt/product-datasheet/9318/204164","Ficha de Produto")</f>
        <v>Ficha de Produto</v>
      </c>
      <c r="F901" s="62"/>
      <c r="G901" s="65" t="s">
        <v>5560</v>
      </c>
      <c r="H901" s="62" t="s">
        <v>4930</v>
      </c>
      <c r="I901" s="30">
        <v>41.4</v>
      </c>
      <c r="J901" s="29" t="s">
        <v>721</v>
      </c>
    </row>
    <row r="902" spans="1:10" ht="12" customHeight="1">
      <c r="A902" s="74">
        <v>4058075762237</v>
      </c>
      <c r="B902" s="61" t="s">
        <v>5561</v>
      </c>
      <c r="C902" s="62">
        <v>1</v>
      </c>
      <c r="D902" s="63" t="s">
        <v>4518</v>
      </c>
      <c r="E902" s="70" t="str">
        <f>HYPERLINK("https://ledvance.com/pt/product-datasheet/9318/204167","Ficha de Produto")</f>
        <v>Ficha de Produto</v>
      </c>
      <c r="F902" s="62"/>
      <c r="G902" s="65" t="s">
        <v>1752</v>
      </c>
      <c r="H902" s="62" t="s">
        <v>4930</v>
      </c>
      <c r="I902" s="30">
        <v>48.2</v>
      </c>
      <c r="J902" s="29" t="s">
        <v>721</v>
      </c>
    </row>
    <row r="903" spans="1:10" s="51" customFormat="1" ht="15" customHeight="1">
      <c r="A903" s="114" t="s">
        <v>4527</v>
      </c>
      <c r="B903" s="67"/>
      <c r="C903" s="54"/>
      <c r="D903" s="56"/>
      <c r="E903" s="56"/>
      <c r="F903" s="54"/>
      <c r="G903" s="69"/>
      <c r="H903" s="85"/>
      <c r="I903" s="57"/>
      <c r="J903" s="58"/>
    </row>
    <row r="904" spans="1:10" ht="12" customHeight="1">
      <c r="A904" s="83">
        <v>4099854096556</v>
      </c>
      <c r="B904" s="61" t="s">
        <v>5562</v>
      </c>
      <c r="C904" s="62">
        <v>1</v>
      </c>
      <c r="D904" s="63" t="s">
        <v>4518</v>
      </c>
      <c r="E904" s="70" t="str">
        <f>HYPERLINK("https://ledvance.com/pt/product-datasheet/254323/248830","Ficha de Produto")</f>
        <v>Ficha de Produto</v>
      </c>
      <c r="F904" s="84" t="s">
        <v>4183</v>
      </c>
      <c r="G904" s="65" t="s">
        <v>1752</v>
      </c>
      <c r="H904" s="62" t="s">
        <v>4974</v>
      </c>
      <c r="I904" s="30">
        <v>38.1</v>
      </c>
      <c r="J904" s="29" t="s">
        <v>721</v>
      </c>
    </row>
    <row r="905" spans="1:10" s="51" customFormat="1" ht="15" customHeight="1">
      <c r="A905" s="59" t="s">
        <v>4528</v>
      </c>
      <c r="B905" s="67"/>
      <c r="C905" s="54"/>
      <c r="D905" s="56"/>
      <c r="E905" s="56"/>
      <c r="F905" s="54"/>
      <c r="G905" s="69"/>
      <c r="H905" s="85"/>
      <c r="I905" s="57"/>
      <c r="J905" s="58"/>
    </row>
    <row r="906" spans="1:10" ht="12" customHeight="1">
      <c r="A906" s="83">
        <v>4099854096570</v>
      </c>
      <c r="B906" s="61" t="s">
        <v>5563</v>
      </c>
      <c r="C906" s="62">
        <v>1</v>
      </c>
      <c r="D906" s="63" t="s">
        <v>4518</v>
      </c>
      <c r="E906" s="70" t="str">
        <f>HYPERLINK("https://ledvance.com/pt/product-datasheet/254322/248833","Ficha de Produto")</f>
        <v>Ficha de Produto</v>
      </c>
      <c r="F906" s="84" t="s">
        <v>4183</v>
      </c>
      <c r="G906" s="65" t="s">
        <v>5564</v>
      </c>
      <c r="H906" s="62" t="s">
        <v>4974</v>
      </c>
      <c r="I906" s="30">
        <v>38.1</v>
      </c>
      <c r="J906" s="29" t="s">
        <v>721</v>
      </c>
    </row>
    <row r="907" spans="1:10" s="51" customFormat="1" ht="15" customHeight="1">
      <c r="A907" s="59" t="s">
        <v>4529</v>
      </c>
      <c r="B907" s="67"/>
      <c r="C907" s="54"/>
      <c r="D907" s="56"/>
      <c r="E907" s="56"/>
      <c r="F907" s="54"/>
      <c r="G907" s="69"/>
      <c r="H907" s="85"/>
      <c r="I907" s="57"/>
      <c r="J907" s="58"/>
    </row>
    <row r="908" spans="1:10" ht="12" customHeight="1">
      <c r="A908" s="60">
        <v>4058075227699</v>
      </c>
      <c r="B908" s="61" t="s">
        <v>5565</v>
      </c>
      <c r="C908" s="62">
        <v>1</v>
      </c>
      <c r="D908" s="63" t="s">
        <v>4518</v>
      </c>
      <c r="E908" s="70" t="str">
        <f>HYPERLINK("https://ledvance.com/pt/product-datasheet/9191/106919","Ficha de Produto")</f>
        <v>Ficha de Produto</v>
      </c>
      <c r="F908" s="62"/>
      <c r="G908" s="65" t="s">
        <v>1749</v>
      </c>
      <c r="H908" s="62" t="s">
        <v>4974</v>
      </c>
      <c r="I908" s="30">
        <v>41.4</v>
      </c>
      <c r="J908" s="29" t="s">
        <v>721</v>
      </c>
    </row>
    <row r="909" spans="1:10" ht="12" customHeight="1">
      <c r="A909" s="60">
        <v>4058075227712</v>
      </c>
      <c r="B909" s="61" t="s">
        <v>5566</v>
      </c>
      <c r="C909" s="62">
        <v>1</v>
      </c>
      <c r="D909" s="63" t="s">
        <v>4518</v>
      </c>
      <c r="E909" s="70" t="str">
        <f>HYPERLINK("https://ledvance.com/pt/product-datasheet/9191/106925","Ficha de Produto")</f>
        <v>Ficha de Produto</v>
      </c>
      <c r="F909" s="62"/>
      <c r="G909" s="65" t="s">
        <v>5026</v>
      </c>
      <c r="H909" s="62" t="s">
        <v>4974</v>
      </c>
      <c r="I909" s="30">
        <v>55</v>
      </c>
      <c r="J909" s="29" t="s">
        <v>721</v>
      </c>
    </row>
    <row r="910" spans="1:10" ht="12" customHeight="1">
      <c r="A910" s="60">
        <v>4058075268364</v>
      </c>
      <c r="B910" s="61" t="s">
        <v>5567</v>
      </c>
      <c r="C910" s="62">
        <v>1</v>
      </c>
      <c r="D910" s="63" t="s">
        <v>4518</v>
      </c>
      <c r="E910" s="70" t="str">
        <f>HYPERLINK("https://ledvance.com/pt/product-datasheet/9191/106931","Ficha de Produto")</f>
        <v>Ficha de Produto</v>
      </c>
      <c r="F910" s="62"/>
      <c r="G910" s="65" t="s">
        <v>5005</v>
      </c>
      <c r="H910" s="62" t="s">
        <v>4974</v>
      </c>
      <c r="I910" s="30">
        <v>48.2</v>
      </c>
      <c r="J910" s="29" t="s">
        <v>721</v>
      </c>
    </row>
    <row r="911" spans="1:10" ht="12" customHeight="1">
      <c r="A911" s="60">
        <v>4058075227736</v>
      </c>
      <c r="B911" s="61" t="s">
        <v>5568</v>
      </c>
      <c r="C911" s="62">
        <v>1</v>
      </c>
      <c r="D911" s="63" t="s">
        <v>4518</v>
      </c>
      <c r="E911" s="70" t="str">
        <f>HYPERLINK("https://ledvance.com/pt/product-datasheet/9191/106937","Ficha de Produto")</f>
        <v>Ficha de Produto</v>
      </c>
      <c r="F911" s="62"/>
      <c r="G911" s="65" t="s">
        <v>1761</v>
      </c>
      <c r="H911" s="62" t="s">
        <v>4974</v>
      </c>
      <c r="I911" s="30">
        <v>78.399999999999991</v>
      </c>
      <c r="J911" s="29" t="s">
        <v>721</v>
      </c>
    </row>
    <row r="912" spans="1:10" s="51" customFormat="1" ht="15" customHeight="1">
      <c r="A912" s="59" t="s">
        <v>4530</v>
      </c>
      <c r="B912" s="67"/>
      <c r="C912" s="54"/>
      <c r="D912" s="56"/>
      <c r="E912" s="71"/>
      <c r="F912" s="54"/>
      <c r="G912" s="69"/>
      <c r="H912" s="85"/>
      <c r="I912" s="57"/>
      <c r="J912" s="58"/>
    </row>
    <row r="913" spans="1:10" ht="12" customHeight="1">
      <c r="A913" s="60">
        <v>4058075268227</v>
      </c>
      <c r="B913" s="61" t="s">
        <v>5569</v>
      </c>
      <c r="C913" s="62">
        <v>1</v>
      </c>
      <c r="D913" s="63" t="s">
        <v>4518</v>
      </c>
      <c r="E913" s="70" t="str">
        <f>HYPERLINK("https://ledvance.com/pt/product-datasheet/9192/106943","Ficha de Produto")</f>
        <v>Ficha de Produto</v>
      </c>
      <c r="F913" s="62"/>
      <c r="G913" s="65" t="s">
        <v>5057</v>
      </c>
      <c r="H913" s="62" t="s">
        <v>4974</v>
      </c>
      <c r="I913" s="30">
        <v>41.4</v>
      </c>
      <c r="J913" s="29" t="s">
        <v>721</v>
      </c>
    </row>
    <row r="914" spans="1:10" ht="12" customHeight="1">
      <c r="A914" s="60">
        <v>4058075227910</v>
      </c>
      <c r="B914" s="61" t="s">
        <v>5570</v>
      </c>
      <c r="C914" s="62">
        <v>1</v>
      </c>
      <c r="D914" s="63" t="s">
        <v>4518</v>
      </c>
      <c r="E914" s="70" t="str">
        <f>HYPERLINK("https://ledvance.com/pt/product-datasheet/9192/106949","Ficha de Produto")</f>
        <v>Ficha de Produto</v>
      </c>
      <c r="F914" s="62"/>
      <c r="G914" s="65" t="s">
        <v>5021</v>
      </c>
      <c r="H914" s="62" t="s">
        <v>4974</v>
      </c>
      <c r="I914" s="30">
        <v>55</v>
      </c>
      <c r="J914" s="29" t="s">
        <v>721</v>
      </c>
    </row>
    <row r="915" spans="1:10" ht="12" customHeight="1">
      <c r="A915" s="60">
        <v>4058075227958</v>
      </c>
      <c r="B915" s="61" t="s">
        <v>5571</v>
      </c>
      <c r="C915" s="62">
        <v>1</v>
      </c>
      <c r="D915" s="63" t="s">
        <v>4518</v>
      </c>
      <c r="E915" s="70" t="str">
        <f>HYPERLINK("https://ledvance.com/pt/product-datasheet/9192/106955","Ficha de Produto")</f>
        <v>Ficha de Produto</v>
      </c>
      <c r="F915" s="62"/>
      <c r="G915" s="65" t="s">
        <v>5521</v>
      </c>
      <c r="H915" s="62" t="s">
        <v>4974</v>
      </c>
      <c r="I915" s="30">
        <v>48.2</v>
      </c>
      <c r="J915" s="29" t="s">
        <v>721</v>
      </c>
    </row>
    <row r="916" spans="1:10" ht="12" customHeight="1">
      <c r="A916" s="60">
        <v>4058075268265</v>
      </c>
      <c r="B916" s="61" t="s">
        <v>5572</v>
      </c>
      <c r="C916" s="62">
        <v>1</v>
      </c>
      <c r="D916" s="63" t="s">
        <v>4518</v>
      </c>
      <c r="E916" s="70" t="str">
        <f>HYPERLINK("https://ledvance.com/pt/product-datasheet/9192/106961","Ficha de Produto")</f>
        <v>Ficha de Produto</v>
      </c>
      <c r="F916" s="62"/>
      <c r="G916" s="65" t="s">
        <v>5521</v>
      </c>
      <c r="H916" s="62" t="s">
        <v>4974</v>
      </c>
      <c r="I916" s="30">
        <v>61.9</v>
      </c>
      <c r="J916" s="29" t="s">
        <v>721</v>
      </c>
    </row>
    <row r="917" spans="1:10" s="51" customFormat="1" ht="15" customHeight="1">
      <c r="A917" s="59" t="s">
        <v>4531</v>
      </c>
      <c r="B917" s="67"/>
      <c r="C917" s="54"/>
      <c r="D917" s="56"/>
      <c r="E917" s="71"/>
      <c r="F917" s="54"/>
      <c r="G917" s="69"/>
      <c r="H917" s="85"/>
      <c r="I917" s="57"/>
      <c r="J917" s="58"/>
    </row>
    <row r="918" spans="1:10" ht="12" customHeight="1">
      <c r="A918" s="60">
        <v>4058075268326</v>
      </c>
      <c r="B918" s="61" t="s">
        <v>5573</v>
      </c>
      <c r="C918" s="62">
        <v>1</v>
      </c>
      <c r="D918" s="63" t="s">
        <v>4518</v>
      </c>
      <c r="E918" s="70" t="str">
        <f>HYPERLINK("https://ledvance.com/pt/product-datasheet/9193/106967","Ficha de Produto")</f>
        <v>Ficha de Produto</v>
      </c>
      <c r="F918" s="62"/>
      <c r="G918" s="65" t="s">
        <v>5521</v>
      </c>
      <c r="H918" s="62" t="s">
        <v>4974</v>
      </c>
      <c r="I918" s="30">
        <v>48.2</v>
      </c>
      <c r="J918" s="29" t="s">
        <v>721</v>
      </c>
    </row>
    <row r="919" spans="1:10" ht="12" customHeight="1">
      <c r="A919" s="60">
        <v>4058075268340</v>
      </c>
      <c r="B919" s="61" t="s">
        <v>5574</v>
      </c>
      <c r="C919" s="62">
        <v>1</v>
      </c>
      <c r="D919" s="63" t="s">
        <v>4518</v>
      </c>
      <c r="E919" s="70" t="str">
        <f>HYPERLINK("https://ledvance.com/pt/product-datasheet/9193/106973","Ficha de Produto")</f>
        <v>Ficha de Produto</v>
      </c>
      <c r="F919" s="62"/>
      <c r="G919" s="65" t="s">
        <v>4977</v>
      </c>
      <c r="H919" s="62" t="s">
        <v>4974</v>
      </c>
      <c r="I919" s="30">
        <v>61.9</v>
      </c>
      <c r="J919" s="29" t="s">
        <v>721</v>
      </c>
    </row>
    <row r="920" spans="1:10" ht="12" customHeight="1">
      <c r="A920" s="60">
        <v>4058075268289</v>
      </c>
      <c r="B920" s="61" t="s">
        <v>5575</v>
      </c>
      <c r="C920" s="62">
        <v>1</v>
      </c>
      <c r="D920" s="63" t="s">
        <v>4518</v>
      </c>
      <c r="E920" s="70" t="str">
        <f>HYPERLINK("https://ledvance.com/pt/product-datasheet/9193/106979","Ficha de Produto")</f>
        <v>Ficha de Produto</v>
      </c>
      <c r="F920" s="62"/>
      <c r="G920" s="65" t="s">
        <v>5057</v>
      </c>
      <c r="H920" s="62" t="s">
        <v>4974</v>
      </c>
      <c r="I920" s="30">
        <v>34.5</v>
      </c>
      <c r="J920" s="29" t="s">
        <v>721</v>
      </c>
    </row>
    <row r="921" spans="1:10" ht="12" customHeight="1">
      <c r="A921" s="60">
        <v>4058075268302</v>
      </c>
      <c r="B921" s="61" t="s">
        <v>5576</v>
      </c>
      <c r="C921" s="62">
        <v>1</v>
      </c>
      <c r="D921" s="63" t="s">
        <v>4518</v>
      </c>
      <c r="E921" s="70" t="str">
        <f>HYPERLINK("https://ledvance.com/pt/product-datasheet/9193/106985","Ficha de Produto")</f>
        <v>Ficha de Produto</v>
      </c>
      <c r="F921" s="62"/>
      <c r="G921" s="65" t="s">
        <v>5005</v>
      </c>
      <c r="H921" s="62" t="s">
        <v>4974</v>
      </c>
      <c r="I921" s="30">
        <v>48.2</v>
      </c>
      <c r="J921" s="29" t="s">
        <v>721</v>
      </c>
    </row>
    <row r="922" spans="1:10" s="51" customFormat="1" ht="15" customHeight="1">
      <c r="A922" s="59" t="s">
        <v>4532</v>
      </c>
      <c r="B922" s="67"/>
      <c r="C922" s="54"/>
      <c r="D922" s="56"/>
      <c r="E922" s="71"/>
      <c r="F922" s="54"/>
      <c r="G922" s="69"/>
      <c r="H922" s="85"/>
      <c r="I922" s="57"/>
      <c r="J922" s="58"/>
    </row>
    <row r="923" spans="1:10" ht="12" customHeight="1">
      <c r="A923" s="60">
        <v>4058075227613</v>
      </c>
      <c r="B923" s="61" t="s">
        <v>5577</v>
      </c>
      <c r="C923" s="62">
        <v>1</v>
      </c>
      <c r="D923" s="63" t="s">
        <v>4518</v>
      </c>
      <c r="E923" s="70" t="str">
        <f>HYPERLINK("https://ledvance.com/pt/product-datasheet/9194/106898","Ficha de Produto")</f>
        <v>Ficha de Produto</v>
      </c>
      <c r="F923" s="62"/>
      <c r="G923" s="65" t="s">
        <v>1752</v>
      </c>
      <c r="H923" s="62" t="s">
        <v>4974</v>
      </c>
      <c r="I923" s="30">
        <v>41.4</v>
      </c>
      <c r="J923" s="29" t="s">
        <v>721</v>
      </c>
    </row>
    <row r="924" spans="1:10" ht="12" customHeight="1">
      <c r="A924" s="60">
        <v>4058075227637</v>
      </c>
      <c r="B924" s="61" t="s">
        <v>5578</v>
      </c>
      <c r="C924" s="62">
        <v>1</v>
      </c>
      <c r="D924" s="63" t="s">
        <v>4518</v>
      </c>
      <c r="E924" s="70" t="str">
        <f>HYPERLINK("https://ledvance.com/pt/product-datasheet/9194/106904","Ficha de Produto")</f>
        <v>Ficha de Produto</v>
      </c>
      <c r="F924" s="62"/>
      <c r="G924" s="65" t="s">
        <v>1746</v>
      </c>
      <c r="H924" s="62" t="s">
        <v>4974</v>
      </c>
      <c r="I924" s="30">
        <v>48.2</v>
      </c>
      <c r="J924" s="29" t="s">
        <v>721</v>
      </c>
    </row>
    <row r="925" spans="1:10" ht="12" customHeight="1">
      <c r="A925" s="60">
        <v>4058075227651</v>
      </c>
      <c r="B925" s="61" t="s">
        <v>5579</v>
      </c>
      <c r="C925" s="62">
        <v>1</v>
      </c>
      <c r="D925" s="63" t="s">
        <v>4518</v>
      </c>
      <c r="E925" s="70" t="str">
        <f>HYPERLINK("https://ledvance.com/pt/product-datasheet/9195/106910","Ficha de Produto")</f>
        <v>Ficha de Produto</v>
      </c>
      <c r="F925" s="62"/>
      <c r="G925" s="65" t="s">
        <v>1752</v>
      </c>
      <c r="H925" s="62" t="s">
        <v>4974</v>
      </c>
      <c r="I925" s="30">
        <v>48.2</v>
      </c>
      <c r="J925" s="29" t="s">
        <v>721</v>
      </c>
    </row>
    <row r="926" spans="1:10" ht="12" customHeight="1">
      <c r="A926" s="60">
        <v>4058075227675</v>
      </c>
      <c r="B926" s="61" t="s">
        <v>5580</v>
      </c>
      <c r="C926" s="62">
        <v>1</v>
      </c>
      <c r="D926" s="63" t="s">
        <v>4518</v>
      </c>
      <c r="E926" s="70" t="str">
        <f>HYPERLINK("https://ledvance.com/pt/product-datasheet/9195/106916","Ficha de Produto")</f>
        <v>Ficha de Produto</v>
      </c>
      <c r="F926" s="62"/>
      <c r="G926" s="65" t="s">
        <v>1749</v>
      </c>
      <c r="H926" s="62" t="s">
        <v>4974</v>
      </c>
      <c r="I926" s="30">
        <v>55</v>
      </c>
      <c r="J926" s="29" t="s">
        <v>721</v>
      </c>
    </row>
    <row r="927" spans="1:10" s="51" customFormat="1" ht="15" customHeight="1">
      <c r="A927" s="59" t="s">
        <v>4533</v>
      </c>
      <c r="B927" s="67"/>
      <c r="C927" s="54"/>
      <c r="D927" s="56"/>
      <c r="E927" s="71"/>
      <c r="F927" s="54"/>
      <c r="G927" s="69"/>
      <c r="H927" s="85"/>
      <c r="I927" s="57"/>
      <c r="J927" s="58"/>
    </row>
    <row r="928" spans="1:10" ht="12" customHeight="1">
      <c r="A928" s="60">
        <v>4058075268388</v>
      </c>
      <c r="B928" s="61" t="s">
        <v>5581</v>
      </c>
      <c r="C928" s="62">
        <v>1</v>
      </c>
      <c r="D928" s="63" t="s">
        <v>4518</v>
      </c>
      <c r="E928" s="70" t="str">
        <f>HYPERLINK("https://ledvance.com/pt/product-datasheet/9196/109813","Ficha de Produto")</f>
        <v>Ficha de Produto</v>
      </c>
      <c r="F928" s="62"/>
      <c r="G928" s="65" t="s">
        <v>1749</v>
      </c>
      <c r="H928" s="62" t="s">
        <v>4974</v>
      </c>
      <c r="I928" s="30">
        <v>23.6</v>
      </c>
      <c r="J928" s="29" t="s">
        <v>721</v>
      </c>
    </row>
    <row r="929" spans="1:10" ht="12" customHeight="1">
      <c r="A929" s="60">
        <v>4058075227972</v>
      </c>
      <c r="B929" s="61" t="s">
        <v>5582</v>
      </c>
      <c r="C929" s="62">
        <v>1</v>
      </c>
      <c r="D929" s="63" t="s">
        <v>4518</v>
      </c>
      <c r="E929" s="70" t="str">
        <f>HYPERLINK("https://ledvance.com/pt/product-datasheet/9196/109819","Ficha de Produto")</f>
        <v>Ficha de Produto</v>
      </c>
      <c r="F929" s="62"/>
      <c r="G929" s="65" t="s">
        <v>5005</v>
      </c>
      <c r="H929" s="62" t="s">
        <v>4974</v>
      </c>
      <c r="I929" s="30">
        <v>30.400000000000002</v>
      </c>
      <c r="J929" s="29" t="s">
        <v>721</v>
      </c>
    </row>
    <row r="930" spans="1:10" s="51" customFormat="1" ht="15" customHeight="1">
      <c r="A930" s="59" t="s">
        <v>4534</v>
      </c>
      <c r="B930" s="67"/>
      <c r="C930" s="54"/>
      <c r="D930" s="56"/>
      <c r="E930" s="71"/>
      <c r="F930" s="54"/>
      <c r="G930" s="69"/>
      <c r="H930" s="85"/>
      <c r="I930" s="57"/>
      <c r="J930" s="58"/>
    </row>
    <row r="931" spans="1:10" ht="12" customHeight="1">
      <c r="A931" s="60">
        <v>4058075264144</v>
      </c>
      <c r="B931" s="61" t="s">
        <v>5583</v>
      </c>
      <c r="C931" s="62">
        <v>1</v>
      </c>
      <c r="D931" s="63" t="s">
        <v>4518</v>
      </c>
      <c r="E931" s="70" t="str">
        <f>HYPERLINK("https://ledvance.com/pt/product-datasheet/9197/114453","Ficha de Produto")</f>
        <v>Ficha de Produto</v>
      </c>
      <c r="F931" s="62"/>
      <c r="G931" s="65" t="s">
        <v>1749</v>
      </c>
      <c r="H931" s="62" t="s">
        <v>4974</v>
      </c>
      <c r="I931" s="30">
        <v>34.6</v>
      </c>
      <c r="J931" s="29" t="s">
        <v>721</v>
      </c>
    </row>
    <row r="932" spans="1:10" ht="12" customHeight="1">
      <c r="A932" s="60">
        <v>4058075264328</v>
      </c>
      <c r="B932" s="61" t="s">
        <v>5584</v>
      </c>
      <c r="C932" s="62">
        <v>1</v>
      </c>
      <c r="D932" s="63" t="s">
        <v>4518</v>
      </c>
      <c r="E932" s="70" t="str">
        <f>HYPERLINK("https://ledvance.com/pt/product-datasheet/9197/114456","Ficha de Produto")</f>
        <v>Ficha de Produto</v>
      </c>
      <c r="F932" s="62"/>
      <c r="G932" s="65" t="s">
        <v>1749</v>
      </c>
      <c r="H932" s="62" t="s">
        <v>4992</v>
      </c>
      <c r="I932" s="30">
        <v>34.6</v>
      </c>
      <c r="J932" s="29" t="s">
        <v>721</v>
      </c>
    </row>
    <row r="933" spans="1:10" ht="12" customHeight="1">
      <c r="A933" s="60">
        <v>4058075264410</v>
      </c>
      <c r="B933" s="61" t="s">
        <v>5585</v>
      </c>
      <c r="C933" s="62">
        <v>1</v>
      </c>
      <c r="D933" s="63" t="s">
        <v>4518</v>
      </c>
      <c r="E933" s="70" t="str">
        <f>HYPERLINK("https://ledvance.com/pt/product-datasheet/9197/114459","Ficha de Produto")</f>
        <v>Ficha de Produto</v>
      </c>
      <c r="F933" s="62"/>
      <c r="G933" s="65" t="s">
        <v>4940</v>
      </c>
      <c r="H933" s="62" t="s">
        <v>4974</v>
      </c>
      <c r="I933" s="30">
        <v>48.300000000000004</v>
      </c>
      <c r="J933" s="29" t="s">
        <v>721</v>
      </c>
    </row>
    <row r="934" spans="1:10" ht="12" customHeight="1">
      <c r="A934" s="60">
        <v>4058075264618</v>
      </c>
      <c r="B934" s="61" t="s">
        <v>5586</v>
      </c>
      <c r="C934" s="62">
        <v>1</v>
      </c>
      <c r="D934" s="63" t="s">
        <v>4518</v>
      </c>
      <c r="E934" s="70" t="str">
        <f>HYPERLINK("https://ledvance.com/pt/product-datasheet/9197/114462","Ficha de Produto")</f>
        <v>Ficha de Produto</v>
      </c>
      <c r="F934" s="62"/>
      <c r="G934" s="65" t="s">
        <v>4940</v>
      </c>
      <c r="H934" s="62" t="s">
        <v>4992</v>
      </c>
      <c r="I934" s="30">
        <v>48.300000000000004</v>
      </c>
      <c r="J934" s="29" t="s">
        <v>721</v>
      </c>
    </row>
    <row r="935" spans="1:10" s="51" customFormat="1" ht="15" customHeight="1">
      <c r="A935" s="91" t="s">
        <v>4535</v>
      </c>
      <c r="B935" s="67"/>
      <c r="C935" s="54"/>
      <c r="D935" s="57"/>
      <c r="E935" s="57"/>
      <c r="F935" s="54"/>
      <c r="G935" s="69"/>
      <c r="H935" s="85"/>
      <c r="I935" s="57"/>
      <c r="J935" s="58"/>
    </row>
    <row r="936" spans="1:10" s="51" customFormat="1" ht="15" customHeight="1">
      <c r="A936" s="92" t="s">
        <v>4536</v>
      </c>
      <c r="B936" s="67"/>
      <c r="C936" s="54"/>
      <c r="D936" s="93"/>
      <c r="E936" s="93"/>
      <c r="F936" s="54"/>
      <c r="G936" s="69"/>
      <c r="H936" s="85"/>
      <c r="I936" s="57"/>
      <c r="J936" s="58"/>
    </row>
    <row r="937" spans="1:10" ht="12" customHeight="1">
      <c r="A937" s="83">
        <v>4099854185007</v>
      </c>
      <c r="B937" s="61" t="s">
        <v>5587</v>
      </c>
      <c r="C937" s="62">
        <v>1</v>
      </c>
      <c r="D937" s="63" t="s">
        <v>4518</v>
      </c>
      <c r="E937" s="70" t="str">
        <f>HYPERLINK("https://ledvance.com/pt/product-datasheet/281012/271532","Ficha de Produto")</f>
        <v>Ficha de Produto</v>
      </c>
      <c r="F937" s="94" t="s">
        <v>4537</v>
      </c>
      <c r="G937" s="65" t="s">
        <v>5008</v>
      </c>
      <c r="H937" s="62" t="s">
        <v>4992</v>
      </c>
      <c r="I937" s="30">
        <v>121.19999999999999</v>
      </c>
      <c r="J937" s="29" t="s">
        <v>721</v>
      </c>
    </row>
    <row r="938" spans="1:10" ht="12" customHeight="1">
      <c r="A938" s="83">
        <v>4058075830974</v>
      </c>
      <c r="B938" s="61" t="s">
        <v>5588</v>
      </c>
      <c r="C938" s="62">
        <v>1</v>
      </c>
      <c r="D938" s="63" t="s">
        <v>4518</v>
      </c>
      <c r="E938" s="70" t="str">
        <f>HYPERLINK("https://ledvance.com/pt/product-datasheet/281012/271535","Ficha de Produto")</f>
        <v>Ficha de Produto</v>
      </c>
      <c r="F938" s="94" t="s">
        <v>4537</v>
      </c>
      <c r="G938" s="65" t="s">
        <v>5364</v>
      </c>
      <c r="H938" s="62" t="s">
        <v>4992</v>
      </c>
      <c r="I938" s="30">
        <v>151.4</v>
      </c>
      <c r="J938" s="29" t="s">
        <v>721</v>
      </c>
    </row>
    <row r="939" spans="1:10" ht="12" customHeight="1">
      <c r="A939" s="83">
        <v>4099854185021</v>
      </c>
      <c r="B939" s="61" t="s">
        <v>5589</v>
      </c>
      <c r="C939" s="62">
        <v>1</v>
      </c>
      <c r="D939" s="63" t="s">
        <v>4518</v>
      </c>
      <c r="E939" s="70" t="str">
        <f>HYPERLINK("https://ledvance.com/pt/product-datasheet/281013/271538","Ficha de Produto")</f>
        <v>Ficha de Produto</v>
      </c>
      <c r="F939" s="94" t="s">
        <v>4537</v>
      </c>
      <c r="G939" s="65" t="s">
        <v>5008</v>
      </c>
      <c r="H939" s="62" t="s">
        <v>4992</v>
      </c>
      <c r="I939" s="30">
        <v>83.399999999999991</v>
      </c>
      <c r="J939" s="29" t="s">
        <v>721</v>
      </c>
    </row>
    <row r="940" spans="1:10" ht="12" customHeight="1">
      <c r="A940" s="83">
        <v>4058075830950</v>
      </c>
      <c r="B940" s="61" t="s">
        <v>5590</v>
      </c>
      <c r="C940" s="62">
        <v>1</v>
      </c>
      <c r="D940" s="63" t="s">
        <v>4518</v>
      </c>
      <c r="E940" s="70" t="str">
        <f>HYPERLINK("https://ledvance.com/pt/product-datasheet/281013/271541","Ficha de Produto")</f>
        <v>Ficha de Produto</v>
      </c>
      <c r="F940" s="94" t="s">
        <v>4537</v>
      </c>
      <c r="G940" s="65" t="s">
        <v>5591</v>
      </c>
      <c r="H940" s="62" t="s">
        <v>4992</v>
      </c>
      <c r="I940" s="30">
        <v>106.1</v>
      </c>
      <c r="J940" s="29" t="s">
        <v>721</v>
      </c>
    </row>
    <row r="941" spans="1:10" s="51" customFormat="1" ht="15" customHeight="1">
      <c r="A941" s="92" t="s">
        <v>4538</v>
      </c>
      <c r="B941" s="67"/>
      <c r="C941" s="54"/>
      <c r="D941" s="93"/>
      <c r="E941" s="78"/>
      <c r="F941" s="54"/>
      <c r="G941" s="69"/>
      <c r="H941" s="85"/>
      <c r="I941" s="57"/>
      <c r="J941" s="58"/>
    </row>
    <row r="942" spans="1:10" ht="12" customHeight="1">
      <c r="A942" s="83">
        <v>4058075830912</v>
      </c>
      <c r="B942" s="61" t="s">
        <v>5592</v>
      </c>
      <c r="C942" s="62">
        <v>1</v>
      </c>
      <c r="D942" s="63" t="s">
        <v>4518</v>
      </c>
      <c r="E942" s="70" t="str">
        <f>HYPERLINK("https://ledvance.com/pt/product-datasheet/281014/271544","Ficha de Produto")</f>
        <v>Ficha de Produto</v>
      </c>
      <c r="F942" s="94" t="s">
        <v>4537</v>
      </c>
      <c r="G942" s="65" t="s">
        <v>4949</v>
      </c>
      <c r="H942" s="62" t="s">
        <v>4992</v>
      </c>
      <c r="I942" s="30">
        <v>75.899999999999991</v>
      </c>
      <c r="J942" s="29" t="s">
        <v>721</v>
      </c>
    </row>
    <row r="943" spans="1:10" ht="12" customHeight="1">
      <c r="A943" s="83">
        <v>4058075830936</v>
      </c>
      <c r="B943" s="61" t="s">
        <v>5593</v>
      </c>
      <c r="C943" s="62">
        <v>1</v>
      </c>
      <c r="D943" s="63" t="s">
        <v>4518</v>
      </c>
      <c r="E943" s="70" t="str">
        <f>HYPERLINK("https://ledvance.com/pt/product-datasheet/281014/271547","Ficha de Produto")</f>
        <v>Ficha de Produto</v>
      </c>
      <c r="F943" s="94" t="s">
        <v>4537</v>
      </c>
      <c r="G943" s="65" t="s">
        <v>5296</v>
      </c>
      <c r="H943" s="62" t="s">
        <v>4992</v>
      </c>
      <c r="I943" s="30">
        <v>106.1</v>
      </c>
      <c r="J943" s="29" t="s">
        <v>721</v>
      </c>
    </row>
    <row r="944" spans="1:10" s="51" customFormat="1" ht="15" customHeight="1">
      <c r="A944" s="92" t="s">
        <v>4539</v>
      </c>
      <c r="B944" s="67"/>
      <c r="C944" s="54"/>
      <c r="D944" s="93"/>
      <c r="E944" s="93"/>
      <c r="F944" s="54"/>
      <c r="G944" s="69"/>
      <c r="H944" s="85"/>
      <c r="I944" s="57"/>
      <c r="J944" s="58"/>
    </row>
    <row r="945" spans="1:10" ht="12" customHeight="1">
      <c r="A945" s="60">
        <v>4058075271463</v>
      </c>
      <c r="B945" s="61" t="s">
        <v>5594</v>
      </c>
      <c r="C945" s="62">
        <v>1</v>
      </c>
      <c r="D945" s="63" t="s">
        <v>4518</v>
      </c>
      <c r="E945" s="70" t="str">
        <f>HYPERLINK("https://ledvance.com/pt/product-datasheet/9184/111491","Ficha de Produto")</f>
        <v>Ficha de Produto</v>
      </c>
      <c r="F945" s="62"/>
      <c r="G945" s="65" t="s">
        <v>4945</v>
      </c>
      <c r="H945" s="62" t="s">
        <v>4992</v>
      </c>
      <c r="I945" s="30">
        <v>61.9</v>
      </c>
      <c r="J945" s="29" t="s">
        <v>721</v>
      </c>
    </row>
    <row r="946" spans="1:10" ht="12" customHeight="1">
      <c r="A946" s="60">
        <v>4058075271487</v>
      </c>
      <c r="B946" s="61" t="s">
        <v>5595</v>
      </c>
      <c r="C946" s="62">
        <v>1</v>
      </c>
      <c r="D946" s="63" t="s">
        <v>4518</v>
      </c>
      <c r="E946" s="70" t="str">
        <f>HYPERLINK("https://ledvance.com/pt/product-datasheet/9184/111503","Ficha de Produto")</f>
        <v>Ficha de Produto</v>
      </c>
      <c r="F946" s="62"/>
      <c r="G946" s="65" t="s">
        <v>5003</v>
      </c>
      <c r="H946" s="62" t="s">
        <v>4992</v>
      </c>
      <c r="I946" s="30">
        <v>75.5</v>
      </c>
      <c r="J946" s="29" t="s">
        <v>721</v>
      </c>
    </row>
    <row r="947" spans="1:10" s="51" customFormat="1" ht="15" customHeight="1">
      <c r="A947" s="91" t="s">
        <v>4540</v>
      </c>
      <c r="B947" s="67"/>
      <c r="C947" s="54"/>
      <c r="D947" s="57"/>
      <c r="E947" s="57"/>
      <c r="F947" s="54"/>
      <c r="G947" s="69"/>
      <c r="H947" s="85"/>
      <c r="I947" s="57"/>
      <c r="J947" s="58"/>
    </row>
    <row r="948" spans="1:10" s="51" customFormat="1" ht="15" customHeight="1">
      <c r="A948" s="59" t="s">
        <v>4541</v>
      </c>
      <c r="B948" s="67"/>
      <c r="C948" s="54"/>
      <c r="D948" s="56"/>
      <c r="E948" s="56"/>
      <c r="F948" s="54"/>
      <c r="G948" s="69"/>
      <c r="H948" s="85"/>
      <c r="I948" s="57"/>
      <c r="J948" s="58"/>
    </row>
    <row r="949" spans="1:10" ht="12" customHeight="1">
      <c r="A949" s="74">
        <v>4058075762114</v>
      </c>
      <c r="B949" s="61" t="s">
        <v>5596</v>
      </c>
      <c r="C949" s="62">
        <v>1</v>
      </c>
      <c r="D949" s="63" t="s">
        <v>4518</v>
      </c>
      <c r="E949" s="70" t="str">
        <f>HYPERLINK("https://ledvance.com/pt/product-datasheet/232027/204170","Ficha de Produto")</f>
        <v>Ficha de Produto</v>
      </c>
      <c r="F949" s="62"/>
      <c r="G949" s="65" t="s">
        <v>1752</v>
      </c>
      <c r="H949" s="62" t="s">
        <v>4974</v>
      </c>
      <c r="I949" s="30">
        <v>31.6</v>
      </c>
      <c r="J949" s="29" t="s">
        <v>721</v>
      </c>
    </row>
    <row r="950" spans="1:10" ht="12" customHeight="1">
      <c r="A950" s="74">
        <v>4058075762138</v>
      </c>
      <c r="B950" s="61" t="s">
        <v>5597</v>
      </c>
      <c r="C950" s="62">
        <v>1</v>
      </c>
      <c r="D950" s="63" t="s">
        <v>4518</v>
      </c>
      <c r="E950" s="70" t="str">
        <f>HYPERLINK("https://ledvance.com/pt/product-datasheet/232027/204173","Ficha de Produto")</f>
        <v>Ficha de Produto</v>
      </c>
      <c r="F950" s="62"/>
      <c r="G950" s="65" t="s">
        <v>1746</v>
      </c>
      <c r="H950" s="62" t="s">
        <v>4974</v>
      </c>
      <c r="I950" s="30">
        <v>34.5</v>
      </c>
      <c r="J950" s="29" t="s">
        <v>721</v>
      </c>
    </row>
    <row r="951" spans="1:10" ht="12" customHeight="1">
      <c r="A951" s="74">
        <v>4058075762152</v>
      </c>
      <c r="B951" s="61" t="s">
        <v>5598</v>
      </c>
      <c r="C951" s="62">
        <v>1</v>
      </c>
      <c r="D951" s="63" t="s">
        <v>4518</v>
      </c>
      <c r="E951" s="70" t="str">
        <f>HYPERLINK("https://ledvance.com/pt/product-datasheet/232027/204176","Ficha de Produto")</f>
        <v>Ficha de Produto</v>
      </c>
      <c r="F951" s="62"/>
      <c r="G951" s="65" t="s">
        <v>4977</v>
      </c>
      <c r="H951" s="62" t="s">
        <v>4974</v>
      </c>
      <c r="I951" s="30">
        <v>41.4</v>
      </c>
      <c r="J951" s="29" t="s">
        <v>721</v>
      </c>
    </row>
    <row r="952" spans="1:10" s="51" customFormat="1" ht="15" customHeight="1">
      <c r="A952" s="59" t="s">
        <v>4542</v>
      </c>
      <c r="B952" s="67"/>
      <c r="C952" s="54"/>
      <c r="D952" s="56"/>
      <c r="E952" s="56"/>
      <c r="F952" s="54"/>
      <c r="G952" s="69"/>
      <c r="H952" s="85"/>
      <c r="I952" s="57"/>
      <c r="J952" s="58"/>
    </row>
    <row r="953" spans="1:10" ht="12" customHeight="1">
      <c r="A953" s="60">
        <v>4058075268142</v>
      </c>
      <c r="B953" s="61" t="s">
        <v>5599</v>
      </c>
      <c r="C953" s="62">
        <v>1</v>
      </c>
      <c r="D953" s="63" t="s">
        <v>4518</v>
      </c>
      <c r="E953" s="70" t="str">
        <f>HYPERLINK("https://ledvance.com/pt/product-datasheet/9173/111027","Ficha de Produto")</f>
        <v>Ficha de Produto</v>
      </c>
      <c r="F953" s="62"/>
      <c r="G953" s="65" t="s">
        <v>5005</v>
      </c>
      <c r="H953" s="62" t="s">
        <v>4992</v>
      </c>
      <c r="I953" s="30">
        <v>12.7</v>
      </c>
      <c r="J953" s="29" t="s">
        <v>721</v>
      </c>
    </row>
    <row r="954" spans="1:10" ht="12" customHeight="1">
      <c r="A954" s="60">
        <v>4058075268180</v>
      </c>
      <c r="B954" s="61" t="s">
        <v>5600</v>
      </c>
      <c r="C954" s="62">
        <v>1</v>
      </c>
      <c r="D954" s="63" t="s">
        <v>4518</v>
      </c>
      <c r="E954" s="70" t="str">
        <f>HYPERLINK("https://ledvance.com/pt/product-datasheet/9173/111033","Ficha de Produto")</f>
        <v>Ficha de Produto</v>
      </c>
      <c r="F954" s="62"/>
      <c r="G954" s="65" t="s">
        <v>4949</v>
      </c>
      <c r="H954" s="62" t="s">
        <v>4992</v>
      </c>
      <c r="I954" s="30">
        <v>17.600000000000001</v>
      </c>
      <c r="J954" s="29" t="s">
        <v>721</v>
      </c>
    </row>
    <row r="955" spans="1:10" ht="12" customHeight="1">
      <c r="A955" s="60">
        <v>4058075268241</v>
      </c>
      <c r="B955" s="61" t="s">
        <v>5601</v>
      </c>
      <c r="C955" s="62">
        <v>1</v>
      </c>
      <c r="D955" s="63" t="s">
        <v>4518</v>
      </c>
      <c r="E955" s="70" t="str">
        <f>HYPERLINK("https://ledvance.com/pt/product-datasheet/9173/111039","Ficha de Produto")</f>
        <v>Ficha de Produto</v>
      </c>
      <c r="F955" s="62"/>
      <c r="G955" s="65" t="s">
        <v>5008</v>
      </c>
      <c r="H955" s="62" t="s">
        <v>4992</v>
      </c>
      <c r="I955" s="30">
        <v>22.200000000000003</v>
      </c>
      <c r="J955" s="29" t="s">
        <v>721</v>
      </c>
    </row>
    <row r="956" spans="1:10" s="51" customFormat="1" ht="15" customHeight="1">
      <c r="A956" s="59" t="s">
        <v>4543</v>
      </c>
      <c r="B956" s="67"/>
      <c r="C956" s="54"/>
      <c r="D956" s="56"/>
      <c r="E956" s="71"/>
      <c r="F956" s="54"/>
      <c r="G956" s="69"/>
      <c r="H956" s="85"/>
      <c r="I956" s="57"/>
      <c r="J956" s="58"/>
    </row>
    <row r="957" spans="1:10" ht="12" customHeight="1">
      <c r="A957" s="60">
        <v>4058075266681</v>
      </c>
      <c r="B957" s="61" t="s">
        <v>5602</v>
      </c>
      <c r="C957" s="62">
        <v>1</v>
      </c>
      <c r="D957" s="63" t="s">
        <v>4518</v>
      </c>
      <c r="E957" s="70" t="str">
        <f>HYPERLINK("https://ledvance.com/pt/product-datasheet/9174/121022","Ficha de Produto")</f>
        <v>Ficha de Produto</v>
      </c>
      <c r="F957" s="62"/>
      <c r="G957" s="65" t="s">
        <v>1752</v>
      </c>
      <c r="H957" s="62" t="s">
        <v>4974</v>
      </c>
      <c r="I957" s="30">
        <v>16.8</v>
      </c>
      <c r="J957" s="29" t="s">
        <v>721</v>
      </c>
    </row>
    <row r="958" spans="1:10" ht="12" customHeight="1">
      <c r="A958" s="60">
        <v>4058075266704</v>
      </c>
      <c r="B958" s="61" t="s">
        <v>5603</v>
      </c>
      <c r="C958" s="62">
        <v>1</v>
      </c>
      <c r="D958" s="63" t="s">
        <v>4518</v>
      </c>
      <c r="E958" s="70" t="str">
        <f>HYPERLINK("https://ledvance.com/pt/product-datasheet/9174/121028","Ficha de Produto")</f>
        <v>Ficha de Produto</v>
      </c>
      <c r="F958" s="62"/>
      <c r="G958" s="65" t="s">
        <v>1752</v>
      </c>
      <c r="H958" s="62" t="s">
        <v>4992</v>
      </c>
      <c r="I958" s="30">
        <v>16.8</v>
      </c>
      <c r="J958" s="29" t="s">
        <v>721</v>
      </c>
    </row>
    <row r="959" spans="1:10" ht="12" customHeight="1">
      <c r="A959" s="60">
        <v>4058075266728</v>
      </c>
      <c r="B959" s="61" t="s">
        <v>5604</v>
      </c>
      <c r="C959" s="62">
        <v>1</v>
      </c>
      <c r="D959" s="63" t="s">
        <v>4518</v>
      </c>
      <c r="E959" s="70" t="str">
        <f>HYPERLINK("https://ledvance.com/pt/product-datasheet/9174/121034","Ficha de Produto")</f>
        <v>Ficha de Produto</v>
      </c>
      <c r="F959" s="62"/>
      <c r="G959" s="65" t="s">
        <v>1746</v>
      </c>
      <c r="H959" s="62" t="s">
        <v>4974</v>
      </c>
      <c r="I959" s="30">
        <v>19.5</v>
      </c>
      <c r="J959" s="29" t="s">
        <v>721</v>
      </c>
    </row>
    <row r="960" spans="1:10" ht="12" customHeight="1">
      <c r="A960" s="60">
        <v>4058075266742</v>
      </c>
      <c r="B960" s="61" t="s">
        <v>5605</v>
      </c>
      <c r="C960" s="62">
        <v>1</v>
      </c>
      <c r="D960" s="63" t="s">
        <v>4518</v>
      </c>
      <c r="E960" s="70" t="str">
        <f>HYPERLINK("https://ledvance.com/pt/product-datasheet/9174/121040","Ficha de Produto")</f>
        <v>Ficha de Produto</v>
      </c>
      <c r="F960" s="62"/>
      <c r="G960" s="65" t="s">
        <v>1746</v>
      </c>
      <c r="H960" s="62" t="s">
        <v>4992</v>
      </c>
      <c r="I960" s="30">
        <v>19.5</v>
      </c>
      <c r="J960" s="29" t="s">
        <v>721</v>
      </c>
    </row>
    <row r="961" spans="1:10" ht="12" customHeight="1">
      <c r="A961" s="60">
        <v>4058075266865</v>
      </c>
      <c r="B961" s="61" t="s">
        <v>5606</v>
      </c>
      <c r="C961" s="62">
        <v>1</v>
      </c>
      <c r="D961" s="63" t="s">
        <v>4518</v>
      </c>
      <c r="E961" s="70" t="str">
        <f>HYPERLINK("https://ledvance.com/pt/product-datasheet/9174/121043","Ficha de Produto")</f>
        <v>Ficha de Produto</v>
      </c>
      <c r="F961" s="62"/>
      <c r="G961" s="65" t="s">
        <v>5005</v>
      </c>
      <c r="H961" s="62" t="s">
        <v>4974</v>
      </c>
      <c r="I961" s="30">
        <v>22.3</v>
      </c>
      <c r="J961" s="29" t="s">
        <v>721</v>
      </c>
    </row>
    <row r="962" spans="1:10" ht="12" customHeight="1">
      <c r="A962" s="60">
        <v>4058075266964</v>
      </c>
      <c r="B962" s="61" t="s">
        <v>5607</v>
      </c>
      <c r="C962" s="62">
        <v>1</v>
      </c>
      <c r="D962" s="63" t="s">
        <v>4518</v>
      </c>
      <c r="E962" s="70" t="str">
        <f>HYPERLINK("https://ledvance.com/pt/product-datasheet/9174/121049","Ficha de Produto")</f>
        <v>Ficha de Produto</v>
      </c>
      <c r="F962" s="62"/>
      <c r="G962" s="65" t="s">
        <v>5005</v>
      </c>
      <c r="H962" s="62" t="s">
        <v>4992</v>
      </c>
      <c r="I962" s="30">
        <v>22.3</v>
      </c>
      <c r="J962" s="29" t="s">
        <v>721</v>
      </c>
    </row>
    <row r="963" spans="1:10" ht="12" customHeight="1">
      <c r="A963" s="60">
        <v>4058075266988</v>
      </c>
      <c r="B963" s="61" t="s">
        <v>5608</v>
      </c>
      <c r="C963" s="62">
        <v>1</v>
      </c>
      <c r="D963" s="63" t="s">
        <v>4518</v>
      </c>
      <c r="E963" s="70" t="str">
        <f>HYPERLINK("https://ledvance.com/pt/product-datasheet/9174/121055","Ficha de Produto")</f>
        <v>Ficha de Produto</v>
      </c>
      <c r="F963" s="62"/>
      <c r="G963" s="65" t="s">
        <v>4977</v>
      </c>
      <c r="H963" s="62" t="s">
        <v>4974</v>
      </c>
      <c r="I963" s="30">
        <v>25</v>
      </c>
      <c r="J963" s="29" t="s">
        <v>721</v>
      </c>
    </row>
    <row r="964" spans="1:10" ht="12" customHeight="1">
      <c r="A964" s="60">
        <v>4058075267046</v>
      </c>
      <c r="B964" s="61" t="s">
        <v>5609</v>
      </c>
      <c r="C964" s="62">
        <v>1</v>
      </c>
      <c r="D964" s="63" t="s">
        <v>4518</v>
      </c>
      <c r="E964" s="70" t="str">
        <f>HYPERLINK("https://ledvance.com/pt/product-datasheet/9174/121061","Ficha de Produto")</f>
        <v>Ficha de Produto</v>
      </c>
      <c r="F964" s="62"/>
      <c r="G964" s="65" t="s">
        <v>4977</v>
      </c>
      <c r="H964" s="62" t="s">
        <v>4992</v>
      </c>
      <c r="I964" s="30">
        <v>25</v>
      </c>
      <c r="J964" s="29" t="s">
        <v>721</v>
      </c>
    </row>
    <row r="965" spans="1:10" s="51" customFormat="1" ht="15" customHeight="1">
      <c r="A965" s="59" t="s">
        <v>4544</v>
      </c>
      <c r="B965" s="67"/>
      <c r="C965" s="54"/>
      <c r="D965" s="56"/>
      <c r="E965" s="56"/>
      <c r="F965" s="54"/>
      <c r="G965" s="69"/>
      <c r="H965" s="85"/>
      <c r="I965" s="57"/>
      <c r="J965" s="58"/>
    </row>
    <row r="966" spans="1:10" ht="12" customHeight="1">
      <c r="A966" s="60">
        <v>4058075266476</v>
      </c>
      <c r="B966" s="61" t="s">
        <v>5610</v>
      </c>
      <c r="C966" s="62">
        <v>1</v>
      </c>
      <c r="D966" s="63" t="s">
        <v>4518</v>
      </c>
      <c r="E966" s="70" t="str">
        <f>HYPERLINK("https://ledvance.com/pt/product-datasheet/9175/100385","Ficha de Produto")</f>
        <v>Ficha de Produto</v>
      </c>
      <c r="F966" s="62"/>
      <c r="G966" s="65" t="s">
        <v>4940</v>
      </c>
      <c r="H966" s="62" t="s">
        <v>4974</v>
      </c>
      <c r="I966" s="30">
        <v>23.8</v>
      </c>
      <c r="J966" s="29" t="s">
        <v>721</v>
      </c>
    </row>
    <row r="967" spans="1:10" ht="12" customHeight="1">
      <c r="A967" s="60">
        <v>4058075266490</v>
      </c>
      <c r="B967" s="61" t="s">
        <v>5611</v>
      </c>
      <c r="C967" s="62">
        <v>1</v>
      </c>
      <c r="D967" s="63" t="s">
        <v>4518</v>
      </c>
      <c r="E967" s="70" t="str">
        <f>HYPERLINK("https://ledvance.com/pt/product-datasheet/9175/100391","Ficha de Produto")</f>
        <v>Ficha de Produto</v>
      </c>
      <c r="F967" s="62"/>
      <c r="G967" s="65" t="s">
        <v>4940</v>
      </c>
      <c r="H967" s="62" t="s">
        <v>4992</v>
      </c>
      <c r="I967" s="30">
        <v>23.8</v>
      </c>
      <c r="J967" s="29" t="s">
        <v>721</v>
      </c>
    </row>
    <row r="968" spans="1:10" ht="12" customHeight="1">
      <c r="A968" s="60">
        <v>4058075266513</v>
      </c>
      <c r="B968" s="61" t="s">
        <v>5612</v>
      </c>
      <c r="C968" s="62">
        <v>1</v>
      </c>
      <c r="D968" s="63" t="s">
        <v>4518</v>
      </c>
      <c r="E968" s="70" t="str">
        <f>HYPERLINK("https://ledvance.com/pt/product-datasheet/9175/111509","Ficha de Produto")</f>
        <v>Ficha de Produto</v>
      </c>
      <c r="F968" s="62"/>
      <c r="G968" s="65" t="s">
        <v>4945</v>
      </c>
      <c r="H968" s="62" t="s">
        <v>4974</v>
      </c>
      <c r="I968" s="30">
        <v>34.700000000000003</v>
      </c>
      <c r="J968" s="29" t="s">
        <v>721</v>
      </c>
    </row>
    <row r="969" spans="1:10" ht="12" customHeight="1">
      <c r="A969" s="60">
        <v>4058075266537</v>
      </c>
      <c r="B969" s="61" t="s">
        <v>5613</v>
      </c>
      <c r="C969" s="62">
        <v>1</v>
      </c>
      <c r="D969" s="63" t="s">
        <v>4518</v>
      </c>
      <c r="E969" s="70" t="str">
        <f>HYPERLINK("https://ledvance.com/pt/product-datasheet/9175/111515","Ficha de Produto")</f>
        <v>Ficha de Produto</v>
      </c>
      <c r="F969" s="62"/>
      <c r="G969" s="65" t="s">
        <v>4945</v>
      </c>
      <c r="H969" s="62" t="s">
        <v>4992</v>
      </c>
      <c r="I969" s="30">
        <v>34.700000000000003</v>
      </c>
      <c r="J969" s="29" t="s">
        <v>721</v>
      </c>
    </row>
    <row r="970" spans="1:10" ht="12" customHeight="1">
      <c r="A970" s="60">
        <v>4058075266575</v>
      </c>
      <c r="B970" s="61" t="s">
        <v>5614</v>
      </c>
      <c r="C970" s="62">
        <v>1</v>
      </c>
      <c r="D970" s="63" t="s">
        <v>4518</v>
      </c>
      <c r="E970" s="70" t="str">
        <f>HYPERLINK("https://ledvance.com/pt/product-datasheet/9175/111521","Ficha de Produto")</f>
        <v>Ficha de Produto</v>
      </c>
      <c r="F970" s="62"/>
      <c r="G970" s="65" t="s">
        <v>4945</v>
      </c>
      <c r="H970" s="62" t="s">
        <v>4974</v>
      </c>
      <c r="I970" s="30">
        <v>37.9</v>
      </c>
      <c r="J970" s="29" t="s">
        <v>721</v>
      </c>
    </row>
    <row r="971" spans="1:10" ht="12" customHeight="1">
      <c r="A971" s="60">
        <v>4058075266599</v>
      </c>
      <c r="B971" s="61" t="s">
        <v>5615</v>
      </c>
      <c r="C971" s="62">
        <v>1</v>
      </c>
      <c r="D971" s="63" t="s">
        <v>4518</v>
      </c>
      <c r="E971" s="70" t="str">
        <f>HYPERLINK("https://ledvance.com/pt/product-datasheet/9175/111527","Ficha de Produto")</f>
        <v>Ficha de Produto</v>
      </c>
      <c r="F971" s="62"/>
      <c r="G971" s="65" t="s">
        <v>4945</v>
      </c>
      <c r="H971" s="62" t="s">
        <v>4992</v>
      </c>
      <c r="I971" s="30">
        <v>37.9</v>
      </c>
      <c r="J971" s="29" t="s">
        <v>721</v>
      </c>
    </row>
    <row r="972" spans="1:10" ht="12" customHeight="1">
      <c r="A972" s="60">
        <v>4058075266636</v>
      </c>
      <c r="B972" s="61" t="s">
        <v>5616</v>
      </c>
      <c r="C972" s="62">
        <v>1</v>
      </c>
      <c r="D972" s="63" t="s">
        <v>4518</v>
      </c>
      <c r="E972" s="70" t="str">
        <f>HYPERLINK("https://ledvance.com/pt/product-datasheet/9175/111533","Ficha de Produto")</f>
        <v>Ficha de Produto</v>
      </c>
      <c r="F972" s="62"/>
      <c r="G972" s="65" t="s">
        <v>5204</v>
      </c>
      <c r="H972" s="62" t="s">
        <v>4974</v>
      </c>
      <c r="I972" s="30">
        <v>62.800000000000004</v>
      </c>
      <c r="J972" s="29" t="s">
        <v>721</v>
      </c>
    </row>
    <row r="973" spans="1:10" ht="12" customHeight="1">
      <c r="A973" s="60">
        <v>4058075266667</v>
      </c>
      <c r="B973" s="61" t="s">
        <v>5617</v>
      </c>
      <c r="C973" s="62">
        <v>1</v>
      </c>
      <c r="D973" s="63" t="s">
        <v>4518</v>
      </c>
      <c r="E973" s="70" t="str">
        <f>HYPERLINK("https://ledvance.com/pt/product-datasheet/9175/111539","Ficha de Produto")</f>
        <v>Ficha de Produto</v>
      </c>
      <c r="F973" s="62"/>
      <c r="G973" s="65" t="s">
        <v>5204</v>
      </c>
      <c r="H973" s="62" t="s">
        <v>4992</v>
      </c>
      <c r="I973" s="30">
        <v>62.800000000000004</v>
      </c>
      <c r="J973" s="29" t="s">
        <v>721</v>
      </c>
    </row>
    <row r="974" spans="1:10" ht="15" customHeight="1">
      <c r="A974" s="115"/>
      <c r="B974" s="116"/>
      <c r="C974" s="117"/>
      <c r="D974" s="118"/>
      <c r="E974" s="118"/>
      <c r="F974" s="117"/>
      <c r="G974" s="119"/>
      <c r="H974" s="268"/>
      <c r="I974" s="57"/>
      <c r="J974" s="58"/>
    </row>
    <row r="975" spans="1:10" ht="12" customHeight="1">
      <c r="A975" s="60">
        <v>4058075264991</v>
      </c>
      <c r="B975" s="61" t="s">
        <v>5618</v>
      </c>
      <c r="C975" s="62">
        <v>1</v>
      </c>
      <c r="D975" s="63" t="s">
        <v>4518</v>
      </c>
      <c r="E975" s="70" t="str">
        <f>HYPERLINK("https://ledvance.com/pt/product-datasheet/9176/101747","Ficha de Produto")</f>
        <v>Ficha de Produto</v>
      </c>
      <c r="F975" s="62"/>
      <c r="G975" s="65" t="s">
        <v>5619</v>
      </c>
      <c r="H975" s="62" t="s">
        <v>4974</v>
      </c>
      <c r="I975" s="30">
        <v>20.700000000000003</v>
      </c>
      <c r="J975" s="29" t="s">
        <v>721</v>
      </c>
    </row>
    <row r="976" spans="1:10" ht="12" customHeight="1">
      <c r="A976" s="60">
        <v>4058075265011</v>
      </c>
      <c r="B976" s="61" t="s">
        <v>5620</v>
      </c>
      <c r="C976" s="62">
        <v>1</v>
      </c>
      <c r="D976" s="63" t="s">
        <v>4518</v>
      </c>
      <c r="E976" s="70" t="str">
        <f>HYPERLINK("https://ledvance.com/pt/product-datasheet/9176/101754","Ficha de Produto")</f>
        <v>Ficha de Produto</v>
      </c>
      <c r="F976" s="62"/>
      <c r="G976" s="65" t="s">
        <v>5619</v>
      </c>
      <c r="H976" s="62" t="s">
        <v>4992</v>
      </c>
      <c r="I976" s="30">
        <v>20.700000000000003</v>
      </c>
      <c r="J976" s="29" t="s">
        <v>721</v>
      </c>
    </row>
    <row r="977" spans="1:10" ht="12" customHeight="1">
      <c r="A977" s="60">
        <v>4058075265035</v>
      </c>
      <c r="B977" s="61" t="s">
        <v>5621</v>
      </c>
      <c r="C977" s="62">
        <v>1</v>
      </c>
      <c r="D977" s="63" t="s">
        <v>4518</v>
      </c>
      <c r="E977" s="70" t="str">
        <f>HYPERLINK("https://ledvance.com/pt/product-datasheet/9176/101761","Ficha de Produto")</f>
        <v>Ficha de Produto</v>
      </c>
      <c r="F977" s="62"/>
      <c r="G977" s="65" t="s">
        <v>4996</v>
      </c>
      <c r="H977" s="62" t="s">
        <v>4974</v>
      </c>
      <c r="I977" s="30">
        <v>26.700000000000003</v>
      </c>
      <c r="J977" s="29" t="s">
        <v>721</v>
      </c>
    </row>
    <row r="978" spans="1:10" ht="12" customHeight="1">
      <c r="A978" s="60">
        <v>4058075265059</v>
      </c>
      <c r="B978" s="61" t="s">
        <v>5622</v>
      </c>
      <c r="C978" s="62">
        <v>1</v>
      </c>
      <c r="D978" s="63" t="s">
        <v>4518</v>
      </c>
      <c r="E978" s="70" t="str">
        <f>HYPERLINK("https://ledvance.com/pt/product-datasheet/9176/101768","Ficha de Produto")</f>
        <v>Ficha de Produto</v>
      </c>
      <c r="F978" s="62"/>
      <c r="G978" s="65" t="s">
        <v>4996</v>
      </c>
      <c r="H978" s="62" t="s">
        <v>4992</v>
      </c>
      <c r="I978" s="30">
        <v>26.700000000000003</v>
      </c>
      <c r="J978" s="29" t="s">
        <v>721</v>
      </c>
    </row>
    <row r="979" spans="1:10" ht="12" customHeight="1">
      <c r="A979" s="60">
        <v>4058075265073</v>
      </c>
      <c r="B979" s="61" t="s">
        <v>5623</v>
      </c>
      <c r="C979" s="62">
        <v>1</v>
      </c>
      <c r="D979" s="63" t="s">
        <v>4518</v>
      </c>
      <c r="E979" s="70" t="str">
        <f>HYPERLINK("https://ledvance.com/pt/product-datasheet/9176/101775","Ficha de Produto")</f>
        <v>Ficha de Produto</v>
      </c>
      <c r="F979" s="62"/>
      <c r="G979" s="65" t="s">
        <v>5624</v>
      </c>
      <c r="H979" s="62" t="s">
        <v>4974</v>
      </c>
      <c r="I979" s="30">
        <v>32</v>
      </c>
      <c r="J979" s="29" t="s">
        <v>721</v>
      </c>
    </row>
    <row r="980" spans="1:10" ht="12" customHeight="1">
      <c r="A980" s="60">
        <v>4058075265097</v>
      </c>
      <c r="B980" s="61" t="s">
        <v>5625</v>
      </c>
      <c r="C980" s="62">
        <v>1</v>
      </c>
      <c r="D980" s="63" t="s">
        <v>4518</v>
      </c>
      <c r="E980" s="70" t="str">
        <f>HYPERLINK("https://ledvance.com/pt/product-datasheet/9176/101782","Ficha de Produto")</f>
        <v>Ficha de Produto</v>
      </c>
      <c r="F980" s="62"/>
      <c r="G980" s="65" t="s">
        <v>5624</v>
      </c>
      <c r="H980" s="62" t="s">
        <v>4992</v>
      </c>
      <c r="I980" s="30">
        <v>32</v>
      </c>
      <c r="J980" s="29" t="s">
        <v>721</v>
      </c>
    </row>
    <row r="981" spans="1:10" ht="15" customHeight="1">
      <c r="A981" s="120" t="s">
        <v>4545</v>
      </c>
      <c r="B981" s="116"/>
      <c r="C981" s="117"/>
      <c r="D981" s="121"/>
      <c r="E981" s="121"/>
      <c r="F981" s="117"/>
      <c r="G981" s="119"/>
      <c r="H981" s="268"/>
      <c r="I981" s="57"/>
      <c r="J981" s="58"/>
    </row>
    <row r="982" spans="1:10" ht="15" customHeight="1">
      <c r="A982" s="122" t="s">
        <v>4546</v>
      </c>
      <c r="B982" s="116"/>
      <c r="C982" s="117"/>
      <c r="D982" s="118"/>
      <c r="E982" s="118"/>
      <c r="F982" s="117"/>
      <c r="G982" s="119"/>
      <c r="H982" s="268"/>
      <c r="I982" s="57"/>
      <c r="J982" s="58"/>
    </row>
    <row r="983" spans="1:10" ht="12" customHeight="1">
      <c r="A983" s="83">
        <v>4099854109607</v>
      </c>
      <c r="B983" s="61" t="s">
        <v>5626</v>
      </c>
      <c r="C983" s="62">
        <v>1</v>
      </c>
      <c r="D983" s="63" t="s">
        <v>4518</v>
      </c>
      <c r="E983" s="70" t="str">
        <f>HYPERLINK("https://ledvance.com/pt/product-datasheet/272130/255240","Ficha de Produto")</f>
        <v>Ficha de Produto</v>
      </c>
      <c r="F983" s="94" t="s">
        <v>4183</v>
      </c>
      <c r="G983" s="65" t="s">
        <v>1758</v>
      </c>
      <c r="H983" s="62" t="s">
        <v>5627</v>
      </c>
      <c r="I983" s="30">
        <v>244.9</v>
      </c>
      <c r="J983" s="29" t="s">
        <v>721</v>
      </c>
    </row>
    <row r="984" spans="1:10" ht="12" customHeight="1">
      <c r="A984" s="83">
        <v>4099854109621</v>
      </c>
      <c r="B984" s="61" t="s">
        <v>5628</v>
      </c>
      <c r="C984" s="62">
        <v>1</v>
      </c>
      <c r="D984" s="63" t="s">
        <v>4518</v>
      </c>
      <c r="E984" s="70" t="str">
        <f>HYPERLINK("https://ledvance.com/pt/product-datasheet/272131/255243","Ficha de Produto")</f>
        <v>Ficha de Produto</v>
      </c>
      <c r="F984" s="94" t="s">
        <v>4183</v>
      </c>
      <c r="G984" s="65" t="s">
        <v>5204</v>
      </c>
      <c r="H984" s="62" t="s">
        <v>5627</v>
      </c>
      <c r="I984" s="30">
        <v>272.3</v>
      </c>
      <c r="J984" s="29" t="s">
        <v>721</v>
      </c>
    </row>
    <row r="985" spans="1:10" ht="12" customHeight="1">
      <c r="A985" s="83">
        <v>4099854109522</v>
      </c>
      <c r="B985" s="61" t="s">
        <v>5629</v>
      </c>
      <c r="C985" s="62">
        <v>1</v>
      </c>
      <c r="D985" s="63" t="s">
        <v>4518</v>
      </c>
      <c r="E985" s="70" t="str">
        <f>HYPERLINK("https://ledvance.com/pt/product-datasheet/277155/260587","Ficha de Produto")</f>
        <v>Ficha de Produto</v>
      </c>
      <c r="F985" s="94" t="s">
        <v>4183</v>
      </c>
      <c r="G985" s="65" t="s">
        <v>4949</v>
      </c>
      <c r="H985" s="62" t="s">
        <v>5627</v>
      </c>
      <c r="I985" s="30">
        <v>231.29999999999998</v>
      </c>
      <c r="J985" s="29" t="s">
        <v>721</v>
      </c>
    </row>
    <row r="986" spans="1:10" ht="12" customHeight="1">
      <c r="A986" s="83">
        <v>4099854109546</v>
      </c>
      <c r="B986" s="61" t="s">
        <v>5630</v>
      </c>
      <c r="C986" s="62">
        <v>1</v>
      </c>
      <c r="D986" s="63" t="s">
        <v>4518</v>
      </c>
      <c r="E986" s="70" t="str">
        <f>HYPERLINK("https://ledvance.com/pt/product-datasheet/277155/260590","Ficha de Produto")</f>
        <v>Ficha de Produto</v>
      </c>
      <c r="F986" s="94" t="s">
        <v>4183</v>
      </c>
      <c r="G986" s="65" t="s">
        <v>4949</v>
      </c>
      <c r="H986" s="62" t="s">
        <v>5627</v>
      </c>
      <c r="I986" s="30">
        <v>231.29999999999998</v>
      </c>
      <c r="J986" s="29" t="s">
        <v>721</v>
      </c>
    </row>
    <row r="987" spans="1:10" ht="12" customHeight="1">
      <c r="A987" s="83">
        <v>4099854109560</v>
      </c>
      <c r="B987" s="61" t="s">
        <v>5631</v>
      </c>
      <c r="C987" s="62">
        <v>1</v>
      </c>
      <c r="D987" s="63" t="s">
        <v>4518</v>
      </c>
      <c r="E987" s="70" t="str">
        <f>HYPERLINK("https://ledvance.com/pt/product-datasheet/276449/260593","Ficha de Produto")</f>
        <v>Ficha de Produto</v>
      </c>
      <c r="F987" s="94" t="s">
        <v>4183</v>
      </c>
      <c r="G987" s="65" t="s">
        <v>4934</v>
      </c>
      <c r="H987" s="62" t="s">
        <v>5627</v>
      </c>
      <c r="I987" s="30">
        <v>190.29999999999998</v>
      </c>
      <c r="J987" s="29" t="s">
        <v>721</v>
      </c>
    </row>
    <row r="988" spans="1:10" ht="12" customHeight="1">
      <c r="A988" s="83">
        <v>4099854109584</v>
      </c>
      <c r="B988" s="61" t="s">
        <v>5632</v>
      </c>
      <c r="C988" s="62">
        <v>1</v>
      </c>
      <c r="D988" s="63" t="s">
        <v>4518</v>
      </c>
      <c r="E988" s="70" t="str">
        <f>HYPERLINK("https://ledvance.com/pt/product-datasheet/276449/260596","Ficha de Produto")</f>
        <v>Ficha de Produto</v>
      </c>
      <c r="F988" s="94" t="s">
        <v>4183</v>
      </c>
      <c r="G988" s="65" t="s">
        <v>4934</v>
      </c>
      <c r="H988" s="62" t="s">
        <v>5627</v>
      </c>
      <c r="I988" s="30">
        <v>190.29999999999998</v>
      </c>
      <c r="J988" s="29" t="s">
        <v>721</v>
      </c>
    </row>
    <row r="989" spans="1:10" ht="15" customHeight="1">
      <c r="A989" s="122" t="s">
        <v>4547</v>
      </c>
      <c r="B989" s="116"/>
      <c r="C989" s="117"/>
      <c r="D989" s="118"/>
      <c r="E989" s="118"/>
      <c r="F989" s="117"/>
      <c r="G989" s="119"/>
      <c r="H989" s="268"/>
      <c r="I989" s="57"/>
      <c r="J989" s="58"/>
    </row>
    <row r="990" spans="1:10" ht="15" customHeight="1">
      <c r="A990" s="122" t="s">
        <v>4548</v>
      </c>
      <c r="B990" s="116"/>
      <c r="C990" s="117"/>
      <c r="D990" s="118"/>
      <c r="E990" s="118"/>
      <c r="F990" s="117"/>
      <c r="G990" s="119"/>
      <c r="H990" s="268"/>
      <c r="I990" s="57"/>
      <c r="J990" s="58"/>
    </row>
    <row r="991" spans="1:10" ht="12" customHeight="1">
      <c r="A991" s="74">
        <v>4058075575899</v>
      </c>
      <c r="B991" s="61" t="s">
        <v>5633</v>
      </c>
      <c r="C991" s="62">
        <v>1</v>
      </c>
      <c r="D991" s="63" t="s">
        <v>4518</v>
      </c>
      <c r="E991" s="70" t="str">
        <f>HYPERLINK("https://ledvance.com/pt/product-datasheet/169099/156099","Ficha de Produto")</f>
        <v>Ficha de Produto</v>
      </c>
      <c r="F991" s="62"/>
      <c r="G991" s="65" t="s">
        <v>5591</v>
      </c>
      <c r="H991" s="62" t="s">
        <v>5627</v>
      </c>
      <c r="I991" s="30">
        <v>379.70000000000005</v>
      </c>
      <c r="J991" s="29" t="s">
        <v>721</v>
      </c>
    </row>
    <row r="992" spans="1:10" ht="12" customHeight="1">
      <c r="A992" s="74">
        <v>4058075575875</v>
      </c>
      <c r="B992" s="61" t="s">
        <v>5634</v>
      </c>
      <c r="C992" s="62">
        <v>1</v>
      </c>
      <c r="D992" s="63" t="s">
        <v>4518</v>
      </c>
      <c r="E992" s="70" t="str">
        <f>HYPERLINK("https://ledvance.com/pt/product-datasheet/169099/156096","Ficha de Produto")</f>
        <v>Ficha de Produto</v>
      </c>
      <c r="F992" s="101" t="s">
        <v>4251</v>
      </c>
      <c r="G992" s="65" t="s">
        <v>4934</v>
      </c>
      <c r="H992" s="62" t="s">
        <v>5627</v>
      </c>
      <c r="I992" s="30">
        <v>190</v>
      </c>
      <c r="J992" s="29" t="s">
        <v>721</v>
      </c>
    </row>
    <row r="993" spans="1:10" ht="12" customHeight="1">
      <c r="A993" s="74">
        <v>4058075575912</v>
      </c>
      <c r="B993" s="61" t="s">
        <v>5635</v>
      </c>
      <c r="C993" s="62">
        <v>1</v>
      </c>
      <c r="D993" s="63" t="s">
        <v>4518</v>
      </c>
      <c r="E993" s="70" t="str">
        <f>HYPERLINK("https://ledvance.com/pt/product-datasheet/169099/156129","Ficha de Produto")</f>
        <v>Ficha de Produto</v>
      </c>
      <c r="F993" s="62"/>
      <c r="G993" s="65" t="s">
        <v>5108</v>
      </c>
      <c r="H993" s="62" t="s">
        <v>5627</v>
      </c>
      <c r="I993" s="30">
        <v>96</v>
      </c>
      <c r="J993" s="29" t="s">
        <v>721</v>
      </c>
    </row>
    <row r="994" spans="1:10" ht="15" customHeight="1">
      <c r="A994" s="120" t="s">
        <v>4549</v>
      </c>
      <c r="B994" s="116"/>
      <c r="C994" s="117"/>
      <c r="D994" s="121"/>
      <c r="E994" s="78"/>
      <c r="F994" s="117"/>
      <c r="G994" s="119"/>
      <c r="H994" s="268"/>
      <c r="I994" s="57"/>
      <c r="J994" s="58"/>
    </row>
    <row r="995" spans="1:10" ht="15" customHeight="1">
      <c r="A995" s="122" t="s">
        <v>4550</v>
      </c>
      <c r="B995" s="116"/>
      <c r="C995" s="117"/>
      <c r="D995" s="118"/>
      <c r="E995" s="71"/>
      <c r="F995" s="117"/>
      <c r="G995" s="119"/>
      <c r="H995" s="268"/>
      <c r="I995" s="57"/>
      <c r="J995" s="58"/>
    </row>
    <row r="996" spans="1:10" ht="12" customHeight="1">
      <c r="A996" s="74">
        <v>4058075747869</v>
      </c>
      <c r="B996" s="61" t="s">
        <v>5636</v>
      </c>
      <c r="C996" s="62">
        <v>1</v>
      </c>
      <c r="D996" s="63" t="s">
        <v>4518</v>
      </c>
      <c r="E996" s="70" t="str">
        <f>HYPERLINK("https://ledvance.com/pt/product-datasheet/231581/200770","Ficha de Produto")</f>
        <v>Ficha de Produto</v>
      </c>
      <c r="F996" s="62"/>
      <c r="G996" s="65" t="s">
        <v>5637</v>
      </c>
      <c r="H996" s="62" t="s">
        <v>4992</v>
      </c>
      <c r="I996" s="30">
        <v>34.5</v>
      </c>
      <c r="J996" s="29" t="s">
        <v>721</v>
      </c>
    </row>
    <row r="997" spans="1:10" ht="15" customHeight="1">
      <c r="A997" s="122" t="s">
        <v>4551</v>
      </c>
      <c r="B997" s="116"/>
      <c r="C997" s="117"/>
      <c r="D997" s="118"/>
      <c r="E997" s="71"/>
      <c r="F997" s="117"/>
      <c r="G997" s="119"/>
      <c r="H997" s="268"/>
      <c r="I997" s="57"/>
      <c r="J997" s="58"/>
    </row>
    <row r="998" spans="1:10" ht="12" customHeight="1">
      <c r="A998" s="74">
        <v>4058075747883</v>
      </c>
      <c r="B998" s="61" t="s">
        <v>5638</v>
      </c>
      <c r="C998" s="62">
        <v>1</v>
      </c>
      <c r="D998" s="63" t="s">
        <v>4518</v>
      </c>
      <c r="E998" s="70" t="str">
        <f>HYPERLINK("https://ledvance.com/pt/product-datasheet/231583/200773","Ficha de Produto")</f>
        <v>Ficha de Produto</v>
      </c>
      <c r="F998" s="62"/>
      <c r="G998" s="65" t="s">
        <v>5637</v>
      </c>
      <c r="H998" s="62" t="s">
        <v>4992</v>
      </c>
      <c r="I998" s="30">
        <v>34.5</v>
      </c>
      <c r="J998" s="29" t="s">
        <v>721</v>
      </c>
    </row>
    <row r="999" spans="1:10" ht="15" customHeight="1">
      <c r="A999" s="122" t="s">
        <v>4552</v>
      </c>
      <c r="B999" s="116"/>
      <c r="C999" s="117"/>
      <c r="D999" s="118"/>
      <c r="E999" s="71"/>
      <c r="F999" s="117"/>
      <c r="G999" s="119"/>
      <c r="H999" s="268"/>
      <c r="I999" s="57"/>
      <c r="J999" s="58"/>
    </row>
    <row r="1000" spans="1:10" ht="12" customHeight="1">
      <c r="A1000" s="60">
        <v>4058075321243</v>
      </c>
      <c r="B1000" s="112" t="s">
        <v>4553</v>
      </c>
      <c r="C1000" s="62">
        <v>0</v>
      </c>
      <c r="D1000" s="63" t="s">
        <v>4518</v>
      </c>
      <c r="E1000" s="70" t="str">
        <f>HYPERLINK("https://ledvance.com/pt/product-datasheet/9222/106838","Ficha de Produto")</f>
        <v>Ficha de Produto</v>
      </c>
      <c r="F1000" s="101" t="s">
        <v>4251</v>
      </c>
      <c r="G1000" s="65" t="s">
        <v>1201</v>
      </c>
      <c r="H1000" s="65" t="s">
        <v>1201</v>
      </c>
      <c r="I1000" s="30">
        <v>17.5</v>
      </c>
      <c r="J1000" s="29" t="s">
        <v>721</v>
      </c>
    </row>
    <row r="1001" spans="1:10" ht="15" customHeight="1">
      <c r="A1001" s="122" t="s">
        <v>4554</v>
      </c>
      <c r="B1001" s="116"/>
      <c r="C1001" s="117"/>
      <c r="D1001" s="118"/>
      <c r="E1001" s="71"/>
      <c r="F1001" s="117"/>
      <c r="G1001" s="119"/>
      <c r="H1001" s="268"/>
      <c r="I1001" s="57"/>
      <c r="J1001" s="58"/>
    </row>
    <row r="1002" spans="1:10" ht="12" customHeight="1">
      <c r="A1002" s="60">
        <v>4058075321267</v>
      </c>
      <c r="B1002" s="61" t="s">
        <v>5639</v>
      </c>
      <c r="C1002" s="62">
        <v>1</v>
      </c>
      <c r="D1002" s="63" t="s">
        <v>4518</v>
      </c>
      <c r="E1002" s="70" t="str">
        <f>HYPERLINK("https://ledvance.com/pt/product-datasheet/9224/106844","Ficha de Produto")</f>
        <v>Ficha de Produto</v>
      </c>
      <c r="F1002" s="62"/>
      <c r="G1002" s="65" t="s">
        <v>5057</v>
      </c>
      <c r="H1002" s="62" t="s">
        <v>4974</v>
      </c>
      <c r="I1002" s="30">
        <v>45.7</v>
      </c>
      <c r="J1002" s="29" t="s">
        <v>721</v>
      </c>
    </row>
    <row r="1003" spans="1:10" ht="15" customHeight="1">
      <c r="A1003" s="122" t="s">
        <v>4555</v>
      </c>
      <c r="B1003" s="116"/>
      <c r="C1003" s="117"/>
      <c r="D1003" s="118"/>
      <c r="E1003" s="71"/>
      <c r="F1003" s="117"/>
      <c r="G1003" s="119"/>
      <c r="H1003" s="268"/>
      <c r="I1003" s="57"/>
      <c r="J1003" s="58"/>
    </row>
    <row r="1004" spans="1:10" ht="12" customHeight="1">
      <c r="A1004" s="60">
        <v>4058075321281</v>
      </c>
      <c r="B1004" s="61" t="s">
        <v>5640</v>
      </c>
      <c r="C1004" s="62">
        <v>1</v>
      </c>
      <c r="D1004" s="63" t="s">
        <v>4518</v>
      </c>
      <c r="E1004" s="70" t="str">
        <f>HYPERLINK("https://ledvance.com/pt/product-datasheet/9227/106862","Ficha de Produto")</f>
        <v>Ficha de Produto</v>
      </c>
      <c r="F1004" s="62"/>
      <c r="G1004" s="65" t="s">
        <v>4953</v>
      </c>
      <c r="H1004" s="62" t="s">
        <v>4930</v>
      </c>
      <c r="I1004" s="30">
        <v>75.899999999999991</v>
      </c>
      <c r="J1004" s="29" t="s">
        <v>721</v>
      </c>
    </row>
    <row r="1005" spans="1:10" ht="15" customHeight="1">
      <c r="A1005" s="120" t="s">
        <v>4556</v>
      </c>
      <c r="B1005" s="116"/>
      <c r="C1005" s="117"/>
      <c r="D1005" s="121"/>
      <c r="E1005" s="78"/>
      <c r="F1005" s="117"/>
      <c r="G1005" s="119"/>
      <c r="H1005" s="268"/>
      <c r="I1005" s="57"/>
      <c r="J1005" s="58"/>
    </row>
    <row r="1006" spans="1:10" ht="15" customHeight="1">
      <c r="A1006" s="120" t="s">
        <v>4557</v>
      </c>
      <c r="B1006" s="116"/>
      <c r="C1006" s="117"/>
      <c r="D1006" s="121"/>
      <c r="E1006" s="121"/>
      <c r="F1006" s="117"/>
      <c r="G1006" s="119"/>
      <c r="H1006" s="268"/>
      <c r="I1006" s="57"/>
      <c r="J1006" s="58"/>
    </row>
    <row r="1007" spans="1:10" ht="15" customHeight="1">
      <c r="A1007" s="123" t="s">
        <v>4558</v>
      </c>
      <c r="B1007" s="116"/>
      <c r="C1007" s="117"/>
      <c r="D1007" s="124"/>
      <c r="E1007" s="124"/>
      <c r="F1007" s="117"/>
      <c r="G1007" s="119"/>
      <c r="H1007" s="268"/>
      <c r="I1007" s="57"/>
      <c r="J1007" s="58"/>
    </row>
    <row r="1008" spans="1:10" ht="15" customHeight="1">
      <c r="A1008" s="122" t="s">
        <v>4559</v>
      </c>
      <c r="B1008" s="116"/>
      <c r="C1008" s="117"/>
      <c r="D1008" s="118"/>
      <c r="E1008" s="118"/>
      <c r="F1008" s="117"/>
      <c r="G1008" s="119"/>
      <c r="H1008" s="268"/>
      <c r="I1008" s="57"/>
      <c r="J1008" s="58"/>
    </row>
    <row r="1009" spans="1:10" ht="12" customHeight="1">
      <c r="A1009" s="74">
        <v>4058075763241</v>
      </c>
      <c r="B1009" s="61" t="s">
        <v>5641</v>
      </c>
      <c r="C1009" s="62">
        <v>1</v>
      </c>
      <c r="D1009" s="63" t="s">
        <v>4556</v>
      </c>
      <c r="E1009" s="63" t="s">
        <v>4560</v>
      </c>
      <c r="F1009" s="62"/>
      <c r="G1009" s="65" t="s">
        <v>5057</v>
      </c>
      <c r="H1009" s="62" t="s">
        <v>4974</v>
      </c>
      <c r="I1009" s="30">
        <v>123.3</v>
      </c>
      <c r="J1009" s="29" t="s">
        <v>721</v>
      </c>
    </row>
    <row r="1010" spans="1:10" ht="15" customHeight="1">
      <c r="A1010" s="122" t="s">
        <v>4561</v>
      </c>
      <c r="B1010" s="116"/>
      <c r="C1010" s="117"/>
      <c r="D1010" s="118"/>
      <c r="E1010" s="118"/>
      <c r="F1010" s="117"/>
      <c r="G1010" s="119"/>
      <c r="H1010" s="268"/>
      <c r="I1010" s="57"/>
      <c r="J1010" s="58"/>
    </row>
    <row r="1011" spans="1:10" ht="12" customHeight="1">
      <c r="A1011" s="60">
        <v>4058075564466</v>
      </c>
      <c r="B1011" s="61" t="s">
        <v>5642</v>
      </c>
      <c r="C1011" s="62">
        <v>1</v>
      </c>
      <c r="D1011" s="63" t="s">
        <v>4556</v>
      </c>
      <c r="E1011" s="70" t="str">
        <f>HYPERLINK("https://ledvance.com/pt/product-datasheet/169539/30539","Ficha de Produto")</f>
        <v>Ficha de Produto</v>
      </c>
      <c r="F1011" s="62"/>
      <c r="G1011" s="65" t="s">
        <v>5057</v>
      </c>
      <c r="H1011" s="62" t="s">
        <v>4974</v>
      </c>
      <c r="I1011" s="30">
        <v>82.3</v>
      </c>
      <c r="J1011" s="29" t="s">
        <v>721</v>
      </c>
    </row>
    <row r="1012" spans="1:10" ht="15" customHeight="1">
      <c r="A1012" s="120" t="s">
        <v>4562</v>
      </c>
      <c r="B1012" s="116"/>
      <c r="C1012" s="117"/>
      <c r="D1012" s="121"/>
      <c r="E1012" s="121"/>
      <c r="F1012" s="117"/>
      <c r="G1012" s="119"/>
      <c r="H1012" s="268"/>
      <c r="I1012" s="57"/>
      <c r="J1012" s="58"/>
    </row>
    <row r="1013" spans="1:10" ht="15" customHeight="1">
      <c r="A1013" s="123" t="s">
        <v>4563</v>
      </c>
      <c r="B1013" s="116"/>
      <c r="C1013" s="117"/>
      <c r="D1013" s="124"/>
      <c r="E1013" s="124"/>
      <c r="F1013" s="117"/>
      <c r="G1013" s="119"/>
      <c r="H1013" s="268"/>
      <c r="I1013" s="57"/>
      <c r="J1013" s="58"/>
    </row>
    <row r="1014" spans="1:10" ht="15" customHeight="1">
      <c r="A1014" s="122" t="s">
        <v>4564</v>
      </c>
      <c r="B1014" s="116"/>
      <c r="C1014" s="117"/>
      <c r="D1014" s="118"/>
      <c r="E1014" s="118"/>
      <c r="F1014" s="117"/>
      <c r="G1014" s="119"/>
      <c r="H1014" s="268"/>
      <c r="I1014" s="57"/>
      <c r="J1014" s="58"/>
    </row>
    <row r="1015" spans="1:10" ht="12" customHeight="1">
      <c r="A1015" s="74">
        <v>4058075763265</v>
      </c>
      <c r="B1015" s="61" t="s">
        <v>5643</v>
      </c>
      <c r="C1015" s="62">
        <v>1</v>
      </c>
      <c r="D1015" s="63" t="s">
        <v>4556</v>
      </c>
      <c r="E1015" s="70" t="str">
        <f>HYPERLINK("https://ledvance.com/pt/product-datasheet/232993/210596","Ficha de Produto")</f>
        <v>Ficha de Produto</v>
      </c>
      <c r="F1015" s="62"/>
      <c r="G1015" s="65" t="s">
        <v>5005</v>
      </c>
      <c r="H1015" s="62" t="s">
        <v>4974</v>
      </c>
      <c r="I1015" s="30">
        <v>123.3</v>
      </c>
      <c r="J1015" s="29" t="s">
        <v>721</v>
      </c>
    </row>
    <row r="1016" spans="1:10" ht="15" customHeight="1">
      <c r="A1016" s="123" t="s">
        <v>4565</v>
      </c>
      <c r="B1016" s="116"/>
      <c r="C1016" s="117"/>
      <c r="D1016" s="124"/>
      <c r="E1016" s="124"/>
      <c r="F1016" s="117"/>
      <c r="G1016" s="119"/>
      <c r="H1016" s="268"/>
      <c r="I1016" s="57"/>
      <c r="J1016" s="58"/>
    </row>
    <row r="1017" spans="1:10" ht="15" customHeight="1">
      <c r="A1017" s="122" t="s">
        <v>4566</v>
      </c>
      <c r="B1017" s="116"/>
      <c r="C1017" s="117"/>
      <c r="D1017" s="118"/>
      <c r="E1017" s="118"/>
      <c r="F1017" s="117"/>
      <c r="G1017" s="119"/>
      <c r="H1017" s="268"/>
      <c r="I1017" s="57"/>
      <c r="J1017" s="58"/>
    </row>
    <row r="1018" spans="1:10" ht="12" customHeight="1">
      <c r="A1018" s="74">
        <v>4058075763289</v>
      </c>
      <c r="B1018" s="61" t="s">
        <v>5644</v>
      </c>
      <c r="C1018" s="62">
        <v>1</v>
      </c>
      <c r="D1018" s="63" t="s">
        <v>4556</v>
      </c>
      <c r="E1018" s="70" t="str">
        <f>HYPERLINK("https://ledvance.com/pt/product-datasheet/232995/210601","Ficha de Produto")</f>
        <v>Ficha de Produto</v>
      </c>
      <c r="F1018" s="62"/>
      <c r="G1018" s="65" t="s">
        <v>5005</v>
      </c>
      <c r="H1018" s="62" t="s">
        <v>4974</v>
      </c>
      <c r="I1018" s="30">
        <v>96</v>
      </c>
      <c r="J1018" s="29" t="s">
        <v>721</v>
      </c>
    </row>
    <row r="1019" spans="1:10" ht="12" customHeight="1">
      <c r="A1019" s="74">
        <v>4058075763302</v>
      </c>
      <c r="B1019" s="61" t="s">
        <v>5645</v>
      </c>
      <c r="C1019" s="62">
        <v>1</v>
      </c>
      <c r="D1019" s="63" t="s">
        <v>4556</v>
      </c>
      <c r="E1019" s="70" t="str">
        <f>HYPERLINK("https://ledvance.com/pt/product-datasheet/232994/210604","Ficha de Produto")</f>
        <v>Ficha de Produto</v>
      </c>
      <c r="F1019" s="62"/>
      <c r="G1019" s="65" t="s">
        <v>5005</v>
      </c>
      <c r="H1019" s="62" t="s">
        <v>4974</v>
      </c>
      <c r="I1019" s="30">
        <v>130.1</v>
      </c>
      <c r="J1019" s="29" t="s">
        <v>721</v>
      </c>
    </row>
    <row r="1020" spans="1:10" ht="12" customHeight="1">
      <c r="A1020" s="74">
        <v>4058075763326</v>
      </c>
      <c r="B1020" s="61" t="s">
        <v>5646</v>
      </c>
      <c r="C1020" s="62">
        <v>1</v>
      </c>
      <c r="D1020" s="63" t="s">
        <v>4556</v>
      </c>
      <c r="E1020" s="70" t="str">
        <f>HYPERLINK("https://ledvance.com/pt/product-datasheet/232994/210608","Ficha de Produto")</f>
        <v>Ficha de Produto</v>
      </c>
      <c r="F1020" s="62"/>
      <c r="G1020" s="65" t="s">
        <v>5005</v>
      </c>
      <c r="H1020" s="62" t="s">
        <v>4974</v>
      </c>
      <c r="I1020" s="30">
        <v>157.5</v>
      </c>
      <c r="J1020" s="29" t="s">
        <v>721</v>
      </c>
    </row>
    <row r="1021" spans="1:10" ht="15" customHeight="1">
      <c r="A1021" s="122" t="s">
        <v>4567</v>
      </c>
      <c r="B1021" s="116"/>
      <c r="C1021" s="117"/>
      <c r="D1021" s="118"/>
      <c r="E1021" s="71"/>
      <c r="F1021" s="117"/>
      <c r="G1021" s="119"/>
      <c r="H1021" s="268"/>
      <c r="I1021" s="57"/>
      <c r="J1021" s="58"/>
    </row>
    <row r="1022" spans="1:10" ht="12" customHeight="1">
      <c r="A1022" s="74">
        <v>4058075763340</v>
      </c>
      <c r="B1022" s="61" t="s">
        <v>5647</v>
      </c>
      <c r="C1022" s="62">
        <v>1</v>
      </c>
      <c r="D1022" s="63" t="s">
        <v>4556</v>
      </c>
      <c r="E1022" s="70" t="str">
        <f>HYPERLINK("https://ledvance.com/pt/product-datasheet/233005/210612","Ficha de Produto")</f>
        <v>Ficha de Produto</v>
      </c>
      <c r="F1022" s="62"/>
      <c r="G1022" s="65" t="s">
        <v>5521</v>
      </c>
      <c r="H1022" s="62" t="s">
        <v>4974</v>
      </c>
      <c r="I1022" s="30">
        <v>123.3</v>
      </c>
      <c r="J1022" s="29" t="s">
        <v>721</v>
      </c>
    </row>
    <row r="1023" spans="1:10" ht="12" customHeight="1">
      <c r="A1023" s="74">
        <v>4058075763364</v>
      </c>
      <c r="B1023" s="61" t="s">
        <v>5648</v>
      </c>
      <c r="C1023" s="62">
        <v>1</v>
      </c>
      <c r="D1023" s="63" t="s">
        <v>4556</v>
      </c>
      <c r="E1023" s="70" t="str">
        <f>HYPERLINK("https://ledvance.com/pt/product-datasheet/233006/210616","Ficha de Produto")</f>
        <v>Ficha de Produto</v>
      </c>
      <c r="F1023" s="62"/>
      <c r="G1023" s="65" t="s">
        <v>5521</v>
      </c>
      <c r="H1023" s="62" t="s">
        <v>4974</v>
      </c>
      <c r="I1023" s="30">
        <v>157.5</v>
      </c>
      <c r="J1023" s="29" t="s">
        <v>721</v>
      </c>
    </row>
    <row r="1024" spans="1:10" ht="12" customHeight="1">
      <c r="A1024" s="74">
        <v>4058075763388</v>
      </c>
      <c r="B1024" s="61" t="s">
        <v>5649</v>
      </c>
      <c r="C1024" s="62">
        <v>1</v>
      </c>
      <c r="D1024" s="63" t="s">
        <v>4556</v>
      </c>
      <c r="E1024" s="70" t="str">
        <f>HYPERLINK("https://ledvance.com/pt/product-datasheet/233006/210620","Ficha de Produto")</f>
        <v>Ficha de Produto</v>
      </c>
      <c r="F1024" s="62"/>
      <c r="G1024" s="65" t="s">
        <v>5521</v>
      </c>
      <c r="H1024" s="62" t="s">
        <v>4974</v>
      </c>
      <c r="I1024" s="30">
        <v>184.79999999999998</v>
      </c>
      <c r="J1024" s="29" t="s">
        <v>721</v>
      </c>
    </row>
    <row r="1025" spans="1:10" ht="15" customHeight="1">
      <c r="A1025" s="122" t="s">
        <v>4568</v>
      </c>
      <c r="B1025" s="116"/>
      <c r="C1025" s="117"/>
      <c r="D1025" s="118"/>
      <c r="E1025" s="71"/>
      <c r="F1025" s="117"/>
      <c r="G1025" s="119"/>
      <c r="H1025" s="268"/>
      <c r="I1025" s="57"/>
      <c r="J1025" s="58"/>
    </row>
    <row r="1026" spans="1:10" ht="12" customHeight="1">
      <c r="A1026" s="74">
        <v>4058075763807</v>
      </c>
      <c r="B1026" s="61" t="s">
        <v>5650</v>
      </c>
      <c r="C1026" s="62">
        <v>1</v>
      </c>
      <c r="D1026" s="63" t="s">
        <v>4556</v>
      </c>
      <c r="E1026" s="70" t="str">
        <f>HYPERLINK("https://ledvance.com/pt/product-datasheet/233015/210571","Ficha de Produto")</f>
        <v>Ficha de Produto</v>
      </c>
      <c r="F1026" s="62"/>
      <c r="G1026" s="65" t="s">
        <v>5651</v>
      </c>
      <c r="H1026" s="62" t="s">
        <v>4930</v>
      </c>
      <c r="I1026" s="30">
        <v>96</v>
      </c>
      <c r="J1026" s="29" t="s">
        <v>721</v>
      </c>
    </row>
    <row r="1027" spans="1:10" ht="12" customHeight="1">
      <c r="A1027" s="74">
        <v>4058075763821</v>
      </c>
      <c r="B1027" s="61" t="s">
        <v>5652</v>
      </c>
      <c r="C1027" s="62">
        <v>1</v>
      </c>
      <c r="D1027" s="63" t="s">
        <v>4556</v>
      </c>
      <c r="E1027" s="70" t="str">
        <f>HYPERLINK("https://ledvance.com/pt/product-datasheet/233016/210574","Ficha de Produto")</f>
        <v>Ficha de Produto</v>
      </c>
      <c r="F1027" s="62"/>
      <c r="G1027" s="65" t="s">
        <v>5651</v>
      </c>
      <c r="H1027" s="62" t="s">
        <v>4930</v>
      </c>
      <c r="I1027" s="30">
        <v>137</v>
      </c>
      <c r="J1027" s="29" t="s">
        <v>721</v>
      </c>
    </row>
    <row r="1028" spans="1:10" ht="15" customHeight="1">
      <c r="A1028" s="123" t="s">
        <v>4563</v>
      </c>
      <c r="B1028" s="116"/>
      <c r="C1028" s="117"/>
      <c r="D1028" s="124"/>
      <c r="E1028" s="71"/>
      <c r="F1028" s="117"/>
      <c r="G1028" s="119"/>
      <c r="H1028" s="268"/>
      <c r="I1028" s="57"/>
      <c r="J1028" s="58"/>
    </row>
    <row r="1029" spans="1:10" ht="15" customHeight="1">
      <c r="A1029" s="122" t="s">
        <v>4569</v>
      </c>
      <c r="B1029" s="116"/>
      <c r="C1029" s="117"/>
      <c r="D1029" s="118"/>
      <c r="E1029" s="118"/>
      <c r="F1029" s="117"/>
      <c r="G1029" s="119"/>
      <c r="H1029" s="268"/>
      <c r="I1029" s="57"/>
      <c r="J1029" s="58"/>
    </row>
    <row r="1030" spans="1:10" ht="12" customHeight="1">
      <c r="A1030" s="74">
        <v>4058075763463</v>
      </c>
      <c r="B1030" s="61" t="s">
        <v>5653</v>
      </c>
      <c r="C1030" s="62">
        <v>1</v>
      </c>
      <c r="D1030" s="63" t="s">
        <v>4556</v>
      </c>
      <c r="E1030" s="70" t="str">
        <f>HYPERLINK("https://ledvance.com/pt/product-datasheet/233000/210559","Ficha de Produto")</f>
        <v>Ficha de Produto</v>
      </c>
      <c r="F1030" s="62"/>
      <c r="G1030" s="65" t="s">
        <v>1746</v>
      </c>
      <c r="H1030" s="62" t="s">
        <v>5654</v>
      </c>
      <c r="I1030" s="30">
        <v>96</v>
      </c>
      <c r="J1030" s="29" t="s">
        <v>721</v>
      </c>
    </row>
    <row r="1031" spans="1:10" ht="15" customHeight="1">
      <c r="A1031" s="122" t="s">
        <v>4570</v>
      </c>
      <c r="B1031" s="116"/>
      <c r="C1031" s="117"/>
      <c r="D1031" s="118"/>
      <c r="E1031" s="71"/>
      <c r="F1031" s="117"/>
      <c r="G1031" s="119"/>
      <c r="H1031" s="268"/>
      <c r="I1031" s="57"/>
      <c r="J1031" s="58"/>
    </row>
    <row r="1032" spans="1:10" ht="12" customHeight="1">
      <c r="A1032" s="60">
        <v>4058075564367</v>
      </c>
      <c r="B1032" s="61" t="s">
        <v>5655</v>
      </c>
      <c r="C1032" s="62">
        <v>1</v>
      </c>
      <c r="D1032" s="63" t="s">
        <v>4556</v>
      </c>
      <c r="E1032" s="70" t="str">
        <f>HYPERLINK("https://ledvance.com/pt/product-datasheet/169538/32269","Ficha de Produto")</f>
        <v>Ficha de Produto</v>
      </c>
      <c r="F1032" s="62"/>
      <c r="G1032" s="65" t="s">
        <v>4977</v>
      </c>
      <c r="H1032" s="62" t="s">
        <v>4974</v>
      </c>
      <c r="I1032" s="30">
        <v>82.3</v>
      </c>
      <c r="J1032" s="29" t="s">
        <v>721</v>
      </c>
    </row>
    <row r="1033" spans="1:10" ht="12" customHeight="1">
      <c r="A1033" s="60">
        <v>4058075564404</v>
      </c>
      <c r="B1033" s="61" t="s">
        <v>5656</v>
      </c>
      <c r="C1033" s="62">
        <v>1</v>
      </c>
      <c r="D1033" s="63" t="s">
        <v>4556</v>
      </c>
      <c r="E1033" s="70" t="str">
        <f>HYPERLINK("https://ledvance.com/pt/product-datasheet/169538/32272","Ficha de Produto")</f>
        <v>Ficha de Produto</v>
      </c>
      <c r="F1033" s="62"/>
      <c r="G1033" s="65" t="s">
        <v>4977</v>
      </c>
      <c r="H1033" s="62" t="s">
        <v>4974</v>
      </c>
      <c r="I1033" s="30">
        <v>96</v>
      </c>
      <c r="J1033" s="29" t="s">
        <v>721</v>
      </c>
    </row>
    <row r="1034" spans="1:10" ht="12" customHeight="1">
      <c r="A1034" s="60">
        <v>4058075564428</v>
      </c>
      <c r="B1034" s="61" t="s">
        <v>5655</v>
      </c>
      <c r="C1034" s="62">
        <v>1</v>
      </c>
      <c r="D1034" s="63" t="s">
        <v>4556</v>
      </c>
      <c r="E1034" s="70" t="str">
        <f>HYPERLINK("https://ledvance.com/pt/product-datasheet/169538/30533","Ficha de Produto")</f>
        <v>Ficha de Produto</v>
      </c>
      <c r="F1034" s="62"/>
      <c r="G1034" s="65" t="s">
        <v>4977</v>
      </c>
      <c r="H1034" s="62" t="s">
        <v>4974</v>
      </c>
      <c r="I1034" s="30">
        <v>82.3</v>
      </c>
      <c r="J1034" s="29" t="s">
        <v>721</v>
      </c>
    </row>
    <row r="1035" spans="1:10" ht="12" customHeight="1">
      <c r="A1035" s="60">
        <v>4058075564442</v>
      </c>
      <c r="B1035" s="61" t="s">
        <v>5656</v>
      </c>
      <c r="C1035" s="62">
        <v>1</v>
      </c>
      <c r="D1035" s="63" t="s">
        <v>4556</v>
      </c>
      <c r="E1035" s="70" t="str">
        <f>HYPERLINK("https://ledvance.com/pt/product-datasheet/169538/30536","Ficha de Produto")</f>
        <v>Ficha de Produto</v>
      </c>
      <c r="F1035" s="62"/>
      <c r="G1035" s="65" t="s">
        <v>4977</v>
      </c>
      <c r="H1035" s="62" t="s">
        <v>4974</v>
      </c>
      <c r="I1035" s="30">
        <v>96</v>
      </c>
      <c r="J1035" s="29" t="s">
        <v>721</v>
      </c>
    </row>
    <row r="1036" spans="1:10" ht="15" customHeight="1">
      <c r="A1036" s="122" t="s">
        <v>4571</v>
      </c>
      <c r="B1036" s="116"/>
      <c r="C1036" s="117"/>
      <c r="D1036" s="118"/>
      <c r="E1036" s="71"/>
      <c r="F1036" s="117"/>
      <c r="G1036" s="119"/>
      <c r="H1036" s="268"/>
      <c r="I1036" s="57"/>
      <c r="J1036" s="58"/>
    </row>
    <row r="1037" spans="1:10" ht="12" customHeight="1">
      <c r="A1037" s="60">
        <v>4058075478336</v>
      </c>
      <c r="B1037" s="61" t="s">
        <v>5657</v>
      </c>
      <c r="C1037" s="62">
        <v>1</v>
      </c>
      <c r="D1037" s="63" t="s">
        <v>4556</v>
      </c>
      <c r="E1037" s="70" t="str">
        <f>HYPERLINK("https://ledvance.com/pt/product-datasheet/6473/120533","Ficha de Produto")</f>
        <v>Ficha de Produto</v>
      </c>
      <c r="F1037" s="62"/>
      <c r="G1037" s="65" t="s">
        <v>5005</v>
      </c>
      <c r="H1037" s="62" t="s">
        <v>4974</v>
      </c>
      <c r="I1037" s="30">
        <v>82.3</v>
      </c>
      <c r="J1037" s="29" t="s">
        <v>721</v>
      </c>
    </row>
    <row r="1038" spans="1:10" ht="12" customHeight="1">
      <c r="A1038" s="60">
        <v>4058075478350</v>
      </c>
      <c r="B1038" s="61" t="s">
        <v>5657</v>
      </c>
      <c r="C1038" s="62">
        <v>1</v>
      </c>
      <c r="D1038" s="63" t="s">
        <v>4556</v>
      </c>
      <c r="E1038" s="70" t="str">
        <f>HYPERLINK("https://ledvance.com/pt/product-datasheet/6473/120536","Ficha de Produto")</f>
        <v>Ficha de Produto</v>
      </c>
      <c r="F1038" s="62"/>
      <c r="G1038" s="65" t="s">
        <v>5005</v>
      </c>
      <c r="H1038" s="62" t="s">
        <v>4974</v>
      </c>
      <c r="I1038" s="30">
        <v>82.3</v>
      </c>
      <c r="J1038" s="29" t="s">
        <v>721</v>
      </c>
    </row>
    <row r="1039" spans="1:10" ht="15" customHeight="1">
      <c r="A1039" s="122" t="s">
        <v>4572</v>
      </c>
      <c r="B1039" s="116"/>
      <c r="C1039" s="117"/>
      <c r="D1039" s="118"/>
      <c r="E1039" s="71"/>
      <c r="F1039" s="117"/>
      <c r="G1039" s="119"/>
      <c r="H1039" s="268"/>
      <c r="I1039" s="57"/>
      <c r="J1039" s="58"/>
    </row>
    <row r="1040" spans="1:10" ht="12" customHeight="1">
      <c r="A1040" s="60">
        <v>4058075564183</v>
      </c>
      <c r="B1040" s="61" t="s">
        <v>5658</v>
      </c>
      <c r="C1040" s="62">
        <v>1</v>
      </c>
      <c r="D1040" s="63" t="s">
        <v>4556</v>
      </c>
      <c r="E1040" s="70" t="str">
        <f>HYPERLINK("https://ledvance.com/pt/product-datasheet/169535/32242","Ficha de Produto")</f>
        <v>Ficha de Produto</v>
      </c>
      <c r="F1040" s="62"/>
      <c r="G1040" s="65" t="s">
        <v>5005</v>
      </c>
      <c r="H1040" s="62" t="s">
        <v>4974</v>
      </c>
      <c r="I1040" s="30">
        <v>96</v>
      </c>
      <c r="J1040" s="29" t="s">
        <v>721</v>
      </c>
    </row>
    <row r="1041" spans="1:10" ht="12" customHeight="1">
      <c r="A1041" s="60">
        <v>4058075564206</v>
      </c>
      <c r="B1041" s="61" t="s">
        <v>5659</v>
      </c>
      <c r="C1041" s="62">
        <v>1</v>
      </c>
      <c r="D1041" s="63" t="s">
        <v>4556</v>
      </c>
      <c r="E1041" s="70" t="str">
        <f>HYPERLINK("https://ledvance.com/pt/product-datasheet/169535/32245","Ficha de Produto")</f>
        <v>Ficha de Produto</v>
      </c>
      <c r="F1041" s="62"/>
      <c r="G1041" s="65" t="s">
        <v>5005</v>
      </c>
      <c r="H1041" s="62" t="s">
        <v>4974</v>
      </c>
      <c r="I1041" s="30">
        <v>109.69999999999999</v>
      </c>
      <c r="J1041" s="29" t="s">
        <v>721</v>
      </c>
    </row>
    <row r="1042" spans="1:10" ht="12" customHeight="1">
      <c r="A1042" s="60">
        <v>4058075564220</v>
      </c>
      <c r="B1042" s="61" t="s">
        <v>5660</v>
      </c>
      <c r="C1042" s="62">
        <v>1</v>
      </c>
      <c r="D1042" s="63" t="s">
        <v>4556</v>
      </c>
      <c r="E1042" s="70" t="str">
        <f>HYPERLINK("https://ledvance.com/pt/product-datasheet/169535/32248","Ficha de Produto")</f>
        <v>Ficha de Produto</v>
      </c>
      <c r="F1042" s="62"/>
      <c r="G1042" s="65" t="s">
        <v>5005</v>
      </c>
      <c r="H1042" s="62" t="s">
        <v>4974</v>
      </c>
      <c r="I1042" s="30">
        <v>123.3</v>
      </c>
      <c r="J1042" s="29" t="s">
        <v>721</v>
      </c>
    </row>
    <row r="1043" spans="1:10" ht="15" customHeight="1">
      <c r="A1043" s="122" t="s">
        <v>4573</v>
      </c>
      <c r="B1043" s="116"/>
      <c r="C1043" s="117"/>
      <c r="D1043" s="118"/>
      <c r="E1043" s="71"/>
      <c r="F1043" s="117"/>
      <c r="G1043" s="119"/>
      <c r="H1043" s="268"/>
      <c r="I1043" s="57"/>
      <c r="J1043" s="58"/>
    </row>
    <row r="1044" spans="1:10" ht="12" customHeight="1">
      <c r="A1044" s="60">
        <v>4058075564244</v>
      </c>
      <c r="B1044" s="61" t="s">
        <v>5661</v>
      </c>
      <c r="C1044" s="62">
        <v>1</v>
      </c>
      <c r="D1044" s="63" t="s">
        <v>4556</v>
      </c>
      <c r="E1044" s="70" t="str">
        <f>HYPERLINK("https://ledvance.com/pt/product-datasheet/169536/32251","Ficha de Produto")</f>
        <v>Ficha de Produto</v>
      </c>
      <c r="F1044" s="62"/>
      <c r="G1044" s="65" t="s">
        <v>5005</v>
      </c>
      <c r="H1044" s="62" t="s">
        <v>4974</v>
      </c>
      <c r="I1044" s="30">
        <v>109.69999999999999</v>
      </c>
      <c r="J1044" s="29" t="s">
        <v>721</v>
      </c>
    </row>
    <row r="1045" spans="1:10" ht="12" customHeight="1">
      <c r="A1045" s="60">
        <v>4058075564268</v>
      </c>
      <c r="B1045" s="61" t="s">
        <v>5662</v>
      </c>
      <c r="C1045" s="62">
        <v>1</v>
      </c>
      <c r="D1045" s="63" t="s">
        <v>4556</v>
      </c>
      <c r="E1045" s="70" t="str">
        <f>HYPERLINK("https://ledvance.com/pt/product-datasheet/169536/32254","Ficha de Produto")</f>
        <v>Ficha de Produto</v>
      </c>
      <c r="F1045" s="62"/>
      <c r="G1045" s="65" t="s">
        <v>5005</v>
      </c>
      <c r="H1045" s="62" t="s">
        <v>4974</v>
      </c>
      <c r="I1045" s="30">
        <v>123.3</v>
      </c>
      <c r="J1045" s="29" t="s">
        <v>721</v>
      </c>
    </row>
    <row r="1046" spans="1:10" ht="12" customHeight="1">
      <c r="A1046" s="60">
        <v>4058075564282</v>
      </c>
      <c r="B1046" s="61" t="s">
        <v>5663</v>
      </c>
      <c r="C1046" s="62">
        <v>1</v>
      </c>
      <c r="D1046" s="63" t="s">
        <v>4556</v>
      </c>
      <c r="E1046" s="70" t="str">
        <f>HYPERLINK("https://ledvance.com/pt/product-datasheet/169536/32257","Ficha de Produto")</f>
        <v>Ficha de Produto</v>
      </c>
      <c r="F1046" s="62"/>
      <c r="G1046" s="65" t="s">
        <v>5005</v>
      </c>
      <c r="H1046" s="62" t="s">
        <v>4974</v>
      </c>
      <c r="I1046" s="30">
        <v>137</v>
      </c>
      <c r="J1046" s="29" t="s">
        <v>721</v>
      </c>
    </row>
    <row r="1047" spans="1:10" ht="15" customHeight="1">
      <c r="A1047" s="122" t="s">
        <v>4574</v>
      </c>
      <c r="B1047" s="116"/>
      <c r="C1047" s="117"/>
      <c r="D1047" s="118"/>
      <c r="E1047" s="118"/>
      <c r="F1047" s="117"/>
      <c r="G1047" s="119"/>
      <c r="H1047" s="268"/>
      <c r="I1047" s="57"/>
      <c r="J1047" s="58"/>
    </row>
    <row r="1048" spans="1:10" ht="12" customHeight="1">
      <c r="A1048" s="60">
        <v>4058075564305</v>
      </c>
      <c r="B1048" s="61" t="s">
        <v>5664</v>
      </c>
      <c r="C1048" s="62">
        <v>1</v>
      </c>
      <c r="D1048" s="63" t="s">
        <v>4556</v>
      </c>
      <c r="E1048" s="70" t="str">
        <f>HYPERLINK("https://ledvance.com/pt/product-datasheet/169537/32260","Ficha de Produto")</f>
        <v>Ficha de Produto</v>
      </c>
      <c r="F1048" s="62"/>
      <c r="G1048" s="65" t="s">
        <v>4977</v>
      </c>
      <c r="H1048" s="62" t="s">
        <v>4974</v>
      </c>
      <c r="I1048" s="30">
        <v>109.69999999999999</v>
      </c>
      <c r="J1048" s="29" t="s">
        <v>721</v>
      </c>
    </row>
    <row r="1049" spans="1:10" ht="12" customHeight="1">
      <c r="A1049" s="60">
        <v>4058075564329</v>
      </c>
      <c r="B1049" s="61" t="s">
        <v>5665</v>
      </c>
      <c r="C1049" s="62">
        <v>1</v>
      </c>
      <c r="D1049" s="63" t="s">
        <v>4556</v>
      </c>
      <c r="E1049" s="70" t="str">
        <f>HYPERLINK("https://ledvance.com/pt/product-datasheet/169537/32263","Ficha de Produto")</f>
        <v>Ficha de Produto</v>
      </c>
      <c r="F1049" s="62"/>
      <c r="G1049" s="65" t="s">
        <v>4977</v>
      </c>
      <c r="H1049" s="62" t="s">
        <v>4974</v>
      </c>
      <c r="I1049" s="30">
        <v>123.3</v>
      </c>
      <c r="J1049" s="29" t="s">
        <v>721</v>
      </c>
    </row>
    <row r="1050" spans="1:10" ht="12" customHeight="1">
      <c r="A1050" s="60">
        <v>4058075564343</v>
      </c>
      <c r="B1050" s="61" t="s">
        <v>5666</v>
      </c>
      <c r="C1050" s="62">
        <v>1</v>
      </c>
      <c r="D1050" s="63" t="s">
        <v>4556</v>
      </c>
      <c r="E1050" s="70" t="str">
        <f>HYPERLINK("https://ledvance.com/pt/product-datasheet/169537/32266","Ficha de Produto")</f>
        <v>Ficha de Produto</v>
      </c>
      <c r="F1050" s="62"/>
      <c r="G1050" s="65" t="s">
        <v>4977</v>
      </c>
      <c r="H1050" s="62" t="s">
        <v>4974</v>
      </c>
      <c r="I1050" s="30">
        <v>137</v>
      </c>
      <c r="J1050" s="29" t="s">
        <v>721</v>
      </c>
    </row>
    <row r="1051" spans="1:10" ht="15" customHeight="1">
      <c r="A1051" s="122" t="s">
        <v>4575</v>
      </c>
      <c r="B1051" s="116"/>
      <c r="C1051" s="117"/>
      <c r="D1051" s="118"/>
      <c r="E1051" s="118"/>
      <c r="F1051" s="117"/>
      <c r="G1051" s="119"/>
      <c r="H1051" s="268"/>
      <c r="I1051" s="57"/>
      <c r="J1051" s="58"/>
    </row>
    <row r="1052" spans="1:10" ht="12" customHeight="1">
      <c r="A1052" s="60">
        <v>4058075478077</v>
      </c>
      <c r="B1052" s="61" t="s">
        <v>5667</v>
      </c>
      <c r="C1052" s="62">
        <v>1</v>
      </c>
      <c r="D1052" s="63" t="s">
        <v>4556</v>
      </c>
      <c r="E1052" s="70" t="str">
        <f>HYPERLINK("https://ledvance.com/pt/product-datasheet/6474/120470","Ficha de Produto")</f>
        <v>Ficha de Produto</v>
      </c>
      <c r="F1052" s="62"/>
      <c r="G1052" s="65" t="s">
        <v>4977</v>
      </c>
      <c r="H1052" s="62" t="s">
        <v>4974</v>
      </c>
      <c r="I1052" s="30">
        <v>96</v>
      </c>
      <c r="J1052" s="29" t="s">
        <v>721</v>
      </c>
    </row>
    <row r="1053" spans="1:10" ht="12" customHeight="1">
      <c r="A1053" s="60">
        <v>4058075478114</v>
      </c>
      <c r="B1053" s="61" t="s">
        <v>5668</v>
      </c>
      <c r="C1053" s="62">
        <v>1</v>
      </c>
      <c r="D1053" s="63" t="s">
        <v>4556</v>
      </c>
      <c r="E1053" s="70" t="str">
        <f>HYPERLINK("https://ledvance.com/pt/product-datasheet/6474/120473","Ficha de Produto")</f>
        <v>Ficha de Produto</v>
      </c>
      <c r="F1053" s="62"/>
      <c r="G1053" s="65" t="s">
        <v>5005</v>
      </c>
      <c r="H1053" s="62" t="s">
        <v>4974</v>
      </c>
      <c r="I1053" s="30">
        <v>82.3</v>
      </c>
      <c r="J1053" s="29" t="s">
        <v>721</v>
      </c>
    </row>
    <row r="1054" spans="1:10" ht="12" customHeight="1">
      <c r="A1054" s="60">
        <v>4058075478152</v>
      </c>
      <c r="B1054" s="61" t="s">
        <v>5669</v>
      </c>
      <c r="C1054" s="62">
        <v>1</v>
      </c>
      <c r="D1054" s="63" t="s">
        <v>4556</v>
      </c>
      <c r="E1054" s="70" t="str">
        <f>HYPERLINK("https://ledvance.com/pt/product-datasheet/6474/120476","Ficha de Produto")</f>
        <v>Ficha de Produto</v>
      </c>
      <c r="F1054" s="62"/>
      <c r="G1054" s="65" t="s">
        <v>5005</v>
      </c>
      <c r="H1054" s="62" t="s">
        <v>4974</v>
      </c>
      <c r="I1054" s="30">
        <v>96</v>
      </c>
      <c r="J1054" s="29" t="s">
        <v>721</v>
      </c>
    </row>
    <row r="1055" spans="1:10" ht="12" customHeight="1">
      <c r="A1055" s="60">
        <v>4058075478176</v>
      </c>
      <c r="B1055" s="61" t="s">
        <v>5670</v>
      </c>
      <c r="C1055" s="62">
        <v>1</v>
      </c>
      <c r="D1055" s="63" t="s">
        <v>4556</v>
      </c>
      <c r="E1055" s="70" t="str">
        <f>HYPERLINK("https://ledvance.com/pt/product-datasheet/6474/120479","Ficha de Produto")</f>
        <v>Ficha de Produto</v>
      </c>
      <c r="F1055" s="62"/>
      <c r="G1055" s="65" t="s">
        <v>5005</v>
      </c>
      <c r="H1055" s="62" t="s">
        <v>4974</v>
      </c>
      <c r="I1055" s="30">
        <v>109.69999999999999</v>
      </c>
      <c r="J1055" s="29" t="s">
        <v>721</v>
      </c>
    </row>
    <row r="1056" spans="1:10" ht="15" customHeight="1">
      <c r="A1056" s="122" t="s">
        <v>4576</v>
      </c>
      <c r="B1056" s="116"/>
      <c r="C1056" s="117"/>
      <c r="D1056" s="118"/>
      <c r="E1056" s="71"/>
      <c r="F1056" s="117"/>
      <c r="G1056" s="119"/>
      <c r="H1056" s="268"/>
      <c r="I1056" s="57"/>
      <c r="J1056" s="58"/>
    </row>
    <row r="1057" spans="1:10" ht="12" customHeight="1">
      <c r="A1057" s="60">
        <v>4058075478275</v>
      </c>
      <c r="B1057" s="61" t="s">
        <v>5671</v>
      </c>
      <c r="C1057" s="62">
        <v>1</v>
      </c>
      <c r="D1057" s="63" t="s">
        <v>4556</v>
      </c>
      <c r="E1057" s="70" t="str">
        <f>HYPERLINK("https://ledvance.com/pt/product-datasheet/6471/120527","Ficha de Produto")</f>
        <v>Ficha de Produto</v>
      </c>
      <c r="F1057" s="62"/>
      <c r="G1057" s="65" t="s">
        <v>5521</v>
      </c>
      <c r="H1057" s="62" t="s">
        <v>4974</v>
      </c>
      <c r="I1057" s="30">
        <v>82.3</v>
      </c>
      <c r="J1057" s="29" t="s">
        <v>721</v>
      </c>
    </row>
    <row r="1058" spans="1:10" ht="12" customHeight="1">
      <c r="A1058" s="60">
        <v>4058075478299</v>
      </c>
      <c r="B1058" s="61" t="s">
        <v>5672</v>
      </c>
      <c r="C1058" s="62">
        <v>1</v>
      </c>
      <c r="D1058" s="63" t="s">
        <v>4556</v>
      </c>
      <c r="E1058" s="70" t="str">
        <f>HYPERLINK("https://ledvance.com/pt/product-datasheet/6471/120530","Ficha de Produto")</f>
        <v>Ficha de Produto</v>
      </c>
      <c r="F1058" s="62"/>
      <c r="G1058" s="65" t="s">
        <v>5521</v>
      </c>
      <c r="H1058" s="62" t="s">
        <v>4974</v>
      </c>
      <c r="I1058" s="30">
        <v>96</v>
      </c>
      <c r="J1058" s="29" t="s">
        <v>721</v>
      </c>
    </row>
    <row r="1059" spans="1:10" ht="15" customHeight="1">
      <c r="A1059" s="122" t="s">
        <v>4577</v>
      </c>
      <c r="B1059" s="116"/>
      <c r="C1059" s="117"/>
      <c r="D1059" s="118"/>
      <c r="E1059" s="71"/>
      <c r="F1059" s="117"/>
      <c r="G1059" s="119"/>
      <c r="H1059" s="268"/>
      <c r="I1059" s="57"/>
      <c r="J1059" s="58"/>
    </row>
    <row r="1060" spans="1:10" ht="12" customHeight="1">
      <c r="A1060" s="74">
        <v>4058075184572</v>
      </c>
      <c r="B1060" s="61" t="s">
        <v>5673</v>
      </c>
      <c r="C1060" s="62">
        <v>1</v>
      </c>
      <c r="D1060" s="63" t="s">
        <v>4556</v>
      </c>
      <c r="E1060" s="70" t="str">
        <f>HYPERLINK("https://ledvance.com/pt/product-datasheet/6354/36369","Ficha de Produto")</f>
        <v>Ficha de Produto</v>
      </c>
      <c r="F1060" s="125" t="s">
        <v>4251</v>
      </c>
      <c r="G1060" s="65" t="s">
        <v>4940</v>
      </c>
      <c r="H1060" s="62" t="s">
        <v>5529</v>
      </c>
      <c r="I1060" s="30">
        <v>114.5</v>
      </c>
      <c r="J1060" s="29" t="s">
        <v>721</v>
      </c>
    </row>
    <row r="1061" spans="1:10" ht="12" customHeight="1">
      <c r="A1061" s="74">
        <v>4058075184589</v>
      </c>
      <c r="B1061" s="112" t="s">
        <v>4578</v>
      </c>
      <c r="C1061" s="62">
        <v>0</v>
      </c>
      <c r="D1061" s="63" t="s">
        <v>4556</v>
      </c>
      <c r="E1061" s="70" t="str">
        <f>HYPERLINK("https://ledvance.com/pt/product-datasheet/6354/30761","Ficha de Produto")</f>
        <v>Ficha de Produto</v>
      </c>
      <c r="F1061" s="125" t="s">
        <v>4251</v>
      </c>
      <c r="G1061" s="65" t="s">
        <v>1201</v>
      </c>
      <c r="H1061" s="65" t="s">
        <v>1201</v>
      </c>
      <c r="I1061" s="30">
        <v>140.69999999999999</v>
      </c>
      <c r="J1061" s="29" t="s">
        <v>721</v>
      </c>
    </row>
    <row r="1062" spans="1:10" ht="12" customHeight="1">
      <c r="A1062" s="74">
        <v>4058075184619</v>
      </c>
      <c r="B1062" s="112" t="s">
        <v>4579</v>
      </c>
      <c r="C1062" s="62">
        <v>0</v>
      </c>
      <c r="D1062" s="63" t="s">
        <v>4556</v>
      </c>
      <c r="E1062" s="70" t="str">
        <f>HYPERLINK("https://ledvance.com/pt/product-datasheet/6354/36373","Ficha de Produto")</f>
        <v>Ficha de Produto</v>
      </c>
      <c r="F1062" s="125" t="s">
        <v>4251</v>
      </c>
      <c r="G1062" s="65" t="s">
        <v>1201</v>
      </c>
      <c r="H1062" s="65" t="s">
        <v>1201</v>
      </c>
      <c r="I1062" s="30">
        <v>161.29999999999998</v>
      </c>
      <c r="J1062" s="29" t="s">
        <v>721</v>
      </c>
    </row>
    <row r="1063" spans="1:10" ht="15" customHeight="1">
      <c r="A1063" s="123" t="s">
        <v>4580</v>
      </c>
      <c r="B1063" s="116"/>
      <c r="C1063" s="117"/>
      <c r="D1063" s="124"/>
      <c r="E1063" s="124"/>
      <c r="F1063" s="117"/>
      <c r="G1063" s="119"/>
      <c r="H1063" s="268"/>
      <c r="I1063" s="57"/>
      <c r="J1063" s="58"/>
    </row>
    <row r="1064" spans="1:10" ht="15" customHeight="1">
      <c r="A1064" s="123" t="s">
        <v>4581</v>
      </c>
      <c r="B1064" s="116"/>
      <c r="C1064" s="117"/>
      <c r="D1064" s="124"/>
      <c r="E1064" s="124"/>
      <c r="F1064" s="117"/>
      <c r="G1064" s="119"/>
      <c r="H1064" s="268"/>
      <c r="I1064" s="57"/>
      <c r="J1064" s="58"/>
    </row>
    <row r="1065" spans="1:10" ht="15" customHeight="1">
      <c r="A1065" s="122" t="s">
        <v>4582</v>
      </c>
      <c r="B1065" s="116"/>
      <c r="C1065" s="117"/>
      <c r="D1065" s="118"/>
      <c r="E1065" s="118"/>
      <c r="F1065" s="117"/>
      <c r="G1065" s="119"/>
      <c r="H1065" s="268"/>
      <c r="I1065" s="57"/>
      <c r="J1065" s="58"/>
    </row>
    <row r="1066" spans="1:10" ht="12" customHeight="1">
      <c r="A1066" s="83">
        <v>4058075835184</v>
      </c>
      <c r="B1066" s="61" t="s">
        <v>5674</v>
      </c>
      <c r="C1066" s="62">
        <v>1</v>
      </c>
      <c r="D1066" s="63" t="s">
        <v>4556</v>
      </c>
      <c r="E1066" s="70" t="str">
        <f>HYPERLINK("https://ledvance.com/pt/product-datasheet/286602/272695","Ficha de Produto")</f>
        <v>Ficha de Produto</v>
      </c>
      <c r="F1066" s="126"/>
      <c r="G1066" s="65" t="s">
        <v>5021</v>
      </c>
      <c r="H1066" s="62" t="s">
        <v>4974</v>
      </c>
      <c r="I1066" s="30">
        <v>68.3</v>
      </c>
      <c r="J1066" s="29" t="s">
        <v>721</v>
      </c>
    </row>
    <row r="1067" spans="1:10" ht="15" customHeight="1">
      <c r="A1067" s="122" t="s">
        <v>4583</v>
      </c>
      <c r="B1067" s="116"/>
      <c r="C1067" s="117"/>
      <c r="D1067" s="118"/>
      <c r="E1067" s="71"/>
      <c r="F1067" s="117"/>
      <c r="G1067" s="119"/>
      <c r="H1067" s="268"/>
      <c r="I1067" s="57"/>
      <c r="J1067" s="58"/>
    </row>
    <row r="1068" spans="1:10" ht="12" customHeight="1">
      <c r="A1068" s="83">
        <v>4058075835108</v>
      </c>
      <c r="B1068" s="61" t="s">
        <v>5675</v>
      </c>
      <c r="C1068" s="62">
        <v>1</v>
      </c>
      <c r="D1068" s="63" t="s">
        <v>4556</v>
      </c>
      <c r="E1068" s="70" t="str">
        <f>HYPERLINK("https://ledvance.com/pt/product-datasheet/286601/272661","Ficha de Produto")</f>
        <v>Ficha de Produto</v>
      </c>
      <c r="F1068" s="94" t="s">
        <v>4584</v>
      </c>
      <c r="G1068" s="65" t="s">
        <v>5021</v>
      </c>
      <c r="H1068" s="62" t="s">
        <v>4974</v>
      </c>
      <c r="I1068" s="30">
        <v>80.399999999999991</v>
      </c>
      <c r="J1068" s="29" t="s">
        <v>721</v>
      </c>
    </row>
    <row r="1069" spans="1:10" ht="12" customHeight="1">
      <c r="A1069" s="83">
        <v>4058075835122</v>
      </c>
      <c r="B1069" s="61" t="s">
        <v>5676</v>
      </c>
      <c r="C1069" s="62">
        <v>1</v>
      </c>
      <c r="D1069" s="63" t="s">
        <v>4556</v>
      </c>
      <c r="E1069" s="70" t="str">
        <f>HYPERLINK("https://ledvance.com/pt/product-datasheet/286601/272671","Ficha de Produto")</f>
        <v>Ficha de Produto</v>
      </c>
      <c r="F1069" s="94" t="s">
        <v>4584</v>
      </c>
      <c r="G1069" s="65" t="s">
        <v>5180</v>
      </c>
      <c r="H1069" s="62" t="s">
        <v>4974</v>
      </c>
      <c r="I1069" s="30">
        <v>100</v>
      </c>
      <c r="J1069" s="29" t="s">
        <v>721</v>
      </c>
    </row>
    <row r="1070" spans="1:10" ht="12" customHeight="1">
      <c r="A1070" s="83">
        <v>4058075835146</v>
      </c>
      <c r="B1070" s="61" t="s">
        <v>5677</v>
      </c>
      <c r="C1070" s="62">
        <v>1</v>
      </c>
      <c r="D1070" s="63" t="s">
        <v>4556</v>
      </c>
      <c r="E1070" s="70" t="str">
        <f>HYPERLINK("https://ledvance.com/pt/product-datasheet/286601/272679","Ficha de Produto")</f>
        <v>Ficha de Produto</v>
      </c>
      <c r="F1070" s="94" t="s">
        <v>4584</v>
      </c>
      <c r="G1070" s="65" t="s">
        <v>5021</v>
      </c>
      <c r="H1070" s="62" t="s">
        <v>4974</v>
      </c>
      <c r="I1070" s="30">
        <v>80.399999999999991</v>
      </c>
      <c r="J1070" s="29" t="s">
        <v>721</v>
      </c>
    </row>
    <row r="1071" spans="1:10" ht="12" customHeight="1">
      <c r="A1071" s="83">
        <v>4058075835160</v>
      </c>
      <c r="B1071" s="61" t="s">
        <v>5678</v>
      </c>
      <c r="C1071" s="62">
        <v>1</v>
      </c>
      <c r="D1071" s="63" t="s">
        <v>4556</v>
      </c>
      <c r="E1071" s="70" t="str">
        <f>HYPERLINK("https://ledvance.com/pt/product-datasheet/286601/272687","Ficha de Produto")</f>
        <v>Ficha de Produto</v>
      </c>
      <c r="F1071" s="94" t="s">
        <v>4584</v>
      </c>
      <c r="G1071" s="65" t="s">
        <v>5180</v>
      </c>
      <c r="H1071" s="62" t="s">
        <v>4974</v>
      </c>
      <c r="I1071" s="30">
        <v>100</v>
      </c>
      <c r="J1071" s="29" t="s">
        <v>721</v>
      </c>
    </row>
    <row r="1072" spans="1:10" ht="15" customHeight="1">
      <c r="A1072" s="122" t="s">
        <v>4585</v>
      </c>
      <c r="B1072" s="116"/>
      <c r="C1072" s="117"/>
      <c r="D1072" s="118"/>
      <c r="E1072" s="71"/>
      <c r="F1072" s="117"/>
      <c r="G1072" s="119"/>
      <c r="H1072" s="268"/>
      <c r="I1072" s="57"/>
      <c r="J1072" s="58"/>
    </row>
    <row r="1073" spans="1:10" ht="12" customHeight="1">
      <c r="A1073" s="83">
        <v>4099854185342</v>
      </c>
      <c r="B1073" s="61" t="s">
        <v>5679</v>
      </c>
      <c r="C1073" s="62">
        <v>1</v>
      </c>
      <c r="D1073" s="63" t="s">
        <v>4556</v>
      </c>
      <c r="E1073" s="70" t="str">
        <f>HYPERLINK("https://ledvance.com/pt/product-datasheet/284850/271637","Ficha de Produto")</f>
        <v>Ficha de Produto</v>
      </c>
      <c r="F1073" s="94" t="s">
        <v>4584</v>
      </c>
      <c r="G1073" s="65" t="s">
        <v>5108</v>
      </c>
      <c r="H1073" s="62" t="s">
        <v>5437</v>
      </c>
      <c r="I1073" s="30">
        <v>68.699999999999989</v>
      </c>
      <c r="J1073" s="29" t="s">
        <v>721</v>
      </c>
    </row>
    <row r="1074" spans="1:10" ht="12" customHeight="1">
      <c r="A1074" s="83">
        <v>4099854185366</v>
      </c>
      <c r="B1074" s="61" t="s">
        <v>5680</v>
      </c>
      <c r="C1074" s="62">
        <v>1</v>
      </c>
      <c r="D1074" s="63" t="s">
        <v>4556</v>
      </c>
      <c r="E1074" s="70" t="str">
        <f>HYPERLINK("https://ledvance.com/pt/product-datasheet/284850/271640","Ficha de Produto")</f>
        <v>Ficha de Produto</v>
      </c>
      <c r="F1074" s="94" t="s">
        <v>4584</v>
      </c>
      <c r="G1074" s="65" t="s">
        <v>5108</v>
      </c>
      <c r="H1074" s="62" t="s">
        <v>5437</v>
      </c>
      <c r="I1074" s="30">
        <v>68.699999999999989</v>
      </c>
      <c r="J1074" s="29" t="s">
        <v>721</v>
      </c>
    </row>
    <row r="1075" spans="1:10" ht="12" customHeight="1">
      <c r="A1075" s="83">
        <v>4099854185380</v>
      </c>
      <c r="B1075" s="61" t="s">
        <v>5681</v>
      </c>
      <c r="C1075" s="62">
        <v>1</v>
      </c>
      <c r="D1075" s="63" t="s">
        <v>4556</v>
      </c>
      <c r="E1075" s="70" t="str">
        <f>HYPERLINK("https://ledvance.com/pt/product-datasheet/284850/271643","Ficha de Produto")</f>
        <v>Ficha de Produto</v>
      </c>
      <c r="F1075" s="94" t="s">
        <v>4584</v>
      </c>
      <c r="G1075" s="65" t="s">
        <v>5108</v>
      </c>
      <c r="H1075" s="62" t="s">
        <v>5437</v>
      </c>
      <c r="I1075" s="30">
        <v>68.699999999999989</v>
      </c>
      <c r="J1075" s="29" t="s">
        <v>721</v>
      </c>
    </row>
    <row r="1076" spans="1:10" ht="15" customHeight="1">
      <c r="A1076" s="122" t="s">
        <v>4586</v>
      </c>
      <c r="B1076" s="116"/>
      <c r="C1076" s="117"/>
      <c r="D1076" s="118"/>
      <c r="E1076" s="71"/>
      <c r="F1076" s="117"/>
      <c r="G1076" s="119"/>
      <c r="H1076" s="268"/>
      <c r="I1076" s="57"/>
      <c r="J1076" s="58"/>
    </row>
    <row r="1077" spans="1:10" ht="12" customHeight="1">
      <c r="A1077" s="83">
        <v>4099854185403</v>
      </c>
      <c r="B1077" s="61" t="s">
        <v>5682</v>
      </c>
      <c r="C1077" s="62">
        <v>1</v>
      </c>
      <c r="D1077" s="63" t="s">
        <v>4556</v>
      </c>
      <c r="E1077" s="70" t="str">
        <f>HYPERLINK("https://ledvance.com/pt/product-datasheet/284848/271628","Ficha de Produto")</f>
        <v>Ficha de Produto</v>
      </c>
      <c r="F1077" s="94" t="s">
        <v>4584</v>
      </c>
      <c r="G1077" s="65" t="s">
        <v>5108</v>
      </c>
      <c r="H1077" s="62" t="s">
        <v>4974</v>
      </c>
      <c r="I1077" s="30">
        <v>68.699999999999989</v>
      </c>
      <c r="J1077" s="29" t="s">
        <v>721</v>
      </c>
    </row>
    <row r="1078" spans="1:10" ht="15" customHeight="1">
      <c r="A1078" s="122" t="s">
        <v>4587</v>
      </c>
      <c r="B1078" s="116"/>
      <c r="C1078" s="117"/>
      <c r="D1078" s="118"/>
      <c r="E1078" s="71"/>
      <c r="F1078" s="117"/>
      <c r="G1078" s="119"/>
      <c r="H1078" s="268"/>
      <c r="I1078" s="57"/>
      <c r="J1078" s="58"/>
    </row>
    <row r="1079" spans="1:10" ht="12" customHeight="1">
      <c r="A1079" s="83">
        <v>4099854185274</v>
      </c>
      <c r="B1079" s="61" t="s">
        <v>5683</v>
      </c>
      <c r="C1079" s="62">
        <v>1</v>
      </c>
      <c r="D1079" s="63" t="s">
        <v>4556</v>
      </c>
      <c r="E1079" s="70" t="str">
        <f>HYPERLINK("https://ledvance.com/pt/product-datasheet/284849/271631","Ficha de Produto")</f>
        <v>Ficha de Produto</v>
      </c>
      <c r="F1079" s="94" t="s">
        <v>4584</v>
      </c>
      <c r="G1079" s="65" t="s">
        <v>4959</v>
      </c>
      <c r="H1079" s="62" t="s">
        <v>4974</v>
      </c>
      <c r="I1079" s="30">
        <v>64.599999999999994</v>
      </c>
      <c r="J1079" s="29" t="s">
        <v>721</v>
      </c>
    </row>
    <row r="1080" spans="1:10" ht="12" customHeight="1">
      <c r="A1080" s="83">
        <v>4099854185328</v>
      </c>
      <c r="B1080" s="61" t="s">
        <v>5684</v>
      </c>
      <c r="C1080" s="62">
        <v>1</v>
      </c>
      <c r="D1080" s="63" t="s">
        <v>4556</v>
      </c>
      <c r="E1080" s="70" t="str">
        <f>HYPERLINK("https://ledvance.com/pt/product-datasheet/284849/271634","Ficha de Produto")</f>
        <v>Ficha de Produto</v>
      </c>
      <c r="F1080" s="94" t="s">
        <v>4584</v>
      </c>
      <c r="G1080" s="65" t="s">
        <v>5155</v>
      </c>
      <c r="H1080" s="62" t="s">
        <v>4974</v>
      </c>
      <c r="I1080" s="30">
        <v>56.4</v>
      </c>
      <c r="J1080" s="29" t="s">
        <v>721</v>
      </c>
    </row>
    <row r="1081" spans="1:10" ht="15" customHeight="1">
      <c r="A1081" s="122" t="s">
        <v>4588</v>
      </c>
      <c r="B1081" s="116"/>
      <c r="C1081" s="117"/>
      <c r="D1081" s="118"/>
      <c r="E1081" s="118"/>
      <c r="F1081" s="117"/>
      <c r="G1081" s="119"/>
      <c r="H1081" s="268"/>
      <c r="I1081" s="57"/>
      <c r="J1081" s="58"/>
    </row>
    <row r="1082" spans="1:10" ht="12" customHeight="1">
      <c r="A1082" s="102">
        <v>4099854217401</v>
      </c>
      <c r="B1082" s="103" t="s">
        <v>4589</v>
      </c>
      <c r="C1082" s="62">
        <v>1</v>
      </c>
      <c r="D1082" s="63" t="s">
        <v>4556</v>
      </c>
      <c r="E1082" s="70" t="str">
        <f>HYPERLINK("https://ledvance.com/pt/product-datasheet/292810/279733","Ficha de Produto")</f>
        <v>Ficha de Produto</v>
      </c>
      <c r="F1082" s="84" t="s">
        <v>4183</v>
      </c>
      <c r="G1082" s="65" t="s">
        <v>1201</v>
      </c>
      <c r="H1082" s="65" t="s">
        <v>1201</v>
      </c>
      <c r="I1082" s="30">
        <v>48.2</v>
      </c>
      <c r="J1082" s="29" t="s">
        <v>721</v>
      </c>
    </row>
    <row r="1083" spans="1:10" ht="12" customHeight="1">
      <c r="A1083" s="83">
        <v>4099854217562</v>
      </c>
      <c r="B1083" s="127" t="s">
        <v>4590</v>
      </c>
      <c r="C1083" s="62">
        <v>1</v>
      </c>
      <c r="D1083" s="63" t="s">
        <v>4556</v>
      </c>
      <c r="E1083" s="70" t="str">
        <f>HYPERLINK("https://ledvance.com/pt/product-datasheet/292810/279748","Ficha de Produto")</f>
        <v>Ficha de Produto</v>
      </c>
      <c r="F1083" s="84" t="s">
        <v>4183</v>
      </c>
      <c r="G1083" s="65" t="s">
        <v>1201</v>
      </c>
      <c r="H1083" s="65" t="s">
        <v>1201</v>
      </c>
      <c r="I1083" s="30">
        <v>48.2</v>
      </c>
      <c r="J1083" s="29" t="s">
        <v>721</v>
      </c>
    </row>
    <row r="1084" spans="1:10" ht="12" customHeight="1">
      <c r="A1084" s="83">
        <v>4099854217500</v>
      </c>
      <c r="B1084" s="103" t="s">
        <v>4591</v>
      </c>
      <c r="C1084" s="62">
        <v>1</v>
      </c>
      <c r="D1084" s="63" t="s">
        <v>4556</v>
      </c>
      <c r="E1084" s="70" t="str">
        <f>HYPERLINK("https://ledvance.com/pt/product-datasheet/292810/279739","Ficha de Produto")</f>
        <v>Ficha de Produto</v>
      </c>
      <c r="F1084" s="84" t="s">
        <v>4183</v>
      </c>
      <c r="G1084" s="65" t="s">
        <v>1201</v>
      </c>
      <c r="H1084" s="65" t="s">
        <v>1201</v>
      </c>
      <c r="I1084" s="30">
        <v>53.5</v>
      </c>
      <c r="J1084" s="29" t="s">
        <v>721</v>
      </c>
    </row>
    <row r="1085" spans="1:10" ht="12" customHeight="1">
      <c r="A1085" s="83">
        <v>4099854217524</v>
      </c>
      <c r="B1085" s="103" t="s">
        <v>4592</v>
      </c>
      <c r="C1085" s="62">
        <v>1</v>
      </c>
      <c r="D1085" s="63" t="s">
        <v>4556</v>
      </c>
      <c r="E1085" s="70" t="str">
        <f>HYPERLINK("https://ledvance.com/pt/product-datasheet/292810/279742","Ficha de Produto")</f>
        <v>Ficha de Produto</v>
      </c>
      <c r="F1085" s="84" t="s">
        <v>4183</v>
      </c>
      <c r="G1085" s="65" t="s">
        <v>1201</v>
      </c>
      <c r="H1085" s="65" t="s">
        <v>1201</v>
      </c>
      <c r="I1085" s="30">
        <v>61.5</v>
      </c>
      <c r="J1085" s="29" t="s">
        <v>721</v>
      </c>
    </row>
    <row r="1086" spans="1:10" ht="12" customHeight="1">
      <c r="A1086" s="83">
        <v>4099854217548</v>
      </c>
      <c r="B1086" s="103" t="s">
        <v>4593</v>
      </c>
      <c r="C1086" s="62">
        <v>1</v>
      </c>
      <c r="D1086" s="63" t="s">
        <v>4556</v>
      </c>
      <c r="E1086" s="70" t="str">
        <f>HYPERLINK("https://ledvance.com/pt/product-datasheet/292810/279745","Ficha de Produto")</f>
        <v>Ficha de Produto</v>
      </c>
      <c r="F1086" s="84" t="s">
        <v>4183</v>
      </c>
      <c r="G1086" s="65" t="s">
        <v>1201</v>
      </c>
      <c r="H1086" s="65" t="s">
        <v>1201</v>
      </c>
      <c r="I1086" s="30">
        <v>48.2</v>
      </c>
      <c r="J1086" s="29" t="s">
        <v>721</v>
      </c>
    </row>
    <row r="1087" spans="1:10" ht="12" customHeight="1">
      <c r="A1087" s="83">
        <v>4099854217586</v>
      </c>
      <c r="B1087" s="103" t="s">
        <v>4594</v>
      </c>
      <c r="C1087" s="62">
        <v>1</v>
      </c>
      <c r="D1087" s="63" t="s">
        <v>4556</v>
      </c>
      <c r="E1087" s="70" t="str">
        <f>HYPERLINK("https://ledvance.com/pt/product-datasheet/292810/279751","Ficha de Produto")</f>
        <v>Ficha de Produto</v>
      </c>
      <c r="F1087" s="84" t="s">
        <v>4183</v>
      </c>
      <c r="G1087" s="65" t="s">
        <v>1201</v>
      </c>
      <c r="H1087" s="65" t="s">
        <v>1201</v>
      </c>
      <c r="I1087" s="30">
        <v>61.5</v>
      </c>
      <c r="J1087" s="29" t="s">
        <v>721</v>
      </c>
    </row>
    <row r="1088" spans="1:10" ht="12" customHeight="1">
      <c r="A1088" s="83">
        <v>4099854217425</v>
      </c>
      <c r="B1088" s="103" t="s">
        <v>4595</v>
      </c>
      <c r="C1088" s="62">
        <v>1</v>
      </c>
      <c r="D1088" s="63" t="s">
        <v>4556</v>
      </c>
      <c r="E1088" s="70" t="str">
        <f>HYPERLINK("https://ledvance.com/pt/product-datasheet/292810/279736","Ficha de Produto")</f>
        <v>Ficha de Produto</v>
      </c>
      <c r="F1088" s="84" t="s">
        <v>4183</v>
      </c>
      <c r="G1088" s="65" t="s">
        <v>1201</v>
      </c>
      <c r="H1088" s="65" t="s">
        <v>1201</v>
      </c>
      <c r="I1088" s="30">
        <v>34.9</v>
      </c>
      <c r="J1088" s="29" t="s">
        <v>721</v>
      </c>
    </row>
    <row r="1089" spans="1:10" ht="15" customHeight="1">
      <c r="A1089" s="122" t="s">
        <v>4596</v>
      </c>
      <c r="B1089" s="116"/>
      <c r="C1089" s="117"/>
      <c r="D1089" s="118"/>
      <c r="E1089" s="118"/>
      <c r="F1089" s="117"/>
      <c r="G1089" s="119"/>
      <c r="H1089" s="268"/>
      <c r="I1089" s="57"/>
      <c r="J1089" s="58"/>
    </row>
    <row r="1090" spans="1:10" ht="12" customHeight="1">
      <c r="A1090" s="60">
        <v>4058075564121</v>
      </c>
      <c r="B1090" s="61" t="s">
        <v>5685</v>
      </c>
      <c r="C1090" s="62">
        <v>1</v>
      </c>
      <c r="D1090" s="63" t="s">
        <v>4556</v>
      </c>
      <c r="E1090" s="70" t="str">
        <f>HYPERLINK("https://ledvance.com/pt/product-datasheet/169473/35944","Ficha de Produto")</f>
        <v>Ficha de Produto</v>
      </c>
      <c r="F1090" s="62"/>
      <c r="G1090" s="65" t="s">
        <v>1746</v>
      </c>
      <c r="H1090" s="62" t="s">
        <v>4974</v>
      </c>
      <c r="I1090" s="30">
        <v>41.4</v>
      </c>
      <c r="J1090" s="29" t="s">
        <v>721</v>
      </c>
    </row>
    <row r="1091" spans="1:10" ht="12" customHeight="1">
      <c r="A1091" s="60">
        <v>4058075564145</v>
      </c>
      <c r="B1091" s="61" t="s">
        <v>5686</v>
      </c>
      <c r="C1091" s="62">
        <v>1</v>
      </c>
      <c r="D1091" s="63" t="s">
        <v>4556</v>
      </c>
      <c r="E1091" s="70" t="str">
        <f>HYPERLINK("https://ledvance.com/pt/product-datasheet/169473/35947","Ficha de Produto")</f>
        <v>Ficha de Produto</v>
      </c>
      <c r="F1091" s="62"/>
      <c r="G1091" s="65" t="s">
        <v>1746</v>
      </c>
      <c r="H1091" s="62" t="s">
        <v>4974</v>
      </c>
      <c r="I1091" s="30">
        <v>48.2</v>
      </c>
      <c r="J1091" s="29" t="s">
        <v>721</v>
      </c>
    </row>
    <row r="1092" spans="1:10" ht="15" customHeight="1">
      <c r="A1092" s="122" t="s">
        <v>4597</v>
      </c>
      <c r="B1092" s="116"/>
      <c r="C1092" s="117"/>
      <c r="D1092" s="118"/>
      <c r="E1092" s="71"/>
      <c r="F1092" s="117"/>
      <c r="G1092" s="119"/>
      <c r="H1092" s="268"/>
      <c r="I1092" s="57"/>
      <c r="J1092" s="58"/>
    </row>
    <row r="1093" spans="1:10" ht="12" customHeight="1">
      <c r="A1093" s="60">
        <v>4058075564060</v>
      </c>
      <c r="B1093" s="61" t="s">
        <v>5687</v>
      </c>
      <c r="C1093" s="62">
        <v>1</v>
      </c>
      <c r="D1093" s="63" t="s">
        <v>4556</v>
      </c>
      <c r="E1093" s="70" t="str">
        <f>HYPERLINK("https://ledvance.com/pt/product-datasheet/169472/35935","Ficha de Produto")</f>
        <v>Ficha de Produto</v>
      </c>
      <c r="F1093" s="62"/>
      <c r="G1093" s="65" t="s">
        <v>5180</v>
      </c>
      <c r="H1093" s="62" t="s">
        <v>4974</v>
      </c>
      <c r="I1093" s="30">
        <v>68.699999999999989</v>
      </c>
      <c r="J1093" s="29" t="s">
        <v>721</v>
      </c>
    </row>
    <row r="1094" spans="1:10" ht="12" customHeight="1">
      <c r="A1094" s="60">
        <v>4058075564084</v>
      </c>
      <c r="B1094" s="61" t="s">
        <v>5688</v>
      </c>
      <c r="C1094" s="62">
        <v>1</v>
      </c>
      <c r="D1094" s="63" t="s">
        <v>4556</v>
      </c>
      <c r="E1094" s="70" t="str">
        <f>HYPERLINK("https://ledvance.com/pt/product-datasheet/169472/35938","Ficha de Produto")</f>
        <v>Ficha de Produto</v>
      </c>
      <c r="F1094" s="62"/>
      <c r="G1094" s="65" t="s">
        <v>5180</v>
      </c>
      <c r="H1094" s="62" t="s">
        <v>4974</v>
      </c>
      <c r="I1094" s="30">
        <v>96</v>
      </c>
      <c r="J1094" s="29" t="s">
        <v>721</v>
      </c>
    </row>
    <row r="1095" spans="1:10" ht="12" customHeight="1">
      <c r="A1095" s="60">
        <v>4058075564107</v>
      </c>
      <c r="B1095" s="61" t="s">
        <v>5689</v>
      </c>
      <c r="C1095" s="62">
        <v>1</v>
      </c>
      <c r="D1095" s="63" t="s">
        <v>4556</v>
      </c>
      <c r="E1095" s="70" t="str">
        <f>HYPERLINK("https://ledvance.com/pt/product-datasheet/169472/35941","Ficha de Produto")</f>
        <v>Ficha de Produto</v>
      </c>
      <c r="F1095" s="62"/>
      <c r="G1095" s="65" t="s">
        <v>5180</v>
      </c>
      <c r="H1095" s="62" t="s">
        <v>4974</v>
      </c>
      <c r="I1095" s="30">
        <v>109.69999999999999</v>
      </c>
      <c r="J1095" s="29" t="s">
        <v>721</v>
      </c>
    </row>
    <row r="1096" spans="1:10" ht="15" customHeight="1">
      <c r="A1096" s="122" t="s">
        <v>4598</v>
      </c>
      <c r="B1096" s="116"/>
      <c r="C1096" s="117"/>
      <c r="D1096" s="118"/>
      <c r="E1096" s="71"/>
      <c r="F1096" s="117"/>
      <c r="G1096" s="119"/>
      <c r="H1096" s="268"/>
      <c r="I1096" s="57"/>
      <c r="J1096" s="58"/>
    </row>
    <row r="1097" spans="1:10" ht="12" customHeight="1">
      <c r="A1097" s="60">
        <v>4058075474130</v>
      </c>
      <c r="B1097" s="61" t="s">
        <v>5690</v>
      </c>
      <c r="C1097" s="62">
        <v>1</v>
      </c>
      <c r="D1097" s="63" t="s">
        <v>4556</v>
      </c>
      <c r="E1097" s="70" t="str">
        <f>HYPERLINK("https://ledvance.com/pt/product-datasheet/9439/124362","Ficha de Produto")</f>
        <v>Ficha de Produto</v>
      </c>
      <c r="F1097" s="62"/>
      <c r="G1097" s="65" t="s">
        <v>5021</v>
      </c>
      <c r="H1097" s="62" t="s">
        <v>4974</v>
      </c>
      <c r="I1097" s="30">
        <v>96</v>
      </c>
      <c r="J1097" s="29" t="s">
        <v>721</v>
      </c>
    </row>
    <row r="1098" spans="1:10" ht="12" customHeight="1">
      <c r="A1098" s="60">
        <v>4058075474154</v>
      </c>
      <c r="B1098" s="61" t="s">
        <v>5691</v>
      </c>
      <c r="C1098" s="62">
        <v>1</v>
      </c>
      <c r="D1098" s="63" t="s">
        <v>4556</v>
      </c>
      <c r="E1098" s="70" t="str">
        <f>HYPERLINK("https://ledvance.com/pt/product-datasheet/9439/124365","Ficha de Produto")</f>
        <v>Ficha de Produto</v>
      </c>
      <c r="F1098" s="62"/>
      <c r="G1098" s="65" t="s">
        <v>5692</v>
      </c>
      <c r="H1098" s="62" t="s">
        <v>4974</v>
      </c>
      <c r="I1098" s="30">
        <v>89.199999999999989</v>
      </c>
      <c r="J1098" s="29" t="s">
        <v>721</v>
      </c>
    </row>
    <row r="1099" spans="1:10" ht="12" customHeight="1">
      <c r="A1099" s="60">
        <v>4058075474178</v>
      </c>
      <c r="B1099" s="61" t="s">
        <v>5693</v>
      </c>
      <c r="C1099" s="62">
        <v>1</v>
      </c>
      <c r="D1099" s="63" t="s">
        <v>4556</v>
      </c>
      <c r="E1099" s="70" t="str">
        <f>HYPERLINK("https://ledvance.com/pt/product-datasheet/9439/124368","Ficha de Produto")</f>
        <v>Ficha de Produto</v>
      </c>
      <c r="F1099" s="62"/>
      <c r="G1099" s="65" t="s">
        <v>5564</v>
      </c>
      <c r="H1099" s="62" t="s">
        <v>4974</v>
      </c>
      <c r="I1099" s="30">
        <v>82.3</v>
      </c>
      <c r="J1099" s="29" t="s">
        <v>721</v>
      </c>
    </row>
    <row r="1100" spans="1:10" ht="12" customHeight="1">
      <c r="A1100" s="60">
        <v>4058075474192</v>
      </c>
      <c r="B1100" s="61" t="s">
        <v>5694</v>
      </c>
      <c r="C1100" s="62">
        <v>1</v>
      </c>
      <c r="D1100" s="63" t="s">
        <v>4556</v>
      </c>
      <c r="E1100" s="70" t="str">
        <f>HYPERLINK("https://ledvance.com/pt/product-datasheet/9439/124371","Ficha de Produto")</f>
        <v>Ficha de Produto</v>
      </c>
      <c r="F1100" s="101" t="s">
        <v>4251</v>
      </c>
      <c r="G1100" s="65" t="s">
        <v>5692</v>
      </c>
      <c r="H1100" s="62" t="s">
        <v>4974</v>
      </c>
      <c r="I1100" s="30">
        <v>89.199999999999989</v>
      </c>
      <c r="J1100" s="29" t="s">
        <v>721</v>
      </c>
    </row>
    <row r="1101" spans="1:10" ht="12" customHeight="1">
      <c r="A1101" s="60">
        <v>4058075474215</v>
      </c>
      <c r="B1101" s="61" t="s">
        <v>5695</v>
      </c>
      <c r="C1101" s="62">
        <v>1</v>
      </c>
      <c r="D1101" s="63" t="s">
        <v>4556</v>
      </c>
      <c r="E1101" s="70" t="str">
        <f>HYPERLINK("https://ledvance.com/pt/product-datasheet/9439/124374","Ficha de Produto")</f>
        <v>Ficha de Produto</v>
      </c>
      <c r="F1101" s="101" t="s">
        <v>4251</v>
      </c>
      <c r="G1101" s="65" t="s">
        <v>5564</v>
      </c>
      <c r="H1101" s="62" t="s">
        <v>4974</v>
      </c>
      <c r="I1101" s="30">
        <v>82.3</v>
      </c>
      <c r="J1101" s="29" t="s">
        <v>721</v>
      </c>
    </row>
    <row r="1102" spans="1:10" ht="12" customHeight="1">
      <c r="A1102" s="60">
        <v>4058075474215</v>
      </c>
      <c r="B1102" s="61" t="s">
        <v>5695</v>
      </c>
      <c r="C1102" s="62">
        <v>1</v>
      </c>
      <c r="D1102" s="63" t="s">
        <v>4556</v>
      </c>
      <c r="E1102" s="70" t="str">
        <f>HYPERLINK("https://ledvance.com/pt/product-datasheet/9439/124374","Ficha de Produto")</f>
        <v>Ficha de Produto</v>
      </c>
      <c r="F1102" s="101" t="s">
        <v>4251</v>
      </c>
      <c r="G1102" s="65" t="s">
        <v>5564</v>
      </c>
      <c r="H1102" s="62" t="s">
        <v>4974</v>
      </c>
      <c r="I1102" s="30">
        <v>82.3</v>
      </c>
      <c r="J1102" s="29" t="s">
        <v>721</v>
      </c>
    </row>
    <row r="1103" spans="1:10" ht="12" customHeight="1">
      <c r="A1103" s="60">
        <v>4058075474239</v>
      </c>
      <c r="B1103" s="61" t="s">
        <v>5696</v>
      </c>
      <c r="C1103" s="62">
        <v>1</v>
      </c>
      <c r="D1103" s="63" t="s">
        <v>4556</v>
      </c>
      <c r="E1103" s="70" t="str">
        <f>HYPERLINK("https://ledvance.com/pt/product-datasheet/9439/124377","Ficha de Produto")</f>
        <v>Ficha de Produto</v>
      </c>
      <c r="F1103" s="62"/>
      <c r="G1103" s="65" t="s">
        <v>5564</v>
      </c>
      <c r="H1103" s="62" t="s">
        <v>4974</v>
      </c>
      <c r="I1103" s="30">
        <v>109.69999999999999</v>
      </c>
      <c r="J1103" s="29" t="s">
        <v>721</v>
      </c>
    </row>
    <row r="1104" spans="1:10" ht="12" customHeight="1">
      <c r="A1104" s="60">
        <v>4058075474253</v>
      </c>
      <c r="B1104" s="61" t="s">
        <v>5697</v>
      </c>
      <c r="C1104" s="62">
        <v>1</v>
      </c>
      <c r="D1104" s="63" t="s">
        <v>4556</v>
      </c>
      <c r="E1104" s="70" t="str">
        <f>HYPERLINK("https://ledvance.com/pt/product-datasheet/9439/124380","Ficha de Produto")</f>
        <v>Ficha de Produto</v>
      </c>
      <c r="F1104" s="62"/>
      <c r="G1104" s="65" t="s">
        <v>5564</v>
      </c>
      <c r="H1104" s="62" t="s">
        <v>4974</v>
      </c>
      <c r="I1104" s="30">
        <v>102.8</v>
      </c>
      <c r="J1104" s="29" t="s">
        <v>721</v>
      </c>
    </row>
    <row r="1105" spans="1:10" ht="15" customHeight="1">
      <c r="A1105" s="122" t="s">
        <v>4599</v>
      </c>
      <c r="B1105" s="116"/>
      <c r="C1105" s="117"/>
      <c r="D1105" s="118"/>
      <c r="E1105" s="71"/>
      <c r="F1105" s="117"/>
      <c r="G1105" s="119"/>
      <c r="H1105" s="268"/>
      <c r="I1105" s="57"/>
      <c r="J1105" s="58"/>
    </row>
    <row r="1106" spans="1:10" ht="12" customHeight="1">
      <c r="A1106" s="60">
        <v>4058075477896</v>
      </c>
      <c r="B1106" s="61" t="s">
        <v>5698</v>
      </c>
      <c r="C1106" s="62">
        <v>1</v>
      </c>
      <c r="D1106" s="63" t="s">
        <v>4556</v>
      </c>
      <c r="E1106" s="70" t="str">
        <f>HYPERLINK("https://ledvance.com/pt/product-datasheet/9441/120500","Ficha de Produto")</f>
        <v>Ficha de Produto</v>
      </c>
      <c r="F1106" s="62"/>
      <c r="G1106" s="65" t="s">
        <v>5021</v>
      </c>
      <c r="H1106" s="62" t="s">
        <v>4974</v>
      </c>
      <c r="I1106" s="30">
        <v>55</v>
      </c>
      <c r="J1106" s="29" t="s">
        <v>721</v>
      </c>
    </row>
    <row r="1107" spans="1:10" ht="12" customHeight="1">
      <c r="A1107" s="60">
        <v>4058075477919</v>
      </c>
      <c r="B1107" s="61" t="s">
        <v>5699</v>
      </c>
      <c r="C1107" s="62">
        <v>1</v>
      </c>
      <c r="D1107" s="63" t="s">
        <v>4556</v>
      </c>
      <c r="E1107" s="70" t="str">
        <f>HYPERLINK("https://ledvance.com/pt/product-datasheet/9441/120503","Ficha de Produto")</f>
        <v>Ficha de Produto</v>
      </c>
      <c r="F1107" s="62"/>
      <c r="G1107" s="65" t="s">
        <v>5021</v>
      </c>
      <c r="H1107" s="62" t="s">
        <v>4974</v>
      </c>
      <c r="I1107" s="30">
        <v>82.3</v>
      </c>
      <c r="J1107" s="29" t="s">
        <v>721</v>
      </c>
    </row>
    <row r="1108" spans="1:10" ht="12" customHeight="1">
      <c r="A1108" s="60">
        <v>4058075477933</v>
      </c>
      <c r="B1108" s="61" t="s">
        <v>5700</v>
      </c>
      <c r="C1108" s="62">
        <v>1</v>
      </c>
      <c r="D1108" s="63" t="s">
        <v>4556</v>
      </c>
      <c r="E1108" s="70" t="str">
        <f>HYPERLINK("https://ledvance.com/pt/product-datasheet/9441/120506","Ficha de Produto")</f>
        <v>Ficha de Produto</v>
      </c>
      <c r="F1108" s="62"/>
      <c r="G1108" s="65" t="s">
        <v>5021</v>
      </c>
      <c r="H1108" s="62" t="s">
        <v>4974</v>
      </c>
      <c r="I1108" s="30">
        <v>96</v>
      </c>
      <c r="J1108" s="29" t="s">
        <v>721</v>
      </c>
    </row>
    <row r="1109" spans="1:10" ht="15" customHeight="1">
      <c r="A1109" s="122" t="s">
        <v>4600</v>
      </c>
      <c r="B1109" s="116"/>
      <c r="C1109" s="117"/>
      <c r="D1109" s="118"/>
      <c r="E1109" s="71"/>
      <c r="F1109" s="117"/>
      <c r="G1109" s="119"/>
      <c r="H1109" s="268"/>
      <c r="I1109" s="57"/>
      <c r="J1109" s="58"/>
    </row>
    <row r="1110" spans="1:10" ht="12" customHeight="1">
      <c r="A1110" s="60">
        <v>4058075205017</v>
      </c>
      <c r="B1110" s="61" t="s">
        <v>5701</v>
      </c>
      <c r="C1110" s="62">
        <v>1</v>
      </c>
      <c r="D1110" s="63" t="s">
        <v>4556</v>
      </c>
      <c r="E1110" s="70" t="str">
        <f>HYPERLINK("https://ledvance.com/pt/product-datasheet/9390/117326","Ficha de Produto")</f>
        <v>Ficha de Produto</v>
      </c>
      <c r="F1110" s="62"/>
      <c r="G1110" s="65" t="s">
        <v>4940</v>
      </c>
      <c r="H1110" s="62" t="s">
        <v>4974</v>
      </c>
      <c r="I1110" s="30">
        <v>109.69999999999999</v>
      </c>
      <c r="J1110" s="29" t="s">
        <v>721</v>
      </c>
    </row>
    <row r="1111" spans="1:10" ht="12" customHeight="1">
      <c r="A1111" s="60">
        <v>4058075205031</v>
      </c>
      <c r="B1111" s="61" t="s">
        <v>5702</v>
      </c>
      <c r="C1111" s="62">
        <v>1</v>
      </c>
      <c r="D1111" s="63" t="s">
        <v>4556</v>
      </c>
      <c r="E1111" s="70" t="str">
        <f>HYPERLINK("https://ledvance.com/pt/product-datasheet/9390/117329","Ficha de Produto")</f>
        <v>Ficha de Produto</v>
      </c>
      <c r="F1111" s="62"/>
      <c r="G1111" s="65" t="s">
        <v>4940</v>
      </c>
      <c r="H1111" s="62" t="s">
        <v>4974</v>
      </c>
      <c r="I1111" s="30">
        <v>137</v>
      </c>
      <c r="J1111" s="29" t="s">
        <v>721</v>
      </c>
    </row>
    <row r="1112" spans="1:10" ht="12" customHeight="1">
      <c r="A1112" s="60">
        <v>4058075205055</v>
      </c>
      <c r="B1112" s="61" t="s">
        <v>5703</v>
      </c>
      <c r="C1112" s="62">
        <v>1</v>
      </c>
      <c r="D1112" s="63" t="s">
        <v>4556</v>
      </c>
      <c r="E1112" s="70" t="str">
        <f>HYPERLINK("https://ledvance.com/pt/product-datasheet/9390/113629","Ficha de Produto")</f>
        <v>Ficha de Produto</v>
      </c>
      <c r="F1112" s="62"/>
      <c r="G1112" s="65" t="s">
        <v>4940</v>
      </c>
      <c r="H1112" s="62" t="s">
        <v>4974</v>
      </c>
      <c r="I1112" s="30">
        <v>170.6</v>
      </c>
      <c r="J1112" s="29" t="s">
        <v>721</v>
      </c>
    </row>
    <row r="1113" spans="1:10" ht="15" customHeight="1">
      <c r="A1113" s="122" t="s">
        <v>4601</v>
      </c>
      <c r="B1113" s="116"/>
      <c r="C1113" s="117"/>
      <c r="D1113" s="118"/>
      <c r="E1113" s="118"/>
      <c r="F1113" s="117"/>
      <c r="G1113" s="119"/>
      <c r="H1113" s="268"/>
      <c r="I1113" s="57"/>
      <c r="J1113" s="58"/>
    </row>
    <row r="1114" spans="1:10" ht="12" customHeight="1">
      <c r="A1114" s="60">
        <v>4058075564589</v>
      </c>
      <c r="B1114" s="61" t="s">
        <v>5704</v>
      </c>
      <c r="C1114" s="62">
        <v>1</v>
      </c>
      <c r="D1114" s="63" t="s">
        <v>4556</v>
      </c>
      <c r="E1114" s="70" t="str">
        <f>HYPERLINK("https://ledvance.com/pt/product-datasheet/169474/32224","Ficha de Produto")</f>
        <v>Ficha de Produto</v>
      </c>
      <c r="F1114" s="62"/>
      <c r="G1114" s="65" t="s">
        <v>4953</v>
      </c>
      <c r="H1114" s="62" t="s">
        <v>4974</v>
      </c>
      <c r="I1114" s="30">
        <v>48.2</v>
      </c>
      <c r="J1114" s="29" t="s">
        <v>721</v>
      </c>
    </row>
    <row r="1115" spans="1:10" ht="15" customHeight="1">
      <c r="A1115" s="122" t="s">
        <v>4602</v>
      </c>
      <c r="B1115" s="116"/>
      <c r="C1115" s="117"/>
      <c r="D1115" s="118"/>
      <c r="E1115" s="71"/>
      <c r="F1115" s="117"/>
      <c r="G1115" s="119"/>
      <c r="H1115" s="268"/>
      <c r="I1115" s="57"/>
      <c r="J1115" s="58"/>
    </row>
    <row r="1116" spans="1:10" ht="12" customHeight="1">
      <c r="A1116" s="60">
        <v>4058075478091</v>
      </c>
      <c r="B1116" s="61" t="s">
        <v>5705</v>
      </c>
      <c r="C1116" s="62">
        <v>1</v>
      </c>
      <c r="D1116" s="63" t="s">
        <v>4556</v>
      </c>
      <c r="E1116" s="70" t="str">
        <f>HYPERLINK("https://ledvance.com/pt/product-datasheet/9442/120539","Ficha de Produto")</f>
        <v>Ficha de Produto</v>
      </c>
      <c r="F1116" s="101" t="s">
        <v>4251</v>
      </c>
      <c r="G1116" s="65" t="s">
        <v>4953</v>
      </c>
      <c r="H1116" s="62" t="s">
        <v>4974</v>
      </c>
      <c r="I1116" s="30">
        <v>82.3</v>
      </c>
      <c r="J1116" s="29" t="s">
        <v>721</v>
      </c>
    </row>
    <row r="1117" spans="1:10" ht="15" customHeight="1">
      <c r="A1117" s="122" t="s">
        <v>4603</v>
      </c>
      <c r="B1117" s="116"/>
      <c r="C1117" s="117"/>
      <c r="D1117" s="118"/>
      <c r="E1117" s="71"/>
      <c r="F1117" s="117"/>
      <c r="G1117" s="119"/>
      <c r="H1117" s="268"/>
      <c r="I1117" s="57"/>
      <c r="J1117" s="58"/>
    </row>
    <row r="1118" spans="1:10" ht="12" customHeight="1">
      <c r="A1118" s="60">
        <v>4058075477858</v>
      </c>
      <c r="B1118" s="61" t="s">
        <v>5706</v>
      </c>
      <c r="C1118" s="62">
        <v>1</v>
      </c>
      <c r="D1118" s="63" t="s">
        <v>4556</v>
      </c>
      <c r="E1118" s="70" t="str">
        <f>HYPERLINK("https://ledvance.com/pt/product-datasheet/9440/120494","Ficha de Produto")</f>
        <v>Ficha de Produto</v>
      </c>
      <c r="F1118" s="62"/>
      <c r="G1118" s="65" t="s">
        <v>4940</v>
      </c>
      <c r="H1118" s="62" t="s">
        <v>4974</v>
      </c>
      <c r="I1118" s="30">
        <v>55</v>
      </c>
      <c r="J1118" s="29" t="s">
        <v>721</v>
      </c>
    </row>
    <row r="1119" spans="1:10" ht="12" customHeight="1">
      <c r="A1119" s="60">
        <v>4058075477872</v>
      </c>
      <c r="B1119" s="61" t="s">
        <v>5707</v>
      </c>
      <c r="C1119" s="62">
        <v>1</v>
      </c>
      <c r="D1119" s="63" t="s">
        <v>4556</v>
      </c>
      <c r="E1119" s="70" t="str">
        <f>HYPERLINK("https://ledvance.com/pt/product-datasheet/9440/120497","Ficha de Produto")</f>
        <v>Ficha de Produto</v>
      </c>
      <c r="F1119" s="62"/>
      <c r="G1119" s="65" t="s">
        <v>5155</v>
      </c>
      <c r="H1119" s="62" t="s">
        <v>4974</v>
      </c>
      <c r="I1119" s="30">
        <v>68.699999999999989</v>
      </c>
      <c r="J1119" s="29" t="s">
        <v>721</v>
      </c>
    </row>
    <row r="1120" spans="1:10" ht="15" customHeight="1">
      <c r="A1120" s="122" t="s">
        <v>4604</v>
      </c>
      <c r="B1120" s="116"/>
      <c r="C1120" s="117"/>
      <c r="D1120" s="118"/>
      <c r="E1120" s="71"/>
      <c r="F1120" s="117"/>
      <c r="G1120" s="119"/>
      <c r="H1120" s="268"/>
      <c r="I1120" s="57"/>
      <c r="J1120" s="58"/>
    </row>
    <row r="1121" spans="1:10" ht="12" customHeight="1">
      <c r="A1121" s="60">
        <v>4058075205437</v>
      </c>
      <c r="B1121" s="61" t="s">
        <v>5708</v>
      </c>
      <c r="C1121" s="62">
        <v>1</v>
      </c>
      <c r="D1121" s="63" t="s">
        <v>4556</v>
      </c>
      <c r="E1121" s="70" t="str">
        <f>HYPERLINK("https://ledvance.com/pt/product-datasheet/9399/111342","Ficha de Produto")</f>
        <v>Ficha de Produto</v>
      </c>
      <c r="F1121" s="62"/>
      <c r="G1121" s="65" t="s">
        <v>5155</v>
      </c>
      <c r="H1121" s="62" t="s">
        <v>4974</v>
      </c>
      <c r="I1121" s="30">
        <v>68.699999999999989</v>
      </c>
      <c r="J1121" s="29" t="s">
        <v>721</v>
      </c>
    </row>
    <row r="1122" spans="1:10" ht="15" customHeight="1">
      <c r="A1122" s="122" t="s">
        <v>4605</v>
      </c>
      <c r="B1122" s="116"/>
      <c r="C1122" s="117"/>
      <c r="D1122" s="118"/>
      <c r="E1122" s="71"/>
      <c r="F1122" s="117"/>
      <c r="G1122" s="119"/>
      <c r="H1122" s="268"/>
      <c r="I1122" s="57"/>
      <c r="J1122" s="58"/>
    </row>
    <row r="1123" spans="1:10" ht="12" customHeight="1">
      <c r="A1123" s="60">
        <v>4058075205529</v>
      </c>
      <c r="B1123" s="61" t="s">
        <v>5709</v>
      </c>
      <c r="C1123" s="62">
        <v>1</v>
      </c>
      <c r="D1123" s="63" t="s">
        <v>4556</v>
      </c>
      <c r="E1123" s="70" t="str">
        <f>HYPERLINK("https://ledvance.com/pt/product-datasheet/9398/111363","Ficha de Produto")</f>
        <v>Ficha de Produto</v>
      </c>
      <c r="F1123" s="62"/>
      <c r="G1123" s="65" t="s">
        <v>1749</v>
      </c>
      <c r="H1123" s="62" t="s">
        <v>4974</v>
      </c>
      <c r="I1123" s="30">
        <v>41.4</v>
      </c>
      <c r="J1123" s="29" t="s">
        <v>721</v>
      </c>
    </row>
    <row r="1124" spans="1:10" ht="12" customHeight="1">
      <c r="A1124" s="60">
        <v>4058075205543</v>
      </c>
      <c r="B1124" s="61" t="s">
        <v>5710</v>
      </c>
      <c r="C1124" s="62">
        <v>1</v>
      </c>
      <c r="D1124" s="63" t="s">
        <v>4556</v>
      </c>
      <c r="E1124" s="70" t="str">
        <f>HYPERLINK("https://ledvance.com/pt/product-datasheet/9398/111372","Ficha de Produto")</f>
        <v>Ficha de Produto</v>
      </c>
      <c r="F1124" s="62"/>
      <c r="G1124" s="65" t="s">
        <v>5711</v>
      </c>
      <c r="H1124" s="62" t="s">
        <v>4974</v>
      </c>
      <c r="I1124" s="30">
        <v>55</v>
      </c>
      <c r="J1124" s="29" t="s">
        <v>721</v>
      </c>
    </row>
    <row r="1125" spans="1:10" ht="15" customHeight="1">
      <c r="A1125" s="122" t="s">
        <v>4606</v>
      </c>
      <c r="B1125" s="116"/>
      <c r="C1125" s="117"/>
      <c r="D1125" s="118"/>
      <c r="E1125" s="71"/>
      <c r="F1125" s="117"/>
      <c r="G1125" s="119"/>
      <c r="H1125" s="268"/>
      <c r="I1125" s="57"/>
      <c r="J1125" s="58"/>
    </row>
    <row r="1126" spans="1:10" ht="12" customHeight="1">
      <c r="A1126" s="60">
        <v>4058075205567</v>
      </c>
      <c r="B1126" s="61" t="s">
        <v>5712</v>
      </c>
      <c r="C1126" s="62">
        <v>1</v>
      </c>
      <c r="D1126" s="63" t="s">
        <v>4556</v>
      </c>
      <c r="E1126" s="70" t="str">
        <f>HYPERLINK("https://ledvance.com/pt/product-datasheet/9401/111378","Ficha de Produto")</f>
        <v>Ficha de Produto</v>
      </c>
      <c r="F1126" s="62"/>
      <c r="G1126" s="65" t="s">
        <v>5155</v>
      </c>
      <c r="H1126" s="62" t="s">
        <v>4974</v>
      </c>
      <c r="I1126" s="30">
        <v>68.699999999999989</v>
      </c>
      <c r="J1126" s="29" t="s">
        <v>721</v>
      </c>
    </row>
    <row r="1127" spans="1:10" ht="12" customHeight="1">
      <c r="A1127" s="60">
        <v>4058075205581</v>
      </c>
      <c r="B1127" s="61" t="s">
        <v>5713</v>
      </c>
      <c r="C1127" s="62">
        <v>1</v>
      </c>
      <c r="D1127" s="63" t="s">
        <v>4556</v>
      </c>
      <c r="E1127" s="70" t="str">
        <f>HYPERLINK("https://ledvance.com/pt/product-datasheet/9401/111384","Ficha de Produto")</f>
        <v>Ficha de Produto</v>
      </c>
      <c r="F1127" s="62"/>
      <c r="G1127" s="65" t="s">
        <v>5155</v>
      </c>
      <c r="H1127" s="62" t="s">
        <v>4974</v>
      </c>
      <c r="I1127" s="30">
        <v>68.699999999999989</v>
      </c>
      <c r="J1127" s="29" t="s">
        <v>721</v>
      </c>
    </row>
    <row r="1128" spans="1:10" ht="15" customHeight="1">
      <c r="A1128" s="122" t="s">
        <v>4607</v>
      </c>
      <c r="B1128" s="116"/>
      <c r="C1128" s="117"/>
      <c r="D1128" s="118"/>
      <c r="E1128" s="71"/>
      <c r="F1128" s="117"/>
      <c r="G1128" s="119"/>
      <c r="H1128" s="268"/>
      <c r="I1128" s="57"/>
      <c r="J1128" s="58"/>
    </row>
    <row r="1129" spans="1:10" ht="12" customHeight="1">
      <c r="A1129" s="60">
        <v>4058075205604</v>
      </c>
      <c r="B1129" s="61" t="s">
        <v>5714</v>
      </c>
      <c r="C1129" s="62">
        <v>1</v>
      </c>
      <c r="D1129" s="63" t="s">
        <v>4556</v>
      </c>
      <c r="E1129" s="70" t="str">
        <f>HYPERLINK("https://ledvance.com/pt/product-datasheet/9384/104040","Ficha de Produto")</f>
        <v>Ficha de Produto</v>
      </c>
      <c r="F1129" s="62"/>
      <c r="G1129" s="65" t="s">
        <v>4940</v>
      </c>
      <c r="H1129" s="62" t="s">
        <v>4974</v>
      </c>
      <c r="I1129" s="30">
        <v>82.3</v>
      </c>
      <c r="J1129" s="29" t="s">
        <v>721</v>
      </c>
    </row>
    <row r="1130" spans="1:10" ht="12" customHeight="1">
      <c r="A1130" s="60">
        <v>4058075214057</v>
      </c>
      <c r="B1130" s="61" t="s">
        <v>5715</v>
      </c>
      <c r="C1130" s="62">
        <v>1</v>
      </c>
      <c r="D1130" s="63" t="s">
        <v>4556</v>
      </c>
      <c r="E1130" s="70" t="str">
        <f>HYPERLINK("https://ledvance.com/pt/product-datasheet/9384/113740","Ficha de Produto")</f>
        <v>Ficha de Produto</v>
      </c>
      <c r="F1130" s="62"/>
      <c r="G1130" s="65" t="s">
        <v>4940</v>
      </c>
      <c r="H1130" s="62" t="s">
        <v>4974</v>
      </c>
      <c r="I1130" s="30">
        <v>82.3</v>
      </c>
      <c r="J1130" s="29" t="s">
        <v>721</v>
      </c>
    </row>
    <row r="1131" spans="1:10" ht="12" customHeight="1">
      <c r="A1131" s="60">
        <v>4058075214071</v>
      </c>
      <c r="B1131" s="61" t="s">
        <v>5716</v>
      </c>
      <c r="C1131" s="62">
        <v>1</v>
      </c>
      <c r="D1131" s="63" t="s">
        <v>4556</v>
      </c>
      <c r="E1131" s="70" t="str">
        <f>HYPERLINK("https://ledvance.com/pt/product-datasheet/9384/113746","Ficha de Produto")</f>
        <v>Ficha de Produto</v>
      </c>
      <c r="F1131" s="62"/>
      <c r="G1131" s="65" t="s">
        <v>4940</v>
      </c>
      <c r="H1131" s="62" t="s">
        <v>4974</v>
      </c>
      <c r="I1131" s="30">
        <v>82.3</v>
      </c>
      <c r="J1131" s="29" t="s">
        <v>721</v>
      </c>
    </row>
    <row r="1132" spans="1:10" ht="15" customHeight="1">
      <c r="A1132" s="122" t="s">
        <v>4608</v>
      </c>
      <c r="B1132" s="116"/>
      <c r="C1132" s="117"/>
      <c r="D1132" s="118"/>
      <c r="E1132" s="71"/>
      <c r="F1132" s="117"/>
      <c r="G1132" s="119"/>
      <c r="H1132" s="268"/>
      <c r="I1132" s="57"/>
      <c r="J1132" s="58"/>
    </row>
    <row r="1133" spans="1:10" ht="12" customHeight="1">
      <c r="A1133" s="60">
        <v>4058075205666</v>
      </c>
      <c r="B1133" s="61" t="s">
        <v>5717</v>
      </c>
      <c r="C1133" s="62">
        <v>1</v>
      </c>
      <c r="D1133" s="63" t="s">
        <v>4556</v>
      </c>
      <c r="E1133" s="70" t="str">
        <f>HYPERLINK("https://ledvance.com/pt/product-datasheet/9396/111406","Ficha de Produto")</f>
        <v>Ficha de Produto</v>
      </c>
      <c r="F1133" s="62"/>
      <c r="G1133" s="65" t="s">
        <v>5718</v>
      </c>
      <c r="H1133" s="62" t="s">
        <v>4974</v>
      </c>
      <c r="I1133" s="30">
        <v>125.3</v>
      </c>
      <c r="J1133" s="29" t="s">
        <v>721</v>
      </c>
    </row>
    <row r="1134" spans="1:10" ht="15" customHeight="1">
      <c r="A1134" s="122" t="s">
        <v>4609</v>
      </c>
      <c r="B1134" s="116"/>
      <c r="C1134" s="117"/>
      <c r="D1134" s="118"/>
      <c r="E1134" s="118"/>
      <c r="F1134" s="117"/>
      <c r="G1134" s="119"/>
      <c r="H1134" s="268"/>
      <c r="I1134" s="57"/>
      <c r="J1134" s="58"/>
    </row>
    <row r="1135" spans="1:10" ht="12" customHeight="1">
      <c r="A1135" s="60">
        <v>4058075214132</v>
      </c>
      <c r="B1135" s="61" t="s">
        <v>5719</v>
      </c>
      <c r="C1135" s="62">
        <v>1</v>
      </c>
      <c r="D1135" s="63" t="s">
        <v>4556</v>
      </c>
      <c r="E1135" s="70" t="str">
        <f>HYPERLINK("https://ledvance.com/pt/product-datasheet/9393/117302","Ficha de Produto")</f>
        <v>Ficha de Produto</v>
      </c>
      <c r="F1135" s="62"/>
      <c r="G1135" s="65" t="s">
        <v>4940</v>
      </c>
      <c r="H1135" s="62" t="s">
        <v>4974</v>
      </c>
      <c r="I1135" s="30">
        <v>94</v>
      </c>
      <c r="J1135" s="29" t="s">
        <v>721</v>
      </c>
    </row>
    <row r="1136" spans="1:10" ht="12" customHeight="1">
      <c r="A1136" s="60">
        <v>4058075214170</v>
      </c>
      <c r="B1136" s="61" t="s">
        <v>5719</v>
      </c>
      <c r="C1136" s="62">
        <v>1</v>
      </c>
      <c r="D1136" s="63" t="s">
        <v>4556</v>
      </c>
      <c r="E1136" s="70" t="str">
        <f>HYPERLINK("https://ledvance.com/pt/product-datasheet/9393/117317","Ficha de Produto")</f>
        <v>Ficha de Produto</v>
      </c>
      <c r="F1136" s="62"/>
      <c r="G1136" s="65" t="s">
        <v>4940</v>
      </c>
      <c r="H1136" s="62" t="s">
        <v>4974</v>
      </c>
      <c r="I1136" s="30">
        <v>109.69999999999999</v>
      </c>
      <c r="J1136" s="29" t="s">
        <v>721</v>
      </c>
    </row>
    <row r="1137" spans="1:10" ht="15" customHeight="1">
      <c r="A1137" s="122" t="s">
        <v>4610</v>
      </c>
      <c r="B1137" s="116"/>
      <c r="C1137" s="117"/>
      <c r="D1137" s="118"/>
      <c r="E1137" s="71"/>
      <c r="F1137" s="117"/>
      <c r="G1137" s="119"/>
      <c r="H1137" s="268"/>
      <c r="I1137" s="57"/>
      <c r="J1137" s="58"/>
    </row>
    <row r="1138" spans="1:10" ht="12" customHeight="1">
      <c r="A1138" s="60">
        <v>4058075205130</v>
      </c>
      <c r="B1138" s="61" t="s">
        <v>5720</v>
      </c>
      <c r="C1138" s="62">
        <v>1</v>
      </c>
      <c r="D1138" s="63" t="s">
        <v>4556</v>
      </c>
      <c r="E1138" s="70" t="str">
        <f>HYPERLINK("https://ledvance.com/pt/product-datasheet/9379/113653","Ficha de Produto")</f>
        <v>Ficha de Produto</v>
      </c>
      <c r="F1138" s="62"/>
      <c r="G1138" s="65" t="s">
        <v>5521</v>
      </c>
      <c r="H1138" s="62" t="s">
        <v>4974</v>
      </c>
      <c r="I1138" s="30">
        <v>61.9</v>
      </c>
      <c r="J1138" s="29" t="s">
        <v>721</v>
      </c>
    </row>
    <row r="1139" spans="1:10" ht="12" customHeight="1">
      <c r="A1139" s="60">
        <v>4058075205154</v>
      </c>
      <c r="B1139" s="61" t="s">
        <v>5721</v>
      </c>
      <c r="C1139" s="62">
        <v>1</v>
      </c>
      <c r="D1139" s="63" t="s">
        <v>4556</v>
      </c>
      <c r="E1139" s="70" t="str">
        <f>HYPERLINK("https://ledvance.com/pt/product-datasheet/9379/113662","Ficha de Produto")</f>
        <v>Ficha de Produto</v>
      </c>
      <c r="F1139" s="101" t="s">
        <v>4251</v>
      </c>
      <c r="G1139" s="65" t="s">
        <v>5521</v>
      </c>
      <c r="H1139" s="62" t="s">
        <v>4974</v>
      </c>
      <c r="I1139" s="30">
        <v>61.9</v>
      </c>
      <c r="J1139" s="29" t="s">
        <v>721</v>
      </c>
    </row>
    <row r="1140" spans="1:10" ht="12" customHeight="1">
      <c r="A1140" s="60">
        <v>4058075205178</v>
      </c>
      <c r="B1140" s="61" t="s">
        <v>5722</v>
      </c>
      <c r="C1140" s="62">
        <v>1</v>
      </c>
      <c r="D1140" s="63" t="s">
        <v>4556</v>
      </c>
      <c r="E1140" s="70" t="str">
        <f>HYPERLINK("https://ledvance.com/pt/product-datasheet/9379/113668","Ficha de Produto")</f>
        <v>Ficha de Produto</v>
      </c>
      <c r="F1140" s="62"/>
      <c r="G1140" s="65" t="s">
        <v>5723</v>
      </c>
      <c r="H1140" s="62" t="s">
        <v>4974</v>
      </c>
      <c r="I1140" s="30">
        <v>82.3</v>
      </c>
      <c r="J1140" s="29" t="s">
        <v>721</v>
      </c>
    </row>
    <row r="1141" spans="1:10" ht="12" customHeight="1">
      <c r="A1141" s="60">
        <v>4058075205192</v>
      </c>
      <c r="B1141" s="61" t="s">
        <v>5724</v>
      </c>
      <c r="C1141" s="62">
        <v>1</v>
      </c>
      <c r="D1141" s="63" t="s">
        <v>4556</v>
      </c>
      <c r="E1141" s="70" t="str">
        <f>HYPERLINK("https://ledvance.com/pt/product-datasheet/9379/113677","Ficha de Produto")</f>
        <v>Ficha de Produto</v>
      </c>
      <c r="F1141" s="62"/>
      <c r="G1141" s="65" t="s">
        <v>5723</v>
      </c>
      <c r="H1141" s="62" t="s">
        <v>4974</v>
      </c>
      <c r="I1141" s="30">
        <v>82.3</v>
      </c>
      <c r="J1141" s="29" t="s">
        <v>721</v>
      </c>
    </row>
    <row r="1142" spans="1:10" ht="15" customHeight="1">
      <c r="A1142" s="122" t="s">
        <v>4611</v>
      </c>
      <c r="B1142" s="116"/>
      <c r="C1142" s="117"/>
      <c r="D1142" s="118"/>
      <c r="E1142" s="71"/>
      <c r="F1142" s="117"/>
      <c r="G1142" s="119"/>
      <c r="H1142" s="268"/>
      <c r="I1142" s="57"/>
      <c r="J1142" s="58"/>
    </row>
    <row r="1143" spans="1:10" ht="12" customHeight="1">
      <c r="A1143" s="60">
        <v>4058075205475</v>
      </c>
      <c r="B1143" s="61" t="s">
        <v>5725</v>
      </c>
      <c r="C1143" s="62">
        <v>1</v>
      </c>
      <c r="D1143" s="63" t="s">
        <v>4556</v>
      </c>
      <c r="E1143" s="70" t="str">
        <f>HYPERLINK("https://ledvance.com/pt/product-datasheet/9380/111354","Ficha de Produto")</f>
        <v>Ficha de Produto</v>
      </c>
      <c r="F1143" s="62"/>
      <c r="G1143" s="65" t="s">
        <v>5723</v>
      </c>
      <c r="H1143" s="62" t="s">
        <v>4974</v>
      </c>
      <c r="I1143" s="30">
        <v>61.9</v>
      </c>
      <c r="J1143" s="29" t="s">
        <v>721</v>
      </c>
    </row>
    <row r="1144" spans="1:10" ht="12" customHeight="1">
      <c r="A1144" s="60">
        <v>4058075205499</v>
      </c>
      <c r="B1144" s="61" t="s">
        <v>5726</v>
      </c>
      <c r="C1144" s="62">
        <v>1</v>
      </c>
      <c r="D1144" s="63" t="s">
        <v>4556</v>
      </c>
      <c r="E1144" s="70" t="str">
        <f>HYPERLINK("https://ledvance.com/pt/product-datasheet/9380/111357","Ficha de Produto")</f>
        <v>Ficha de Produto</v>
      </c>
      <c r="F1144" s="101" t="s">
        <v>4251</v>
      </c>
      <c r="G1144" s="65" t="s">
        <v>5727</v>
      </c>
      <c r="H1144" s="62" t="s">
        <v>4974</v>
      </c>
      <c r="I1144" s="30">
        <v>94</v>
      </c>
      <c r="J1144" s="29" t="s">
        <v>721</v>
      </c>
    </row>
    <row r="1145" spans="1:10" ht="15" customHeight="1">
      <c r="A1145" s="122" t="s">
        <v>4612</v>
      </c>
      <c r="B1145" s="116"/>
      <c r="C1145" s="117"/>
      <c r="D1145" s="118"/>
      <c r="E1145" s="71"/>
      <c r="F1145" s="117"/>
      <c r="G1145" s="119"/>
      <c r="H1145" s="268"/>
      <c r="I1145" s="57"/>
      <c r="J1145" s="58"/>
    </row>
    <row r="1146" spans="1:10" ht="12" customHeight="1">
      <c r="A1146" s="60">
        <v>4058075214095</v>
      </c>
      <c r="B1146" s="61" t="s">
        <v>5728</v>
      </c>
      <c r="C1146" s="62">
        <v>1</v>
      </c>
      <c r="D1146" s="63" t="s">
        <v>4556</v>
      </c>
      <c r="E1146" s="70" t="str">
        <f>HYPERLINK("https://ledvance.com/pt/product-datasheet/9381/117278","Ficha de Produto")</f>
        <v>Ficha de Produto</v>
      </c>
      <c r="F1146" s="62"/>
      <c r="G1146" s="65" t="s">
        <v>1746</v>
      </c>
      <c r="H1146" s="62" t="s">
        <v>4974</v>
      </c>
      <c r="I1146" s="30">
        <v>82.3</v>
      </c>
      <c r="J1146" s="29" t="s">
        <v>721</v>
      </c>
    </row>
    <row r="1147" spans="1:10" ht="15" customHeight="1">
      <c r="A1147" s="122" t="s">
        <v>4613</v>
      </c>
      <c r="B1147" s="116"/>
      <c r="C1147" s="117"/>
      <c r="D1147" s="118"/>
      <c r="E1147" s="71"/>
      <c r="F1147" s="117"/>
      <c r="G1147" s="119"/>
      <c r="H1147" s="268"/>
      <c r="I1147" s="57"/>
      <c r="J1147" s="58"/>
    </row>
    <row r="1148" spans="1:10" ht="12" customHeight="1">
      <c r="A1148" s="60">
        <v>4058075214019</v>
      </c>
      <c r="B1148" s="61" t="s">
        <v>5729</v>
      </c>
      <c r="C1148" s="62">
        <v>1</v>
      </c>
      <c r="D1148" s="63" t="s">
        <v>4556</v>
      </c>
      <c r="E1148" s="70" t="str">
        <f>HYPERLINK("https://ledvance.com/pt/product-datasheet/9387/113680","Ficha de Produto")</f>
        <v>Ficha de Produto</v>
      </c>
      <c r="F1148" s="62"/>
      <c r="G1148" s="65" t="s">
        <v>4940</v>
      </c>
      <c r="H1148" s="62" t="s">
        <v>4974</v>
      </c>
      <c r="I1148" s="30">
        <v>61.9</v>
      </c>
      <c r="J1148" s="29" t="s">
        <v>721</v>
      </c>
    </row>
    <row r="1149" spans="1:10" ht="12" customHeight="1">
      <c r="A1149" s="60">
        <v>4058075214033</v>
      </c>
      <c r="B1149" s="61" t="s">
        <v>5730</v>
      </c>
      <c r="C1149" s="62">
        <v>1</v>
      </c>
      <c r="D1149" s="63" t="s">
        <v>4556</v>
      </c>
      <c r="E1149" s="70" t="str">
        <f>HYPERLINK("https://ledvance.com/pt/product-datasheet/9387/113686","Ficha de Produto")</f>
        <v>Ficha de Produto</v>
      </c>
      <c r="F1149" s="62"/>
      <c r="G1149" s="65" t="s">
        <v>4940</v>
      </c>
      <c r="H1149" s="62" t="s">
        <v>4974</v>
      </c>
      <c r="I1149" s="30">
        <v>61.9</v>
      </c>
      <c r="J1149" s="29" t="s">
        <v>721</v>
      </c>
    </row>
    <row r="1150" spans="1:10" ht="15" customHeight="1">
      <c r="A1150" s="122" t="s">
        <v>4614</v>
      </c>
      <c r="B1150" s="116"/>
      <c r="C1150" s="117"/>
      <c r="D1150" s="118"/>
      <c r="E1150" s="71"/>
      <c r="F1150" s="117"/>
      <c r="G1150" s="119"/>
      <c r="H1150" s="268"/>
      <c r="I1150" s="57"/>
      <c r="J1150" s="58"/>
    </row>
    <row r="1151" spans="1:10" ht="12" customHeight="1">
      <c r="A1151" s="60">
        <v>4058075205215</v>
      </c>
      <c r="B1151" s="61" t="s">
        <v>5731</v>
      </c>
      <c r="C1151" s="62">
        <v>1</v>
      </c>
      <c r="D1151" s="63" t="s">
        <v>4556</v>
      </c>
      <c r="E1151" s="70" t="str">
        <f>HYPERLINK("https://ledvance.com/pt/product-datasheet/9389/113689","Ficha de Produto")</f>
        <v>Ficha de Produto</v>
      </c>
      <c r="F1151" s="62"/>
      <c r="G1151" s="65" t="s">
        <v>5723</v>
      </c>
      <c r="H1151" s="62" t="s">
        <v>4974</v>
      </c>
      <c r="I1151" s="30">
        <v>82.3</v>
      </c>
      <c r="J1151" s="29" t="s">
        <v>721</v>
      </c>
    </row>
    <row r="1152" spans="1:10" ht="12" customHeight="1">
      <c r="A1152" s="60">
        <v>4058075205253</v>
      </c>
      <c r="B1152" s="61" t="s">
        <v>5732</v>
      </c>
      <c r="C1152" s="62">
        <v>1</v>
      </c>
      <c r="D1152" s="63" t="s">
        <v>4556</v>
      </c>
      <c r="E1152" s="70" t="str">
        <f>HYPERLINK("https://ledvance.com/pt/product-datasheet/9388/113698","Ficha de Produto")</f>
        <v>Ficha de Produto</v>
      </c>
      <c r="F1152" s="62"/>
      <c r="G1152" s="65" t="s">
        <v>5723</v>
      </c>
      <c r="H1152" s="62" t="s">
        <v>4974</v>
      </c>
      <c r="I1152" s="30">
        <v>82.3</v>
      </c>
      <c r="J1152" s="29" t="s">
        <v>721</v>
      </c>
    </row>
    <row r="1153" spans="1:10" ht="12" customHeight="1">
      <c r="A1153" s="60">
        <v>4058075205277</v>
      </c>
      <c r="B1153" s="61" t="s">
        <v>5733</v>
      </c>
      <c r="C1153" s="62">
        <v>1</v>
      </c>
      <c r="D1153" s="63" t="s">
        <v>4556</v>
      </c>
      <c r="E1153" s="70" t="str">
        <f>HYPERLINK("https://ledvance.com/pt/product-datasheet/9388/113707","Ficha de Produto")</f>
        <v>Ficha de Produto</v>
      </c>
      <c r="F1153" s="62"/>
      <c r="G1153" s="65" t="s">
        <v>5723</v>
      </c>
      <c r="H1153" s="62" t="s">
        <v>4974</v>
      </c>
      <c r="I1153" s="30">
        <v>82.3</v>
      </c>
      <c r="J1153" s="29" t="s">
        <v>721</v>
      </c>
    </row>
    <row r="1154" spans="1:10" ht="15" customHeight="1">
      <c r="A1154" s="122" t="s">
        <v>4615</v>
      </c>
      <c r="B1154" s="116"/>
      <c r="C1154" s="117"/>
      <c r="D1154" s="118"/>
      <c r="E1154" s="118"/>
      <c r="F1154" s="117"/>
      <c r="G1154" s="119"/>
      <c r="H1154" s="268"/>
      <c r="I1154" s="57"/>
      <c r="J1154" s="58"/>
    </row>
    <row r="1155" spans="1:10" ht="12" customHeight="1">
      <c r="A1155" s="60">
        <v>4058075205291</v>
      </c>
      <c r="B1155" s="61" t="s">
        <v>5734</v>
      </c>
      <c r="C1155" s="62">
        <v>1</v>
      </c>
      <c r="D1155" s="63" t="s">
        <v>4556</v>
      </c>
      <c r="E1155" s="70" t="str">
        <f>HYPERLINK("https://ledvance.com/pt/product-datasheet/9386/113713","Ficha de Produto")</f>
        <v>Ficha de Produto</v>
      </c>
      <c r="F1155" s="101" t="s">
        <v>4251</v>
      </c>
      <c r="G1155" s="65" t="s">
        <v>5711</v>
      </c>
      <c r="H1155" s="62" t="s">
        <v>4974</v>
      </c>
      <c r="I1155" s="30">
        <v>68.699999999999989</v>
      </c>
      <c r="J1155" s="29" t="s">
        <v>721</v>
      </c>
    </row>
    <row r="1156" spans="1:10" ht="12" customHeight="1">
      <c r="A1156" s="60">
        <v>4058075205314</v>
      </c>
      <c r="B1156" s="61" t="s">
        <v>5735</v>
      </c>
      <c r="C1156" s="62">
        <v>1</v>
      </c>
      <c r="D1156" s="63" t="s">
        <v>4556</v>
      </c>
      <c r="E1156" s="70" t="str">
        <f>HYPERLINK("https://ledvance.com/pt/product-datasheet/9386/113722","Ficha de Produto")</f>
        <v>Ficha de Produto</v>
      </c>
      <c r="F1156" s="62"/>
      <c r="G1156" s="65" t="s">
        <v>5711</v>
      </c>
      <c r="H1156" s="62" t="s">
        <v>4974</v>
      </c>
      <c r="I1156" s="30">
        <v>68.699999999999989</v>
      </c>
      <c r="J1156" s="29" t="s">
        <v>721</v>
      </c>
    </row>
    <row r="1157" spans="1:10" ht="15" customHeight="1">
      <c r="A1157" s="123" t="s">
        <v>4616</v>
      </c>
      <c r="B1157" s="116"/>
      <c r="C1157" s="117"/>
      <c r="D1157" s="124"/>
      <c r="E1157" s="71"/>
      <c r="F1157" s="117"/>
      <c r="G1157" s="119"/>
      <c r="H1157" s="268"/>
      <c r="I1157" s="57"/>
      <c r="J1157" s="58"/>
    </row>
    <row r="1158" spans="1:10" ht="15" customHeight="1">
      <c r="A1158" s="122" t="s">
        <v>4617</v>
      </c>
      <c r="B1158" s="116"/>
      <c r="C1158" s="117"/>
      <c r="D1158" s="118"/>
      <c r="E1158" s="71"/>
      <c r="F1158" s="117"/>
      <c r="G1158" s="119"/>
      <c r="H1158" s="268"/>
      <c r="I1158" s="57"/>
      <c r="J1158" s="58"/>
    </row>
    <row r="1159" spans="1:10" ht="12" customHeight="1">
      <c r="A1159" s="60">
        <v>4058075478039</v>
      </c>
      <c r="B1159" s="61" t="s">
        <v>5736</v>
      </c>
      <c r="C1159" s="62">
        <v>1</v>
      </c>
      <c r="D1159" s="63" t="s">
        <v>4556</v>
      </c>
      <c r="E1159" s="70" t="str">
        <f>HYPERLINK("https://ledvance.com/pt/product-datasheet/9443/120521","Ficha de Produto")</f>
        <v>Ficha de Produto</v>
      </c>
      <c r="F1159" s="101" t="s">
        <v>4251</v>
      </c>
      <c r="G1159" s="65" t="s">
        <v>4953</v>
      </c>
      <c r="H1159" s="62" t="s">
        <v>4974</v>
      </c>
      <c r="I1159" s="30">
        <v>68.699999999999989</v>
      </c>
      <c r="J1159" s="29" t="s">
        <v>721</v>
      </c>
    </row>
    <row r="1160" spans="1:10" ht="12" customHeight="1">
      <c r="A1160" s="60">
        <v>4058075478053</v>
      </c>
      <c r="B1160" s="61" t="s">
        <v>5737</v>
      </c>
      <c r="C1160" s="62">
        <v>1</v>
      </c>
      <c r="D1160" s="63" t="s">
        <v>4556</v>
      </c>
      <c r="E1160" s="70" t="str">
        <f>HYPERLINK("https://ledvance.com/pt/product-datasheet/9443/120524","Ficha de Produto")</f>
        <v>Ficha de Produto</v>
      </c>
      <c r="F1160" s="101" t="s">
        <v>4251</v>
      </c>
      <c r="G1160" s="65" t="s">
        <v>4953</v>
      </c>
      <c r="H1160" s="62" t="s">
        <v>4974</v>
      </c>
      <c r="I1160" s="30">
        <v>96</v>
      </c>
      <c r="J1160" s="29" t="s">
        <v>721</v>
      </c>
    </row>
    <row r="1161" spans="1:10" ht="15" customHeight="1">
      <c r="A1161" s="122" t="s">
        <v>4618</v>
      </c>
      <c r="B1161" s="116"/>
      <c r="C1161" s="117"/>
      <c r="D1161" s="118"/>
      <c r="E1161" s="71"/>
      <c r="F1161" s="117"/>
      <c r="G1161" s="119"/>
      <c r="H1161" s="268"/>
      <c r="I1161" s="57"/>
      <c r="J1161" s="58"/>
    </row>
    <row r="1162" spans="1:10" ht="12" customHeight="1">
      <c r="A1162" s="60">
        <v>4058075205079</v>
      </c>
      <c r="B1162" s="61" t="s">
        <v>5738</v>
      </c>
      <c r="C1162" s="62">
        <v>1</v>
      </c>
      <c r="D1162" s="63" t="s">
        <v>4556</v>
      </c>
      <c r="E1162" s="70" t="str">
        <f>HYPERLINK("https://ledvance.com/pt/product-datasheet/9385/113632","Ficha de Produto")</f>
        <v>Ficha de Produto</v>
      </c>
      <c r="F1162" s="101" t="s">
        <v>4251</v>
      </c>
      <c r="G1162" s="65" t="s">
        <v>5155</v>
      </c>
      <c r="H1162" s="62" t="s">
        <v>4974</v>
      </c>
      <c r="I1162" s="30">
        <v>70.599999999999994</v>
      </c>
      <c r="J1162" s="29" t="s">
        <v>721</v>
      </c>
    </row>
    <row r="1163" spans="1:10" ht="12" customHeight="1">
      <c r="A1163" s="60">
        <v>4058075205093</v>
      </c>
      <c r="B1163" s="61" t="s">
        <v>5739</v>
      </c>
      <c r="C1163" s="62">
        <v>1</v>
      </c>
      <c r="D1163" s="63" t="s">
        <v>4556</v>
      </c>
      <c r="E1163" s="70" t="str">
        <f>HYPERLINK("https://ledvance.com/pt/product-datasheet/9385/113638","Ficha de Produto")</f>
        <v>Ficha de Produto</v>
      </c>
      <c r="F1163" s="101" t="s">
        <v>4251</v>
      </c>
      <c r="G1163" s="65" t="s">
        <v>5155</v>
      </c>
      <c r="H1163" s="62" t="s">
        <v>4974</v>
      </c>
      <c r="I1163" s="30">
        <v>101.8</v>
      </c>
      <c r="J1163" s="29" t="s">
        <v>721</v>
      </c>
    </row>
    <row r="1164" spans="1:10" ht="12" customHeight="1">
      <c r="A1164" s="60">
        <v>4058075205116</v>
      </c>
      <c r="B1164" s="61" t="s">
        <v>5740</v>
      </c>
      <c r="C1164" s="62">
        <v>1</v>
      </c>
      <c r="D1164" s="63" t="s">
        <v>4556</v>
      </c>
      <c r="E1164" s="70" t="str">
        <f>HYPERLINK("https://ledvance.com/pt/product-datasheet/9385/113644","Ficha de Produto")</f>
        <v>Ficha de Produto</v>
      </c>
      <c r="F1164" s="101" t="s">
        <v>4251</v>
      </c>
      <c r="G1164" s="65" t="s">
        <v>5155</v>
      </c>
      <c r="H1164" s="62" t="s">
        <v>4974</v>
      </c>
      <c r="I1164" s="30">
        <v>125.3</v>
      </c>
      <c r="J1164" s="29" t="s">
        <v>721</v>
      </c>
    </row>
    <row r="1165" spans="1:10" ht="15" customHeight="1">
      <c r="A1165" s="122" t="s">
        <v>4619</v>
      </c>
      <c r="B1165" s="116"/>
      <c r="C1165" s="117"/>
      <c r="D1165" s="118"/>
      <c r="E1165" s="118"/>
      <c r="F1165" s="117"/>
      <c r="G1165" s="119"/>
      <c r="H1165" s="268"/>
      <c r="I1165" s="57"/>
      <c r="J1165" s="58"/>
    </row>
    <row r="1166" spans="1:10" ht="12" customHeight="1">
      <c r="A1166" s="60">
        <v>4058075205338</v>
      </c>
      <c r="B1166" s="61" t="s">
        <v>5741</v>
      </c>
      <c r="C1166" s="62">
        <v>1</v>
      </c>
      <c r="D1166" s="63" t="s">
        <v>4556</v>
      </c>
      <c r="E1166" s="70" t="str">
        <f>HYPERLINK("https://ledvance.com/pt/product-datasheet/9402/113770","Ficha de Produto")</f>
        <v>Ficha de Produto</v>
      </c>
      <c r="F1166" s="62"/>
      <c r="G1166" s="65" t="s">
        <v>1749</v>
      </c>
      <c r="H1166" s="62" t="s">
        <v>4974</v>
      </c>
      <c r="I1166" s="30">
        <v>55</v>
      </c>
      <c r="J1166" s="29" t="s">
        <v>721</v>
      </c>
    </row>
    <row r="1167" spans="1:10" ht="12" customHeight="1">
      <c r="A1167" s="60">
        <v>4058075205352</v>
      </c>
      <c r="B1167" s="61" t="s">
        <v>5742</v>
      </c>
      <c r="C1167" s="62">
        <v>1</v>
      </c>
      <c r="D1167" s="63" t="s">
        <v>4556</v>
      </c>
      <c r="E1167" s="70" t="str">
        <f>HYPERLINK("https://ledvance.com/pt/product-datasheet/9402/113773","Ficha de Produto")</f>
        <v>Ficha de Produto</v>
      </c>
      <c r="F1167" s="62"/>
      <c r="G1167" s="65" t="s">
        <v>1749</v>
      </c>
      <c r="H1167" s="62" t="s">
        <v>4974</v>
      </c>
      <c r="I1167" s="30">
        <v>68.699999999999989</v>
      </c>
      <c r="J1167" s="29" t="s">
        <v>721</v>
      </c>
    </row>
    <row r="1168" spans="1:10" ht="12" customHeight="1">
      <c r="A1168" s="60">
        <v>4058075205376</v>
      </c>
      <c r="B1168" s="61" t="s">
        <v>5743</v>
      </c>
      <c r="C1168" s="62">
        <v>1</v>
      </c>
      <c r="D1168" s="63" t="s">
        <v>4556</v>
      </c>
      <c r="E1168" s="70" t="str">
        <f>HYPERLINK("https://ledvance.com/pt/product-datasheet/9402/113779","Ficha de Produto")</f>
        <v>Ficha de Produto</v>
      </c>
      <c r="F1168" s="62"/>
      <c r="G1168" s="65" t="s">
        <v>1749</v>
      </c>
      <c r="H1168" s="62" t="s">
        <v>4974</v>
      </c>
      <c r="I1168" s="30">
        <v>82.3</v>
      </c>
      <c r="J1168" s="29" t="s">
        <v>721</v>
      </c>
    </row>
    <row r="1169" spans="1:10" ht="12" customHeight="1">
      <c r="A1169" s="60">
        <v>4058075205390</v>
      </c>
      <c r="B1169" s="61" t="s">
        <v>5744</v>
      </c>
      <c r="C1169" s="62">
        <v>1</v>
      </c>
      <c r="D1169" s="63" t="s">
        <v>4556</v>
      </c>
      <c r="E1169" s="70" t="str">
        <f>HYPERLINK("https://ledvance.com/pt/product-datasheet/9402/113788","Ficha de Produto")</f>
        <v>Ficha de Produto</v>
      </c>
      <c r="F1169" s="62"/>
      <c r="G1169" s="65" t="s">
        <v>1749</v>
      </c>
      <c r="H1169" s="62" t="s">
        <v>4974</v>
      </c>
      <c r="I1169" s="30">
        <v>106.1</v>
      </c>
      <c r="J1169" s="29" t="s">
        <v>721</v>
      </c>
    </row>
    <row r="1170" spans="1:10" ht="12" customHeight="1">
      <c r="A1170" s="60">
        <v>4058075205413</v>
      </c>
      <c r="B1170" s="61" t="s">
        <v>5745</v>
      </c>
      <c r="C1170" s="62">
        <v>1</v>
      </c>
      <c r="D1170" s="63" t="s">
        <v>4556</v>
      </c>
      <c r="E1170" s="70" t="str">
        <f>HYPERLINK("https://ledvance.com/pt/product-datasheet/9402/113797","Ficha de Produto")</f>
        <v>Ficha de Produto</v>
      </c>
      <c r="F1170" s="62"/>
      <c r="G1170" s="65" t="s">
        <v>1749</v>
      </c>
      <c r="H1170" s="62" t="s">
        <v>4974</v>
      </c>
      <c r="I1170" s="30">
        <v>41.4</v>
      </c>
      <c r="J1170" s="29" t="s">
        <v>721</v>
      </c>
    </row>
    <row r="1171" spans="1:10" ht="15" customHeight="1">
      <c r="A1171" s="123" t="s">
        <v>4616</v>
      </c>
      <c r="B1171" s="116"/>
      <c r="C1171" s="117"/>
      <c r="D1171" s="124"/>
      <c r="E1171" s="124"/>
      <c r="F1171" s="117"/>
      <c r="G1171" s="119"/>
      <c r="H1171" s="268"/>
      <c r="I1171" s="57"/>
      <c r="J1171" s="58"/>
    </row>
    <row r="1172" spans="1:10" ht="15" customHeight="1">
      <c r="A1172" s="123" t="s">
        <v>4620</v>
      </c>
      <c r="B1172" s="116"/>
      <c r="C1172" s="117"/>
      <c r="D1172" s="124"/>
      <c r="E1172" s="124"/>
      <c r="F1172" s="117"/>
      <c r="G1172" s="119"/>
      <c r="H1172" s="268"/>
      <c r="I1172" s="57"/>
      <c r="J1172" s="58"/>
    </row>
    <row r="1173" spans="1:10" ht="15" customHeight="1">
      <c r="A1173" s="122" t="s">
        <v>4621</v>
      </c>
      <c r="B1173" s="116"/>
      <c r="C1173" s="117"/>
      <c r="D1173" s="118"/>
      <c r="E1173" s="118"/>
      <c r="F1173" s="117"/>
      <c r="G1173" s="119"/>
      <c r="H1173" s="268"/>
      <c r="I1173" s="57"/>
      <c r="J1173" s="58"/>
    </row>
    <row r="1174" spans="1:10" ht="12" customHeight="1">
      <c r="A1174" s="83">
        <v>4099854182945</v>
      </c>
      <c r="B1174" s="61" t="s">
        <v>5746</v>
      </c>
      <c r="C1174" s="62">
        <v>1</v>
      </c>
      <c r="D1174" s="63" t="s">
        <v>4556</v>
      </c>
      <c r="E1174" s="70" t="str">
        <f>HYPERLINK("https://ledvance.com/pt/product-datasheet/284846/271240","Ficha de Produto")</f>
        <v>Ficha de Produto</v>
      </c>
      <c r="F1174" s="94" t="s">
        <v>4213</v>
      </c>
      <c r="G1174" s="65" t="s">
        <v>4963</v>
      </c>
      <c r="H1174" s="62" t="s">
        <v>4963</v>
      </c>
      <c r="I1174" s="30">
        <v>56.4</v>
      </c>
      <c r="J1174" s="29" t="s">
        <v>721</v>
      </c>
    </row>
    <row r="1175" spans="1:10" ht="12" customHeight="1">
      <c r="A1175" s="83">
        <v>4099854182969</v>
      </c>
      <c r="B1175" s="61" t="s">
        <v>5747</v>
      </c>
      <c r="C1175" s="62">
        <v>1</v>
      </c>
      <c r="D1175" s="63" t="s">
        <v>4556</v>
      </c>
      <c r="E1175" s="70" t="str">
        <f>HYPERLINK("https://ledvance.com/pt/product-datasheet/284846/271243","Ficha de Produto")</f>
        <v>Ficha de Produto</v>
      </c>
      <c r="F1175" s="94" t="s">
        <v>4213</v>
      </c>
      <c r="G1175" s="65" t="s">
        <v>4963</v>
      </c>
      <c r="H1175" s="62" t="s">
        <v>4963</v>
      </c>
      <c r="I1175" s="30">
        <v>56.4</v>
      </c>
      <c r="J1175" s="29" t="s">
        <v>721</v>
      </c>
    </row>
    <row r="1176" spans="1:10" ht="12" customHeight="1">
      <c r="A1176" s="83">
        <v>4099854182907</v>
      </c>
      <c r="B1176" s="61" t="s">
        <v>5748</v>
      </c>
      <c r="C1176" s="62">
        <v>1</v>
      </c>
      <c r="D1176" s="63" t="s">
        <v>4556</v>
      </c>
      <c r="E1176" s="70" t="str">
        <f>HYPERLINK("https://ledvance.com/pt/product-datasheet/284846/271234","Ficha de Produto")</f>
        <v>Ficha de Produto</v>
      </c>
      <c r="F1176" s="94" t="s">
        <v>4213</v>
      </c>
      <c r="G1176" s="65" t="s">
        <v>4963</v>
      </c>
      <c r="H1176" s="62" t="s">
        <v>4963</v>
      </c>
      <c r="I1176" s="30">
        <v>56.4</v>
      </c>
      <c r="J1176" s="29" t="s">
        <v>721</v>
      </c>
    </row>
    <row r="1177" spans="1:10" ht="12" customHeight="1">
      <c r="A1177" s="83">
        <v>4099854182921</v>
      </c>
      <c r="B1177" s="61" t="s">
        <v>5749</v>
      </c>
      <c r="C1177" s="62">
        <v>1</v>
      </c>
      <c r="D1177" s="63" t="s">
        <v>4556</v>
      </c>
      <c r="E1177" s="70" t="str">
        <f>HYPERLINK("https://ledvance.com/pt/product-datasheet/284846/271237","Ficha de Produto")</f>
        <v>Ficha de Produto</v>
      </c>
      <c r="F1177" s="94" t="s">
        <v>4213</v>
      </c>
      <c r="G1177" s="65" t="s">
        <v>4963</v>
      </c>
      <c r="H1177" s="62" t="s">
        <v>4963</v>
      </c>
      <c r="I1177" s="30">
        <v>56.4</v>
      </c>
      <c r="J1177" s="29" t="s">
        <v>721</v>
      </c>
    </row>
    <row r="1178" spans="1:10" ht="12" customHeight="1">
      <c r="A1178" s="83">
        <v>4099854182983</v>
      </c>
      <c r="B1178" s="61" t="s">
        <v>5750</v>
      </c>
      <c r="C1178" s="62">
        <v>1</v>
      </c>
      <c r="D1178" s="63" t="s">
        <v>4556</v>
      </c>
      <c r="E1178" s="70" t="str">
        <f>HYPERLINK("https://ledvance.com/pt/product-datasheet/284846/271246","Ficha de Produto")</f>
        <v>Ficha de Produto</v>
      </c>
      <c r="F1178" s="94" t="s">
        <v>4213</v>
      </c>
      <c r="G1178" s="65" t="s">
        <v>4963</v>
      </c>
      <c r="H1178" s="62" t="s">
        <v>4963</v>
      </c>
      <c r="I1178" s="30">
        <v>56.4</v>
      </c>
      <c r="J1178" s="29" t="s">
        <v>721</v>
      </c>
    </row>
    <row r="1179" spans="1:10" ht="15" customHeight="1">
      <c r="A1179" s="122" t="s">
        <v>4622</v>
      </c>
      <c r="B1179" s="116"/>
      <c r="C1179" s="117"/>
      <c r="D1179" s="118"/>
      <c r="E1179" s="118"/>
      <c r="F1179" s="117"/>
      <c r="G1179" s="119"/>
      <c r="H1179" s="268"/>
      <c r="I1179" s="57"/>
      <c r="J1179" s="58"/>
    </row>
    <row r="1180" spans="1:10" ht="12" customHeight="1">
      <c r="A1180" s="83">
        <v>4058075834804</v>
      </c>
      <c r="B1180" s="61" t="s">
        <v>5751</v>
      </c>
      <c r="C1180" s="62">
        <v>1</v>
      </c>
      <c r="D1180" s="63" t="s">
        <v>4556</v>
      </c>
      <c r="E1180" s="70" t="str">
        <f>HYPERLINK("https://ledvance.com/pt/product-datasheet/286600/272526","Ficha de Produto")</f>
        <v>Ficha de Produto</v>
      </c>
      <c r="F1180" s="94" t="s">
        <v>4213</v>
      </c>
      <c r="G1180" s="65" t="s">
        <v>4963</v>
      </c>
      <c r="H1180" s="62" t="s">
        <v>4963</v>
      </c>
      <c r="I1180" s="30">
        <v>84.899999999999991</v>
      </c>
      <c r="J1180" s="29" t="s">
        <v>721</v>
      </c>
    </row>
    <row r="1181" spans="1:10" ht="12" customHeight="1">
      <c r="A1181" s="83">
        <v>4058075834828</v>
      </c>
      <c r="B1181" s="61" t="s">
        <v>5752</v>
      </c>
      <c r="C1181" s="62">
        <v>1</v>
      </c>
      <c r="D1181" s="63" t="s">
        <v>4556</v>
      </c>
      <c r="E1181" s="70" t="str">
        <f>HYPERLINK("https://ledvance.com/pt/product-datasheet/286600/272540","Ficha de Produto")</f>
        <v>Ficha de Produto</v>
      </c>
      <c r="F1181" s="94" t="s">
        <v>4584</v>
      </c>
      <c r="G1181" s="65" t="s">
        <v>4963</v>
      </c>
      <c r="H1181" s="62" t="s">
        <v>4963</v>
      </c>
      <c r="I1181" s="30">
        <v>98.5</v>
      </c>
      <c r="J1181" s="29" t="s">
        <v>721</v>
      </c>
    </row>
    <row r="1182" spans="1:10" ht="12" customHeight="1">
      <c r="A1182" s="128">
        <v>4058075834866</v>
      </c>
      <c r="B1182" s="61" t="s">
        <v>5753</v>
      </c>
      <c r="C1182" s="62">
        <v>1</v>
      </c>
      <c r="D1182" s="63" t="s">
        <v>4556</v>
      </c>
      <c r="E1182" s="70" t="str">
        <f>HYPERLINK("https://ledvance.com/pt/product-datasheet/286600/272557","Ficha de Produto")</f>
        <v>Ficha de Produto</v>
      </c>
      <c r="F1182" s="94" t="s">
        <v>4584</v>
      </c>
      <c r="G1182" s="65" t="s">
        <v>4963</v>
      </c>
      <c r="H1182" s="62" t="s">
        <v>4963</v>
      </c>
      <c r="I1182" s="30">
        <v>84.899999999999991</v>
      </c>
      <c r="J1182" s="29" t="s">
        <v>721</v>
      </c>
    </row>
    <row r="1183" spans="1:10" ht="12" customHeight="1">
      <c r="A1183" s="129">
        <v>4058075834880</v>
      </c>
      <c r="B1183" s="61" t="s">
        <v>5754</v>
      </c>
      <c r="C1183" s="62">
        <v>1</v>
      </c>
      <c r="D1183" s="63" t="s">
        <v>4556</v>
      </c>
      <c r="E1183" s="70" t="str">
        <f>HYPERLINK("https://ledvance.com/pt/product-datasheet/286600/272574","Ficha de Produto")</f>
        <v>Ficha de Produto</v>
      </c>
      <c r="F1183" s="94" t="s">
        <v>4584</v>
      </c>
      <c r="G1183" s="65" t="s">
        <v>4963</v>
      </c>
      <c r="H1183" s="62" t="s">
        <v>4963</v>
      </c>
      <c r="I1183" s="30">
        <v>98.5</v>
      </c>
      <c r="J1183" s="29" t="s">
        <v>721</v>
      </c>
    </row>
    <row r="1184" spans="1:10" ht="15" customHeight="1">
      <c r="A1184" s="122" t="s">
        <v>4623</v>
      </c>
      <c r="B1184" s="116"/>
      <c r="C1184" s="117"/>
      <c r="D1184" s="118"/>
      <c r="E1184" s="118"/>
      <c r="F1184" s="117"/>
      <c r="G1184" s="119"/>
      <c r="H1184" s="268"/>
      <c r="I1184" s="57"/>
      <c r="J1184" s="58"/>
    </row>
    <row r="1185" spans="1:10" ht="12" customHeight="1">
      <c r="A1185" s="129">
        <v>4058075834927</v>
      </c>
      <c r="B1185" s="61" t="s">
        <v>5755</v>
      </c>
      <c r="C1185" s="62">
        <v>1</v>
      </c>
      <c r="D1185" s="63" t="s">
        <v>4556</v>
      </c>
      <c r="E1185" s="70" t="str">
        <f>HYPERLINK("https://ledvance.com/pt/product-datasheet/286599/272604","Ficha de Produto")</f>
        <v>Ficha de Produto</v>
      </c>
      <c r="F1185" s="94" t="s">
        <v>4584</v>
      </c>
      <c r="G1185" s="65" t="s">
        <v>4963</v>
      </c>
      <c r="H1185" s="62" t="s">
        <v>4963</v>
      </c>
      <c r="I1185" s="30">
        <v>77.399999999999991</v>
      </c>
      <c r="J1185" s="29" t="s">
        <v>721</v>
      </c>
    </row>
    <row r="1186" spans="1:10" ht="12" customHeight="1">
      <c r="A1186" s="129">
        <v>4058075834965</v>
      </c>
      <c r="B1186" s="61" t="s">
        <v>5756</v>
      </c>
      <c r="C1186" s="62">
        <v>1</v>
      </c>
      <c r="D1186" s="63" t="s">
        <v>4556</v>
      </c>
      <c r="E1186" s="70" t="str">
        <f>HYPERLINK("https://ledvance.com/pt/product-datasheet/286599/272633","Ficha de Produto")</f>
        <v>Ficha de Produto</v>
      </c>
      <c r="F1186" s="94" t="s">
        <v>4584</v>
      </c>
      <c r="G1186" s="65" t="s">
        <v>4963</v>
      </c>
      <c r="H1186" s="62" t="s">
        <v>4963</v>
      </c>
      <c r="I1186" s="30">
        <v>90.899999999999991</v>
      </c>
      <c r="J1186" s="29" t="s">
        <v>721</v>
      </c>
    </row>
    <row r="1187" spans="1:10" ht="12" customHeight="1">
      <c r="A1187" s="129">
        <v>4058075835009</v>
      </c>
      <c r="B1187" s="61" t="s">
        <v>5757</v>
      </c>
      <c r="C1187" s="62">
        <v>1</v>
      </c>
      <c r="D1187" s="63" t="s">
        <v>4556</v>
      </c>
      <c r="E1187" s="70" t="str">
        <f>HYPERLINK("https://ledvance.com/pt/product-datasheet/286599/272488","Ficha de Produto")</f>
        <v>Ficha de Produto</v>
      </c>
      <c r="F1187" s="94" t="s">
        <v>4584</v>
      </c>
      <c r="G1187" s="65" t="s">
        <v>4963</v>
      </c>
      <c r="H1187" s="62" t="s">
        <v>4963</v>
      </c>
      <c r="I1187" s="30">
        <v>77.399999999999991</v>
      </c>
      <c r="J1187" s="29" t="s">
        <v>721</v>
      </c>
    </row>
    <row r="1188" spans="1:10" ht="12" customHeight="1">
      <c r="A1188" s="130">
        <v>4058075835047</v>
      </c>
      <c r="B1188" s="61" t="s">
        <v>5758</v>
      </c>
      <c r="C1188" s="62">
        <v>1</v>
      </c>
      <c r="D1188" s="63" t="s">
        <v>4556</v>
      </c>
      <c r="E1188" s="70" t="str">
        <f>HYPERLINK("https://ledvance.com/pt/product-datasheet/286599/272497","Ficha de Produto")</f>
        <v>Ficha de Produto</v>
      </c>
      <c r="F1188" s="94" t="s">
        <v>4584</v>
      </c>
      <c r="G1188" s="65" t="s">
        <v>4963</v>
      </c>
      <c r="H1188" s="62" t="s">
        <v>4963</v>
      </c>
      <c r="I1188" s="30">
        <v>90.899999999999991</v>
      </c>
      <c r="J1188" s="29" t="s">
        <v>721</v>
      </c>
    </row>
    <row r="1189" spans="1:10" ht="15" customHeight="1">
      <c r="A1189" s="122" t="s">
        <v>4624</v>
      </c>
      <c r="B1189" s="116"/>
      <c r="C1189" s="117"/>
      <c r="D1189" s="118"/>
      <c r="E1189" s="118"/>
      <c r="F1189" s="117"/>
      <c r="G1189" s="119"/>
      <c r="H1189" s="268"/>
      <c r="I1189" s="57"/>
      <c r="J1189" s="58"/>
    </row>
    <row r="1190" spans="1:10" ht="12" customHeight="1">
      <c r="A1190" s="131">
        <v>4058075835061</v>
      </c>
      <c r="B1190" s="61" t="s">
        <v>5759</v>
      </c>
      <c r="C1190" s="62">
        <v>1</v>
      </c>
      <c r="D1190" s="63" t="s">
        <v>4556</v>
      </c>
      <c r="E1190" s="70" t="str">
        <f>HYPERLINK("https://ledvance.com/pt/product-datasheet/286598/272704","Ficha de Produto")</f>
        <v>Ficha de Produto</v>
      </c>
      <c r="F1190" s="94" t="s">
        <v>4584</v>
      </c>
      <c r="G1190" s="65" t="s">
        <v>4963</v>
      </c>
      <c r="H1190" s="62" t="s">
        <v>4963</v>
      </c>
      <c r="I1190" s="30">
        <v>75.8</v>
      </c>
      <c r="J1190" s="29" t="s">
        <v>721</v>
      </c>
    </row>
    <row r="1191" spans="1:10" ht="12" customHeight="1">
      <c r="A1191" s="131">
        <v>4058075835085</v>
      </c>
      <c r="B1191" s="61" t="s">
        <v>5760</v>
      </c>
      <c r="C1191" s="62">
        <v>1</v>
      </c>
      <c r="D1191" s="63" t="s">
        <v>4556</v>
      </c>
      <c r="E1191" s="70" t="str">
        <f>HYPERLINK("https://ledvance.com/pt/product-datasheet/286598/272478","Ficha de Produto")</f>
        <v>Ficha de Produto</v>
      </c>
      <c r="F1191" s="94" t="s">
        <v>4584</v>
      </c>
      <c r="G1191" s="65" t="s">
        <v>4963</v>
      </c>
      <c r="H1191" s="62" t="s">
        <v>4963</v>
      </c>
      <c r="I1191" s="30">
        <v>83.399999999999991</v>
      </c>
      <c r="J1191" s="29" t="s">
        <v>721</v>
      </c>
    </row>
    <row r="1192" spans="1:10" ht="12" customHeight="1">
      <c r="A1192" s="129">
        <v>4058075834941</v>
      </c>
      <c r="B1192" s="61" t="s">
        <v>5761</v>
      </c>
      <c r="C1192" s="62">
        <v>1</v>
      </c>
      <c r="D1192" s="63" t="s">
        <v>4556</v>
      </c>
      <c r="E1192" s="70" t="str">
        <f>HYPERLINK("https://ledvance.com/pt/product-datasheet/286599/272619","Ficha de Produto")</f>
        <v>Ficha de Produto</v>
      </c>
      <c r="F1192" s="94" t="s">
        <v>4584</v>
      </c>
      <c r="G1192" s="65" t="s">
        <v>4963</v>
      </c>
      <c r="H1192" s="62" t="s">
        <v>4963</v>
      </c>
      <c r="I1192" s="30">
        <v>69.8</v>
      </c>
      <c r="J1192" s="29" t="s">
        <v>721</v>
      </c>
    </row>
    <row r="1193" spans="1:10" ht="12" customHeight="1">
      <c r="A1193" s="129">
        <v>4058075834903</v>
      </c>
      <c r="B1193" s="61" t="s">
        <v>5762</v>
      </c>
      <c r="C1193" s="62">
        <v>1</v>
      </c>
      <c r="D1193" s="63" t="s">
        <v>4556</v>
      </c>
      <c r="E1193" s="70" t="str">
        <f>HYPERLINK("https://ledvance.com/pt/product-datasheet/286599/272590","Ficha de Produto")</f>
        <v>Ficha de Produto</v>
      </c>
      <c r="F1193" s="94" t="s">
        <v>4584</v>
      </c>
      <c r="G1193" s="65" t="s">
        <v>4963</v>
      </c>
      <c r="H1193" s="62" t="s">
        <v>4963</v>
      </c>
      <c r="I1193" s="30">
        <v>56.2</v>
      </c>
      <c r="J1193" s="29" t="s">
        <v>721</v>
      </c>
    </row>
    <row r="1194" spans="1:10" ht="12" customHeight="1">
      <c r="A1194" s="130">
        <v>4058075834842</v>
      </c>
      <c r="B1194" s="61" t="s">
        <v>5763</v>
      </c>
      <c r="C1194" s="62">
        <v>1</v>
      </c>
      <c r="D1194" s="63" t="s">
        <v>4556</v>
      </c>
      <c r="E1194" s="70" t="str">
        <f>HYPERLINK("https://ledvance.com/pt/product-datasheet/286600/272647","Ficha de Produto")</f>
        <v>Ficha de Produto</v>
      </c>
      <c r="F1194" s="94" t="s">
        <v>4584</v>
      </c>
      <c r="G1194" s="65" t="s">
        <v>4963</v>
      </c>
      <c r="H1194" s="62" t="s">
        <v>4963</v>
      </c>
      <c r="I1194" s="30">
        <v>63.800000000000004</v>
      </c>
      <c r="J1194" s="29" t="s">
        <v>721</v>
      </c>
    </row>
    <row r="1195" spans="1:10" ht="12" customHeight="1">
      <c r="A1195" s="129">
        <v>4058075834927</v>
      </c>
      <c r="B1195" s="61" t="s">
        <v>5755</v>
      </c>
      <c r="C1195" s="62">
        <v>1</v>
      </c>
      <c r="D1195" s="63" t="s">
        <v>4556</v>
      </c>
      <c r="E1195" s="70" t="str">
        <f>HYPERLINK("https://ledvance.com/pt/product-datasheet/286599/272604","Ficha de Produto")</f>
        <v>Ficha de Produto</v>
      </c>
      <c r="F1195" s="94" t="s">
        <v>4584</v>
      </c>
      <c r="G1195" s="65" t="s">
        <v>4963</v>
      </c>
      <c r="H1195" s="62" t="s">
        <v>4963</v>
      </c>
      <c r="I1195" s="30">
        <v>77.399999999999991</v>
      </c>
      <c r="J1195" s="29" t="s">
        <v>721</v>
      </c>
    </row>
    <row r="1196" spans="1:10" ht="12" customHeight="1">
      <c r="A1196" s="129">
        <v>4058075834989</v>
      </c>
      <c r="B1196" s="61" t="s">
        <v>5764</v>
      </c>
      <c r="C1196" s="62">
        <v>1</v>
      </c>
      <c r="D1196" s="63" t="s">
        <v>4556</v>
      </c>
      <c r="E1196" s="70" t="str">
        <f>HYPERLINK("https://ledvance.com/pt/product-datasheet/286599/272483","Ficha de Produto")</f>
        <v>Ficha de Produto</v>
      </c>
      <c r="F1196" s="94" t="s">
        <v>4584</v>
      </c>
      <c r="G1196" s="65" t="s">
        <v>4963</v>
      </c>
      <c r="H1196" s="62" t="s">
        <v>4963</v>
      </c>
      <c r="I1196" s="30">
        <v>56.2</v>
      </c>
      <c r="J1196" s="29" t="s">
        <v>721</v>
      </c>
    </row>
    <row r="1197" spans="1:10" ht="12" customHeight="1">
      <c r="A1197" s="129">
        <v>4058075835009</v>
      </c>
      <c r="B1197" s="61" t="s">
        <v>5757</v>
      </c>
      <c r="C1197" s="62">
        <v>1</v>
      </c>
      <c r="D1197" s="63" t="s">
        <v>4556</v>
      </c>
      <c r="E1197" s="70" t="str">
        <f>HYPERLINK("https://ledvance.com/pt/product-datasheet/286599/272488","Ficha de Produto")</f>
        <v>Ficha de Produto</v>
      </c>
      <c r="F1197" s="94" t="s">
        <v>4584</v>
      </c>
      <c r="G1197" s="65" t="s">
        <v>4963</v>
      </c>
      <c r="H1197" s="62" t="s">
        <v>4963</v>
      </c>
      <c r="I1197" s="30">
        <v>77.399999999999991</v>
      </c>
      <c r="J1197" s="29" t="s">
        <v>721</v>
      </c>
    </row>
    <row r="1198" spans="1:10" ht="12" customHeight="1">
      <c r="A1198" s="129">
        <v>4058075835023</v>
      </c>
      <c r="B1198" s="61" t="s">
        <v>5765</v>
      </c>
      <c r="C1198" s="62">
        <v>1</v>
      </c>
      <c r="D1198" s="63" t="s">
        <v>4556</v>
      </c>
      <c r="E1198" s="70" t="str">
        <f>HYPERLINK("https://ledvance.com/pt/product-datasheet/286599/272493","Ficha de Produto")</f>
        <v>Ficha de Produto</v>
      </c>
      <c r="F1198" s="94" t="s">
        <v>4584</v>
      </c>
      <c r="G1198" s="65" t="s">
        <v>4963</v>
      </c>
      <c r="H1198" s="62" t="s">
        <v>4963</v>
      </c>
      <c r="I1198" s="30">
        <v>69.8</v>
      </c>
      <c r="J1198" s="29" t="s">
        <v>721</v>
      </c>
    </row>
    <row r="1199" spans="1:10" ht="15" customHeight="1">
      <c r="A1199" s="122" t="s">
        <v>4625</v>
      </c>
      <c r="B1199" s="116"/>
      <c r="C1199" s="117"/>
      <c r="D1199" s="118"/>
      <c r="E1199" s="118"/>
      <c r="F1199" s="117"/>
      <c r="G1199" s="119"/>
      <c r="H1199" s="268"/>
      <c r="I1199" s="57"/>
      <c r="J1199" s="58"/>
    </row>
    <row r="1200" spans="1:10" ht="12" customHeight="1">
      <c r="A1200" s="60">
        <v>4058075554450</v>
      </c>
      <c r="B1200" s="61" t="s">
        <v>5766</v>
      </c>
      <c r="C1200" s="62">
        <v>1</v>
      </c>
      <c r="D1200" s="63" t="s">
        <v>4556</v>
      </c>
      <c r="E1200" s="70" t="str">
        <f>HYPERLINK("https://ledvance.com/pt/product-datasheet/142235/43196","Ficha de Produto")</f>
        <v>Ficha de Produto</v>
      </c>
      <c r="F1200" s="62"/>
      <c r="G1200" s="65" t="s">
        <v>4963</v>
      </c>
      <c r="H1200" s="62" t="s">
        <v>4963</v>
      </c>
      <c r="I1200" s="30">
        <v>48.2</v>
      </c>
      <c r="J1200" s="29" t="s">
        <v>721</v>
      </c>
    </row>
    <row r="1201" spans="1:10" ht="15" customHeight="1">
      <c r="A1201" s="122" t="s">
        <v>4626</v>
      </c>
      <c r="B1201" s="116"/>
      <c r="C1201" s="117"/>
      <c r="D1201" s="118"/>
      <c r="E1201" s="71"/>
      <c r="F1201" s="117"/>
      <c r="G1201" s="119"/>
      <c r="H1201" s="268"/>
      <c r="I1201" s="57"/>
      <c r="J1201" s="58"/>
    </row>
    <row r="1202" spans="1:10" ht="12" customHeight="1">
      <c r="A1202" s="60">
        <v>4058075392663</v>
      </c>
      <c r="B1202" s="61" t="s">
        <v>5767</v>
      </c>
      <c r="C1202" s="62">
        <v>1</v>
      </c>
      <c r="D1202" s="63" t="s">
        <v>4556</v>
      </c>
      <c r="E1202" s="70" t="str">
        <f>HYPERLINK("https://ledvance.com/pt/product-datasheet/9445/110460","Ficha de Produto")</f>
        <v>Ficha de Produto</v>
      </c>
      <c r="F1202" s="62"/>
      <c r="G1202" s="65" t="s">
        <v>4963</v>
      </c>
      <c r="H1202" s="62" t="s">
        <v>4963</v>
      </c>
      <c r="I1202" s="30">
        <v>48.2</v>
      </c>
      <c r="J1202" s="29" t="s">
        <v>721</v>
      </c>
    </row>
    <row r="1203" spans="1:10" ht="12" customHeight="1">
      <c r="A1203" s="60">
        <v>4058075392649</v>
      </c>
      <c r="B1203" s="61" t="s">
        <v>5768</v>
      </c>
      <c r="C1203" s="62">
        <v>1</v>
      </c>
      <c r="D1203" s="63" t="s">
        <v>4556</v>
      </c>
      <c r="E1203" s="70" t="str">
        <f>HYPERLINK("https://ledvance.com/pt/product-datasheet/9445/110454","Ficha de Produto")</f>
        <v>Ficha de Produto</v>
      </c>
      <c r="F1203" s="62"/>
      <c r="G1203" s="65" t="s">
        <v>4963</v>
      </c>
      <c r="H1203" s="62" t="s">
        <v>4963</v>
      </c>
      <c r="I1203" s="30">
        <v>48.2</v>
      </c>
      <c r="J1203" s="29" t="s">
        <v>721</v>
      </c>
    </row>
    <row r="1204" spans="1:10" ht="12" customHeight="1">
      <c r="A1204" s="60">
        <v>4058075392625</v>
      </c>
      <c r="B1204" s="61" t="s">
        <v>5769</v>
      </c>
      <c r="C1204" s="62">
        <v>1</v>
      </c>
      <c r="D1204" s="63" t="s">
        <v>4556</v>
      </c>
      <c r="E1204" s="70" t="str">
        <f>HYPERLINK("https://ledvance.com/pt/product-datasheet/9445/110457","Ficha de Produto")</f>
        <v>Ficha de Produto</v>
      </c>
      <c r="F1204" s="62"/>
      <c r="G1204" s="65" t="s">
        <v>4963</v>
      </c>
      <c r="H1204" s="62" t="s">
        <v>4963</v>
      </c>
      <c r="I1204" s="30">
        <v>48.2</v>
      </c>
      <c r="J1204" s="29" t="s">
        <v>721</v>
      </c>
    </row>
    <row r="1205" spans="1:10" ht="15" customHeight="1">
      <c r="A1205" s="122" t="s">
        <v>4627</v>
      </c>
      <c r="B1205" s="116"/>
      <c r="C1205" s="117"/>
      <c r="D1205" s="118"/>
      <c r="E1205" s="71"/>
      <c r="F1205" s="117"/>
      <c r="G1205" s="119"/>
      <c r="H1205" s="268"/>
      <c r="I1205" s="57"/>
      <c r="J1205" s="58"/>
    </row>
    <row r="1206" spans="1:10" ht="12" customHeight="1">
      <c r="A1206" s="60">
        <v>4058075206625</v>
      </c>
      <c r="B1206" s="61" t="s">
        <v>5770</v>
      </c>
      <c r="C1206" s="62">
        <v>1</v>
      </c>
      <c r="D1206" s="63" t="s">
        <v>4556</v>
      </c>
      <c r="E1206" s="70" t="str">
        <f>HYPERLINK("https://ledvance.com/pt/product-datasheet/9449/108429","Ficha de Produto")</f>
        <v>Ficha de Produto</v>
      </c>
      <c r="F1206" s="62"/>
      <c r="G1206" s="65" t="s">
        <v>4963</v>
      </c>
      <c r="H1206" s="62" t="s">
        <v>4963</v>
      </c>
      <c r="I1206" s="30">
        <v>27.700000000000003</v>
      </c>
      <c r="J1206" s="29" t="s">
        <v>721</v>
      </c>
    </row>
    <row r="1207" spans="1:10" ht="12" customHeight="1">
      <c r="A1207" s="60">
        <v>4058075206649</v>
      </c>
      <c r="B1207" s="61" t="s">
        <v>5771</v>
      </c>
      <c r="C1207" s="62">
        <v>1</v>
      </c>
      <c r="D1207" s="63" t="s">
        <v>4556</v>
      </c>
      <c r="E1207" s="70" t="str">
        <f>HYPERLINK("https://ledvance.com/pt/product-datasheet/9449/108432","Ficha de Produto")</f>
        <v>Ficha de Produto</v>
      </c>
      <c r="F1207" s="62"/>
      <c r="G1207" s="65" t="s">
        <v>4963</v>
      </c>
      <c r="H1207" s="62" t="s">
        <v>4963</v>
      </c>
      <c r="I1207" s="30">
        <v>30.400000000000002</v>
      </c>
      <c r="J1207" s="29" t="s">
        <v>721</v>
      </c>
    </row>
    <row r="1208" spans="1:10" ht="15" customHeight="1">
      <c r="A1208" s="122" t="s">
        <v>4628</v>
      </c>
      <c r="B1208" s="116"/>
      <c r="C1208" s="117"/>
      <c r="D1208" s="118"/>
      <c r="E1208" s="71"/>
      <c r="F1208" s="117"/>
      <c r="G1208" s="119"/>
      <c r="H1208" s="268"/>
      <c r="I1208" s="57"/>
      <c r="J1208" s="58"/>
    </row>
    <row r="1209" spans="1:10" ht="12" customHeight="1">
      <c r="A1209" s="60">
        <v>4058075554214</v>
      </c>
      <c r="B1209" s="61" t="s">
        <v>5772</v>
      </c>
      <c r="C1209" s="62">
        <v>1</v>
      </c>
      <c r="D1209" s="63" t="s">
        <v>4556</v>
      </c>
      <c r="E1209" s="70" t="str">
        <f>HYPERLINK("https://ledvance.com/pt/product-datasheet/142232/32361","Ficha de Produto")</f>
        <v>Ficha de Produto</v>
      </c>
      <c r="F1209" s="101" t="s">
        <v>4251</v>
      </c>
      <c r="G1209" s="65" t="s">
        <v>4963</v>
      </c>
      <c r="H1209" s="62" t="s">
        <v>4963</v>
      </c>
      <c r="I1209" s="30">
        <v>48.2</v>
      </c>
      <c r="J1209" s="29" t="s">
        <v>721</v>
      </c>
    </row>
    <row r="1210" spans="1:10" ht="12" customHeight="1">
      <c r="A1210" s="60">
        <v>4058075554238</v>
      </c>
      <c r="B1210" s="61" t="s">
        <v>5773</v>
      </c>
      <c r="C1210" s="62">
        <v>1</v>
      </c>
      <c r="D1210" s="63" t="s">
        <v>4556</v>
      </c>
      <c r="E1210" s="70" t="str">
        <f>HYPERLINK("https://ledvance.com/pt/product-datasheet/142232/32364","Ficha de Produto")</f>
        <v>Ficha de Produto</v>
      </c>
      <c r="F1210" s="101" t="s">
        <v>4251</v>
      </c>
      <c r="G1210" s="65" t="s">
        <v>4963</v>
      </c>
      <c r="H1210" s="62" t="s">
        <v>4963</v>
      </c>
      <c r="I1210" s="30">
        <v>75.5</v>
      </c>
      <c r="J1210" s="29" t="s">
        <v>721</v>
      </c>
    </row>
    <row r="1211" spans="1:10" ht="12" customHeight="1">
      <c r="A1211" s="60">
        <v>4058075554252</v>
      </c>
      <c r="B1211" s="61" t="s">
        <v>5774</v>
      </c>
      <c r="C1211" s="62">
        <v>1</v>
      </c>
      <c r="D1211" s="63" t="s">
        <v>4556</v>
      </c>
      <c r="E1211" s="70" t="str">
        <f>HYPERLINK("https://ledvance.com/pt/product-datasheet/142232/32367","Ficha de Produto")</f>
        <v>Ficha de Produto</v>
      </c>
      <c r="F1211" s="101" t="s">
        <v>4251</v>
      </c>
      <c r="G1211" s="65" t="s">
        <v>4963</v>
      </c>
      <c r="H1211" s="62" t="s">
        <v>4963</v>
      </c>
      <c r="I1211" s="30">
        <v>89.199999999999989</v>
      </c>
      <c r="J1211" s="29" t="s">
        <v>721</v>
      </c>
    </row>
    <row r="1212" spans="1:10" ht="15" customHeight="1">
      <c r="A1212" s="122" t="s">
        <v>4629</v>
      </c>
      <c r="B1212" s="116"/>
      <c r="C1212" s="117"/>
      <c r="D1212" s="118"/>
      <c r="E1212" s="71"/>
      <c r="F1212" s="117"/>
      <c r="G1212" s="119"/>
      <c r="H1212" s="268"/>
      <c r="I1212" s="57"/>
      <c r="J1212" s="58"/>
    </row>
    <row r="1213" spans="1:10" ht="12" customHeight="1">
      <c r="A1213" s="60">
        <v>4058075554276</v>
      </c>
      <c r="B1213" s="61" t="s">
        <v>5775</v>
      </c>
      <c r="C1213" s="62">
        <v>1</v>
      </c>
      <c r="D1213" s="63" t="s">
        <v>4556</v>
      </c>
      <c r="E1213" s="70" t="str">
        <f>HYPERLINK("https://ledvance.com/pt/product-datasheet/142233/30473","Ficha de Produto")</f>
        <v>Ficha de Produto</v>
      </c>
      <c r="F1213" s="62"/>
      <c r="G1213" s="65" t="s">
        <v>4963</v>
      </c>
      <c r="H1213" s="62" t="s">
        <v>4963</v>
      </c>
      <c r="I1213" s="30">
        <v>55</v>
      </c>
      <c r="J1213" s="29" t="s">
        <v>721</v>
      </c>
    </row>
    <row r="1214" spans="1:10" ht="12" customHeight="1">
      <c r="A1214" s="60">
        <v>4058075554290</v>
      </c>
      <c r="B1214" s="61" t="s">
        <v>5776</v>
      </c>
      <c r="C1214" s="62">
        <v>1</v>
      </c>
      <c r="D1214" s="63" t="s">
        <v>4556</v>
      </c>
      <c r="E1214" s="70" t="str">
        <f>HYPERLINK("https://ledvance.com/pt/product-datasheet/142233/30476","Ficha de Produto")</f>
        <v>Ficha de Produto</v>
      </c>
      <c r="F1214" s="62"/>
      <c r="G1214" s="65" t="s">
        <v>4963</v>
      </c>
      <c r="H1214" s="62" t="s">
        <v>4963</v>
      </c>
      <c r="I1214" s="30">
        <v>82.3</v>
      </c>
      <c r="J1214" s="29" t="s">
        <v>721</v>
      </c>
    </row>
    <row r="1215" spans="1:10" ht="12" customHeight="1">
      <c r="A1215" s="60">
        <v>4058075554313</v>
      </c>
      <c r="B1215" s="61" t="s">
        <v>5777</v>
      </c>
      <c r="C1215" s="62">
        <v>1</v>
      </c>
      <c r="D1215" s="63" t="s">
        <v>4556</v>
      </c>
      <c r="E1215" s="70" t="str">
        <f>HYPERLINK("https://ledvance.com/pt/product-datasheet/142233/30479","Ficha de Produto")</f>
        <v>Ficha de Produto</v>
      </c>
      <c r="F1215" s="62"/>
      <c r="G1215" s="65" t="s">
        <v>4963</v>
      </c>
      <c r="H1215" s="62" t="s">
        <v>4963</v>
      </c>
      <c r="I1215" s="30">
        <v>96</v>
      </c>
      <c r="J1215" s="29" t="s">
        <v>721</v>
      </c>
    </row>
    <row r="1216" spans="1:10" ht="15" customHeight="1">
      <c r="A1216" s="122" t="s">
        <v>4630</v>
      </c>
      <c r="B1216" s="116"/>
      <c r="C1216" s="117"/>
      <c r="D1216" s="118"/>
      <c r="E1216" s="118"/>
      <c r="F1216" s="117"/>
      <c r="G1216" s="119"/>
      <c r="H1216" s="268"/>
      <c r="I1216" s="57"/>
      <c r="J1216" s="58"/>
    </row>
    <row r="1217" spans="1:10" ht="12" customHeight="1">
      <c r="A1217" s="60">
        <v>4058075554337</v>
      </c>
      <c r="B1217" s="61" t="s">
        <v>5778</v>
      </c>
      <c r="C1217" s="62">
        <v>1</v>
      </c>
      <c r="D1217" s="63" t="s">
        <v>4556</v>
      </c>
      <c r="E1217" s="70" t="str">
        <f>HYPERLINK("https://ledvance.com/pt/product-datasheet/142233/30482","Ficha de Produto")</f>
        <v>Ficha de Produto</v>
      </c>
      <c r="F1217" s="62"/>
      <c r="G1217" s="65" t="s">
        <v>4963</v>
      </c>
      <c r="H1217" s="62" t="s">
        <v>4963</v>
      </c>
      <c r="I1217" s="30">
        <v>55</v>
      </c>
      <c r="J1217" s="29" t="s">
        <v>721</v>
      </c>
    </row>
    <row r="1218" spans="1:10" ht="12" customHeight="1">
      <c r="A1218" s="60">
        <v>4058075554351</v>
      </c>
      <c r="B1218" s="61" t="s">
        <v>5779</v>
      </c>
      <c r="C1218" s="62">
        <v>1</v>
      </c>
      <c r="D1218" s="63" t="s">
        <v>4556</v>
      </c>
      <c r="E1218" s="70" t="str">
        <f>HYPERLINK("https://ledvance.com/pt/product-datasheet/142233/30485","Ficha de Produto")</f>
        <v>Ficha de Produto</v>
      </c>
      <c r="F1218" s="62"/>
      <c r="G1218" s="65" t="s">
        <v>4963</v>
      </c>
      <c r="H1218" s="62" t="s">
        <v>4963</v>
      </c>
      <c r="I1218" s="30">
        <v>82.3</v>
      </c>
      <c r="J1218" s="29" t="s">
        <v>721</v>
      </c>
    </row>
    <row r="1219" spans="1:10" ht="12" customHeight="1">
      <c r="A1219" s="60">
        <v>4058075554375</v>
      </c>
      <c r="B1219" s="61" t="s">
        <v>5780</v>
      </c>
      <c r="C1219" s="62">
        <v>1</v>
      </c>
      <c r="D1219" s="63" t="s">
        <v>4556</v>
      </c>
      <c r="E1219" s="70" t="str">
        <f>HYPERLINK("https://ledvance.com/pt/product-datasheet/142233/30488","Ficha de Produto")</f>
        <v>Ficha de Produto</v>
      </c>
      <c r="F1219" s="62"/>
      <c r="G1219" s="65" t="s">
        <v>4963</v>
      </c>
      <c r="H1219" s="62" t="s">
        <v>4963</v>
      </c>
      <c r="I1219" s="30">
        <v>131</v>
      </c>
      <c r="J1219" s="29" t="s">
        <v>721</v>
      </c>
    </row>
    <row r="1220" spans="1:10" ht="15" customHeight="1">
      <c r="A1220" s="122" t="s">
        <v>4631</v>
      </c>
      <c r="B1220" s="116"/>
      <c r="C1220" s="117"/>
      <c r="D1220" s="118"/>
      <c r="E1220" s="71"/>
      <c r="F1220" s="117"/>
      <c r="G1220" s="119"/>
      <c r="H1220" s="268"/>
      <c r="I1220" s="57"/>
      <c r="J1220" s="58"/>
    </row>
    <row r="1221" spans="1:10" ht="12" customHeight="1">
      <c r="A1221" s="60">
        <v>4058075554399</v>
      </c>
      <c r="B1221" s="61" t="s">
        <v>5781</v>
      </c>
      <c r="C1221" s="62">
        <v>1</v>
      </c>
      <c r="D1221" s="63" t="s">
        <v>4556</v>
      </c>
      <c r="E1221" s="70" t="str">
        <f>HYPERLINK("https://ledvance.com/pt/product-datasheet/142234/43187","Ficha de Produto")</f>
        <v>Ficha de Produto</v>
      </c>
      <c r="F1221" s="62"/>
      <c r="G1221" s="65" t="s">
        <v>4963</v>
      </c>
      <c r="H1221" s="62" t="s">
        <v>4963</v>
      </c>
      <c r="I1221" s="30">
        <v>55</v>
      </c>
      <c r="J1221" s="29" t="s">
        <v>721</v>
      </c>
    </row>
    <row r="1222" spans="1:10" ht="12" customHeight="1">
      <c r="A1222" s="60">
        <v>4058075554412</v>
      </c>
      <c r="B1222" s="61" t="s">
        <v>5782</v>
      </c>
      <c r="C1222" s="62">
        <v>1</v>
      </c>
      <c r="D1222" s="63" t="s">
        <v>4556</v>
      </c>
      <c r="E1222" s="70" t="str">
        <f>HYPERLINK("https://ledvance.com/pt/product-datasheet/142234/43190","Ficha de Produto")</f>
        <v>Ficha de Produto</v>
      </c>
      <c r="F1222" s="62"/>
      <c r="G1222" s="65" t="s">
        <v>4963</v>
      </c>
      <c r="H1222" s="62" t="s">
        <v>4963</v>
      </c>
      <c r="I1222" s="30">
        <v>82.3</v>
      </c>
      <c r="J1222" s="29" t="s">
        <v>721</v>
      </c>
    </row>
    <row r="1223" spans="1:10" ht="12" customHeight="1">
      <c r="A1223" s="60">
        <v>4058075554436</v>
      </c>
      <c r="B1223" s="61" t="s">
        <v>5783</v>
      </c>
      <c r="C1223" s="62">
        <v>1</v>
      </c>
      <c r="D1223" s="63" t="s">
        <v>4556</v>
      </c>
      <c r="E1223" s="70" t="str">
        <f>HYPERLINK("https://ledvance.com/pt/product-datasheet/142234/43193","Ficha de Produto")</f>
        <v>Ficha de Produto</v>
      </c>
      <c r="F1223" s="62"/>
      <c r="G1223" s="65" t="s">
        <v>4963</v>
      </c>
      <c r="H1223" s="62" t="s">
        <v>4963</v>
      </c>
      <c r="I1223" s="30">
        <v>96</v>
      </c>
      <c r="J1223" s="29" t="s">
        <v>721</v>
      </c>
    </row>
    <row r="1224" spans="1:10" ht="15" customHeight="1">
      <c r="A1224" s="122" t="s">
        <v>4632</v>
      </c>
      <c r="B1224" s="116"/>
      <c r="C1224" s="117"/>
      <c r="D1224" s="118"/>
      <c r="E1224" s="118"/>
      <c r="F1224" s="117"/>
      <c r="G1224" s="119"/>
      <c r="H1224" s="268"/>
      <c r="I1224" s="57"/>
      <c r="J1224" s="58"/>
    </row>
    <row r="1225" spans="1:10" ht="12" customHeight="1">
      <c r="A1225" s="60">
        <v>4058075477971</v>
      </c>
      <c r="B1225" s="61" t="s">
        <v>5784</v>
      </c>
      <c r="C1225" s="62">
        <v>1</v>
      </c>
      <c r="D1225" s="63" t="s">
        <v>4556</v>
      </c>
      <c r="E1225" s="70" t="str">
        <f>HYPERLINK("https://ledvance.com/pt/product-datasheet/9462/120512","Ficha de Produto")</f>
        <v>Ficha de Produto</v>
      </c>
      <c r="F1225" s="62"/>
      <c r="G1225" s="65" t="s">
        <v>4963</v>
      </c>
      <c r="H1225" s="62" t="s">
        <v>4963</v>
      </c>
      <c r="I1225" s="30">
        <v>55</v>
      </c>
      <c r="J1225" s="29" t="s">
        <v>721</v>
      </c>
    </row>
    <row r="1226" spans="1:10" ht="12" customHeight="1">
      <c r="A1226" s="60">
        <v>4058075477957</v>
      </c>
      <c r="B1226" s="61" t="s">
        <v>5785</v>
      </c>
      <c r="C1226" s="62">
        <v>1</v>
      </c>
      <c r="D1226" s="63" t="s">
        <v>4556</v>
      </c>
      <c r="E1226" s="70" t="str">
        <f>HYPERLINK("https://ledvance.com/pt/product-datasheet/9462/120509","Ficha de Produto")</f>
        <v>Ficha de Produto</v>
      </c>
      <c r="F1226" s="62"/>
      <c r="G1226" s="65" t="s">
        <v>4963</v>
      </c>
      <c r="H1226" s="62" t="s">
        <v>4963</v>
      </c>
      <c r="I1226" s="30">
        <v>41.4</v>
      </c>
      <c r="J1226" s="29" t="s">
        <v>721</v>
      </c>
    </row>
    <row r="1227" spans="1:10" ht="12" customHeight="1">
      <c r="A1227" s="60">
        <v>4058075478015</v>
      </c>
      <c r="B1227" s="61" t="s">
        <v>5786</v>
      </c>
      <c r="C1227" s="62">
        <v>1</v>
      </c>
      <c r="D1227" s="63" t="s">
        <v>4556</v>
      </c>
      <c r="E1227" s="70" t="str">
        <f>HYPERLINK("https://ledvance.com/pt/product-datasheet/9462/120518","Ficha de Produto")</f>
        <v>Ficha de Produto</v>
      </c>
      <c r="F1227" s="62"/>
      <c r="G1227" s="65" t="s">
        <v>4963</v>
      </c>
      <c r="H1227" s="62" t="s">
        <v>4963</v>
      </c>
      <c r="I1227" s="30">
        <v>82.3</v>
      </c>
      <c r="J1227" s="29" t="s">
        <v>721</v>
      </c>
    </row>
    <row r="1228" spans="1:10" ht="12" customHeight="1">
      <c r="A1228" s="60">
        <v>4058075477995</v>
      </c>
      <c r="B1228" s="61" t="s">
        <v>5787</v>
      </c>
      <c r="C1228" s="62">
        <v>1</v>
      </c>
      <c r="D1228" s="63" t="s">
        <v>4556</v>
      </c>
      <c r="E1228" s="70" t="str">
        <f>HYPERLINK("https://ledvance.com/pt/product-datasheet/9462/120515","Ficha de Produto")</f>
        <v>Ficha de Produto</v>
      </c>
      <c r="F1228" s="62"/>
      <c r="G1228" s="65" t="s">
        <v>4963</v>
      </c>
      <c r="H1228" s="62" t="s">
        <v>4963</v>
      </c>
      <c r="I1228" s="30">
        <v>68.699999999999989</v>
      </c>
      <c r="J1228" s="29" t="s">
        <v>721</v>
      </c>
    </row>
    <row r="1229" spans="1:10" ht="15" customHeight="1">
      <c r="A1229" s="122" t="s">
        <v>4633</v>
      </c>
      <c r="B1229" s="116"/>
      <c r="C1229" s="117"/>
      <c r="D1229" s="118"/>
      <c r="E1229" s="71"/>
      <c r="F1229" s="117"/>
      <c r="G1229" s="119"/>
      <c r="H1229" s="268"/>
      <c r="I1229" s="57"/>
      <c r="J1229" s="58"/>
    </row>
    <row r="1230" spans="1:10" ht="12" customHeight="1">
      <c r="A1230" s="60">
        <v>4058075206281</v>
      </c>
      <c r="B1230" s="61" t="s">
        <v>5788</v>
      </c>
      <c r="C1230" s="62">
        <v>1</v>
      </c>
      <c r="D1230" s="63" t="s">
        <v>4556</v>
      </c>
      <c r="E1230" s="70" t="str">
        <f>HYPERLINK("https://ledvance.com/pt/product-datasheet/9446/108366","Ficha de Produto")</f>
        <v>Ficha de Produto</v>
      </c>
      <c r="F1230" s="62"/>
      <c r="G1230" s="65" t="s">
        <v>4963</v>
      </c>
      <c r="H1230" s="62" t="s">
        <v>4963</v>
      </c>
      <c r="I1230" s="30">
        <v>47.2</v>
      </c>
      <c r="J1230" s="29" t="s">
        <v>721</v>
      </c>
    </row>
    <row r="1231" spans="1:10" ht="12" customHeight="1">
      <c r="A1231" s="60">
        <v>4058075206229</v>
      </c>
      <c r="B1231" s="61" t="s">
        <v>5789</v>
      </c>
      <c r="C1231" s="62">
        <v>1</v>
      </c>
      <c r="D1231" s="63" t="s">
        <v>4556</v>
      </c>
      <c r="E1231" s="70" t="str">
        <f>HYPERLINK("https://ledvance.com/pt/product-datasheet/9446/108357","Ficha de Produto")</f>
        <v>Ficha de Produto</v>
      </c>
      <c r="F1231" s="62"/>
      <c r="G1231" s="65" t="s">
        <v>4963</v>
      </c>
      <c r="H1231" s="62" t="s">
        <v>4963</v>
      </c>
      <c r="I1231" s="30">
        <v>31.6</v>
      </c>
      <c r="J1231" s="29" t="s">
        <v>721</v>
      </c>
    </row>
    <row r="1232" spans="1:10" ht="12" customHeight="1">
      <c r="A1232" s="60">
        <v>4058075206168</v>
      </c>
      <c r="B1232" s="61" t="s">
        <v>5790</v>
      </c>
      <c r="C1232" s="62">
        <v>1</v>
      </c>
      <c r="D1232" s="63" t="s">
        <v>4556</v>
      </c>
      <c r="E1232" s="70" t="str">
        <f>HYPERLINK("https://ledvance.com/pt/product-datasheet/9446/108345","Ficha de Produto")</f>
        <v>Ficha de Produto</v>
      </c>
      <c r="F1232" s="62"/>
      <c r="G1232" s="65" t="s">
        <v>4963</v>
      </c>
      <c r="H1232" s="62" t="s">
        <v>4963</v>
      </c>
      <c r="I1232" s="30">
        <v>31.6</v>
      </c>
      <c r="J1232" s="29" t="s">
        <v>721</v>
      </c>
    </row>
    <row r="1233" spans="1:10" ht="12" customHeight="1">
      <c r="A1233" s="60">
        <v>4058075206380</v>
      </c>
      <c r="B1233" s="61" t="s">
        <v>5791</v>
      </c>
      <c r="C1233" s="62">
        <v>1</v>
      </c>
      <c r="D1233" s="63" t="s">
        <v>4556</v>
      </c>
      <c r="E1233" s="70" t="str">
        <f>HYPERLINK("https://ledvance.com/pt/product-datasheet/9446/108381","Ficha de Produto")</f>
        <v>Ficha de Produto</v>
      </c>
      <c r="F1233" s="62"/>
      <c r="G1233" s="65" t="s">
        <v>4963</v>
      </c>
      <c r="H1233" s="62" t="s">
        <v>4963</v>
      </c>
      <c r="I1233" s="30">
        <v>62.800000000000004</v>
      </c>
      <c r="J1233" s="29" t="s">
        <v>721</v>
      </c>
    </row>
    <row r="1234" spans="1:10" ht="12" customHeight="1">
      <c r="A1234" s="60">
        <v>4058075206342</v>
      </c>
      <c r="B1234" s="61" t="s">
        <v>5792</v>
      </c>
      <c r="C1234" s="62">
        <v>1</v>
      </c>
      <c r="D1234" s="63" t="s">
        <v>4556</v>
      </c>
      <c r="E1234" s="70" t="str">
        <f>HYPERLINK("https://ledvance.com/pt/product-datasheet/9446/108372","Ficha de Produto")</f>
        <v>Ficha de Produto</v>
      </c>
      <c r="F1234" s="62"/>
      <c r="G1234" s="65" t="s">
        <v>4963</v>
      </c>
      <c r="H1234" s="62" t="s">
        <v>4963</v>
      </c>
      <c r="I1234" s="30">
        <v>31.6</v>
      </c>
      <c r="J1234" s="29" t="s">
        <v>721</v>
      </c>
    </row>
    <row r="1235" spans="1:10" ht="15" customHeight="1">
      <c r="A1235" s="122" t="s">
        <v>4634</v>
      </c>
      <c r="B1235" s="116"/>
      <c r="C1235" s="117"/>
      <c r="D1235" s="118"/>
      <c r="E1235" s="118"/>
      <c r="F1235" s="117"/>
      <c r="G1235" s="119"/>
      <c r="H1235" s="268"/>
      <c r="I1235" s="57"/>
      <c r="J1235" s="58"/>
    </row>
    <row r="1236" spans="1:10" ht="12" customHeight="1">
      <c r="A1236" s="60">
        <v>4058075206526</v>
      </c>
      <c r="B1236" s="61" t="s">
        <v>5793</v>
      </c>
      <c r="C1236" s="62">
        <v>1</v>
      </c>
      <c r="D1236" s="63" t="s">
        <v>4556</v>
      </c>
      <c r="E1236" s="70" t="str">
        <f>HYPERLINK("https://ledvance.com/pt/product-datasheet/9450/108402","Ficha de Produto")</f>
        <v>Ficha de Produto</v>
      </c>
      <c r="F1236" s="62"/>
      <c r="G1236" s="65" t="s">
        <v>4963</v>
      </c>
      <c r="H1236" s="62" t="s">
        <v>4963</v>
      </c>
      <c r="I1236" s="30">
        <v>47.2</v>
      </c>
      <c r="J1236" s="29" t="s">
        <v>721</v>
      </c>
    </row>
    <row r="1237" spans="1:10" ht="12" customHeight="1">
      <c r="A1237" s="60">
        <v>4058075206502</v>
      </c>
      <c r="B1237" s="61" t="s">
        <v>5794</v>
      </c>
      <c r="C1237" s="62">
        <v>1</v>
      </c>
      <c r="D1237" s="63" t="s">
        <v>4556</v>
      </c>
      <c r="E1237" s="70" t="str">
        <f>HYPERLINK("https://ledvance.com/pt/product-datasheet/9450/108396","Ficha de Produto")</f>
        <v>Ficha de Produto</v>
      </c>
      <c r="F1237" s="62"/>
      <c r="G1237" s="65" t="s">
        <v>4963</v>
      </c>
      <c r="H1237" s="62" t="s">
        <v>4963</v>
      </c>
      <c r="I1237" s="30">
        <v>47.2</v>
      </c>
      <c r="J1237" s="29" t="s">
        <v>721</v>
      </c>
    </row>
    <row r="1238" spans="1:10" ht="12" customHeight="1">
      <c r="A1238" s="60">
        <v>4058075206540</v>
      </c>
      <c r="B1238" s="61" t="s">
        <v>5795</v>
      </c>
      <c r="C1238" s="62">
        <v>1</v>
      </c>
      <c r="D1238" s="63" t="s">
        <v>4556</v>
      </c>
      <c r="E1238" s="70" t="str">
        <f>HYPERLINK("https://ledvance.com/pt/product-datasheet/9450/108408","Ficha de Produto")</f>
        <v>Ficha de Produto</v>
      </c>
      <c r="F1238" s="62"/>
      <c r="G1238" s="65" t="s">
        <v>4963</v>
      </c>
      <c r="H1238" s="62" t="s">
        <v>4963</v>
      </c>
      <c r="I1238" s="30">
        <v>62.800000000000004</v>
      </c>
      <c r="J1238" s="29" t="s">
        <v>721</v>
      </c>
    </row>
    <row r="1239" spans="1:10" ht="12" customHeight="1">
      <c r="A1239" s="60">
        <v>4058075206564</v>
      </c>
      <c r="B1239" s="61" t="s">
        <v>5796</v>
      </c>
      <c r="C1239" s="62">
        <v>1</v>
      </c>
      <c r="D1239" s="63" t="s">
        <v>4556</v>
      </c>
      <c r="E1239" s="70" t="str">
        <f>HYPERLINK("https://ledvance.com/pt/product-datasheet/9450/108414","Ficha de Produto")</f>
        <v>Ficha de Produto</v>
      </c>
      <c r="F1239" s="62"/>
      <c r="G1239" s="65" t="s">
        <v>4963</v>
      </c>
      <c r="H1239" s="62" t="s">
        <v>4963</v>
      </c>
      <c r="I1239" s="30">
        <v>62.800000000000004</v>
      </c>
      <c r="J1239" s="29" t="s">
        <v>721</v>
      </c>
    </row>
    <row r="1240" spans="1:10" ht="12" customHeight="1">
      <c r="A1240" s="60">
        <v>4058075206588</v>
      </c>
      <c r="B1240" s="61" t="s">
        <v>5797</v>
      </c>
      <c r="C1240" s="62">
        <v>1</v>
      </c>
      <c r="D1240" s="63" t="s">
        <v>4556</v>
      </c>
      <c r="E1240" s="70" t="str">
        <f>HYPERLINK("https://ledvance.com/pt/product-datasheet/9450/108420","Ficha de Produto")</f>
        <v>Ficha de Produto</v>
      </c>
      <c r="F1240" s="62"/>
      <c r="G1240" s="65" t="s">
        <v>4963</v>
      </c>
      <c r="H1240" s="62" t="s">
        <v>4963</v>
      </c>
      <c r="I1240" s="30">
        <v>78.399999999999991</v>
      </c>
      <c r="J1240" s="29" t="s">
        <v>721</v>
      </c>
    </row>
    <row r="1241" spans="1:10" ht="15" customHeight="1">
      <c r="A1241" s="123" t="s">
        <v>4635</v>
      </c>
      <c r="B1241" s="116"/>
      <c r="C1241" s="117"/>
      <c r="D1241" s="124"/>
      <c r="E1241" s="124"/>
      <c r="F1241" s="117"/>
      <c r="G1241" s="119"/>
      <c r="H1241" s="268"/>
      <c r="I1241" s="57"/>
      <c r="J1241" s="58"/>
    </row>
    <row r="1242" spans="1:10" ht="15" customHeight="1">
      <c r="A1242" s="122" t="s">
        <v>4621</v>
      </c>
      <c r="B1242" s="116"/>
      <c r="C1242" s="117"/>
      <c r="D1242" s="118"/>
      <c r="E1242" s="118"/>
      <c r="F1242" s="117"/>
      <c r="G1242" s="119"/>
      <c r="H1242" s="268"/>
      <c r="I1242" s="57"/>
      <c r="J1242" s="58"/>
    </row>
    <row r="1243" spans="1:10" ht="12" customHeight="1">
      <c r="A1243" s="83">
        <v>4099854183003</v>
      </c>
      <c r="B1243" s="61" t="s">
        <v>5798</v>
      </c>
      <c r="C1243" s="62">
        <v>1</v>
      </c>
      <c r="D1243" s="63" t="s">
        <v>4556</v>
      </c>
      <c r="E1243" s="70" t="str">
        <f>HYPERLINK("https://ledvance.com/pt/product-datasheet/284847/271249","Ficha de Produto")</f>
        <v>Ficha de Produto</v>
      </c>
      <c r="F1243" s="94" t="s">
        <v>4213</v>
      </c>
      <c r="G1243" s="65" t="s">
        <v>4963</v>
      </c>
      <c r="H1243" s="62" t="s">
        <v>4963</v>
      </c>
      <c r="I1243" s="30">
        <v>54.7</v>
      </c>
      <c r="J1243" s="29" t="s">
        <v>721</v>
      </c>
    </row>
    <row r="1244" spans="1:10" ht="12" customHeight="1">
      <c r="A1244" s="83">
        <v>4099854183027</v>
      </c>
      <c r="B1244" s="61" t="s">
        <v>5799</v>
      </c>
      <c r="C1244" s="62">
        <v>1</v>
      </c>
      <c r="D1244" s="63" t="s">
        <v>4556</v>
      </c>
      <c r="E1244" s="70" t="str">
        <f>HYPERLINK("https://ledvance.com/pt/product-datasheet/284847/271252","Ficha de Produto")</f>
        <v>Ficha de Produto</v>
      </c>
      <c r="F1244" s="94" t="s">
        <v>4213</v>
      </c>
      <c r="G1244" s="65" t="s">
        <v>4963</v>
      </c>
      <c r="H1244" s="62" t="s">
        <v>4963</v>
      </c>
      <c r="I1244" s="30">
        <v>75.8</v>
      </c>
      <c r="J1244" s="29" t="s">
        <v>721</v>
      </c>
    </row>
    <row r="1245" spans="1:10" ht="12" customHeight="1">
      <c r="A1245" s="83">
        <v>4099854183041</v>
      </c>
      <c r="B1245" s="61" t="s">
        <v>5800</v>
      </c>
      <c r="C1245" s="62">
        <v>1</v>
      </c>
      <c r="D1245" s="63" t="s">
        <v>4556</v>
      </c>
      <c r="E1245" s="70" t="str">
        <f>HYPERLINK("https://ledvance.com/pt/product-datasheet/284847/271255","Ficha de Produto")</f>
        <v>Ficha de Produto</v>
      </c>
      <c r="F1245" s="94" t="s">
        <v>4213</v>
      </c>
      <c r="G1245" s="65" t="s">
        <v>4963</v>
      </c>
      <c r="H1245" s="62" t="s">
        <v>4963</v>
      </c>
      <c r="I1245" s="30">
        <v>50.2</v>
      </c>
      <c r="J1245" s="29" t="s">
        <v>721</v>
      </c>
    </row>
    <row r="1246" spans="1:10" ht="12" customHeight="1">
      <c r="A1246" s="83">
        <v>4099854183065</v>
      </c>
      <c r="B1246" s="61" t="s">
        <v>5801</v>
      </c>
      <c r="C1246" s="62">
        <v>1</v>
      </c>
      <c r="D1246" s="63" t="s">
        <v>4556</v>
      </c>
      <c r="E1246" s="70" t="str">
        <f>HYPERLINK("https://ledvance.com/pt/product-datasheet/284847/271258","Ficha de Produto")</f>
        <v>Ficha de Produto</v>
      </c>
      <c r="F1246" s="94" t="s">
        <v>4213</v>
      </c>
      <c r="G1246" s="65" t="s">
        <v>4963</v>
      </c>
      <c r="H1246" s="62" t="s">
        <v>4963</v>
      </c>
      <c r="I1246" s="30">
        <v>54.7</v>
      </c>
      <c r="J1246" s="29" t="s">
        <v>721</v>
      </c>
    </row>
    <row r="1247" spans="1:10" ht="15" customHeight="1">
      <c r="A1247" s="122" t="s">
        <v>4636</v>
      </c>
      <c r="B1247" s="116"/>
      <c r="C1247" s="117"/>
      <c r="D1247" s="118"/>
      <c r="E1247" s="71"/>
      <c r="F1247" s="117"/>
      <c r="G1247" s="119"/>
      <c r="H1247" s="268"/>
      <c r="I1247" s="57"/>
      <c r="J1247" s="58"/>
    </row>
    <row r="1248" spans="1:10" ht="12" customHeight="1">
      <c r="A1248" s="74">
        <v>4058075763661</v>
      </c>
      <c r="B1248" s="61" t="s">
        <v>5802</v>
      </c>
      <c r="C1248" s="62">
        <v>1</v>
      </c>
      <c r="D1248" s="63" t="s">
        <v>4556</v>
      </c>
      <c r="E1248" s="70" t="str">
        <f>HYPERLINK("https://ledvance.com/pt/product-datasheet/233008/210580","Ficha de Produto")</f>
        <v>Ficha de Produto</v>
      </c>
      <c r="F1248" s="62"/>
      <c r="G1248" s="65" t="s">
        <v>4963</v>
      </c>
      <c r="H1248" s="62" t="s">
        <v>4963</v>
      </c>
      <c r="I1248" s="30">
        <v>23.6</v>
      </c>
      <c r="J1248" s="29" t="s">
        <v>721</v>
      </c>
    </row>
    <row r="1249" spans="1:10" ht="12" customHeight="1">
      <c r="A1249" s="74">
        <v>4058075763685</v>
      </c>
      <c r="B1249" s="61" t="s">
        <v>5803</v>
      </c>
      <c r="C1249" s="62">
        <v>1</v>
      </c>
      <c r="D1249" s="63" t="s">
        <v>4556</v>
      </c>
      <c r="E1249" s="70" t="str">
        <f>HYPERLINK("https://ledvance.com/pt/product-datasheet/233008/210583","Ficha de Produto")</f>
        <v>Ficha de Produto</v>
      </c>
      <c r="F1249" s="62"/>
      <c r="G1249" s="65" t="s">
        <v>4963</v>
      </c>
      <c r="H1249" s="62" t="s">
        <v>4963</v>
      </c>
      <c r="I1249" s="30">
        <v>29.1</v>
      </c>
      <c r="J1249" s="29" t="s">
        <v>721</v>
      </c>
    </row>
    <row r="1250" spans="1:10" ht="12" customHeight="1">
      <c r="A1250" s="74">
        <v>4058075763623</v>
      </c>
      <c r="B1250" s="61" t="s">
        <v>5804</v>
      </c>
      <c r="C1250" s="62">
        <v>1</v>
      </c>
      <c r="D1250" s="63" t="s">
        <v>4556</v>
      </c>
      <c r="E1250" s="70" t="str">
        <f>HYPERLINK("https://ledvance.com/pt/product-datasheet/233008/210694","Ficha de Produto")</f>
        <v>Ficha de Produto</v>
      </c>
      <c r="F1250" s="62"/>
      <c r="G1250" s="65" t="s">
        <v>4963</v>
      </c>
      <c r="H1250" s="62" t="s">
        <v>4963</v>
      </c>
      <c r="I1250" s="30">
        <v>23.6</v>
      </c>
      <c r="J1250" s="29" t="s">
        <v>721</v>
      </c>
    </row>
    <row r="1251" spans="1:10" ht="12" customHeight="1">
      <c r="A1251" s="74">
        <v>4058075763647</v>
      </c>
      <c r="B1251" s="61" t="s">
        <v>5805</v>
      </c>
      <c r="C1251" s="62">
        <v>1</v>
      </c>
      <c r="D1251" s="63" t="s">
        <v>4556</v>
      </c>
      <c r="E1251" s="70" t="str">
        <f>HYPERLINK("https://ledvance.com/pt/product-datasheet/233008/210556","Ficha de Produto")</f>
        <v>Ficha de Produto</v>
      </c>
      <c r="F1251" s="62"/>
      <c r="G1251" s="65" t="s">
        <v>4963</v>
      </c>
      <c r="H1251" s="62" t="s">
        <v>4963</v>
      </c>
      <c r="I1251" s="30">
        <v>29.1</v>
      </c>
      <c r="J1251" s="29" t="s">
        <v>721</v>
      </c>
    </row>
    <row r="1252" spans="1:10" ht="15" customHeight="1">
      <c r="A1252" s="122" t="s">
        <v>4637</v>
      </c>
      <c r="B1252" s="116"/>
      <c r="C1252" s="117"/>
      <c r="D1252" s="118"/>
      <c r="E1252" s="71"/>
      <c r="F1252" s="117"/>
      <c r="G1252" s="119"/>
      <c r="H1252" s="268"/>
      <c r="I1252" s="57"/>
      <c r="J1252" s="58"/>
    </row>
    <row r="1253" spans="1:10" ht="12" customHeight="1">
      <c r="A1253" s="74">
        <v>4058075763562</v>
      </c>
      <c r="B1253" s="61" t="s">
        <v>5806</v>
      </c>
      <c r="C1253" s="62">
        <v>1</v>
      </c>
      <c r="D1253" s="63" t="s">
        <v>4556</v>
      </c>
      <c r="E1253" s="70" t="str">
        <f>HYPERLINK("https://ledvance.com/pt/product-datasheet/233007/210685","Ficha de Produto")</f>
        <v>Ficha de Produto</v>
      </c>
      <c r="F1253" s="62"/>
      <c r="G1253" s="65" t="s">
        <v>4963</v>
      </c>
      <c r="H1253" s="62" t="s">
        <v>4963</v>
      </c>
      <c r="I1253" s="30">
        <v>41.4</v>
      </c>
      <c r="J1253" s="29" t="s">
        <v>721</v>
      </c>
    </row>
    <row r="1254" spans="1:10" ht="12" customHeight="1">
      <c r="A1254" s="74">
        <v>4058075763586</v>
      </c>
      <c r="B1254" s="61" t="s">
        <v>5807</v>
      </c>
      <c r="C1254" s="62">
        <v>1</v>
      </c>
      <c r="D1254" s="63" t="s">
        <v>4556</v>
      </c>
      <c r="E1254" s="70" t="str">
        <f>HYPERLINK("https://ledvance.com/pt/product-datasheet/233007/210688","Ficha de Produto")</f>
        <v>Ficha de Produto</v>
      </c>
      <c r="F1254" s="62"/>
      <c r="G1254" s="65" t="s">
        <v>4963</v>
      </c>
      <c r="H1254" s="62" t="s">
        <v>4963</v>
      </c>
      <c r="I1254" s="30">
        <v>41.4</v>
      </c>
      <c r="J1254" s="29" t="s">
        <v>721</v>
      </c>
    </row>
    <row r="1255" spans="1:10" ht="12" customHeight="1">
      <c r="A1255" s="74">
        <v>4058075763609</v>
      </c>
      <c r="B1255" s="61" t="s">
        <v>5808</v>
      </c>
      <c r="C1255" s="62">
        <v>1</v>
      </c>
      <c r="D1255" s="63" t="s">
        <v>4556</v>
      </c>
      <c r="E1255" s="70" t="str">
        <f>HYPERLINK("https://ledvance.com/pt/product-datasheet/233007/210691","Ficha de Produto")</f>
        <v>Ficha de Produto</v>
      </c>
      <c r="F1255" s="62"/>
      <c r="G1255" s="65" t="s">
        <v>4963</v>
      </c>
      <c r="H1255" s="62" t="s">
        <v>4963</v>
      </c>
      <c r="I1255" s="30">
        <v>41.4</v>
      </c>
      <c r="J1255" s="29" t="s">
        <v>721</v>
      </c>
    </row>
    <row r="1256" spans="1:10" ht="15" customHeight="1">
      <c r="A1256" s="122" t="s">
        <v>4638</v>
      </c>
      <c r="B1256" s="116"/>
      <c r="C1256" s="117"/>
      <c r="D1256" s="118"/>
      <c r="E1256" s="118"/>
      <c r="F1256" s="117"/>
      <c r="G1256" s="119"/>
      <c r="H1256" s="268"/>
      <c r="I1256" s="57"/>
      <c r="J1256" s="58"/>
    </row>
    <row r="1257" spans="1:10" ht="12" customHeight="1">
      <c r="A1257" s="74">
        <v>4058075763449</v>
      </c>
      <c r="B1257" s="61" t="s">
        <v>5809</v>
      </c>
      <c r="C1257" s="62">
        <v>1</v>
      </c>
      <c r="D1257" s="63" t="s">
        <v>4556</v>
      </c>
      <c r="E1257" s="70" t="str">
        <f>HYPERLINK("https://ledvance.com/pt/product-datasheet/232999/210593","Ficha de Produto")</f>
        <v>Ficha de Produto</v>
      </c>
      <c r="F1257" s="62"/>
      <c r="G1257" s="65" t="s">
        <v>4963</v>
      </c>
      <c r="H1257" s="62" t="s">
        <v>4963</v>
      </c>
      <c r="I1257" s="30">
        <v>64.599999999999994</v>
      </c>
      <c r="J1257" s="29" t="s">
        <v>721</v>
      </c>
    </row>
    <row r="1258" spans="1:10" ht="15" customHeight="1">
      <c r="A1258" s="122" t="s">
        <v>4639</v>
      </c>
      <c r="B1258" s="116"/>
      <c r="C1258" s="117"/>
      <c r="D1258" s="118"/>
      <c r="E1258" s="71"/>
      <c r="F1258" s="117"/>
      <c r="G1258" s="119"/>
      <c r="H1258" s="268"/>
      <c r="I1258" s="57"/>
      <c r="J1258" s="58"/>
    </row>
    <row r="1259" spans="1:10" ht="12" customHeight="1">
      <c r="A1259" s="60">
        <v>4058075554474</v>
      </c>
      <c r="B1259" s="61" t="s">
        <v>5810</v>
      </c>
      <c r="C1259" s="62">
        <v>1</v>
      </c>
      <c r="D1259" s="63" t="s">
        <v>4556</v>
      </c>
      <c r="E1259" s="70" t="str">
        <f>HYPERLINK("https://ledvance.com/pt/product-datasheet/142237/43199","Ficha de Produto")</f>
        <v>Ficha de Produto</v>
      </c>
      <c r="F1259" s="62"/>
      <c r="G1259" s="65" t="s">
        <v>4963</v>
      </c>
      <c r="H1259" s="62" t="s">
        <v>4963</v>
      </c>
      <c r="I1259" s="30">
        <v>27.700000000000003</v>
      </c>
      <c r="J1259" s="29" t="s">
        <v>721</v>
      </c>
    </row>
    <row r="1260" spans="1:10" ht="12" customHeight="1">
      <c r="A1260" s="60">
        <v>4058075554498</v>
      </c>
      <c r="B1260" s="61" t="s">
        <v>5811</v>
      </c>
      <c r="C1260" s="62">
        <v>1</v>
      </c>
      <c r="D1260" s="63" t="s">
        <v>4556</v>
      </c>
      <c r="E1260" s="70" t="str">
        <f>HYPERLINK("https://ledvance.com/pt/product-datasheet/142237/43202","Ficha de Produto")</f>
        <v>Ficha de Produto</v>
      </c>
      <c r="F1260" s="62"/>
      <c r="G1260" s="65" t="s">
        <v>4963</v>
      </c>
      <c r="H1260" s="62" t="s">
        <v>4963</v>
      </c>
      <c r="I1260" s="30">
        <v>34.5</v>
      </c>
      <c r="J1260" s="29" t="s">
        <v>721</v>
      </c>
    </row>
    <row r="1261" spans="1:10" ht="15" customHeight="1">
      <c r="A1261" s="122" t="s">
        <v>4640</v>
      </c>
      <c r="B1261" s="116"/>
      <c r="C1261" s="117"/>
      <c r="D1261" s="118"/>
      <c r="E1261" s="71"/>
      <c r="F1261" s="117"/>
      <c r="G1261" s="119"/>
      <c r="H1261" s="268"/>
      <c r="I1261" s="57"/>
      <c r="J1261" s="58"/>
    </row>
    <row r="1262" spans="1:10" ht="12" customHeight="1">
      <c r="A1262" s="60">
        <v>4058075554511</v>
      </c>
      <c r="B1262" s="61" t="s">
        <v>5812</v>
      </c>
      <c r="C1262" s="62">
        <v>1</v>
      </c>
      <c r="D1262" s="63" t="s">
        <v>4556</v>
      </c>
      <c r="E1262" s="70" t="str">
        <f>HYPERLINK("https://ledvance.com/pt/product-datasheet/142238/43205","Ficha de Produto")</f>
        <v>Ficha de Produto</v>
      </c>
      <c r="F1262" s="62"/>
      <c r="G1262" s="65" t="s">
        <v>4963</v>
      </c>
      <c r="H1262" s="62" t="s">
        <v>4963</v>
      </c>
      <c r="I1262" s="30">
        <v>34.5</v>
      </c>
      <c r="J1262" s="29" t="s">
        <v>721</v>
      </c>
    </row>
    <row r="1263" spans="1:10" ht="12" customHeight="1">
      <c r="A1263" s="60">
        <v>4058075554535</v>
      </c>
      <c r="B1263" s="61" t="s">
        <v>5813</v>
      </c>
      <c r="C1263" s="62">
        <v>1</v>
      </c>
      <c r="D1263" s="63" t="s">
        <v>4556</v>
      </c>
      <c r="E1263" s="70" t="str">
        <f>HYPERLINK("https://ledvance.com/pt/product-datasheet/142238/43208","Ficha de Produto")</f>
        <v>Ficha de Produto</v>
      </c>
      <c r="F1263" s="62"/>
      <c r="G1263" s="65" t="s">
        <v>4963</v>
      </c>
      <c r="H1263" s="62" t="s">
        <v>4963</v>
      </c>
      <c r="I1263" s="30">
        <v>31.8</v>
      </c>
      <c r="J1263" s="29" t="s">
        <v>721</v>
      </c>
    </row>
    <row r="1264" spans="1:10" ht="12" customHeight="1">
      <c r="A1264" s="60">
        <v>4058075554559</v>
      </c>
      <c r="B1264" s="61" t="s">
        <v>5814</v>
      </c>
      <c r="C1264" s="62">
        <v>1</v>
      </c>
      <c r="D1264" s="63" t="s">
        <v>4556</v>
      </c>
      <c r="E1264" s="70" t="str">
        <f>HYPERLINK("https://ledvance.com/pt/product-datasheet/142238/43211","Ficha de Produto")</f>
        <v>Ficha de Produto</v>
      </c>
      <c r="F1264" s="62"/>
      <c r="G1264" s="65" t="s">
        <v>4963</v>
      </c>
      <c r="H1264" s="62" t="s">
        <v>4963</v>
      </c>
      <c r="I1264" s="30">
        <v>41.4</v>
      </c>
      <c r="J1264" s="29" t="s">
        <v>721</v>
      </c>
    </row>
    <row r="1265" spans="1:10" ht="12" customHeight="1">
      <c r="A1265" s="60">
        <v>4058075554573</v>
      </c>
      <c r="B1265" s="61" t="s">
        <v>5815</v>
      </c>
      <c r="C1265" s="62">
        <v>1</v>
      </c>
      <c r="D1265" s="63" t="s">
        <v>4556</v>
      </c>
      <c r="E1265" s="70" t="str">
        <f>HYPERLINK("https://ledvance.com/pt/product-datasheet/142238/43214","Ficha de Produto")</f>
        <v>Ficha de Produto</v>
      </c>
      <c r="F1265" s="62"/>
      <c r="G1265" s="65" t="s">
        <v>4963</v>
      </c>
      <c r="H1265" s="62" t="s">
        <v>4963</v>
      </c>
      <c r="I1265" s="30">
        <v>38.6</v>
      </c>
      <c r="J1265" s="29" t="s">
        <v>721</v>
      </c>
    </row>
    <row r="1266" spans="1:10" ht="15" customHeight="1">
      <c r="A1266" s="123" t="s">
        <v>4641</v>
      </c>
      <c r="B1266" s="116"/>
      <c r="C1266" s="117"/>
      <c r="D1266" s="124"/>
      <c r="E1266" s="124"/>
      <c r="F1266" s="117"/>
      <c r="G1266" s="119"/>
      <c r="H1266" s="268"/>
      <c r="I1266" s="57"/>
      <c r="J1266" s="58"/>
    </row>
    <row r="1267" spans="1:10" ht="15" customHeight="1">
      <c r="A1267" s="122" t="s">
        <v>4642</v>
      </c>
      <c r="B1267" s="116"/>
      <c r="C1267" s="117"/>
      <c r="D1267" s="118"/>
      <c r="E1267" s="118"/>
      <c r="F1267" s="117"/>
      <c r="G1267" s="119"/>
      <c r="H1267" s="268"/>
      <c r="I1267" s="57"/>
      <c r="J1267" s="58"/>
    </row>
    <row r="1268" spans="1:10" ht="12" customHeight="1">
      <c r="A1268" s="74">
        <v>4058075763845</v>
      </c>
      <c r="B1268" s="61" t="s">
        <v>5816</v>
      </c>
      <c r="C1268" s="62">
        <v>1</v>
      </c>
      <c r="D1268" s="63" t="s">
        <v>4556</v>
      </c>
      <c r="E1268" s="70" t="str">
        <f>HYPERLINK("https://ledvance.com/pt/product-datasheet/233017/210577","Ficha de Produto")</f>
        <v>Ficha de Produto</v>
      </c>
      <c r="F1268" s="62"/>
      <c r="G1268" s="65" t="s">
        <v>4963</v>
      </c>
      <c r="H1268" s="62" t="s">
        <v>4963</v>
      </c>
      <c r="I1268" s="30">
        <v>44.1</v>
      </c>
      <c r="J1268" s="29" t="s">
        <v>721</v>
      </c>
    </row>
    <row r="1269" spans="1:10" ht="15" customHeight="1">
      <c r="A1269" s="123" t="s">
        <v>4643</v>
      </c>
      <c r="B1269" s="116"/>
      <c r="C1269" s="117"/>
      <c r="D1269" s="124"/>
      <c r="E1269" s="124"/>
      <c r="F1269" s="117"/>
      <c r="G1269" s="119"/>
      <c r="H1269" s="268"/>
      <c r="I1269" s="57"/>
      <c r="J1269" s="58"/>
    </row>
    <row r="1270" spans="1:10" ht="15" customHeight="1">
      <c r="A1270" s="122" t="s">
        <v>4644</v>
      </c>
      <c r="B1270" s="116"/>
      <c r="C1270" s="117"/>
      <c r="D1270" s="118"/>
      <c r="E1270" s="118"/>
      <c r="F1270" s="117"/>
      <c r="G1270" s="119"/>
      <c r="H1270" s="268"/>
      <c r="I1270" s="57"/>
      <c r="J1270" s="58"/>
    </row>
    <row r="1271" spans="1:10" ht="12" customHeight="1">
      <c r="A1271" s="83">
        <v>4058075834620</v>
      </c>
      <c r="B1271" s="61" t="s">
        <v>5817</v>
      </c>
      <c r="C1271" s="62">
        <v>1</v>
      </c>
      <c r="D1271" s="63" t="s">
        <v>4556</v>
      </c>
      <c r="E1271" s="70" t="str">
        <f>HYPERLINK("https://ledvance.com/pt/product-datasheet/286351/273582","Ficha de Produto")</f>
        <v>Ficha de Produto</v>
      </c>
      <c r="F1271" s="94" t="s">
        <v>4584</v>
      </c>
      <c r="G1271" s="65">
        <v>0</v>
      </c>
      <c r="H1271" s="62">
        <v>0</v>
      </c>
      <c r="I1271" s="30">
        <v>106.1</v>
      </c>
      <c r="J1271" s="29" t="s">
        <v>721</v>
      </c>
    </row>
    <row r="1272" spans="1:10" ht="12" customHeight="1">
      <c r="A1272" s="83">
        <v>4058075834422</v>
      </c>
      <c r="B1272" s="61" t="s">
        <v>5818</v>
      </c>
      <c r="C1272" s="62">
        <v>1</v>
      </c>
      <c r="D1272" s="63" t="s">
        <v>4556</v>
      </c>
      <c r="E1272" s="70" t="str">
        <f>HYPERLINK("https://ledvance.com/pt/product-datasheet/286351/273579","Ficha de Produto")</f>
        <v>Ficha de Produto</v>
      </c>
      <c r="F1272" s="94" t="s">
        <v>4584</v>
      </c>
      <c r="G1272" s="65">
        <v>0</v>
      </c>
      <c r="H1272" s="62">
        <v>0</v>
      </c>
      <c r="I1272" s="30">
        <v>30.6</v>
      </c>
      <c r="J1272" s="29" t="s">
        <v>721</v>
      </c>
    </row>
    <row r="1273" spans="1:10" ht="12" customHeight="1">
      <c r="A1273" s="83">
        <v>4058075834408</v>
      </c>
      <c r="B1273" s="61" t="s">
        <v>5819</v>
      </c>
      <c r="C1273" s="62">
        <v>1</v>
      </c>
      <c r="D1273" s="63" t="s">
        <v>4556</v>
      </c>
      <c r="E1273" s="70" t="str">
        <f>HYPERLINK("https://ledvance.com/pt/product-datasheet/286351/273576","Ficha de Produto")</f>
        <v>Ficha de Produto</v>
      </c>
      <c r="F1273" s="94" t="s">
        <v>4584</v>
      </c>
      <c r="G1273" s="65">
        <v>0</v>
      </c>
      <c r="H1273" s="62">
        <v>0</v>
      </c>
      <c r="I1273" s="30">
        <v>75.8</v>
      </c>
      <c r="J1273" s="29" t="s">
        <v>721</v>
      </c>
    </row>
    <row r="1274" spans="1:10" ht="15" customHeight="1">
      <c r="A1274" s="122" t="s">
        <v>4645</v>
      </c>
      <c r="B1274" s="116"/>
      <c r="C1274" s="117"/>
      <c r="D1274" s="118"/>
      <c r="E1274" s="71"/>
      <c r="F1274" s="117"/>
      <c r="G1274" s="119"/>
      <c r="H1274" s="268"/>
      <c r="I1274" s="57"/>
      <c r="J1274" s="58"/>
    </row>
    <row r="1275" spans="1:10" ht="12" customHeight="1">
      <c r="A1275" s="83">
        <v>4058075834644</v>
      </c>
      <c r="B1275" s="61" t="s">
        <v>5820</v>
      </c>
      <c r="C1275" s="62">
        <v>1</v>
      </c>
      <c r="D1275" s="63" t="s">
        <v>4556</v>
      </c>
      <c r="E1275" s="70" t="str">
        <f>HYPERLINK("https://ledvance.com/pt/product-datasheet/286350/272469","Ficha de Produto")</f>
        <v>Ficha de Produto</v>
      </c>
      <c r="F1275" s="94" t="s">
        <v>4584</v>
      </c>
      <c r="G1275" s="65" t="s">
        <v>5140</v>
      </c>
      <c r="H1275" s="62" t="s">
        <v>4974</v>
      </c>
      <c r="I1275" s="30">
        <v>56.2</v>
      </c>
      <c r="J1275" s="29" t="s">
        <v>721</v>
      </c>
    </row>
    <row r="1276" spans="1:10" ht="12" customHeight="1">
      <c r="A1276" s="83">
        <v>4058075834668</v>
      </c>
      <c r="B1276" s="61" t="s">
        <v>5821</v>
      </c>
      <c r="C1276" s="62">
        <v>1</v>
      </c>
      <c r="D1276" s="63" t="s">
        <v>4556</v>
      </c>
      <c r="E1276" s="70" t="str">
        <f>HYPERLINK("https://ledvance.com/pt/product-datasheet/286350/272472","Ficha de Produto")</f>
        <v>Ficha de Produto</v>
      </c>
      <c r="F1276" s="94" t="s">
        <v>4584</v>
      </c>
      <c r="G1276" s="65" t="s">
        <v>5126</v>
      </c>
      <c r="H1276" s="62" t="s">
        <v>4974</v>
      </c>
      <c r="I1276" s="30">
        <v>74.3</v>
      </c>
      <c r="J1276" s="29" t="s">
        <v>721</v>
      </c>
    </row>
    <row r="1277" spans="1:10" ht="12" customHeight="1">
      <c r="A1277" s="83">
        <v>4058075834682</v>
      </c>
      <c r="B1277" s="61" t="s">
        <v>5822</v>
      </c>
      <c r="C1277" s="62">
        <v>1</v>
      </c>
      <c r="D1277" s="63" t="s">
        <v>4556</v>
      </c>
      <c r="E1277" s="70" t="str">
        <f>HYPERLINK("https://ledvance.com/pt/product-datasheet/286350/272475","Ficha de Produto")</f>
        <v>Ficha de Produto</v>
      </c>
      <c r="F1277" s="94" t="s">
        <v>4584</v>
      </c>
      <c r="G1277" s="65" t="s">
        <v>5126</v>
      </c>
      <c r="H1277" s="62" t="s">
        <v>4974</v>
      </c>
      <c r="I1277" s="30">
        <v>50.2</v>
      </c>
      <c r="J1277" s="29" t="s">
        <v>721</v>
      </c>
    </row>
    <row r="1278" spans="1:10" ht="15" customHeight="1">
      <c r="A1278" s="122" t="s">
        <v>4646</v>
      </c>
      <c r="B1278" s="116"/>
      <c r="C1278" s="117"/>
      <c r="D1278" s="118"/>
      <c r="E1278" s="71"/>
      <c r="F1278" s="117"/>
      <c r="G1278" s="119"/>
      <c r="H1278" s="268"/>
      <c r="I1278" s="57"/>
      <c r="J1278" s="58"/>
    </row>
    <row r="1279" spans="1:10" ht="12" customHeight="1">
      <c r="A1279" s="83">
        <v>4058075834705</v>
      </c>
      <c r="B1279" s="61" t="s">
        <v>5823</v>
      </c>
      <c r="C1279" s="62">
        <v>1</v>
      </c>
      <c r="D1279" s="63" t="s">
        <v>4556</v>
      </c>
      <c r="E1279" s="70" t="str">
        <f>HYPERLINK("https://ledvance.com/pt/product-datasheet/286350/272479","Ficha de Produto")</f>
        <v>Ficha de Produto</v>
      </c>
      <c r="F1279" s="94" t="s">
        <v>4584</v>
      </c>
      <c r="G1279" s="65" t="s">
        <v>5140</v>
      </c>
      <c r="H1279" s="62" t="s">
        <v>4974</v>
      </c>
      <c r="I1279" s="30">
        <v>84.899999999999991</v>
      </c>
      <c r="J1279" s="29" t="s">
        <v>721</v>
      </c>
    </row>
    <row r="1280" spans="1:10" ht="12" customHeight="1">
      <c r="A1280" s="83">
        <v>4058075834521</v>
      </c>
      <c r="B1280" s="61" t="s">
        <v>5824</v>
      </c>
      <c r="C1280" s="62">
        <v>1</v>
      </c>
      <c r="D1280" s="63" t="s">
        <v>4556</v>
      </c>
      <c r="E1280" s="70" t="str">
        <f>HYPERLINK("https://ledvance.com/pt/product-datasheet/286348/272454","Ficha de Produto")</f>
        <v>Ficha de Produto</v>
      </c>
      <c r="F1280" s="94" t="s">
        <v>4584</v>
      </c>
      <c r="G1280" s="65" t="s">
        <v>1752</v>
      </c>
      <c r="H1280" s="62" t="s">
        <v>4974</v>
      </c>
      <c r="I1280" s="30">
        <v>86.5</v>
      </c>
      <c r="J1280" s="29" t="s">
        <v>721</v>
      </c>
    </row>
    <row r="1281" spans="1:10" ht="12" customHeight="1">
      <c r="A1281" s="83">
        <v>4058075834545</v>
      </c>
      <c r="B1281" s="61" t="s">
        <v>5825</v>
      </c>
      <c r="C1281" s="62">
        <v>1</v>
      </c>
      <c r="D1281" s="63" t="s">
        <v>4556</v>
      </c>
      <c r="E1281" s="70" t="str">
        <f>HYPERLINK("https://ledvance.com/pt/product-datasheet/286348/272457","Ficha de Produto")</f>
        <v>Ficha de Produto</v>
      </c>
      <c r="F1281" s="94" t="s">
        <v>4584</v>
      </c>
      <c r="G1281" s="65" t="s">
        <v>5140</v>
      </c>
      <c r="H1281" s="62" t="s">
        <v>4974</v>
      </c>
      <c r="I1281" s="30">
        <v>77.399999999999991</v>
      </c>
      <c r="J1281" s="29" t="s">
        <v>721</v>
      </c>
    </row>
    <row r="1282" spans="1:10" ht="12" customHeight="1">
      <c r="A1282" s="83">
        <v>4058075834569</v>
      </c>
      <c r="B1282" s="61" t="s">
        <v>5826</v>
      </c>
      <c r="C1282" s="62">
        <v>1</v>
      </c>
      <c r="D1282" s="63" t="s">
        <v>4556</v>
      </c>
      <c r="E1282" s="70" t="str">
        <f>HYPERLINK("https://ledvance.com/pt/product-datasheet/286348/272460","Ficha de Produto")</f>
        <v>Ficha de Produto</v>
      </c>
      <c r="F1282" s="94" t="s">
        <v>4584</v>
      </c>
      <c r="G1282" s="65" t="s">
        <v>1752</v>
      </c>
      <c r="H1282" s="62" t="s">
        <v>4974</v>
      </c>
      <c r="I1282" s="30">
        <v>89.399999999999991</v>
      </c>
      <c r="J1282" s="29" t="s">
        <v>721</v>
      </c>
    </row>
    <row r="1283" spans="1:10" ht="12" customHeight="1">
      <c r="A1283" s="83">
        <v>4058075834583</v>
      </c>
      <c r="B1283" s="61" t="s">
        <v>5827</v>
      </c>
      <c r="C1283" s="62">
        <v>1</v>
      </c>
      <c r="D1283" s="63" t="s">
        <v>4556</v>
      </c>
      <c r="E1283" s="70" t="str">
        <f>HYPERLINK("https://ledvance.com/pt/product-datasheet/286348/272463","Ficha de Produto")</f>
        <v>Ficha de Produto</v>
      </c>
      <c r="F1283" s="94" t="s">
        <v>4584</v>
      </c>
      <c r="G1283" s="65" t="s">
        <v>1752</v>
      </c>
      <c r="H1283" s="62" t="s">
        <v>4974</v>
      </c>
      <c r="I1283" s="30">
        <v>90.899999999999991</v>
      </c>
      <c r="J1283" s="29" t="s">
        <v>721</v>
      </c>
    </row>
    <row r="1284" spans="1:10" ht="15" customHeight="1">
      <c r="A1284" s="122" t="s">
        <v>4647</v>
      </c>
      <c r="B1284" s="116"/>
      <c r="C1284" s="117"/>
      <c r="D1284" s="118"/>
      <c r="E1284" s="71"/>
      <c r="F1284" s="117"/>
      <c r="G1284" s="119"/>
      <c r="H1284" s="268"/>
      <c r="I1284" s="57"/>
      <c r="J1284" s="58"/>
    </row>
    <row r="1285" spans="1:10" ht="12" customHeight="1">
      <c r="A1285" s="83">
        <v>4058075834446</v>
      </c>
      <c r="B1285" s="61" t="s">
        <v>5828</v>
      </c>
      <c r="C1285" s="62">
        <v>1</v>
      </c>
      <c r="D1285" s="63" t="s">
        <v>4556</v>
      </c>
      <c r="E1285" s="70" t="str">
        <f>HYPERLINK("https://ledvance.com/pt/product-datasheet/286348/272442","Ficha de Produto")</f>
        <v>Ficha de Produto</v>
      </c>
      <c r="F1285" s="94" t="s">
        <v>4584</v>
      </c>
      <c r="G1285" s="65" t="s">
        <v>1752</v>
      </c>
      <c r="H1285" s="62" t="s">
        <v>4974</v>
      </c>
      <c r="I1285" s="30">
        <v>97</v>
      </c>
      <c r="J1285" s="29" t="s">
        <v>721</v>
      </c>
    </row>
    <row r="1286" spans="1:10" ht="12" customHeight="1">
      <c r="A1286" s="83">
        <v>4058075834460</v>
      </c>
      <c r="B1286" s="61" t="s">
        <v>5829</v>
      </c>
      <c r="C1286" s="62">
        <v>1</v>
      </c>
      <c r="D1286" s="63" t="s">
        <v>4556</v>
      </c>
      <c r="E1286" s="70" t="str">
        <f>HYPERLINK("https://ledvance.com/pt/product-datasheet/286348/272445","Ficha de Produto")</f>
        <v>Ficha de Produto</v>
      </c>
      <c r="F1286" s="94" t="s">
        <v>4584</v>
      </c>
      <c r="G1286" s="65" t="s">
        <v>1752</v>
      </c>
      <c r="H1286" s="62" t="s">
        <v>4974</v>
      </c>
      <c r="I1286" s="30">
        <v>100</v>
      </c>
      <c r="J1286" s="29" t="s">
        <v>721</v>
      </c>
    </row>
    <row r="1287" spans="1:10" ht="12" customHeight="1">
      <c r="A1287" s="83">
        <v>4058075834484</v>
      </c>
      <c r="B1287" s="61" t="s">
        <v>5830</v>
      </c>
      <c r="C1287" s="62">
        <v>1</v>
      </c>
      <c r="D1287" s="63" t="s">
        <v>4556</v>
      </c>
      <c r="E1287" s="70" t="str">
        <f>HYPERLINK("https://ledvance.com/pt/product-datasheet/286348/272448","Ficha de Produto")</f>
        <v>Ficha de Produto</v>
      </c>
      <c r="F1287" s="94" t="s">
        <v>4584</v>
      </c>
      <c r="G1287" s="65" t="s">
        <v>5140</v>
      </c>
      <c r="H1287" s="62" t="s">
        <v>4974</v>
      </c>
      <c r="I1287" s="30">
        <v>69.8</v>
      </c>
      <c r="J1287" s="29" t="s">
        <v>721</v>
      </c>
    </row>
    <row r="1288" spans="1:10" ht="12" customHeight="1">
      <c r="A1288" s="83">
        <v>4058075834507</v>
      </c>
      <c r="B1288" s="61" t="s">
        <v>5831</v>
      </c>
      <c r="C1288" s="62">
        <v>1</v>
      </c>
      <c r="D1288" s="63" t="s">
        <v>4556</v>
      </c>
      <c r="E1288" s="70" t="str">
        <f>HYPERLINK("https://ledvance.com/pt/product-datasheet/286348/272451","Ficha de Produto")</f>
        <v>Ficha de Produto</v>
      </c>
      <c r="F1288" s="94" t="s">
        <v>4584</v>
      </c>
      <c r="G1288" s="65" t="s">
        <v>1752</v>
      </c>
      <c r="H1288" s="62" t="s">
        <v>4974</v>
      </c>
      <c r="I1288" s="30">
        <v>84.899999999999991</v>
      </c>
      <c r="J1288" s="29" t="s">
        <v>721</v>
      </c>
    </row>
    <row r="1289" spans="1:10" ht="15" customHeight="1">
      <c r="A1289" s="123" t="s">
        <v>4648</v>
      </c>
      <c r="B1289" s="116"/>
      <c r="C1289" s="117"/>
      <c r="D1289" s="124"/>
      <c r="E1289" s="71"/>
      <c r="F1289" s="117"/>
      <c r="G1289" s="119"/>
      <c r="H1289" s="268"/>
      <c r="I1289" s="57"/>
      <c r="J1289" s="58"/>
    </row>
    <row r="1290" spans="1:10" ht="12" customHeight="1">
      <c r="A1290" s="74">
        <v>4058075763722</v>
      </c>
      <c r="B1290" s="61" t="s">
        <v>5832</v>
      </c>
      <c r="C1290" s="62">
        <v>1</v>
      </c>
      <c r="D1290" s="63" t="s">
        <v>4556</v>
      </c>
      <c r="E1290" s="70" t="str">
        <f>HYPERLINK("https://ledvance.com/pt/product-datasheet/233011/210667","Ficha de Produto")</f>
        <v>Ficha de Produto</v>
      </c>
      <c r="F1290" s="62"/>
      <c r="G1290" s="65" t="s">
        <v>795</v>
      </c>
      <c r="H1290" s="62" t="s">
        <v>4974</v>
      </c>
      <c r="I1290" s="30">
        <v>140.9</v>
      </c>
      <c r="J1290" s="29" t="s">
        <v>721</v>
      </c>
    </row>
    <row r="1291" spans="1:10" ht="12" customHeight="1">
      <c r="A1291" s="74">
        <v>4058075763746</v>
      </c>
      <c r="B1291" s="61" t="s">
        <v>5833</v>
      </c>
      <c r="C1291" s="62">
        <v>1</v>
      </c>
      <c r="D1291" s="63" t="s">
        <v>4556</v>
      </c>
      <c r="E1291" s="70" t="str">
        <f>HYPERLINK("https://ledvance.com/pt/product-datasheet/233012/210670","Ficha de Produto")</f>
        <v>Ficha de Produto</v>
      </c>
      <c r="F1291" s="62"/>
      <c r="G1291" s="65" t="s">
        <v>795</v>
      </c>
      <c r="H1291" s="62" t="s">
        <v>4974</v>
      </c>
      <c r="I1291" s="30">
        <v>150.6</v>
      </c>
      <c r="J1291" s="29" t="s">
        <v>721</v>
      </c>
    </row>
    <row r="1292" spans="1:10" ht="12" customHeight="1">
      <c r="A1292" s="74">
        <v>4058075763708</v>
      </c>
      <c r="B1292" s="61" t="s">
        <v>5834</v>
      </c>
      <c r="C1292" s="62">
        <v>1</v>
      </c>
      <c r="D1292" s="63" t="s">
        <v>4556</v>
      </c>
      <c r="E1292" s="70" t="str">
        <f>HYPERLINK("https://ledvance.com/pt/product-datasheet/233009/210568","Ficha de Produto")</f>
        <v>Ficha de Produto</v>
      </c>
      <c r="F1292" s="62"/>
      <c r="G1292" s="65" t="s">
        <v>5835</v>
      </c>
      <c r="H1292" s="62" t="s">
        <v>4974</v>
      </c>
      <c r="I1292" s="30">
        <v>109.69999999999999</v>
      </c>
      <c r="J1292" s="29" t="s">
        <v>721</v>
      </c>
    </row>
    <row r="1293" spans="1:10" ht="12" customHeight="1">
      <c r="A1293" s="74">
        <v>4058075763869</v>
      </c>
      <c r="B1293" s="61" t="s">
        <v>5836</v>
      </c>
      <c r="C1293" s="62">
        <v>1</v>
      </c>
      <c r="D1293" s="63" t="s">
        <v>4556</v>
      </c>
      <c r="E1293" s="70" t="str">
        <f>HYPERLINK("https://ledvance.com/pt/product-datasheet/233018/209157","Ficha de Produto")</f>
        <v>Ficha de Produto</v>
      </c>
      <c r="F1293" s="62"/>
      <c r="G1293" s="65" t="s">
        <v>5837</v>
      </c>
      <c r="H1293" s="62" t="s">
        <v>4930</v>
      </c>
      <c r="I1293" s="30">
        <v>41.4</v>
      </c>
      <c r="J1293" s="29" t="s">
        <v>721</v>
      </c>
    </row>
    <row r="1294" spans="1:10" ht="12" customHeight="1">
      <c r="A1294" s="74">
        <v>4058075763883</v>
      </c>
      <c r="B1294" s="61" t="s">
        <v>5838</v>
      </c>
      <c r="C1294" s="62">
        <v>1</v>
      </c>
      <c r="D1294" s="63" t="s">
        <v>4556</v>
      </c>
      <c r="E1294" s="70" t="str">
        <f>HYPERLINK("https://ledvance.com/pt/product-datasheet/233019/209167","Ficha de Produto")</f>
        <v>Ficha de Produto</v>
      </c>
      <c r="F1294" s="62"/>
      <c r="G1294" s="65" t="s">
        <v>5142</v>
      </c>
      <c r="H1294" s="62" t="s">
        <v>4930</v>
      </c>
      <c r="I1294" s="30">
        <v>41.4</v>
      </c>
      <c r="J1294" s="29" t="s">
        <v>721</v>
      </c>
    </row>
    <row r="1295" spans="1:10" ht="15" customHeight="1">
      <c r="A1295" s="123" t="s">
        <v>4649</v>
      </c>
      <c r="B1295" s="116"/>
      <c r="C1295" s="117"/>
      <c r="D1295" s="124"/>
      <c r="E1295" s="124"/>
      <c r="F1295" s="117"/>
      <c r="G1295" s="119"/>
      <c r="H1295" s="268"/>
      <c r="I1295" s="57"/>
      <c r="J1295" s="58"/>
    </row>
    <row r="1296" spans="1:10" ht="15" customHeight="1">
      <c r="A1296" s="122" t="s">
        <v>4650</v>
      </c>
      <c r="B1296" s="116"/>
      <c r="C1296" s="117"/>
      <c r="D1296" s="118"/>
      <c r="E1296" s="118"/>
      <c r="F1296" s="117"/>
      <c r="G1296" s="119"/>
      <c r="H1296" s="268"/>
      <c r="I1296" s="57"/>
      <c r="J1296" s="58"/>
    </row>
    <row r="1297" spans="1:10" ht="12" customHeight="1">
      <c r="A1297" s="74">
        <v>4058075763760</v>
      </c>
      <c r="B1297" s="61" t="s">
        <v>5839</v>
      </c>
      <c r="C1297" s="62">
        <v>1</v>
      </c>
      <c r="D1297" s="63" t="s">
        <v>4556</v>
      </c>
      <c r="E1297" s="70" t="str">
        <f>HYPERLINK("https://ledvance.com/pt/product-datasheet/233013/210562","Ficha de Produto")</f>
        <v>Ficha de Produto</v>
      </c>
      <c r="F1297" s="62"/>
      <c r="G1297" s="65" t="s">
        <v>5840</v>
      </c>
      <c r="H1297" s="62" t="s">
        <v>4974</v>
      </c>
      <c r="I1297" s="30">
        <v>109.69999999999999</v>
      </c>
      <c r="J1297" s="29" t="s">
        <v>721</v>
      </c>
    </row>
    <row r="1298" spans="1:10" ht="15" customHeight="1">
      <c r="A1298" s="122" t="s">
        <v>4651</v>
      </c>
      <c r="B1298" s="116"/>
      <c r="C1298" s="117"/>
      <c r="D1298" s="118"/>
      <c r="E1298" s="118"/>
      <c r="F1298" s="117"/>
      <c r="G1298" s="119"/>
      <c r="H1298" s="268"/>
      <c r="I1298" s="57"/>
      <c r="J1298" s="58"/>
    </row>
    <row r="1299" spans="1:10" ht="12" customHeight="1">
      <c r="A1299" s="74">
        <v>4058075763784</v>
      </c>
      <c r="B1299" s="61" t="s">
        <v>5841</v>
      </c>
      <c r="C1299" s="62">
        <v>1</v>
      </c>
      <c r="D1299" s="63" t="s">
        <v>4556</v>
      </c>
      <c r="E1299" s="70" t="str">
        <f>HYPERLINK("https://ledvance.com/pt/product-datasheet/233014/210565","Ficha de Produto")</f>
        <v>Ficha de Produto</v>
      </c>
      <c r="F1299" s="62"/>
      <c r="G1299" s="65" t="s">
        <v>5842</v>
      </c>
      <c r="H1299" s="62" t="s">
        <v>4974</v>
      </c>
      <c r="I1299" s="30">
        <v>109.69999999999999</v>
      </c>
      <c r="J1299" s="29" t="s">
        <v>721</v>
      </c>
    </row>
    <row r="1300" spans="1:10" ht="15" customHeight="1">
      <c r="A1300" s="123" t="s">
        <v>4652</v>
      </c>
      <c r="B1300" s="116"/>
      <c r="C1300" s="117"/>
      <c r="D1300" s="124"/>
      <c r="E1300" s="71"/>
      <c r="F1300" s="117"/>
      <c r="G1300" s="119"/>
      <c r="H1300" s="268"/>
      <c r="I1300" s="57"/>
      <c r="J1300" s="58"/>
    </row>
    <row r="1301" spans="1:10" ht="15" customHeight="1">
      <c r="A1301" s="122" t="s">
        <v>4653</v>
      </c>
      <c r="B1301" s="116"/>
      <c r="C1301" s="117"/>
      <c r="D1301" s="118"/>
      <c r="E1301" s="118"/>
      <c r="F1301" s="117"/>
      <c r="G1301" s="119"/>
      <c r="H1301" s="268"/>
      <c r="I1301" s="57"/>
      <c r="J1301" s="58"/>
    </row>
    <row r="1302" spans="1:10" ht="12" customHeight="1">
      <c r="A1302" s="83">
        <v>4058075834729</v>
      </c>
      <c r="B1302" s="61" t="s">
        <v>5843</v>
      </c>
      <c r="C1302" s="62">
        <v>1</v>
      </c>
      <c r="D1302" s="63" t="s">
        <v>4556</v>
      </c>
      <c r="E1302" s="70" t="str">
        <f>HYPERLINK("https://ledvance.com/pt/product-datasheet/285597/272489","Ficha de Produto")</f>
        <v>Ficha de Produto</v>
      </c>
      <c r="F1302" s="94" t="s">
        <v>4584</v>
      </c>
      <c r="G1302" s="65" t="s">
        <v>5067</v>
      </c>
      <c r="H1302" s="62" t="s">
        <v>4974</v>
      </c>
      <c r="I1302" s="30">
        <v>54.7</v>
      </c>
      <c r="J1302" s="29" t="s">
        <v>721</v>
      </c>
    </row>
    <row r="1303" spans="1:10" ht="12" customHeight="1">
      <c r="A1303" s="83">
        <v>4058075834743</v>
      </c>
      <c r="B1303" s="61" t="s">
        <v>5844</v>
      </c>
      <c r="C1303" s="62">
        <v>1</v>
      </c>
      <c r="D1303" s="63" t="s">
        <v>4556</v>
      </c>
      <c r="E1303" s="70" t="str">
        <f>HYPERLINK("https://ledvance.com/pt/product-datasheet/285597/272498","Ficha de Produto")</f>
        <v>Ficha de Produto</v>
      </c>
      <c r="F1303" s="94" t="s">
        <v>4584</v>
      </c>
      <c r="G1303" s="65" t="s">
        <v>5067</v>
      </c>
      <c r="H1303" s="62" t="s">
        <v>4974</v>
      </c>
      <c r="I1303" s="30">
        <v>54.7</v>
      </c>
      <c r="J1303" s="29" t="s">
        <v>721</v>
      </c>
    </row>
    <row r="1304" spans="1:10" ht="12" customHeight="1">
      <c r="A1304" s="83">
        <v>4058075834767</v>
      </c>
      <c r="B1304" s="61" t="s">
        <v>5845</v>
      </c>
      <c r="C1304" s="62">
        <v>1</v>
      </c>
      <c r="D1304" s="63" t="s">
        <v>4556</v>
      </c>
      <c r="E1304" s="70" t="str">
        <f>HYPERLINK("https://ledvance.com/pt/product-datasheet/285596/272507","Ficha de Produto")</f>
        <v>Ficha de Produto</v>
      </c>
      <c r="F1304" s="94" t="s">
        <v>4584</v>
      </c>
      <c r="G1304" s="65" t="s">
        <v>5104</v>
      </c>
      <c r="H1304" s="62" t="s">
        <v>4974</v>
      </c>
      <c r="I1304" s="30">
        <v>53.2</v>
      </c>
      <c r="J1304" s="29" t="s">
        <v>721</v>
      </c>
    </row>
    <row r="1305" spans="1:10" ht="12" customHeight="1">
      <c r="A1305" s="83">
        <v>4058075834781</v>
      </c>
      <c r="B1305" s="61" t="s">
        <v>5846</v>
      </c>
      <c r="C1305" s="62">
        <v>1</v>
      </c>
      <c r="D1305" s="63" t="s">
        <v>4556</v>
      </c>
      <c r="E1305" s="70" t="str">
        <f>HYPERLINK("https://ledvance.com/pt/product-datasheet/285596/272517","Ficha de Produto")</f>
        <v>Ficha de Produto</v>
      </c>
      <c r="F1305" s="94" t="s">
        <v>4584</v>
      </c>
      <c r="G1305" s="65" t="s">
        <v>5104</v>
      </c>
      <c r="H1305" s="62" t="s">
        <v>4974</v>
      </c>
      <c r="I1305" s="30">
        <v>48.7</v>
      </c>
      <c r="J1305" s="29" t="s">
        <v>721</v>
      </c>
    </row>
    <row r="1306" spans="1:10" ht="12" customHeight="1">
      <c r="A1306" s="83">
        <v>4099854219931</v>
      </c>
      <c r="B1306" s="103" t="s">
        <v>4654</v>
      </c>
      <c r="C1306" s="62">
        <v>1</v>
      </c>
      <c r="D1306" s="63" t="s">
        <v>4556</v>
      </c>
      <c r="E1306" s="70" t="str">
        <f>HYPERLINK("https://ledvance.com/pt/product-datasheet/292808/280623","Ficha de Produto")</f>
        <v>Ficha de Produto</v>
      </c>
      <c r="F1306" s="94" t="s">
        <v>4213</v>
      </c>
      <c r="G1306" s="65" t="s">
        <v>1201</v>
      </c>
      <c r="H1306" s="65" t="s">
        <v>1201</v>
      </c>
      <c r="I1306" s="30">
        <v>54.9</v>
      </c>
      <c r="J1306" s="29" t="s">
        <v>721</v>
      </c>
    </row>
    <row r="1307" spans="1:10" ht="12" customHeight="1">
      <c r="A1307" s="83">
        <v>4099854219955</v>
      </c>
      <c r="B1307" s="103" t="s">
        <v>4655</v>
      </c>
      <c r="C1307" s="62">
        <v>1</v>
      </c>
      <c r="D1307" s="63" t="s">
        <v>4556</v>
      </c>
      <c r="E1307" s="70" t="str">
        <f>HYPERLINK("https://ledvance.com/pt/product-datasheet/292808/280626","Ficha de Produto")</f>
        <v>Ficha de Produto</v>
      </c>
      <c r="F1307" s="94" t="s">
        <v>4213</v>
      </c>
      <c r="G1307" s="65" t="s">
        <v>1201</v>
      </c>
      <c r="H1307" s="65" t="s">
        <v>1201</v>
      </c>
      <c r="I1307" s="30">
        <v>54.9</v>
      </c>
      <c r="J1307" s="29" t="s">
        <v>721</v>
      </c>
    </row>
    <row r="1308" spans="1:10" ht="12" customHeight="1">
      <c r="A1308" s="83">
        <v>4099854219979</v>
      </c>
      <c r="B1308" s="103" t="s">
        <v>4656</v>
      </c>
      <c r="C1308" s="62">
        <v>1</v>
      </c>
      <c r="D1308" s="63" t="s">
        <v>4556</v>
      </c>
      <c r="E1308" s="70" t="str">
        <f>HYPERLINK("https://ledvance.com/pt/product-datasheet/292808/280563","Ficha de Produto")</f>
        <v>Ficha de Produto</v>
      </c>
      <c r="F1308" s="94" t="s">
        <v>4213</v>
      </c>
      <c r="G1308" s="65" t="s">
        <v>1201</v>
      </c>
      <c r="H1308" s="65" t="s">
        <v>1201</v>
      </c>
      <c r="I1308" s="30">
        <v>34.9</v>
      </c>
      <c r="J1308" s="29" t="s">
        <v>721</v>
      </c>
    </row>
    <row r="1309" spans="1:10" ht="12" customHeight="1">
      <c r="A1309" s="83">
        <v>4099854219993</v>
      </c>
      <c r="B1309" s="103" t="s">
        <v>4657</v>
      </c>
      <c r="C1309" s="62">
        <v>1</v>
      </c>
      <c r="D1309" s="63" t="s">
        <v>4556</v>
      </c>
      <c r="E1309" s="70" t="str">
        <f>HYPERLINK("https://ledvance.com/pt/product-datasheet/292808/280566","Ficha de Produto")</f>
        <v>Ficha de Produto</v>
      </c>
      <c r="F1309" s="94" t="s">
        <v>4213</v>
      </c>
      <c r="G1309" s="65" t="s">
        <v>1201</v>
      </c>
      <c r="H1309" s="65" t="s">
        <v>1201</v>
      </c>
      <c r="I1309" s="30">
        <v>34.9</v>
      </c>
      <c r="J1309" s="29" t="s">
        <v>721</v>
      </c>
    </row>
    <row r="1310" spans="1:10" ht="15" customHeight="1">
      <c r="A1310" s="122" t="s">
        <v>4658</v>
      </c>
      <c r="B1310" s="116"/>
      <c r="C1310" s="117"/>
      <c r="D1310" s="118"/>
      <c r="E1310" s="118"/>
      <c r="F1310" s="117"/>
      <c r="G1310" s="119"/>
      <c r="H1310" s="268"/>
      <c r="I1310" s="57"/>
      <c r="J1310" s="58"/>
    </row>
    <row r="1311" spans="1:10" ht="12" customHeight="1">
      <c r="A1311" s="74">
        <v>4058075763210</v>
      </c>
      <c r="B1311" s="61" t="s">
        <v>5847</v>
      </c>
      <c r="C1311" s="62">
        <v>1</v>
      </c>
      <c r="D1311" s="63" t="s">
        <v>4556</v>
      </c>
      <c r="E1311" s="70" t="str">
        <f>HYPERLINK("https://ledvance.com/pt/product-datasheet/232991/210589","Ficha de Produto")</f>
        <v>Ficha de Produto</v>
      </c>
      <c r="F1311" s="62"/>
      <c r="G1311" s="65" t="s">
        <v>5510</v>
      </c>
      <c r="H1311" s="62" t="s">
        <v>4974</v>
      </c>
      <c r="I1311" s="30">
        <v>113.8</v>
      </c>
      <c r="J1311" s="29" t="s">
        <v>721</v>
      </c>
    </row>
    <row r="1312" spans="1:10" ht="15" customHeight="1">
      <c r="A1312" s="122" t="s">
        <v>4659</v>
      </c>
      <c r="B1312" s="116"/>
      <c r="C1312" s="117"/>
      <c r="D1312" s="118"/>
      <c r="E1312" s="118"/>
      <c r="F1312" s="117"/>
      <c r="G1312" s="119"/>
      <c r="H1312" s="268"/>
      <c r="I1312" s="57"/>
      <c r="J1312" s="58"/>
    </row>
    <row r="1313" spans="1:10" ht="12" customHeight="1">
      <c r="A1313" s="74">
        <v>4058075766228</v>
      </c>
      <c r="B1313" s="61" t="s">
        <v>5848</v>
      </c>
      <c r="C1313" s="62">
        <v>1</v>
      </c>
      <c r="D1313" s="63" t="s">
        <v>4556</v>
      </c>
      <c r="E1313" s="70" t="str">
        <f>HYPERLINK("https://ledvance.com/pt/product-datasheet/233024/218162","Ficha de Produto")</f>
        <v>Ficha de Produto</v>
      </c>
      <c r="F1313" s="62"/>
      <c r="G1313" s="65" t="s">
        <v>1749</v>
      </c>
      <c r="H1313" s="62" t="s">
        <v>4974</v>
      </c>
      <c r="I1313" s="30">
        <v>109.69999999999999</v>
      </c>
      <c r="J1313" s="29" t="s">
        <v>721</v>
      </c>
    </row>
    <row r="1314" spans="1:10" ht="12" customHeight="1">
      <c r="A1314" s="74">
        <v>4058075766242</v>
      </c>
      <c r="B1314" s="61" t="s">
        <v>5849</v>
      </c>
      <c r="C1314" s="62">
        <v>1</v>
      </c>
      <c r="D1314" s="63" t="s">
        <v>4556</v>
      </c>
      <c r="E1314" s="70" t="str">
        <f>HYPERLINK("https://ledvance.com/pt/product-datasheet/233024/218165","Ficha de Produto")</f>
        <v>Ficha de Produto</v>
      </c>
      <c r="F1314" s="62"/>
      <c r="G1314" s="65" t="s">
        <v>1749</v>
      </c>
      <c r="H1314" s="62" t="s">
        <v>4992</v>
      </c>
      <c r="I1314" s="30">
        <v>109.69999999999999</v>
      </c>
      <c r="J1314" s="29" t="s">
        <v>721</v>
      </c>
    </row>
    <row r="1315" spans="1:10" ht="12" customHeight="1">
      <c r="A1315" s="74">
        <v>4058075766266</v>
      </c>
      <c r="B1315" s="61" t="s">
        <v>5850</v>
      </c>
      <c r="C1315" s="62">
        <v>1</v>
      </c>
      <c r="D1315" s="63" t="s">
        <v>4556</v>
      </c>
      <c r="E1315" s="70" t="str">
        <f>HYPERLINK("https://ledvance.com/pt/product-datasheet/233024/218168","Ficha de Produto")</f>
        <v>Ficha de Produto</v>
      </c>
      <c r="F1315" s="62"/>
      <c r="G1315" s="65" t="s">
        <v>1752</v>
      </c>
      <c r="H1315" s="62" t="s">
        <v>4974</v>
      </c>
      <c r="I1315" s="30">
        <v>82.3</v>
      </c>
      <c r="J1315" s="29" t="s">
        <v>721</v>
      </c>
    </row>
    <row r="1316" spans="1:10" ht="15" customHeight="1">
      <c r="A1316" s="122" t="s">
        <v>4660</v>
      </c>
      <c r="B1316" s="116"/>
      <c r="C1316" s="117"/>
      <c r="D1316" s="118"/>
      <c r="E1316" s="118"/>
      <c r="F1316" s="117"/>
      <c r="G1316" s="119"/>
      <c r="H1316" s="268"/>
      <c r="I1316" s="57"/>
      <c r="J1316" s="58"/>
    </row>
    <row r="1317" spans="1:10" ht="12" customHeight="1">
      <c r="A1317" s="74">
        <v>4058075766280</v>
      </c>
      <c r="B1317" s="61" t="s">
        <v>5851</v>
      </c>
      <c r="C1317" s="62">
        <v>1</v>
      </c>
      <c r="D1317" s="63" t="s">
        <v>4556</v>
      </c>
      <c r="E1317" s="70" t="str">
        <f>HYPERLINK("https://ledvance.com/pt/product-datasheet/233025/218171","Ficha de Produto")</f>
        <v>Ficha de Produto</v>
      </c>
      <c r="F1317" s="62"/>
      <c r="G1317" s="65" t="s">
        <v>5564</v>
      </c>
      <c r="H1317" s="62" t="s">
        <v>4974</v>
      </c>
      <c r="I1317" s="30">
        <v>123.3</v>
      </c>
      <c r="J1317" s="29" t="s">
        <v>721</v>
      </c>
    </row>
    <row r="1318" spans="1:10" ht="15" customHeight="1">
      <c r="A1318" s="122" t="s">
        <v>4661</v>
      </c>
      <c r="B1318" s="116"/>
      <c r="C1318" s="117"/>
      <c r="D1318" s="118"/>
      <c r="E1318" s="118"/>
      <c r="F1318" s="117"/>
      <c r="G1318" s="119"/>
      <c r="H1318" s="268"/>
      <c r="I1318" s="57"/>
      <c r="J1318" s="58"/>
    </row>
    <row r="1319" spans="1:10" ht="12" customHeight="1">
      <c r="A1319" s="74">
        <v>4058075766303</v>
      </c>
      <c r="B1319" s="61" t="s">
        <v>5852</v>
      </c>
      <c r="C1319" s="62">
        <v>1</v>
      </c>
      <c r="D1319" s="63" t="s">
        <v>4556</v>
      </c>
      <c r="E1319" s="70" t="str">
        <f>HYPERLINK("https://ledvance.com/pt/product-datasheet/233026/218159","Ficha de Produto")</f>
        <v>Ficha de Produto</v>
      </c>
      <c r="F1319" s="62"/>
      <c r="G1319" s="65" t="s">
        <v>1749</v>
      </c>
      <c r="H1319" s="62" t="s">
        <v>4974</v>
      </c>
      <c r="I1319" s="30">
        <v>82.3</v>
      </c>
      <c r="J1319" s="29" t="s">
        <v>721</v>
      </c>
    </row>
    <row r="1320" spans="1:10" ht="15" customHeight="1">
      <c r="A1320" s="122" t="s">
        <v>4662</v>
      </c>
      <c r="B1320" s="116"/>
      <c r="C1320" s="117"/>
      <c r="D1320" s="118"/>
      <c r="E1320" s="118"/>
      <c r="F1320" s="117"/>
      <c r="G1320" s="119"/>
      <c r="H1320" s="268"/>
      <c r="I1320" s="57"/>
      <c r="J1320" s="58"/>
    </row>
    <row r="1321" spans="1:10" ht="12" customHeight="1">
      <c r="A1321" s="60">
        <v>4058075392762</v>
      </c>
      <c r="B1321" s="61" t="s">
        <v>5853</v>
      </c>
      <c r="C1321" s="62">
        <v>1</v>
      </c>
      <c r="D1321" s="63" t="s">
        <v>4556</v>
      </c>
      <c r="E1321" s="70" t="str">
        <f>HYPERLINK("https://ledvance.com/pt/product-datasheet/9378/110475","Ficha de Produto")</f>
        <v>Ficha de Produto</v>
      </c>
      <c r="F1321" s="62"/>
      <c r="G1321" s="65" t="s">
        <v>1749</v>
      </c>
      <c r="H1321" s="62" t="s">
        <v>4974</v>
      </c>
      <c r="I1321" s="30">
        <v>68.699999999999989</v>
      </c>
      <c r="J1321" s="29" t="s">
        <v>721</v>
      </c>
    </row>
    <row r="1322" spans="1:10" ht="15" customHeight="1">
      <c r="A1322" s="122" t="s">
        <v>4663</v>
      </c>
      <c r="B1322" s="116"/>
      <c r="C1322" s="117"/>
      <c r="D1322" s="118"/>
      <c r="E1322" s="118"/>
      <c r="F1322" s="117"/>
      <c r="G1322" s="119"/>
      <c r="H1322" s="268"/>
      <c r="I1322" s="57"/>
      <c r="J1322" s="58"/>
    </row>
    <row r="1323" spans="1:10" ht="12" customHeight="1">
      <c r="A1323" s="60">
        <v>4058075564169</v>
      </c>
      <c r="B1323" s="61" t="s">
        <v>5854</v>
      </c>
      <c r="C1323" s="62">
        <v>1</v>
      </c>
      <c r="D1323" s="63" t="s">
        <v>4556</v>
      </c>
      <c r="E1323" s="70" t="str">
        <f>HYPERLINK("https://ledvance.com/pt/product-datasheet/169532/32227","Ficha de Produto")</f>
        <v>Ficha de Produto</v>
      </c>
      <c r="F1323" s="62"/>
      <c r="G1323" s="65" t="s">
        <v>5104</v>
      </c>
      <c r="H1323" s="62" t="s">
        <v>4974</v>
      </c>
      <c r="I1323" s="30">
        <v>48.2</v>
      </c>
      <c r="J1323" s="29" t="s">
        <v>721</v>
      </c>
    </row>
    <row r="1324" spans="1:10" ht="15" customHeight="1">
      <c r="A1324" s="123" t="s">
        <v>4664</v>
      </c>
      <c r="B1324" s="116"/>
      <c r="C1324" s="117"/>
      <c r="D1324" s="124"/>
      <c r="E1324" s="124"/>
      <c r="F1324" s="117"/>
      <c r="G1324" s="119"/>
      <c r="H1324" s="268"/>
      <c r="I1324" s="57"/>
      <c r="J1324" s="58"/>
    </row>
    <row r="1325" spans="1:10" ht="15" customHeight="1">
      <c r="A1325" s="122" t="s">
        <v>4665</v>
      </c>
      <c r="B1325" s="116"/>
      <c r="C1325" s="117"/>
      <c r="D1325" s="118"/>
      <c r="E1325" s="118"/>
      <c r="F1325" s="117"/>
      <c r="G1325" s="119"/>
      <c r="H1325" s="268"/>
      <c r="I1325" s="57"/>
      <c r="J1325" s="58"/>
    </row>
    <row r="1326" spans="1:10" ht="12" customHeight="1">
      <c r="A1326" s="60">
        <v>4058075564503</v>
      </c>
      <c r="B1326" s="61" t="s">
        <v>5855</v>
      </c>
      <c r="C1326" s="62">
        <v>1</v>
      </c>
      <c r="D1326" s="63" t="s">
        <v>4556</v>
      </c>
      <c r="E1326" s="70" t="str">
        <f>HYPERLINK("https://ledvance.com/pt/product-datasheet/169534/32230","Ficha de Produto")</f>
        <v>Ficha de Produto</v>
      </c>
      <c r="F1326" s="62"/>
      <c r="G1326" s="65" t="s">
        <v>1749</v>
      </c>
      <c r="H1326" s="62" t="s">
        <v>4974</v>
      </c>
      <c r="I1326" s="30">
        <v>96</v>
      </c>
      <c r="J1326" s="29" t="s">
        <v>721</v>
      </c>
    </row>
    <row r="1327" spans="1:10" ht="12" customHeight="1">
      <c r="A1327" s="60">
        <v>4058075564527</v>
      </c>
      <c r="B1327" s="61" t="s">
        <v>5856</v>
      </c>
      <c r="C1327" s="62">
        <v>1</v>
      </c>
      <c r="D1327" s="63" t="s">
        <v>4556</v>
      </c>
      <c r="E1327" s="70" t="str">
        <f>HYPERLINK("https://ledvance.com/pt/product-datasheet/169534/32233","Ficha de Produto")</f>
        <v>Ficha de Produto</v>
      </c>
      <c r="F1327" s="62"/>
      <c r="G1327" s="65" t="s">
        <v>1749</v>
      </c>
      <c r="H1327" s="62" t="s">
        <v>4974</v>
      </c>
      <c r="I1327" s="30">
        <v>109.69999999999999</v>
      </c>
      <c r="J1327" s="29" t="s">
        <v>721</v>
      </c>
    </row>
    <row r="1328" spans="1:10" ht="12" customHeight="1">
      <c r="A1328" s="60">
        <v>4058075564541</v>
      </c>
      <c r="B1328" s="61" t="s">
        <v>5857</v>
      </c>
      <c r="C1328" s="62">
        <v>1</v>
      </c>
      <c r="D1328" s="63" t="s">
        <v>4556</v>
      </c>
      <c r="E1328" s="70" t="str">
        <f>HYPERLINK("https://ledvance.com/pt/product-datasheet/169534/32236","Ficha de Produto")</f>
        <v>Ficha de Produto</v>
      </c>
      <c r="F1328" s="62"/>
      <c r="G1328" s="65" t="s">
        <v>1749</v>
      </c>
      <c r="H1328" s="62" t="s">
        <v>4974</v>
      </c>
      <c r="I1328" s="30">
        <v>96</v>
      </c>
      <c r="J1328" s="29" t="s">
        <v>721</v>
      </c>
    </row>
    <row r="1329" spans="1:10" ht="12" customHeight="1">
      <c r="A1329" s="60">
        <v>4058075564565</v>
      </c>
      <c r="B1329" s="61" t="s">
        <v>5858</v>
      </c>
      <c r="C1329" s="62">
        <v>1</v>
      </c>
      <c r="D1329" s="63" t="s">
        <v>4556</v>
      </c>
      <c r="E1329" s="70" t="str">
        <f>HYPERLINK("https://ledvance.com/pt/product-datasheet/169534/32239","Ficha de Produto")</f>
        <v>Ficha de Produto</v>
      </c>
      <c r="F1329" s="62"/>
      <c r="G1329" s="65" t="s">
        <v>1749</v>
      </c>
      <c r="H1329" s="62" t="s">
        <v>4974</v>
      </c>
      <c r="I1329" s="30">
        <v>109.69999999999999</v>
      </c>
      <c r="J1329" s="29" t="s">
        <v>721</v>
      </c>
    </row>
    <row r="1330" spans="1:10" ht="15" customHeight="1">
      <c r="A1330" s="122" t="s">
        <v>4666</v>
      </c>
      <c r="B1330" s="116"/>
      <c r="C1330" s="117"/>
      <c r="D1330" s="118"/>
      <c r="E1330" s="118"/>
      <c r="F1330" s="117"/>
      <c r="G1330" s="119"/>
      <c r="H1330" s="268"/>
      <c r="I1330" s="57"/>
      <c r="J1330" s="58"/>
    </row>
    <row r="1331" spans="1:10" ht="12" customHeight="1">
      <c r="A1331" s="60">
        <v>4058075392687</v>
      </c>
      <c r="B1331" s="61" t="s">
        <v>5859</v>
      </c>
      <c r="C1331" s="62">
        <v>1</v>
      </c>
      <c r="D1331" s="63" t="s">
        <v>4556</v>
      </c>
      <c r="E1331" s="70" t="str">
        <f>HYPERLINK("https://ledvance.com/pt/product-datasheet/9377/110463","Ficha de Produto")</f>
        <v>Ficha de Produto</v>
      </c>
      <c r="F1331" s="62"/>
      <c r="G1331" s="65" t="s">
        <v>1749</v>
      </c>
      <c r="H1331" s="62" t="s">
        <v>4974</v>
      </c>
      <c r="I1331" s="30">
        <v>75.5</v>
      </c>
      <c r="J1331" s="29" t="s">
        <v>721</v>
      </c>
    </row>
    <row r="1332" spans="1:10" ht="12" customHeight="1">
      <c r="A1332" s="60">
        <v>4058075392700</v>
      </c>
      <c r="B1332" s="61" t="s">
        <v>5860</v>
      </c>
      <c r="C1332" s="62">
        <v>1</v>
      </c>
      <c r="D1332" s="63" t="s">
        <v>4556</v>
      </c>
      <c r="E1332" s="70" t="str">
        <f>HYPERLINK("https://ledvance.com/pt/product-datasheet/9377/110466","Ficha de Produto")</f>
        <v>Ficha de Produto</v>
      </c>
      <c r="F1332" s="62"/>
      <c r="G1332" s="65" t="s">
        <v>1749</v>
      </c>
      <c r="H1332" s="62" t="s">
        <v>4974</v>
      </c>
      <c r="I1332" s="30">
        <v>89.199999999999989</v>
      </c>
      <c r="J1332" s="29" t="s">
        <v>721</v>
      </c>
    </row>
    <row r="1333" spans="1:10" ht="12" customHeight="1">
      <c r="A1333" s="60">
        <v>4058075392724</v>
      </c>
      <c r="B1333" s="61" t="s">
        <v>5861</v>
      </c>
      <c r="C1333" s="62">
        <v>1</v>
      </c>
      <c r="D1333" s="63" t="s">
        <v>4556</v>
      </c>
      <c r="E1333" s="70" t="str">
        <f>HYPERLINK("https://ledvance.com/pt/product-datasheet/9377/110469","Ficha de Produto")</f>
        <v>Ficha de Produto</v>
      </c>
      <c r="F1333" s="62"/>
      <c r="G1333" s="65" t="s">
        <v>1749</v>
      </c>
      <c r="H1333" s="62" t="s">
        <v>4974</v>
      </c>
      <c r="I1333" s="30">
        <v>75.5</v>
      </c>
      <c r="J1333" s="29" t="s">
        <v>721</v>
      </c>
    </row>
    <row r="1334" spans="1:10" ht="12" customHeight="1">
      <c r="A1334" s="60">
        <v>4058075392748</v>
      </c>
      <c r="B1334" s="61" t="s">
        <v>5862</v>
      </c>
      <c r="C1334" s="62">
        <v>1</v>
      </c>
      <c r="D1334" s="63" t="s">
        <v>4556</v>
      </c>
      <c r="E1334" s="70" t="str">
        <f>HYPERLINK("https://ledvance.com/pt/product-datasheet/9377/110472","Ficha de Produto")</f>
        <v>Ficha de Produto</v>
      </c>
      <c r="F1334" s="62"/>
      <c r="G1334" s="65" t="s">
        <v>1749</v>
      </c>
      <c r="H1334" s="62" t="s">
        <v>4974</v>
      </c>
      <c r="I1334" s="30">
        <v>89.199999999999989</v>
      </c>
      <c r="J1334" s="29" t="s">
        <v>721</v>
      </c>
    </row>
    <row r="1335" spans="1:10" ht="15" customHeight="1">
      <c r="A1335" s="123" t="s">
        <v>4667</v>
      </c>
      <c r="B1335" s="116"/>
      <c r="C1335" s="117"/>
      <c r="D1335" s="124"/>
      <c r="E1335" s="71"/>
      <c r="F1335" s="117"/>
      <c r="G1335" s="119"/>
      <c r="H1335" s="268"/>
      <c r="I1335" s="57"/>
      <c r="J1335" s="58"/>
    </row>
    <row r="1336" spans="1:10" ht="15" customHeight="1">
      <c r="A1336" s="122" t="s">
        <v>4668</v>
      </c>
      <c r="B1336" s="116"/>
      <c r="C1336" s="117"/>
      <c r="D1336" s="118"/>
      <c r="E1336" s="71"/>
      <c r="F1336" s="117"/>
      <c r="G1336" s="119"/>
      <c r="H1336" s="268"/>
      <c r="I1336" s="57"/>
      <c r="J1336" s="58"/>
    </row>
    <row r="1337" spans="1:10" ht="12" customHeight="1">
      <c r="A1337" s="83">
        <v>4099854089657</v>
      </c>
      <c r="B1337" s="61" t="s">
        <v>5863</v>
      </c>
      <c r="C1337" s="62">
        <v>1</v>
      </c>
      <c r="D1337" s="63" t="s">
        <v>4556</v>
      </c>
      <c r="E1337" s="70" t="str">
        <f>HYPERLINK("https://ledvance.com/pt/product-datasheet/250506/246444","Ficha de Produto")</f>
        <v>Ficha de Produto</v>
      </c>
      <c r="F1337" s="65"/>
      <c r="G1337" s="65" t="s">
        <v>5137</v>
      </c>
      <c r="H1337" s="62" t="s">
        <v>4992</v>
      </c>
      <c r="I1337" s="30">
        <v>38.1</v>
      </c>
      <c r="J1337" s="29" t="s">
        <v>721</v>
      </c>
    </row>
    <row r="1338" spans="1:10" ht="12" customHeight="1">
      <c r="A1338" s="83">
        <v>4099854089671</v>
      </c>
      <c r="B1338" s="61" t="s">
        <v>5864</v>
      </c>
      <c r="C1338" s="62">
        <v>1</v>
      </c>
      <c r="D1338" s="63" t="s">
        <v>4556</v>
      </c>
      <c r="E1338" s="70" t="str">
        <f>HYPERLINK("https://ledvance.com/pt/product-datasheet/250506/246447","Ficha de Produto")</f>
        <v>Ficha de Produto</v>
      </c>
      <c r="F1338" s="65"/>
      <c r="G1338" s="65" t="s">
        <v>1752</v>
      </c>
      <c r="H1338" s="62" t="s">
        <v>4992</v>
      </c>
      <c r="I1338" s="30">
        <v>60.800000000000004</v>
      </c>
      <c r="J1338" s="29" t="s">
        <v>721</v>
      </c>
    </row>
    <row r="1339" spans="1:10" ht="12" customHeight="1">
      <c r="A1339" s="83">
        <v>4099854089695</v>
      </c>
      <c r="B1339" s="61" t="s">
        <v>5865</v>
      </c>
      <c r="C1339" s="62">
        <v>1</v>
      </c>
      <c r="D1339" s="63" t="s">
        <v>4556</v>
      </c>
      <c r="E1339" s="70" t="str">
        <f>HYPERLINK("https://ledvance.com/pt/product-datasheet/250506/246450","Ficha de Produto")</f>
        <v>Ficha de Produto</v>
      </c>
      <c r="F1339" s="65"/>
      <c r="G1339" s="65" t="s">
        <v>1746</v>
      </c>
      <c r="H1339" s="62" t="s">
        <v>4992</v>
      </c>
      <c r="I1339" s="30">
        <v>80.099999999999994</v>
      </c>
      <c r="J1339" s="29" t="s">
        <v>721</v>
      </c>
    </row>
    <row r="1340" spans="1:10" ht="15" customHeight="1">
      <c r="A1340" s="122" t="s">
        <v>4669</v>
      </c>
      <c r="B1340" s="116"/>
      <c r="C1340" s="117"/>
      <c r="D1340" s="118"/>
      <c r="E1340" s="71"/>
      <c r="F1340" s="117"/>
      <c r="G1340" s="119"/>
      <c r="H1340" s="268"/>
      <c r="I1340" s="57"/>
      <c r="J1340" s="58"/>
    </row>
    <row r="1341" spans="1:10" ht="12" customHeight="1">
      <c r="A1341" s="74">
        <v>4058075762350</v>
      </c>
      <c r="B1341" s="61" t="s">
        <v>5866</v>
      </c>
      <c r="C1341" s="62">
        <v>1</v>
      </c>
      <c r="D1341" s="63" t="s">
        <v>4556</v>
      </c>
      <c r="E1341" s="70" t="str">
        <f>HYPERLINK("https://ledvance.com/pt/product-datasheet/232030/204350","Ficha de Produto")</f>
        <v>Ficha de Produto</v>
      </c>
      <c r="F1341" s="62"/>
      <c r="G1341" s="65" t="s">
        <v>5005</v>
      </c>
      <c r="H1341" s="62" t="s">
        <v>4992</v>
      </c>
      <c r="I1341" s="30">
        <v>109.69999999999999</v>
      </c>
      <c r="J1341" s="29" t="s">
        <v>721</v>
      </c>
    </row>
    <row r="1342" spans="1:10" ht="15" customHeight="1">
      <c r="A1342" s="132" t="s">
        <v>4670</v>
      </c>
      <c r="B1342" s="116"/>
      <c r="C1342" s="133"/>
      <c r="D1342" s="133"/>
      <c r="E1342" s="82"/>
      <c r="F1342" s="133"/>
      <c r="G1342" s="119"/>
      <c r="H1342" s="268"/>
      <c r="I1342" s="57"/>
      <c r="J1342" s="58"/>
    </row>
    <row r="1343" spans="1:10" ht="15" customHeight="1">
      <c r="A1343" s="134" t="s">
        <v>4671</v>
      </c>
      <c r="B1343" s="116"/>
      <c r="C1343" s="133"/>
      <c r="D1343" s="135"/>
      <c r="E1343" s="82"/>
      <c r="F1343" s="133"/>
      <c r="G1343" s="119"/>
      <c r="H1343" s="268"/>
      <c r="I1343" s="57"/>
      <c r="J1343" s="58"/>
    </row>
    <row r="1344" spans="1:10" ht="12" customHeight="1">
      <c r="A1344" s="60">
        <v>4058075576636</v>
      </c>
      <c r="B1344" s="61" t="s">
        <v>5867</v>
      </c>
      <c r="C1344" s="62">
        <v>1</v>
      </c>
      <c r="D1344" s="63" t="s">
        <v>4377</v>
      </c>
      <c r="E1344" s="70" t="str">
        <f>HYPERLINK("https://ledvance.com/pt/product-datasheet/170799/164552","Ficha de Produto")</f>
        <v>Ficha de Produto</v>
      </c>
      <c r="F1344" s="62"/>
      <c r="G1344" s="65" t="s">
        <v>5868</v>
      </c>
      <c r="H1344" s="62" t="s">
        <v>4974</v>
      </c>
      <c r="I1344" s="30">
        <v>89.5</v>
      </c>
      <c r="J1344" s="29" t="s">
        <v>721</v>
      </c>
    </row>
    <row r="1345" spans="1:10" ht="15" customHeight="1">
      <c r="A1345" s="123" t="s">
        <v>4672</v>
      </c>
      <c r="B1345" s="116"/>
      <c r="C1345" s="117"/>
      <c r="D1345" s="124"/>
      <c r="E1345" s="71"/>
      <c r="F1345" s="117"/>
      <c r="G1345" s="119"/>
      <c r="H1345" s="268"/>
      <c r="I1345" s="57"/>
      <c r="J1345" s="58"/>
    </row>
    <row r="1346" spans="1:10" ht="15" customHeight="1">
      <c r="A1346" s="122" t="s">
        <v>4673</v>
      </c>
      <c r="B1346" s="116"/>
      <c r="C1346" s="117"/>
      <c r="D1346" s="118"/>
      <c r="E1346" s="71"/>
      <c r="F1346" s="117"/>
      <c r="G1346" s="119"/>
      <c r="H1346" s="268"/>
      <c r="I1346" s="57"/>
      <c r="J1346" s="58"/>
    </row>
    <row r="1347" spans="1:10" ht="12" customHeight="1">
      <c r="A1347" s="74">
        <v>4058075763906</v>
      </c>
      <c r="B1347" s="61" t="s">
        <v>5869</v>
      </c>
      <c r="C1347" s="62">
        <v>1</v>
      </c>
      <c r="D1347" s="63" t="s">
        <v>4556</v>
      </c>
      <c r="E1347" s="70" t="str">
        <f>HYPERLINK("https://ledvance.com/pt/product-datasheet/233023/209174","Ficha de Produto")</f>
        <v>Ficha de Produto</v>
      </c>
      <c r="F1347" s="62"/>
      <c r="G1347" s="65" t="s">
        <v>5564</v>
      </c>
      <c r="H1347" s="62" t="s">
        <v>5870</v>
      </c>
      <c r="I1347" s="30">
        <v>137</v>
      </c>
      <c r="J1347" s="29" t="s">
        <v>721</v>
      </c>
    </row>
    <row r="1348" spans="1:10" ht="15" customHeight="1">
      <c r="A1348" s="122" t="s">
        <v>4674</v>
      </c>
      <c r="B1348" s="116"/>
      <c r="C1348" s="117"/>
      <c r="D1348" s="118"/>
      <c r="E1348" s="71"/>
      <c r="F1348" s="117"/>
      <c r="G1348" s="119"/>
      <c r="H1348" s="268"/>
      <c r="I1348" s="57"/>
      <c r="J1348" s="58"/>
    </row>
    <row r="1349" spans="1:10" ht="12" customHeight="1">
      <c r="A1349" s="60">
        <v>4058075478190</v>
      </c>
      <c r="B1349" s="61" t="s">
        <v>5871</v>
      </c>
      <c r="C1349" s="62">
        <v>1</v>
      </c>
      <c r="D1349" s="63" t="s">
        <v>4556</v>
      </c>
      <c r="E1349" s="70" t="str">
        <f>HYPERLINK("https://ledvance.com/pt/product-datasheet/6472/120482","Ficha de Produto")</f>
        <v>Ficha de Produto</v>
      </c>
      <c r="F1349" s="62"/>
      <c r="G1349" s="65" t="s">
        <v>5872</v>
      </c>
      <c r="H1349" s="62" t="s">
        <v>4974</v>
      </c>
      <c r="I1349" s="30">
        <v>86.199999999999989</v>
      </c>
      <c r="J1349" s="29" t="s">
        <v>721</v>
      </c>
    </row>
    <row r="1350" spans="1:10" ht="12" customHeight="1">
      <c r="A1350" s="60">
        <v>4058075478213</v>
      </c>
      <c r="B1350" s="61" t="s">
        <v>5873</v>
      </c>
      <c r="C1350" s="62">
        <v>1</v>
      </c>
      <c r="D1350" s="63" t="s">
        <v>4556</v>
      </c>
      <c r="E1350" s="70" t="str">
        <f>HYPERLINK("https://ledvance.com/pt/product-datasheet/6472/120485","Ficha de Produto")</f>
        <v>Ficha de Produto</v>
      </c>
      <c r="F1350" s="62"/>
      <c r="G1350" s="65" t="s">
        <v>5874</v>
      </c>
      <c r="H1350" s="62" t="s">
        <v>4974</v>
      </c>
      <c r="I1350" s="30">
        <v>102.8</v>
      </c>
      <c r="J1350" s="29" t="s">
        <v>721</v>
      </c>
    </row>
    <row r="1351" spans="1:10" ht="12" customHeight="1">
      <c r="A1351" s="60">
        <v>4058075478237</v>
      </c>
      <c r="B1351" s="61" t="s">
        <v>5875</v>
      </c>
      <c r="C1351" s="62">
        <v>1</v>
      </c>
      <c r="D1351" s="63" t="s">
        <v>4556</v>
      </c>
      <c r="E1351" s="70" t="str">
        <f>HYPERLINK("https://ledvance.com/pt/product-datasheet/6472/120488","Ficha de Produto")</f>
        <v>Ficha de Produto</v>
      </c>
      <c r="F1351" s="62"/>
      <c r="G1351" s="65" t="s">
        <v>5131</v>
      </c>
      <c r="H1351" s="62" t="s">
        <v>4974</v>
      </c>
      <c r="I1351" s="30">
        <v>41.4</v>
      </c>
      <c r="J1351" s="29" t="s">
        <v>721</v>
      </c>
    </row>
    <row r="1352" spans="1:10" ht="12" customHeight="1">
      <c r="A1352" s="60">
        <v>4058075478251</v>
      </c>
      <c r="B1352" s="61" t="s">
        <v>5876</v>
      </c>
      <c r="C1352" s="62">
        <v>1</v>
      </c>
      <c r="D1352" s="63" t="s">
        <v>4556</v>
      </c>
      <c r="E1352" s="70" t="str">
        <f>HYPERLINK("https://ledvance.com/pt/product-datasheet/6472/120491","Ficha de Produto")</f>
        <v>Ficha de Produto</v>
      </c>
      <c r="F1352" s="62"/>
      <c r="G1352" s="65" t="s">
        <v>5877</v>
      </c>
      <c r="H1352" s="62" t="s">
        <v>4974</v>
      </c>
      <c r="I1352" s="30">
        <v>55</v>
      </c>
      <c r="J1352" s="29" t="s">
        <v>721</v>
      </c>
    </row>
    <row r="1353" spans="1:10" ht="15" customHeight="1">
      <c r="A1353" s="122" t="s">
        <v>4675</v>
      </c>
      <c r="B1353" s="116"/>
      <c r="C1353" s="117"/>
      <c r="D1353" s="118"/>
      <c r="E1353" s="71"/>
      <c r="F1353" s="117"/>
      <c r="G1353" s="119"/>
      <c r="H1353" s="268"/>
      <c r="I1353" s="57"/>
      <c r="J1353" s="58"/>
    </row>
    <row r="1354" spans="1:10" ht="12" customHeight="1">
      <c r="A1354" s="60">
        <v>4058075478374</v>
      </c>
      <c r="B1354" s="61" t="s">
        <v>5878</v>
      </c>
      <c r="C1354" s="62">
        <v>1</v>
      </c>
      <c r="D1354" s="63" t="s">
        <v>4556</v>
      </c>
      <c r="E1354" s="70" t="str">
        <f>HYPERLINK("https://ledvance.com/pt/product-datasheet/6475/120542","Ficha de Produto")</f>
        <v>Ficha de Produto</v>
      </c>
      <c r="F1354" s="62"/>
      <c r="G1354" s="65" t="s">
        <v>5057</v>
      </c>
      <c r="H1354" s="62" t="s">
        <v>4974</v>
      </c>
      <c r="I1354" s="30">
        <v>82.3</v>
      </c>
      <c r="J1354" s="29" t="s">
        <v>721</v>
      </c>
    </row>
    <row r="1355" spans="1:10" ht="12" customHeight="1">
      <c r="A1355" s="60">
        <v>4058075478398</v>
      </c>
      <c r="B1355" s="61" t="s">
        <v>5879</v>
      </c>
      <c r="C1355" s="62">
        <v>1</v>
      </c>
      <c r="D1355" s="63" t="s">
        <v>4556</v>
      </c>
      <c r="E1355" s="70" t="str">
        <f>HYPERLINK("https://ledvance.com/pt/product-datasheet/6475/120545","Ficha de Produto")</f>
        <v>Ficha de Produto</v>
      </c>
      <c r="F1355" s="62"/>
      <c r="G1355" s="65" t="s">
        <v>5564</v>
      </c>
      <c r="H1355" s="62" t="s">
        <v>4974</v>
      </c>
      <c r="I1355" s="30">
        <v>68.699999999999989</v>
      </c>
      <c r="J1355" s="29" t="s">
        <v>721</v>
      </c>
    </row>
    <row r="1356" spans="1:10" ht="12" customHeight="1">
      <c r="A1356" s="60">
        <v>4058075478497</v>
      </c>
      <c r="B1356" s="61" t="s">
        <v>5880</v>
      </c>
      <c r="C1356" s="62">
        <v>1</v>
      </c>
      <c r="D1356" s="63" t="s">
        <v>4556</v>
      </c>
      <c r="E1356" s="70" t="str">
        <f>HYPERLINK("https://ledvance.com/pt/product-datasheet/6475/120548","Ficha de Produto")</f>
        <v>Ficha de Produto</v>
      </c>
      <c r="F1356" s="62"/>
      <c r="G1356" s="65" t="s">
        <v>5442</v>
      </c>
      <c r="H1356" s="62" t="s">
        <v>4974</v>
      </c>
      <c r="I1356" s="30">
        <v>205.29999999999998</v>
      </c>
      <c r="J1356" s="29" t="s">
        <v>721</v>
      </c>
    </row>
    <row r="1357" spans="1:10" ht="15" customHeight="1">
      <c r="A1357" s="122" t="s">
        <v>4676</v>
      </c>
      <c r="B1357" s="116"/>
      <c r="C1357" s="117"/>
      <c r="D1357" s="118"/>
      <c r="E1357" s="71"/>
      <c r="F1357" s="117"/>
      <c r="G1357" s="119"/>
      <c r="H1357" s="268"/>
      <c r="I1357" s="57"/>
      <c r="J1357" s="58"/>
    </row>
    <row r="1358" spans="1:10" ht="12" customHeight="1">
      <c r="A1358" s="60">
        <v>4058075478534</v>
      </c>
      <c r="B1358" s="61" t="s">
        <v>5881</v>
      </c>
      <c r="C1358" s="62">
        <v>1</v>
      </c>
      <c r="D1358" s="63" t="s">
        <v>4556</v>
      </c>
      <c r="E1358" s="70" t="str">
        <f>HYPERLINK("https://ledvance.com/pt/product-datasheet/6477/124330","Ficha de Produto")</f>
        <v>Ficha de Produto</v>
      </c>
      <c r="F1358" s="62"/>
      <c r="G1358" s="65" t="s">
        <v>5108</v>
      </c>
      <c r="H1358" s="62">
        <v>0</v>
      </c>
      <c r="I1358" s="30">
        <v>98</v>
      </c>
      <c r="J1358" s="29" t="s">
        <v>721</v>
      </c>
    </row>
    <row r="1359" spans="1:10" ht="12" customHeight="1">
      <c r="A1359" s="60">
        <v>4058075478558</v>
      </c>
      <c r="B1359" s="61" t="s">
        <v>5882</v>
      </c>
      <c r="C1359" s="62">
        <v>1</v>
      </c>
      <c r="D1359" s="63" t="s">
        <v>4556</v>
      </c>
      <c r="E1359" s="70" t="str">
        <f>HYPERLINK("https://ledvance.com/pt/product-datasheet/6477/124333","Ficha de Produto")</f>
        <v>Ficha de Produto</v>
      </c>
      <c r="F1359" s="62"/>
      <c r="G1359" s="65" t="s">
        <v>1752</v>
      </c>
      <c r="H1359" s="62">
        <v>0</v>
      </c>
      <c r="I1359" s="30">
        <v>123.3</v>
      </c>
      <c r="J1359" s="29" t="s">
        <v>721</v>
      </c>
    </row>
    <row r="1360" spans="1:10" ht="12" customHeight="1">
      <c r="A1360" s="60">
        <v>4058075478572</v>
      </c>
      <c r="B1360" s="61" t="s">
        <v>5883</v>
      </c>
      <c r="C1360" s="62">
        <v>1</v>
      </c>
      <c r="D1360" s="63" t="s">
        <v>4556</v>
      </c>
      <c r="E1360" s="70" t="str">
        <f>HYPERLINK("https://ledvance.com/pt/product-datasheet/6477/124336","Ficha de Produto")</f>
        <v>Ficha de Produto</v>
      </c>
      <c r="F1360" s="62"/>
      <c r="G1360" s="65" t="s">
        <v>5165</v>
      </c>
      <c r="H1360" s="62">
        <v>0</v>
      </c>
      <c r="I1360" s="30">
        <v>22.3</v>
      </c>
      <c r="J1360" s="29" t="s">
        <v>721</v>
      </c>
    </row>
    <row r="1361" spans="1:10" ht="15" customHeight="1">
      <c r="A1361" s="122" t="s">
        <v>4677</v>
      </c>
      <c r="B1361" s="116"/>
      <c r="C1361" s="117"/>
      <c r="D1361" s="118"/>
      <c r="E1361" s="71"/>
      <c r="F1361" s="117"/>
      <c r="G1361" s="119"/>
      <c r="H1361" s="268"/>
      <c r="I1361" s="57"/>
      <c r="J1361" s="58"/>
    </row>
    <row r="1362" spans="1:10" ht="12" customHeight="1">
      <c r="A1362" s="83">
        <v>4058075729346</v>
      </c>
      <c r="B1362" s="103" t="s">
        <v>4678</v>
      </c>
      <c r="C1362" s="62">
        <v>1</v>
      </c>
      <c r="D1362" s="63" t="s">
        <v>4556</v>
      </c>
      <c r="E1362" s="70" t="str">
        <f>HYPERLINK("https://ledvance.com/pt/product-datasheet/6419/208986","Ficha de Produto")</f>
        <v>Ficha de Produto</v>
      </c>
      <c r="F1362" s="62"/>
      <c r="G1362" s="65" t="s">
        <v>1201</v>
      </c>
      <c r="H1362" s="65" t="s">
        <v>1201</v>
      </c>
      <c r="I1362" s="30">
        <v>106.69999999999999</v>
      </c>
      <c r="J1362" s="29" t="s">
        <v>721</v>
      </c>
    </row>
    <row r="1363" spans="1:10" ht="12" customHeight="1">
      <c r="A1363" s="60">
        <v>4058075208629</v>
      </c>
      <c r="B1363" s="61" t="s">
        <v>5884</v>
      </c>
      <c r="C1363" s="62">
        <v>1</v>
      </c>
      <c r="D1363" s="63" t="s">
        <v>4556</v>
      </c>
      <c r="E1363" s="70" t="str">
        <f>HYPERLINK("https://ledvance.com/pt/product-datasheet/6419/109015","Ficha de Produto")</f>
        <v>Ficha de Produto</v>
      </c>
      <c r="F1363" s="125" t="s">
        <v>4251</v>
      </c>
      <c r="G1363" s="65" t="s">
        <v>4987</v>
      </c>
      <c r="H1363" s="62" t="s">
        <v>5529</v>
      </c>
      <c r="I1363" s="30">
        <v>46.7</v>
      </c>
      <c r="J1363" s="29" t="s">
        <v>721</v>
      </c>
    </row>
    <row r="1364" spans="1:10" ht="12" customHeight="1">
      <c r="A1364" s="60">
        <v>4058075208636</v>
      </c>
      <c r="B1364" s="61" t="s">
        <v>5885</v>
      </c>
      <c r="C1364" s="62">
        <v>1</v>
      </c>
      <c r="D1364" s="63" t="s">
        <v>4556</v>
      </c>
      <c r="E1364" s="70" t="str">
        <f>HYPERLINK("https://ledvance.com/pt/product-datasheet/6419/109346","Ficha de Produto")</f>
        <v>Ficha de Produto</v>
      </c>
      <c r="F1364" s="125" t="s">
        <v>4251</v>
      </c>
      <c r="G1364" s="65" t="s">
        <v>5886</v>
      </c>
      <c r="H1364" s="62" t="s">
        <v>5529</v>
      </c>
      <c r="I1364" s="30">
        <v>46.7</v>
      </c>
      <c r="J1364" s="29" t="s">
        <v>721</v>
      </c>
    </row>
    <row r="1365" spans="1:10" ht="15" customHeight="1">
      <c r="A1365" s="123" t="s">
        <v>4679</v>
      </c>
      <c r="B1365" s="116"/>
      <c r="C1365" s="117"/>
      <c r="D1365" s="124"/>
      <c r="E1365" s="71"/>
      <c r="F1365" s="117"/>
      <c r="G1365" s="119"/>
      <c r="H1365" s="268"/>
      <c r="I1365" s="57"/>
      <c r="J1365" s="58"/>
    </row>
    <row r="1366" spans="1:10" ht="15" customHeight="1">
      <c r="A1366" s="122" t="s">
        <v>4680</v>
      </c>
      <c r="B1366" s="116"/>
      <c r="C1366" s="117"/>
      <c r="D1366" s="118"/>
      <c r="E1366" s="71"/>
      <c r="F1366" s="117"/>
      <c r="G1366" s="119"/>
      <c r="H1366" s="268"/>
      <c r="I1366" s="57"/>
      <c r="J1366" s="58"/>
    </row>
    <row r="1367" spans="1:10" ht="12" customHeight="1">
      <c r="A1367" s="74">
        <v>4058075763548</v>
      </c>
      <c r="B1367" s="61" t="s">
        <v>5887</v>
      </c>
      <c r="C1367" s="62">
        <v>1</v>
      </c>
      <c r="D1367" s="63" t="s">
        <v>4556</v>
      </c>
      <c r="E1367" s="70" t="str">
        <f>HYPERLINK("https://ledvance.com/pt/product-datasheet/233004/210682","Ficha de Produto")</f>
        <v>Ficha de Produto</v>
      </c>
      <c r="F1367" s="62"/>
      <c r="G1367" s="65" t="s">
        <v>4963</v>
      </c>
      <c r="H1367" s="62" t="s">
        <v>4963</v>
      </c>
      <c r="I1367" s="30">
        <v>45.7</v>
      </c>
      <c r="J1367" s="29" t="s">
        <v>721</v>
      </c>
    </row>
    <row r="1368" spans="1:10" ht="15" customHeight="1">
      <c r="A1368" s="122" t="s">
        <v>4681</v>
      </c>
      <c r="B1368" s="116"/>
      <c r="C1368" s="117"/>
      <c r="D1368" s="118"/>
      <c r="E1368" s="71"/>
      <c r="F1368" s="117"/>
      <c r="G1368" s="119"/>
      <c r="H1368" s="268"/>
      <c r="I1368" s="57"/>
      <c r="J1368" s="58"/>
    </row>
    <row r="1369" spans="1:10" ht="12" customHeight="1">
      <c r="A1369" s="60">
        <v>4058075478411</v>
      </c>
      <c r="B1369" s="61" t="s">
        <v>5888</v>
      </c>
      <c r="C1369" s="62">
        <v>1</v>
      </c>
      <c r="D1369" s="63" t="s">
        <v>4556</v>
      </c>
      <c r="E1369" s="70" t="str">
        <f>HYPERLINK("https://ledvance.com/pt/product-datasheet/9478/120554","Ficha de Produto")</f>
        <v>Ficha de Produto</v>
      </c>
      <c r="F1369" s="62"/>
      <c r="G1369" s="65" t="s">
        <v>1749</v>
      </c>
      <c r="H1369" s="62" t="s">
        <v>4974</v>
      </c>
      <c r="I1369" s="30">
        <v>55</v>
      </c>
      <c r="J1369" s="29" t="s">
        <v>721</v>
      </c>
    </row>
    <row r="1370" spans="1:10" ht="12" customHeight="1">
      <c r="A1370" s="60">
        <v>4058075478473</v>
      </c>
      <c r="B1370" s="61" t="s">
        <v>5889</v>
      </c>
      <c r="C1370" s="62">
        <v>1</v>
      </c>
      <c r="D1370" s="63" t="s">
        <v>4556</v>
      </c>
      <c r="E1370" s="70" t="str">
        <f>HYPERLINK("https://ledvance.com/pt/product-datasheet/9478/124324","Ficha de Produto")</f>
        <v>Ficha de Produto</v>
      </c>
      <c r="F1370" s="62"/>
      <c r="G1370" s="65" t="s">
        <v>4940</v>
      </c>
      <c r="H1370" s="62" t="s">
        <v>4974</v>
      </c>
      <c r="I1370" s="30">
        <v>96</v>
      </c>
      <c r="J1370" s="29" t="s">
        <v>721</v>
      </c>
    </row>
    <row r="1371" spans="1:10" ht="12" customHeight="1">
      <c r="A1371" s="60">
        <v>4058075478510</v>
      </c>
      <c r="B1371" s="61" t="s">
        <v>5890</v>
      </c>
      <c r="C1371" s="62">
        <v>1</v>
      </c>
      <c r="D1371" s="63" t="s">
        <v>4556</v>
      </c>
      <c r="E1371" s="70" t="str">
        <f>HYPERLINK("https://ledvance.com/pt/product-datasheet/9478/124327","Ficha de Produto")</f>
        <v>Ficha de Produto</v>
      </c>
      <c r="F1371" s="62"/>
      <c r="G1371" s="65" t="s">
        <v>5886</v>
      </c>
      <c r="H1371" s="62" t="s">
        <v>4974</v>
      </c>
      <c r="I1371" s="30">
        <v>20.900000000000002</v>
      </c>
      <c r="J1371" s="29" t="s">
        <v>721</v>
      </c>
    </row>
    <row r="1372" spans="1:10" ht="15" customHeight="1">
      <c r="A1372" s="122" t="s">
        <v>4682</v>
      </c>
      <c r="B1372" s="116"/>
      <c r="C1372" s="117"/>
      <c r="D1372" s="118"/>
      <c r="E1372" s="71"/>
      <c r="F1372" s="117"/>
      <c r="G1372" s="119"/>
      <c r="H1372" s="268"/>
      <c r="I1372" s="57"/>
      <c r="J1372" s="58"/>
    </row>
    <row r="1373" spans="1:10" ht="12" customHeight="1">
      <c r="A1373" s="60">
        <v>4058075206847</v>
      </c>
      <c r="B1373" s="61" t="s">
        <v>5891</v>
      </c>
      <c r="C1373" s="62">
        <v>1</v>
      </c>
      <c r="D1373" s="63" t="s">
        <v>4556</v>
      </c>
      <c r="E1373" s="70" t="str">
        <f>HYPERLINK("https://ledvance.com/pt/product-datasheet/9473/107639","Ficha de Produto")</f>
        <v>Ficha de Produto</v>
      </c>
      <c r="F1373" s="62"/>
      <c r="G1373" s="65" t="s">
        <v>5005</v>
      </c>
      <c r="H1373" s="62" t="s">
        <v>4974</v>
      </c>
      <c r="I1373" s="30">
        <v>23.6</v>
      </c>
      <c r="J1373" s="29" t="s">
        <v>721</v>
      </c>
    </row>
    <row r="1374" spans="1:10" ht="12" customHeight="1">
      <c r="A1374" s="60">
        <v>4058075206861</v>
      </c>
      <c r="B1374" s="61" t="s">
        <v>5892</v>
      </c>
      <c r="C1374" s="62">
        <v>1</v>
      </c>
      <c r="D1374" s="63" t="s">
        <v>4556</v>
      </c>
      <c r="E1374" s="70" t="str">
        <f>HYPERLINK("https://ledvance.com/pt/product-datasheet/9473/107642","Ficha de Produto")</f>
        <v>Ficha de Produto</v>
      </c>
      <c r="F1374" s="62"/>
      <c r="G1374" s="65" t="s">
        <v>4949</v>
      </c>
      <c r="H1374" s="62" t="s">
        <v>4974</v>
      </c>
      <c r="I1374" s="30">
        <v>34.5</v>
      </c>
      <c r="J1374" s="29" t="s">
        <v>721</v>
      </c>
    </row>
    <row r="1375" spans="1:10" ht="15" customHeight="1">
      <c r="A1375" s="120" t="s">
        <v>4683</v>
      </c>
      <c r="B1375" s="116"/>
      <c r="C1375" s="117"/>
      <c r="D1375" s="121"/>
      <c r="E1375" s="78"/>
      <c r="F1375" s="117"/>
      <c r="G1375" s="119"/>
      <c r="H1375" s="268"/>
      <c r="I1375" s="57"/>
      <c r="J1375" s="58"/>
    </row>
    <row r="1376" spans="1:10" ht="15" customHeight="1">
      <c r="A1376" s="122" t="s">
        <v>4684</v>
      </c>
      <c r="B1376" s="116"/>
      <c r="C1376" s="136"/>
      <c r="D1376" s="118"/>
      <c r="E1376" s="71"/>
      <c r="F1376" s="136"/>
      <c r="G1376" s="119"/>
      <c r="H1376" s="268"/>
      <c r="I1376" s="57"/>
      <c r="J1376" s="58"/>
    </row>
    <row r="1377" spans="1:10" ht="12" customHeight="1">
      <c r="A1377" s="74">
        <v>4058075217027</v>
      </c>
      <c r="B1377" s="61" t="s">
        <v>5893</v>
      </c>
      <c r="C1377" s="62">
        <v>1</v>
      </c>
      <c r="D1377" s="63" t="s">
        <v>4683</v>
      </c>
      <c r="E1377" s="70" t="str">
        <f>HYPERLINK("https://ledvance.com/pt/product-datasheet/9079/121683","Ficha de Produto")</f>
        <v>Ficha de Produto</v>
      </c>
      <c r="F1377" s="125" t="s">
        <v>4251</v>
      </c>
      <c r="G1377" s="65" t="s">
        <v>4963</v>
      </c>
      <c r="H1377" s="62" t="s">
        <v>4963</v>
      </c>
      <c r="I1377" s="30">
        <v>60</v>
      </c>
      <c r="J1377" s="29" t="s">
        <v>721</v>
      </c>
    </row>
    <row r="1378" spans="1:10" ht="15" customHeight="1">
      <c r="A1378" s="123" t="s">
        <v>4685</v>
      </c>
      <c r="B1378" s="116"/>
      <c r="C1378" s="117"/>
      <c r="D1378" s="124"/>
      <c r="E1378" s="71"/>
      <c r="F1378" s="117"/>
      <c r="G1378" s="119"/>
      <c r="H1378" s="268"/>
      <c r="I1378" s="57"/>
      <c r="J1378" s="58"/>
    </row>
    <row r="1379" spans="1:10" ht="15" customHeight="1">
      <c r="A1379" s="122" t="s">
        <v>4686</v>
      </c>
      <c r="B1379" s="116"/>
      <c r="C1379" s="117"/>
      <c r="D1379" s="118"/>
      <c r="E1379" s="71"/>
      <c r="F1379" s="117"/>
      <c r="G1379" s="119"/>
      <c r="H1379" s="268"/>
      <c r="I1379" s="57"/>
      <c r="J1379" s="58"/>
    </row>
    <row r="1380" spans="1:10" ht="12" customHeight="1">
      <c r="A1380" s="74">
        <v>4058075228016</v>
      </c>
      <c r="B1380" s="61" t="s">
        <v>5894</v>
      </c>
      <c r="C1380" s="62">
        <v>1</v>
      </c>
      <c r="D1380" s="63" t="s">
        <v>4683</v>
      </c>
      <c r="E1380" s="70" t="str">
        <f>HYPERLINK("https://ledvance.com/pt/product-datasheet/9074/118541","Ficha de Produto")</f>
        <v>Ficha de Produto</v>
      </c>
      <c r="F1380" s="62"/>
      <c r="G1380" s="65" t="s">
        <v>4963</v>
      </c>
      <c r="H1380" s="62" t="s">
        <v>4963</v>
      </c>
      <c r="I1380" s="30">
        <v>34.700000000000003</v>
      </c>
      <c r="J1380" s="29" t="s">
        <v>721</v>
      </c>
    </row>
    <row r="1381" spans="1:10" ht="12" customHeight="1">
      <c r="A1381" s="74">
        <v>4058075227996</v>
      </c>
      <c r="B1381" s="61" t="s">
        <v>5895</v>
      </c>
      <c r="C1381" s="62">
        <v>1</v>
      </c>
      <c r="D1381" s="63" t="s">
        <v>4683</v>
      </c>
      <c r="E1381" s="70" t="str">
        <f>HYPERLINK("https://ledvance.com/pt/product-datasheet/9074/118538","Ficha de Produto")</f>
        <v>Ficha de Produto</v>
      </c>
      <c r="F1381" s="62"/>
      <c r="G1381" s="65" t="s">
        <v>4963</v>
      </c>
      <c r="H1381" s="62" t="s">
        <v>4963</v>
      </c>
      <c r="I1381" s="30">
        <v>34.700000000000003</v>
      </c>
      <c r="J1381" s="29" t="s">
        <v>721</v>
      </c>
    </row>
    <row r="1382" spans="1:10" ht="12" customHeight="1">
      <c r="A1382" s="83">
        <v>4058075833159</v>
      </c>
      <c r="B1382" s="61" t="s">
        <v>5896</v>
      </c>
      <c r="C1382" s="62">
        <v>1</v>
      </c>
      <c r="D1382" s="63" t="s">
        <v>4683</v>
      </c>
      <c r="E1382" s="70" t="str">
        <f>HYPERLINK("https://ledvance.com/pt/product-datasheet/287665/273959","Ficha de Produto")</f>
        <v>Ficha de Produto</v>
      </c>
      <c r="F1382" s="94" t="s">
        <v>4584</v>
      </c>
      <c r="G1382" s="65" t="s">
        <v>4963</v>
      </c>
      <c r="H1382" s="62" t="s">
        <v>4963</v>
      </c>
      <c r="I1382" s="30">
        <v>27</v>
      </c>
      <c r="J1382" s="29" t="s">
        <v>721</v>
      </c>
    </row>
    <row r="1383" spans="1:10" ht="12" customHeight="1">
      <c r="A1383" s="83">
        <v>4058075833173</v>
      </c>
      <c r="B1383" s="61" t="s">
        <v>5897</v>
      </c>
      <c r="C1383" s="62">
        <v>1</v>
      </c>
      <c r="D1383" s="63" t="s">
        <v>4683</v>
      </c>
      <c r="E1383" s="70" t="str">
        <f>HYPERLINK("https://ledvance.com/pt/product-datasheet/287665/273962","Ficha de Produto")</f>
        <v>Ficha de Produto</v>
      </c>
      <c r="F1383" s="94" t="s">
        <v>4584</v>
      </c>
      <c r="G1383" s="65" t="s">
        <v>4963</v>
      </c>
      <c r="H1383" s="62" t="s">
        <v>4963</v>
      </c>
      <c r="I1383" s="30">
        <v>27</v>
      </c>
      <c r="J1383" s="29" t="s">
        <v>721</v>
      </c>
    </row>
    <row r="1384" spans="1:10" ht="12" customHeight="1">
      <c r="A1384" s="83">
        <v>4099854092503</v>
      </c>
      <c r="B1384" s="61" t="s">
        <v>5898</v>
      </c>
      <c r="C1384" s="62">
        <v>1</v>
      </c>
      <c r="D1384" s="63" t="s">
        <v>4683</v>
      </c>
      <c r="E1384" s="70" t="str">
        <f>HYPERLINK("https://ledvance.com/pt/product-datasheet/257798/247163","Ficha de Produto")</f>
        <v>Ficha de Produto</v>
      </c>
      <c r="F1384" s="84" t="s">
        <v>4183</v>
      </c>
      <c r="G1384" s="65" t="s">
        <v>4963</v>
      </c>
      <c r="H1384" s="62" t="s">
        <v>4963</v>
      </c>
      <c r="I1384" s="30">
        <v>27</v>
      </c>
      <c r="J1384" s="29" t="s">
        <v>721</v>
      </c>
    </row>
    <row r="1385" spans="1:10" ht="12" customHeight="1">
      <c r="A1385" s="83">
        <v>4099854092640</v>
      </c>
      <c r="B1385" s="61" t="s">
        <v>5899</v>
      </c>
      <c r="C1385" s="62">
        <v>1</v>
      </c>
      <c r="D1385" s="63" t="s">
        <v>4683</v>
      </c>
      <c r="E1385" s="70" t="str">
        <f>HYPERLINK("https://ledvance.com/pt/product-datasheet/257800/247184","Ficha de Produto")</f>
        <v>Ficha de Produto</v>
      </c>
      <c r="F1385" s="84" t="s">
        <v>4183</v>
      </c>
      <c r="G1385" s="65" t="s">
        <v>4963</v>
      </c>
      <c r="H1385" s="62" t="s">
        <v>4963</v>
      </c>
      <c r="I1385" s="30">
        <v>27</v>
      </c>
      <c r="J1385" s="29" t="s">
        <v>721</v>
      </c>
    </row>
    <row r="1386" spans="1:10" ht="12" customHeight="1">
      <c r="A1386" s="83">
        <v>4099854092541</v>
      </c>
      <c r="B1386" s="61" t="s">
        <v>5900</v>
      </c>
      <c r="C1386" s="62">
        <v>1</v>
      </c>
      <c r="D1386" s="63" t="s">
        <v>4683</v>
      </c>
      <c r="E1386" s="70" t="str">
        <f>HYPERLINK("https://ledvance.com/pt/product-datasheet/257799/247169","Ficha de Produto")</f>
        <v>Ficha de Produto</v>
      </c>
      <c r="F1386" s="84" t="s">
        <v>4183</v>
      </c>
      <c r="G1386" s="65" t="s">
        <v>4963</v>
      </c>
      <c r="H1386" s="62" t="s">
        <v>4963</v>
      </c>
      <c r="I1386" s="30">
        <v>23</v>
      </c>
      <c r="J1386" s="29" t="s">
        <v>721</v>
      </c>
    </row>
    <row r="1387" spans="1:10" ht="12" customHeight="1">
      <c r="A1387" s="83">
        <v>4099854092527</v>
      </c>
      <c r="B1387" s="61" t="s">
        <v>5901</v>
      </c>
      <c r="C1387" s="62">
        <v>1</v>
      </c>
      <c r="D1387" s="63" t="s">
        <v>4683</v>
      </c>
      <c r="E1387" s="70" t="str">
        <f>HYPERLINK("https://ledvance.com/pt/product-datasheet/257799/247166","Ficha de Produto")</f>
        <v>Ficha de Produto</v>
      </c>
      <c r="F1387" s="84" t="s">
        <v>4183</v>
      </c>
      <c r="G1387" s="65" t="s">
        <v>4963</v>
      </c>
      <c r="H1387" s="62" t="s">
        <v>4963</v>
      </c>
      <c r="I1387" s="30">
        <v>23</v>
      </c>
      <c r="J1387" s="29" t="s">
        <v>721</v>
      </c>
    </row>
    <row r="1388" spans="1:10" ht="12" customHeight="1">
      <c r="A1388" s="83">
        <v>4099854092565</v>
      </c>
      <c r="B1388" s="61" t="s">
        <v>5902</v>
      </c>
      <c r="C1388" s="62">
        <v>1</v>
      </c>
      <c r="D1388" s="63" t="s">
        <v>4683</v>
      </c>
      <c r="E1388" s="70" t="str">
        <f>HYPERLINK("https://ledvance.com/pt/product-datasheet/257800/247172","Ficha de Produto")</f>
        <v>Ficha de Produto</v>
      </c>
      <c r="F1388" s="84" t="s">
        <v>4183</v>
      </c>
      <c r="G1388" s="65" t="s">
        <v>4963</v>
      </c>
      <c r="H1388" s="62" t="s">
        <v>4963</v>
      </c>
      <c r="I1388" s="30">
        <v>23</v>
      </c>
      <c r="J1388" s="29" t="s">
        <v>721</v>
      </c>
    </row>
    <row r="1389" spans="1:10" ht="12" customHeight="1">
      <c r="A1389" s="83">
        <v>4099854092589</v>
      </c>
      <c r="B1389" s="61" t="s">
        <v>5903</v>
      </c>
      <c r="C1389" s="62">
        <v>1</v>
      </c>
      <c r="D1389" s="63" t="s">
        <v>4683</v>
      </c>
      <c r="E1389" s="70" t="str">
        <f>HYPERLINK("https://ledvance.com/pt/product-datasheet/257800/247175","Ficha de Produto")</f>
        <v>Ficha de Produto</v>
      </c>
      <c r="F1389" s="84" t="s">
        <v>4183</v>
      </c>
      <c r="G1389" s="65" t="s">
        <v>4963</v>
      </c>
      <c r="H1389" s="62" t="s">
        <v>4963</v>
      </c>
      <c r="I1389" s="30">
        <v>23</v>
      </c>
      <c r="J1389" s="29" t="s">
        <v>721</v>
      </c>
    </row>
    <row r="1390" spans="1:10" ht="12" customHeight="1">
      <c r="A1390" s="83">
        <v>4099854092602</v>
      </c>
      <c r="B1390" s="61" t="s">
        <v>5904</v>
      </c>
      <c r="C1390" s="62">
        <v>1</v>
      </c>
      <c r="D1390" s="63" t="s">
        <v>4683</v>
      </c>
      <c r="E1390" s="70" t="str">
        <f>HYPERLINK("https://ledvance.com/pt/product-datasheet/257800/247178","Ficha de Produto")</f>
        <v>Ficha de Produto</v>
      </c>
      <c r="F1390" s="84" t="s">
        <v>4183</v>
      </c>
      <c r="G1390" s="65" t="s">
        <v>4963</v>
      </c>
      <c r="H1390" s="62" t="s">
        <v>4963</v>
      </c>
      <c r="I1390" s="30">
        <v>23</v>
      </c>
      <c r="J1390" s="29" t="s">
        <v>721</v>
      </c>
    </row>
    <row r="1391" spans="1:10" ht="12" customHeight="1">
      <c r="A1391" s="83">
        <v>4099854092626</v>
      </c>
      <c r="B1391" s="61" t="s">
        <v>5905</v>
      </c>
      <c r="C1391" s="62">
        <v>1</v>
      </c>
      <c r="D1391" s="63" t="s">
        <v>4683</v>
      </c>
      <c r="E1391" s="70" t="str">
        <f>HYPERLINK("https://ledvance.com/pt/product-datasheet/257800/247181","Ficha de Produto")</f>
        <v>Ficha de Produto</v>
      </c>
      <c r="F1391" s="84" t="s">
        <v>4183</v>
      </c>
      <c r="G1391" s="65" t="s">
        <v>4963</v>
      </c>
      <c r="H1391" s="62" t="s">
        <v>4963</v>
      </c>
      <c r="I1391" s="30">
        <v>23</v>
      </c>
      <c r="J1391" s="29" t="s">
        <v>721</v>
      </c>
    </row>
    <row r="1392" spans="1:10" ht="15" customHeight="1">
      <c r="A1392" s="137" t="s">
        <v>4687</v>
      </c>
      <c r="B1392" s="116"/>
      <c r="C1392" s="117"/>
      <c r="D1392" s="136"/>
      <c r="E1392" s="78"/>
      <c r="F1392" s="117"/>
      <c r="G1392" s="119"/>
      <c r="H1392" s="268"/>
      <c r="I1392" s="57"/>
      <c r="J1392" s="58"/>
    </row>
    <row r="1393" spans="1:10" ht="12" customHeight="1">
      <c r="A1393" s="74">
        <v>4058075274488</v>
      </c>
      <c r="B1393" s="61" t="s">
        <v>5906</v>
      </c>
      <c r="C1393" s="62">
        <v>1</v>
      </c>
      <c r="D1393" s="63" t="s">
        <v>4683</v>
      </c>
      <c r="E1393" s="70" t="str">
        <f>HYPERLINK("https://ledvance.com/pt/product-datasheet/9089/118535","Ficha de Produto")</f>
        <v>Ficha de Produto</v>
      </c>
      <c r="F1393" s="111"/>
      <c r="G1393" s="65">
        <v>0</v>
      </c>
      <c r="H1393" s="62">
        <v>0</v>
      </c>
      <c r="I1393" s="30">
        <v>17</v>
      </c>
      <c r="J1393" s="29" t="s">
        <v>721</v>
      </c>
    </row>
    <row r="1394" spans="1:10" ht="12" customHeight="1">
      <c r="A1394" s="83">
        <v>4099854092831</v>
      </c>
      <c r="B1394" s="61" t="s">
        <v>5907</v>
      </c>
      <c r="C1394" s="62">
        <v>1</v>
      </c>
      <c r="D1394" s="63" t="s">
        <v>4683</v>
      </c>
      <c r="E1394" s="70" t="str">
        <f>HYPERLINK("https://ledvance.com/pt/product-datasheet/9089/247686","Ficha de Produto")</f>
        <v>Ficha de Produto</v>
      </c>
      <c r="F1394" s="84" t="s">
        <v>4183</v>
      </c>
      <c r="G1394" s="65">
        <v>0</v>
      </c>
      <c r="H1394" s="62">
        <v>0</v>
      </c>
      <c r="I1394" s="30">
        <v>27.6</v>
      </c>
      <c r="J1394" s="29" t="s">
        <v>721</v>
      </c>
    </row>
    <row r="1395" spans="1:10" ht="15" customHeight="1">
      <c r="A1395" s="137" t="s">
        <v>4686</v>
      </c>
      <c r="B1395" s="116"/>
      <c r="C1395" s="117"/>
      <c r="D1395" s="136"/>
      <c r="E1395" s="78"/>
      <c r="F1395" s="117"/>
      <c r="G1395" s="119"/>
      <c r="H1395" s="268"/>
      <c r="I1395" s="57"/>
      <c r="J1395" s="58"/>
    </row>
    <row r="1396" spans="1:10" ht="12" customHeight="1">
      <c r="A1396" s="83">
        <v>4099854092664</v>
      </c>
      <c r="B1396" s="61" t="s">
        <v>5908</v>
      </c>
      <c r="C1396" s="62">
        <v>1</v>
      </c>
      <c r="D1396" s="63" t="s">
        <v>4683</v>
      </c>
      <c r="E1396" s="70" t="str">
        <f>HYPERLINK("https://ledvance.com/pt/product-datasheet/257801/247187","Ficha de Produto")</f>
        <v>Ficha de Produto</v>
      </c>
      <c r="F1396" s="84" t="s">
        <v>4183</v>
      </c>
      <c r="G1396" s="65" t="s">
        <v>4963</v>
      </c>
      <c r="H1396" s="62" t="s">
        <v>4963</v>
      </c>
      <c r="I1396" s="30">
        <v>15.5</v>
      </c>
      <c r="J1396" s="29" t="s">
        <v>721</v>
      </c>
    </row>
    <row r="1397" spans="1:10" ht="12" customHeight="1">
      <c r="A1397" s="83">
        <v>4099854092688</v>
      </c>
      <c r="B1397" s="61" t="s">
        <v>5909</v>
      </c>
      <c r="C1397" s="62">
        <v>1</v>
      </c>
      <c r="D1397" s="63" t="s">
        <v>4683</v>
      </c>
      <c r="E1397" s="70" t="str">
        <f>HYPERLINK("https://ledvance.com/pt/product-datasheet/257801/247190","Ficha de Produto")</f>
        <v>Ficha de Produto</v>
      </c>
      <c r="F1397" s="84" t="s">
        <v>4183</v>
      </c>
      <c r="G1397" s="65" t="s">
        <v>4963</v>
      </c>
      <c r="H1397" s="62" t="s">
        <v>4963</v>
      </c>
      <c r="I1397" s="30">
        <v>15.5</v>
      </c>
      <c r="J1397" s="29" t="s">
        <v>721</v>
      </c>
    </row>
    <row r="1398" spans="1:10" ht="15" customHeight="1">
      <c r="A1398" s="120" t="s">
        <v>4688</v>
      </c>
      <c r="B1398" s="116"/>
      <c r="C1398" s="117"/>
      <c r="D1398" s="121"/>
      <c r="E1398" s="78"/>
      <c r="F1398" s="117"/>
      <c r="G1398" s="119"/>
      <c r="H1398" s="268"/>
      <c r="I1398" s="57"/>
      <c r="J1398" s="58"/>
    </row>
    <row r="1399" spans="1:10" ht="15" customHeight="1">
      <c r="A1399" s="120" t="s">
        <v>4689</v>
      </c>
      <c r="B1399" s="116"/>
      <c r="C1399" s="117"/>
      <c r="D1399" s="121"/>
      <c r="E1399" s="121"/>
      <c r="F1399" s="117"/>
      <c r="G1399" s="119"/>
      <c r="H1399" s="268"/>
      <c r="I1399" s="57"/>
      <c r="J1399" s="58"/>
    </row>
    <row r="1400" spans="1:10" ht="15" customHeight="1">
      <c r="A1400" s="120" t="s">
        <v>4690</v>
      </c>
      <c r="B1400" s="116"/>
      <c r="C1400" s="117"/>
      <c r="D1400" s="121"/>
      <c r="E1400" s="78"/>
      <c r="F1400" s="117"/>
      <c r="G1400" s="119"/>
      <c r="H1400" s="268"/>
      <c r="I1400" s="57"/>
      <c r="J1400" s="58"/>
    </row>
    <row r="1401" spans="1:10" ht="15" customHeight="1">
      <c r="A1401" s="122" t="s">
        <v>4691</v>
      </c>
      <c r="B1401" s="116"/>
      <c r="C1401" s="117"/>
      <c r="D1401" s="118"/>
      <c r="E1401" s="118"/>
      <c r="F1401" s="117"/>
      <c r="G1401" s="119"/>
      <c r="H1401" s="268"/>
      <c r="I1401" s="57"/>
      <c r="J1401" s="58"/>
    </row>
    <row r="1402" spans="1:10" ht="12" customHeight="1">
      <c r="A1402" s="74">
        <v>4058075572911</v>
      </c>
      <c r="B1402" s="61" t="s">
        <v>5910</v>
      </c>
      <c r="C1402" s="62">
        <v>1</v>
      </c>
      <c r="D1402" s="138" t="s">
        <v>4688</v>
      </c>
      <c r="E1402" s="139" t="str">
        <f>HYPERLINK("https://ledvance.com/pt/product-datasheet/170066/101400","Ficha de Produto")</f>
        <v>Ficha de Produto</v>
      </c>
      <c r="F1402" s="62"/>
      <c r="G1402" s="65" t="s">
        <v>4940</v>
      </c>
      <c r="H1402" s="62" t="s">
        <v>4930</v>
      </c>
      <c r="I1402" s="30">
        <v>41.4</v>
      </c>
      <c r="J1402" s="29" t="s">
        <v>721</v>
      </c>
    </row>
    <row r="1403" spans="1:10" ht="12" customHeight="1">
      <c r="A1403" s="74">
        <v>4058075572935</v>
      </c>
      <c r="B1403" s="61" t="s">
        <v>5911</v>
      </c>
      <c r="C1403" s="62">
        <v>1</v>
      </c>
      <c r="D1403" s="138" t="s">
        <v>4688</v>
      </c>
      <c r="E1403" s="139" t="str">
        <f>HYPERLINK("https://ledvance.com/pt/product-datasheet/170066/101404","Ficha de Produto")</f>
        <v>Ficha de Produto</v>
      </c>
      <c r="F1403" s="62"/>
      <c r="G1403" s="65" t="s">
        <v>5036</v>
      </c>
      <c r="H1403" s="62" t="s">
        <v>4930</v>
      </c>
      <c r="I1403" s="30">
        <v>70.599999999999994</v>
      </c>
      <c r="J1403" s="29" t="s">
        <v>721</v>
      </c>
    </row>
    <row r="1404" spans="1:10" ht="12" customHeight="1">
      <c r="A1404" s="74">
        <v>4058075572959</v>
      </c>
      <c r="B1404" s="61" t="s">
        <v>5912</v>
      </c>
      <c r="C1404" s="62">
        <v>1</v>
      </c>
      <c r="D1404" s="138" t="s">
        <v>4688</v>
      </c>
      <c r="E1404" s="139" t="str">
        <f>HYPERLINK("https://ledvance.com/pt/product-datasheet/170066/101408","Ficha de Produto")</f>
        <v>Ficha de Produto</v>
      </c>
      <c r="F1404" s="101" t="s">
        <v>4251</v>
      </c>
      <c r="G1404" s="65" t="s">
        <v>1743</v>
      </c>
      <c r="H1404" s="62" t="s">
        <v>4930</v>
      </c>
      <c r="I1404" s="30">
        <v>96</v>
      </c>
      <c r="J1404" s="29" t="s">
        <v>721</v>
      </c>
    </row>
    <row r="1405" spans="1:10" ht="12" customHeight="1">
      <c r="A1405" s="74">
        <v>4058075572973</v>
      </c>
      <c r="B1405" s="61" t="s">
        <v>5913</v>
      </c>
      <c r="C1405" s="62">
        <v>1</v>
      </c>
      <c r="D1405" s="138" t="s">
        <v>4688</v>
      </c>
      <c r="E1405" s="139" t="str">
        <f>HYPERLINK("https://ledvance.com/pt/product-datasheet/170066/101412","Ficha de Produto")</f>
        <v>Ficha de Produto</v>
      </c>
      <c r="F1405" s="62"/>
      <c r="G1405" s="65" t="s">
        <v>5036</v>
      </c>
      <c r="H1405" s="62" t="s">
        <v>4930</v>
      </c>
      <c r="I1405" s="30">
        <v>70.599999999999994</v>
      </c>
      <c r="J1405" s="29" t="s">
        <v>721</v>
      </c>
    </row>
    <row r="1406" spans="1:10" ht="15" customHeight="1">
      <c r="A1406" s="122" t="s">
        <v>4692</v>
      </c>
      <c r="B1406" s="116"/>
      <c r="C1406" s="117"/>
      <c r="D1406" s="118"/>
      <c r="E1406" s="118"/>
      <c r="F1406" s="117"/>
      <c r="G1406" s="119"/>
      <c r="H1406" s="268"/>
      <c r="I1406" s="57"/>
      <c r="J1406" s="58"/>
    </row>
    <row r="1407" spans="1:10" ht="12" customHeight="1">
      <c r="A1407" s="74">
        <v>4058075573239</v>
      </c>
      <c r="B1407" s="61" t="s">
        <v>5914</v>
      </c>
      <c r="C1407" s="62">
        <v>1</v>
      </c>
      <c r="D1407" s="138" t="s">
        <v>4688</v>
      </c>
      <c r="E1407" s="139" t="str">
        <f>HYPERLINK("https://ledvance.com/pt/product-datasheet/170060/122586","Ficha de Produto")</f>
        <v>Ficha de Produto</v>
      </c>
      <c r="F1407" s="62"/>
      <c r="G1407" s="65" t="s">
        <v>5564</v>
      </c>
      <c r="H1407" s="62" t="s">
        <v>4930</v>
      </c>
      <c r="I1407" s="30">
        <v>27.700000000000003</v>
      </c>
      <c r="J1407" s="29" t="s">
        <v>721</v>
      </c>
    </row>
    <row r="1408" spans="1:10" ht="12" customHeight="1">
      <c r="A1408" s="74">
        <v>4058075573253</v>
      </c>
      <c r="B1408" s="61" t="s">
        <v>5915</v>
      </c>
      <c r="C1408" s="62">
        <v>1</v>
      </c>
      <c r="D1408" s="138" t="s">
        <v>4688</v>
      </c>
      <c r="E1408" s="139" t="str">
        <f>HYPERLINK("https://ledvance.com/pt/product-datasheet/170060/122589","Ficha de Produto")</f>
        <v>Ficha de Produto</v>
      </c>
      <c r="F1408" s="62"/>
      <c r="G1408" s="65" t="s">
        <v>1746</v>
      </c>
      <c r="H1408" s="62" t="s">
        <v>4930</v>
      </c>
      <c r="I1408" s="30">
        <v>31.8</v>
      </c>
      <c r="J1408" s="29" t="s">
        <v>721</v>
      </c>
    </row>
    <row r="1409" spans="1:10" ht="12" customHeight="1">
      <c r="A1409" s="74">
        <v>4058075573277</v>
      </c>
      <c r="B1409" s="61" t="s">
        <v>5916</v>
      </c>
      <c r="C1409" s="62">
        <v>1</v>
      </c>
      <c r="D1409" s="138" t="s">
        <v>4688</v>
      </c>
      <c r="E1409" s="139" t="str">
        <f>HYPERLINK("https://ledvance.com/pt/product-datasheet/170060/122592","Ficha de Produto")</f>
        <v>Ficha de Produto</v>
      </c>
      <c r="F1409" s="62"/>
      <c r="G1409" s="65" t="s">
        <v>5036</v>
      </c>
      <c r="H1409" s="62" t="s">
        <v>4930</v>
      </c>
      <c r="I1409" s="30">
        <v>41.4</v>
      </c>
      <c r="J1409" s="29" t="s">
        <v>721</v>
      </c>
    </row>
    <row r="1410" spans="1:10" ht="15" customHeight="1">
      <c r="A1410" s="122" t="s">
        <v>4693</v>
      </c>
      <c r="B1410" s="116"/>
      <c r="C1410" s="117"/>
      <c r="D1410" s="118"/>
      <c r="E1410" s="71"/>
      <c r="F1410" s="117"/>
      <c r="G1410" s="119"/>
      <c r="H1410" s="268"/>
      <c r="I1410" s="57"/>
      <c r="J1410" s="58"/>
    </row>
    <row r="1411" spans="1:10" ht="12" customHeight="1">
      <c r="A1411" s="74">
        <v>4058075573291</v>
      </c>
      <c r="B1411" s="61" t="s">
        <v>5917</v>
      </c>
      <c r="C1411" s="62">
        <v>1</v>
      </c>
      <c r="D1411" s="138" t="s">
        <v>4688</v>
      </c>
      <c r="E1411" s="139" t="str">
        <f>HYPERLINK("https://ledvance.com/pt/product-datasheet/170061/122598","Ficha de Produto")</f>
        <v>Ficha de Produto</v>
      </c>
      <c r="F1411" s="62"/>
      <c r="G1411" s="65" t="s">
        <v>1752</v>
      </c>
      <c r="H1411" s="62" t="s">
        <v>4930</v>
      </c>
      <c r="I1411" s="30">
        <v>27.6</v>
      </c>
      <c r="J1411" s="29" t="s">
        <v>721</v>
      </c>
    </row>
    <row r="1412" spans="1:10" ht="12" customHeight="1">
      <c r="A1412" s="74">
        <v>4058075573314</v>
      </c>
      <c r="B1412" s="61" t="s">
        <v>5918</v>
      </c>
      <c r="C1412" s="62">
        <v>1</v>
      </c>
      <c r="D1412" s="138" t="s">
        <v>4688</v>
      </c>
      <c r="E1412" s="139" t="str">
        <f>HYPERLINK("https://ledvance.com/pt/product-datasheet/170061/122601","Ficha de Produto")</f>
        <v>Ficha de Produto</v>
      </c>
      <c r="F1412" s="62"/>
      <c r="G1412" s="65" t="s">
        <v>5564</v>
      </c>
      <c r="H1412" s="62" t="s">
        <v>4990</v>
      </c>
      <c r="I1412" s="30">
        <v>27.6</v>
      </c>
      <c r="J1412" s="29" t="s">
        <v>721</v>
      </c>
    </row>
    <row r="1413" spans="1:10" ht="12" customHeight="1">
      <c r="A1413" s="74">
        <v>4058075573376</v>
      </c>
      <c r="B1413" s="61" t="s">
        <v>5919</v>
      </c>
      <c r="C1413" s="62">
        <v>1</v>
      </c>
      <c r="D1413" s="138" t="s">
        <v>4688</v>
      </c>
      <c r="E1413" s="139" t="str">
        <f>HYPERLINK("https://ledvance.com/pt/product-datasheet/170061/122604","Ficha de Produto")</f>
        <v>Ficha de Produto</v>
      </c>
      <c r="F1413" s="62"/>
      <c r="G1413" s="65" t="s">
        <v>4940</v>
      </c>
      <c r="H1413" s="62" t="s">
        <v>4990</v>
      </c>
      <c r="I1413" s="30">
        <v>48.2</v>
      </c>
      <c r="J1413" s="29" t="s">
        <v>721</v>
      </c>
    </row>
    <row r="1414" spans="1:10" ht="15" customHeight="1">
      <c r="A1414" s="120" t="s">
        <v>4694</v>
      </c>
      <c r="B1414" s="116"/>
      <c r="C1414" s="117"/>
      <c r="D1414" s="121"/>
      <c r="E1414" s="78"/>
      <c r="F1414" s="117"/>
      <c r="G1414" s="119"/>
      <c r="H1414" s="268"/>
      <c r="I1414" s="57"/>
      <c r="J1414" s="58"/>
    </row>
    <row r="1415" spans="1:10" ht="15" customHeight="1">
      <c r="A1415" s="122" t="s">
        <v>4695</v>
      </c>
      <c r="B1415" s="116"/>
      <c r="C1415" s="117"/>
      <c r="D1415" s="118"/>
      <c r="E1415" s="118"/>
      <c r="F1415" s="117"/>
      <c r="G1415" s="119"/>
      <c r="H1415" s="268"/>
      <c r="I1415" s="57"/>
      <c r="J1415" s="58"/>
    </row>
    <row r="1416" spans="1:10" ht="12" customHeight="1">
      <c r="A1416" s="74">
        <v>4058075758629</v>
      </c>
      <c r="B1416" s="61" t="s">
        <v>5920</v>
      </c>
      <c r="C1416" s="62">
        <v>1</v>
      </c>
      <c r="D1416" s="138" t="s">
        <v>4688</v>
      </c>
      <c r="E1416" s="139" t="str">
        <f>HYPERLINK("https://ledvance.com/pt/product-datasheet/230912/203606","Ficha de Produto")</f>
        <v>Ficha de Produto</v>
      </c>
      <c r="F1416" s="62"/>
      <c r="G1416" s="65" t="s">
        <v>4963</v>
      </c>
      <c r="H1416" s="62" t="s">
        <v>4963</v>
      </c>
      <c r="I1416" s="30">
        <v>23.6</v>
      </c>
      <c r="J1416" s="29" t="s">
        <v>721</v>
      </c>
    </row>
    <row r="1417" spans="1:10" ht="12" customHeight="1">
      <c r="A1417" s="74">
        <v>4058075758667</v>
      </c>
      <c r="B1417" s="61" t="s">
        <v>5921</v>
      </c>
      <c r="C1417" s="62">
        <v>1</v>
      </c>
      <c r="D1417" s="138" t="s">
        <v>4688</v>
      </c>
      <c r="E1417" s="139" t="str">
        <f>HYPERLINK("https://ledvance.com/pt/product-datasheet/230912/203609","Ficha de Produto")</f>
        <v>Ficha de Produto</v>
      </c>
      <c r="F1417" s="62"/>
      <c r="G1417" s="65" t="s">
        <v>4963</v>
      </c>
      <c r="H1417" s="62" t="s">
        <v>4963</v>
      </c>
      <c r="I1417" s="30">
        <v>23.6</v>
      </c>
      <c r="J1417" s="29" t="s">
        <v>721</v>
      </c>
    </row>
    <row r="1418" spans="1:10" ht="12" customHeight="1">
      <c r="A1418" s="74">
        <v>4058075758681</v>
      </c>
      <c r="B1418" s="61" t="s">
        <v>5922</v>
      </c>
      <c r="C1418" s="62">
        <v>1</v>
      </c>
      <c r="D1418" s="138" t="s">
        <v>4688</v>
      </c>
      <c r="E1418" s="139" t="str">
        <f>HYPERLINK("https://ledvance.com/pt/product-datasheet/230912/203612","Ficha de Produto")</f>
        <v>Ficha de Produto</v>
      </c>
      <c r="F1418" s="62"/>
      <c r="G1418" s="65" t="s">
        <v>4963</v>
      </c>
      <c r="H1418" s="62" t="s">
        <v>4963</v>
      </c>
      <c r="I1418" s="30">
        <v>23.6</v>
      </c>
      <c r="J1418" s="29" t="s">
        <v>721</v>
      </c>
    </row>
    <row r="1419" spans="1:10" ht="12" customHeight="1">
      <c r="A1419" s="74">
        <v>4058075758704</v>
      </c>
      <c r="B1419" s="61" t="s">
        <v>5923</v>
      </c>
      <c r="C1419" s="62">
        <v>1</v>
      </c>
      <c r="D1419" s="138" t="s">
        <v>4688</v>
      </c>
      <c r="E1419" s="139" t="str">
        <f>HYPERLINK("https://ledvance.com/pt/product-datasheet/230912/203617","Ficha de Produto")</f>
        <v>Ficha de Produto</v>
      </c>
      <c r="F1419" s="62"/>
      <c r="G1419" s="65" t="s">
        <v>4963</v>
      </c>
      <c r="H1419" s="62" t="s">
        <v>4963</v>
      </c>
      <c r="I1419" s="30">
        <v>23.6</v>
      </c>
      <c r="J1419" s="29" t="s">
        <v>721</v>
      </c>
    </row>
    <row r="1420" spans="1:10" ht="15" customHeight="1">
      <c r="A1420" s="120" t="s">
        <v>4696</v>
      </c>
      <c r="B1420" s="116"/>
      <c r="C1420" s="117"/>
      <c r="D1420" s="121"/>
      <c r="E1420" s="121"/>
      <c r="F1420" s="117"/>
      <c r="G1420" s="119"/>
      <c r="H1420" s="268"/>
      <c r="I1420" s="57"/>
      <c r="J1420" s="58"/>
    </row>
    <row r="1421" spans="1:10" ht="15" customHeight="1">
      <c r="A1421" s="122" t="s">
        <v>4697</v>
      </c>
      <c r="B1421" s="116"/>
      <c r="C1421" s="117"/>
      <c r="D1421" s="118"/>
      <c r="E1421" s="71"/>
      <c r="F1421" s="117"/>
      <c r="G1421" s="119"/>
      <c r="H1421" s="268"/>
      <c r="I1421" s="57"/>
      <c r="J1421" s="58"/>
    </row>
    <row r="1422" spans="1:10" ht="12" customHeight="1">
      <c r="A1422" s="74">
        <v>4058075573055</v>
      </c>
      <c r="B1422" s="61" t="s">
        <v>5924</v>
      </c>
      <c r="C1422" s="62">
        <v>1</v>
      </c>
      <c r="D1422" s="138" t="s">
        <v>4688</v>
      </c>
      <c r="E1422" s="139" t="str">
        <f>HYPERLINK("https://ledvance.com/pt/product-datasheet/170023/101373","Ficha de Produto")</f>
        <v>Ficha de Produto</v>
      </c>
      <c r="F1422" s="62"/>
      <c r="G1422" s="65" t="s">
        <v>5564</v>
      </c>
      <c r="H1422" s="62" t="s">
        <v>4974</v>
      </c>
      <c r="I1422" s="30">
        <v>8.6</v>
      </c>
      <c r="J1422" s="29" t="s">
        <v>721</v>
      </c>
    </row>
    <row r="1423" spans="1:10" ht="12" customHeight="1">
      <c r="A1423" s="74">
        <v>4058075573079</v>
      </c>
      <c r="B1423" s="61" t="s">
        <v>5925</v>
      </c>
      <c r="C1423" s="62">
        <v>1</v>
      </c>
      <c r="D1423" s="138" t="s">
        <v>4688</v>
      </c>
      <c r="E1423" s="139" t="str">
        <f>HYPERLINK("https://ledvance.com/pt/product-datasheet/170023/101376","Ficha de Produto")</f>
        <v>Ficha de Produto</v>
      </c>
      <c r="F1423" s="62"/>
      <c r="G1423" s="65" t="s">
        <v>1746</v>
      </c>
      <c r="H1423" s="62" t="s">
        <v>4974</v>
      </c>
      <c r="I1423" s="30">
        <v>11.299999999999999</v>
      </c>
      <c r="J1423" s="29" t="s">
        <v>721</v>
      </c>
    </row>
    <row r="1424" spans="1:10" ht="12" customHeight="1">
      <c r="A1424" s="74">
        <v>4058075573093</v>
      </c>
      <c r="B1424" s="61" t="s">
        <v>5926</v>
      </c>
      <c r="C1424" s="62">
        <v>1</v>
      </c>
      <c r="D1424" s="138" t="s">
        <v>4688</v>
      </c>
      <c r="E1424" s="139" t="str">
        <f>HYPERLINK("https://ledvance.com/pt/product-datasheet/170023/101379","Ficha de Produto")</f>
        <v>Ficha de Produto</v>
      </c>
      <c r="F1424" s="62"/>
      <c r="G1424" s="65" t="s">
        <v>5036</v>
      </c>
      <c r="H1424" s="62" t="s">
        <v>4974</v>
      </c>
      <c r="I1424" s="30">
        <v>18.200000000000003</v>
      </c>
      <c r="J1424" s="29" t="s">
        <v>721</v>
      </c>
    </row>
    <row r="1425" spans="1:10" ht="12" customHeight="1">
      <c r="A1425" s="74">
        <v>4058075573116</v>
      </c>
      <c r="B1425" s="61" t="s">
        <v>5927</v>
      </c>
      <c r="C1425" s="62">
        <v>1</v>
      </c>
      <c r="D1425" s="138" t="s">
        <v>4688</v>
      </c>
      <c r="E1425" s="139" t="str">
        <f>HYPERLINK("https://ledvance.com/pt/product-datasheet/170023/101382","Ficha de Produto")</f>
        <v>Ficha de Produto</v>
      </c>
      <c r="F1425" s="62"/>
      <c r="G1425" s="65" t="s">
        <v>5564</v>
      </c>
      <c r="H1425" s="62" t="s">
        <v>4992</v>
      </c>
      <c r="I1425" s="30">
        <v>8.6</v>
      </c>
      <c r="J1425" s="29" t="s">
        <v>721</v>
      </c>
    </row>
    <row r="1426" spans="1:10" ht="12" customHeight="1">
      <c r="A1426" s="74">
        <v>4058075573130</v>
      </c>
      <c r="B1426" s="61" t="s">
        <v>5928</v>
      </c>
      <c r="C1426" s="62">
        <v>1</v>
      </c>
      <c r="D1426" s="138" t="s">
        <v>4688</v>
      </c>
      <c r="E1426" s="139" t="str">
        <f>HYPERLINK("https://ledvance.com/pt/product-datasheet/170023/101385","Ficha de Produto")</f>
        <v>Ficha de Produto</v>
      </c>
      <c r="F1426" s="62"/>
      <c r="G1426" s="65" t="s">
        <v>1746</v>
      </c>
      <c r="H1426" s="62" t="s">
        <v>4992</v>
      </c>
      <c r="I1426" s="30">
        <v>11.299999999999999</v>
      </c>
      <c r="J1426" s="29" t="s">
        <v>721</v>
      </c>
    </row>
    <row r="1427" spans="1:10" ht="12" customHeight="1">
      <c r="A1427" s="74">
        <v>4058075573154</v>
      </c>
      <c r="B1427" s="61" t="s">
        <v>5929</v>
      </c>
      <c r="C1427" s="62">
        <v>1</v>
      </c>
      <c r="D1427" s="138" t="s">
        <v>4688</v>
      </c>
      <c r="E1427" s="139" t="str">
        <f>HYPERLINK("https://ledvance.com/pt/product-datasheet/170023/101388","Ficha de Produto")</f>
        <v>Ficha de Produto</v>
      </c>
      <c r="F1427" s="62"/>
      <c r="G1427" s="65" t="s">
        <v>5036</v>
      </c>
      <c r="H1427" s="62" t="s">
        <v>4992</v>
      </c>
      <c r="I1427" s="30">
        <v>18.200000000000003</v>
      </c>
      <c r="J1427" s="29" t="s">
        <v>721</v>
      </c>
    </row>
    <row r="1428" spans="1:10" ht="12" customHeight="1">
      <c r="A1428" s="74">
        <v>4058075573178</v>
      </c>
      <c r="B1428" s="61" t="s">
        <v>5930</v>
      </c>
      <c r="C1428" s="62">
        <v>1</v>
      </c>
      <c r="D1428" s="138" t="s">
        <v>4688</v>
      </c>
      <c r="E1428" s="139" t="str">
        <f>HYPERLINK("https://ledvance.com/pt/product-datasheet/170023/101391","Ficha de Produto")</f>
        <v>Ficha de Produto</v>
      </c>
      <c r="F1428" s="62"/>
      <c r="G1428" s="65" t="s">
        <v>5564</v>
      </c>
      <c r="H1428" s="62" t="s">
        <v>5143</v>
      </c>
      <c r="I1428" s="30">
        <v>8.6</v>
      </c>
      <c r="J1428" s="29" t="s">
        <v>721</v>
      </c>
    </row>
    <row r="1429" spans="1:10" ht="12" customHeight="1">
      <c r="A1429" s="74">
        <v>4058075573192</v>
      </c>
      <c r="B1429" s="61" t="s">
        <v>5931</v>
      </c>
      <c r="C1429" s="62">
        <v>1</v>
      </c>
      <c r="D1429" s="138" t="s">
        <v>4688</v>
      </c>
      <c r="E1429" s="139" t="str">
        <f>HYPERLINK("https://ledvance.com/pt/product-datasheet/170023/101394","Ficha de Produto")</f>
        <v>Ficha de Produto</v>
      </c>
      <c r="F1429" s="62"/>
      <c r="G1429" s="65" t="s">
        <v>1746</v>
      </c>
      <c r="H1429" s="62" t="s">
        <v>5143</v>
      </c>
      <c r="I1429" s="30">
        <v>11.299999999999999</v>
      </c>
      <c r="J1429" s="29" t="s">
        <v>721</v>
      </c>
    </row>
    <row r="1430" spans="1:10" ht="12" customHeight="1">
      <c r="A1430" s="74">
        <v>4058075573215</v>
      </c>
      <c r="B1430" s="61" t="s">
        <v>5932</v>
      </c>
      <c r="C1430" s="62">
        <v>1</v>
      </c>
      <c r="D1430" s="138" t="s">
        <v>4688</v>
      </c>
      <c r="E1430" s="139" t="str">
        <f>HYPERLINK("https://ledvance.com/pt/product-datasheet/170023/101397","Ficha de Produto")</f>
        <v>Ficha de Produto</v>
      </c>
      <c r="F1430" s="62"/>
      <c r="G1430" s="65" t="s">
        <v>5036</v>
      </c>
      <c r="H1430" s="62" t="s">
        <v>5143</v>
      </c>
      <c r="I1430" s="30">
        <v>18.200000000000003</v>
      </c>
      <c r="J1430" s="29" t="s">
        <v>721</v>
      </c>
    </row>
    <row r="1431" spans="1:10" ht="15" customHeight="1">
      <c r="A1431" s="122" t="s">
        <v>4698</v>
      </c>
      <c r="B1431" s="116"/>
      <c r="C1431" s="117"/>
      <c r="D1431" s="118"/>
      <c r="E1431" s="118"/>
      <c r="F1431" s="117"/>
      <c r="G1431" s="119"/>
      <c r="H1431" s="268"/>
      <c r="I1431" s="57"/>
      <c r="J1431" s="58"/>
    </row>
    <row r="1432" spans="1:10" ht="12" customHeight="1">
      <c r="A1432" s="74">
        <v>4058075629387</v>
      </c>
      <c r="B1432" s="61" t="s">
        <v>5933</v>
      </c>
      <c r="C1432" s="62">
        <v>3</v>
      </c>
      <c r="D1432" s="138" t="s">
        <v>4688</v>
      </c>
      <c r="E1432" s="139" t="str">
        <f>HYPERLINK("https://ledvance.com/pt/product-datasheet/170023/156533","Ficha de Produto")</f>
        <v>Ficha de Produto</v>
      </c>
      <c r="F1432" s="62"/>
      <c r="G1432" s="65" t="s">
        <v>5564</v>
      </c>
      <c r="H1432" s="62" t="s">
        <v>4974</v>
      </c>
      <c r="I1432" s="30">
        <v>20.900000000000002</v>
      </c>
      <c r="J1432" s="29" t="s">
        <v>721</v>
      </c>
    </row>
    <row r="1433" spans="1:10" ht="12" customHeight="1">
      <c r="A1433" s="74">
        <v>4058075629400</v>
      </c>
      <c r="B1433" s="61" t="s">
        <v>5934</v>
      </c>
      <c r="C1433" s="62">
        <v>3</v>
      </c>
      <c r="D1433" s="138" t="s">
        <v>4688</v>
      </c>
      <c r="E1433" s="139" t="str">
        <f>HYPERLINK("https://ledvance.com/pt/product-datasheet/170023/156536","Ficha de Produto")</f>
        <v>Ficha de Produto</v>
      </c>
      <c r="F1433" s="62"/>
      <c r="G1433" s="65" t="s">
        <v>1746</v>
      </c>
      <c r="H1433" s="62" t="s">
        <v>4974</v>
      </c>
      <c r="I1433" s="30">
        <v>27.700000000000003</v>
      </c>
      <c r="J1433" s="29" t="s">
        <v>721</v>
      </c>
    </row>
    <row r="1434" spans="1:10" ht="15" customHeight="1">
      <c r="A1434" s="122" t="s">
        <v>4699</v>
      </c>
      <c r="B1434" s="116"/>
      <c r="C1434" s="117"/>
      <c r="D1434" s="118"/>
      <c r="E1434" s="71"/>
      <c r="F1434" s="117"/>
      <c r="G1434" s="119"/>
      <c r="H1434" s="268"/>
      <c r="I1434" s="57"/>
      <c r="J1434" s="58"/>
    </row>
    <row r="1435" spans="1:10" ht="12" customHeight="1">
      <c r="A1435" s="74">
        <v>4058075611313</v>
      </c>
      <c r="B1435" s="61" t="s">
        <v>5935</v>
      </c>
      <c r="C1435" s="62">
        <v>3</v>
      </c>
      <c r="D1435" s="138" t="s">
        <v>4688</v>
      </c>
      <c r="E1435" s="139" t="str">
        <f>HYPERLINK("https://ledvance.com/pt/product-datasheet/170020/150295","Ficha de Produto")</f>
        <v>Ficha de Produto</v>
      </c>
      <c r="F1435" s="62"/>
      <c r="G1435" s="65" t="s">
        <v>5936</v>
      </c>
      <c r="H1435" s="62" t="s">
        <v>4988</v>
      </c>
      <c r="I1435" s="30">
        <v>20.900000000000002</v>
      </c>
      <c r="J1435" s="29" t="s">
        <v>721</v>
      </c>
    </row>
    <row r="1436" spans="1:10" ht="12" customHeight="1">
      <c r="A1436" s="74">
        <v>4058075611290</v>
      </c>
      <c r="B1436" s="61" t="s">
        <v>5937</v>
      </c>
      <c r="C1436" s="62">
        <v>3</v>
      </c>
      <c r="D1436" s="138" t="s">
        <v>4688</v>
      </c>
      <c r="E1436" s="139" t="str">
        <f>HYPERLINK("https://ledvance.com/pt/product-datasheet/170020/150292","Ficha de Produto")</f>
        <v>Ficha de Produto</v>
      </c>
      <c r="F1436" s="62"/>
      <c r="G1436" s="65" t="s">
        <v>5936</v>
      </c>
      <c r="H1436" s="62" t="s">
        <v>4988</v>
      </c>
      <c r="I1436" s="30">
        <v>22.3</v>
      </c>
      <c r="J1436" s="29" t="s">
        <v>721</v>
      </c>
    </row>
    <row r="1437" spans="1:10" ht="15" customHeight="1">
      <c r="A1437" s="122" t="s">
        <v>4700</v>
      </c>
      <c r="B1437" s="116"/>
      <c r="C1437" s="117"/>
      <c r="D1437" s="118"/>
      <c r="E1437" s="71"/>
      <c r="F1437" s="117"/>
      <c r="G1437" s="119"/>
      <c r="H1437" s="268"/>
      <c r="I1437" s="57"/>
      <c r="J1437" s="58"/>
    </row>
    <row r="1438" spans="1:10" ht="12" customHeight="1">
      <c r="A1438" s="74">
        <v>4058075711037</v>
      </c>
      <c r="B1438" s="61" t="s">
        <v>5938</v>
      </c>
      <c r="C1438" s="62">
        <v>5</v>
      </c>
      <c r="D1438" s="138" t="s">
        <v>4688</v>
      </c>
      <c r="E1438" s="139" t="str">
        <f>HYPERLINK("https://ledvance.com/pt/product-datasheet/170020/188459","Ficha de Produto")</f>
        <v>Ficha de Produto</v>
      </c>
      <c r="F1438" s="62"/>
      <c r="G1438" s="65" t="s">
        <v>5936</v>
      </c>
      <c r="H1438" s="62" t="s">
        <v>4988</v>
      </c>
      <c r="I1438" s="30">
        <v>6.5</v>
      </c>
      <c r="J1438" s="29" t="s">
        <v>721</v>
      </c>
    </row>
    <row r="1439" spans="1:10" ht="12" customHeight="1">
      <c r="A1439" s="74">
        <v>4058075711051</v>
      </c>
      <c r="B1439" s="61" t="s">
        <v>5939</v>
      </c>
      <c r="C1439" s="62">
        <v>5</v>
      </c>
      <c r="D1439" s="138" t="s">
        <v>4688</v>
      </c>
      <c r="E1439" s="139" t="str">
        <f>HYPERLINK("https://ledvance.com/pt/product-datasheet/170020/188456","Ficha de Produto")</f>
        <v>Ficha de Produto</v>
      </c>
      <c r="F1439" s="62"/>
      <c r="G1439" s="65" t="s">
        <v>5936</v>
      </c>
      <c r="H1439" s="62" t="s">
        <v>4988</v>
      </c>
      <c r="I1439" s="30">
        <v>7.1999999999999993</v>
      </c>
      <c r="J1439" s="29" t="s">
        <v>721</v>
      </c>
    </row>
    <row r="1440" spans="1:10" ht="15" customHeight="1">
      <c r="A1440" s="122" t="s">
        <v>4701</v>
      </c>
      <c r="B1440" s="116"/>
      <c r="C1440" s="117"/>
      <c r="D1440" s="118"/>
      <c r="E1440" s="71"/>
      <c r="F1440" s="117"/>
      <c r="G1440" s="119"/>
      <c r="H1440" s="268"/>
      <c r="I1440" s="57"/>
      <c r="J1440" s="58"/>
    </row>
    <row r="1441" spans="1:10" ht="12" customHeight="1">
      <c r="A1441" s="74">
        <v>4058075572997</v>
      </c>
      <c r="B1441" s="61" t="s">
        <v>5940</v>
      </c>
      <c r="C1441" s="62">
        <v>1</v>
      </c>
      <c r="D1441" s="138" t="s">
        <v>4688</v>
      </c>
      <c r="E1441" s="139" t="str">
        <f>HYPERLINK("https://ledvance.com/pt/product-datasheet/170021/122577","Ficha de Produto")</f>
        <v>Ficha de Produto</v>
      </c>
      <c r="F1441" s="62"/>
      <c r="G1441" s="65" t="s">
        <v>4987</v>
      </c>
      <c r="H1441" s="62" t="s">
        <v>4988</v>
      </c>
      <c r="I1441" s="30">
        <v>14.1</v>
      </c>
      <c r="J1441" s="29" t="s">
        <v>721</v>
      </c>
    </row>
    <row r="1442" spans="1:10" ht="12" customHeight="1">
      <c r="A1442" s="74">
        <v>4058075573017</v>
      </c>
      <c r="B1442" s="61" t="s">
        <v>5941</v>
      </c>
      <c r="C1442" s="62">
        <v>1</v>
      </c>
      <c r="D1442" s="138" t="s">
        <v>4688</v>
      </c>
      <c r="E1442" s="139" t="str">
        <f>HYPERLINK("https://ledvance.com/pt/product-datasheet/170021/122580","Ficha de Produto")</f>
        <v>Ficha de Produto</v>
      </c>
      <c r="F1442" s="62"/>
      <c r="G1442" s="65" t="s">
        <v>4987</v>
      </c>
      <c r="H1442" s="62" t="s">
        <v>4988</v>
      </c>
      <c r="I1442" s="30">
        <v>16</v>
      </c>
      <c r="J1442" s="29" t="s">
        <v>721</v>
      </c>
    </row>
    <row r="1443" spans="1:10" ht="15" customHeight="1">
      <c r="A1443" s="122" t="s">
        <v>4702</v>
      </c>
      <c r="B1443" s="116"/>
      <c r="C1443" s="117"/>
      <c r="D1443" s="118"/>
      <c r="E1443" s="118"/>
      <c r="F1443" s="117"/>
      <c r="G1443" s="119"/>
      <c r="H1443" s="268"/>
      <c r="I1443" s="57"/>
      <c r="J1443" s="58"/>
    </row>
    <row r="1444" spans="1:10" ht="12" customHeight="1">
      <c r="A1444" s="74">
        <v>4058075617766</v>
      </c>
      <c r="B1444" s="61" t="s">
        <v>5942</v>
      </c>
      <c r="C1444" s="62">
        <v>3</v>
      </c>
      <c r="D1444" s="138" t="s">
        <v>4688</v>
      </c>
      <c r="E1444" s="139" t="str">
        <f>HYPERLINK("https://ledvance.com/pt/product-datasheet/9254/154014","Ficha de Produto")</f>
        <v>Ficha de Produto</v>
      </c>
      <c r="F1444" s="62"/>
      <c r="G1444" s="65" t="s">
        <v>5692</v>
      </c>
      <c r="H1444" s="62" t="s">
        <v>4988</v>
      </c>
      <c r="I1444" s="30">
        <v>57.9</v>
      </c>
      <c r="J1444" s="29" t="s">
        <v>721</v>
      </c>
    </row>
    <row r="1445" spans="1:10" ht="12" customHeight="1">
      <c r="A1445" s="74">
        <v>4058075617780</v>
      </c>
      <c r="B1445" s="61" t="s">
        <v>5943</v>
      </c>
      <c r="C1445" s="62">
        <v>3</v>
      </c>
      <c r="D1445" s="138" t="s">
        <v>4688</v>
      </c>
      <c r="E1445" s="139" t="str">
        <f>HYPERLINK("https://ledvance.com/pt/product-datasheet/9254/154017","Ficha de Produto")</f>
        <v>Ficha de Produto</v>
      </c>
      <c r="F1445" s="62"/>
      <c r="G1445" s="65" t="s">
        <v>5692</v>
      </c>
      <c r="H1445" s="62" t="s">
        <v>4988</v>
      </c>
      <c r="I1445" s="30">
        <v>55</v>
      </c>
      <c r="J1445" s="29" t="s">
        <v>721</v>
      </c>
    </row>
    <row r="1446" spans="1:10" ht="15" customHeight="1">
      <c r="A1446" s="122" t="s">
        <v>4703</v>
      </c>
      <c r="B1446" s="116"/>
      <c r="C1446" s="117"/>
      <c r="D1446" s="118"/>
      <c r="E1446" s="118"/>
      <c r="F1446" s="117"/>
      <c r="G1446" s="119"/>
      <c r="H1446" s="268"/>
      <c r="I1446" s="57"/>
      <c r="J1446" s="58"/>
    </row>
    <row r="1447" spans="1:10" ht="12" customHeight="1">
      <c r="A1447" s="83">
        <v>4099854089022</v>
      </c>
      <c r="B1447" s="61" t="s">
        <v>5944</v>
      </c>
      <c r="C1447" s="62">
        <v>1</v>
      </c>
      <c r="D1447" s="138" t="s">
        <v>4688</v>
      </c>
      <c r="E1447" s="139" t="str">
        <f>HYPERLINK("https://ledvance.com/pt/product-datasheet/260265/246408","Ficha de Produto")</f>
        <v>Ficha de Produto</v>
      </c>
      <c r="F1447" s="94" t="s">
        <v>4183</v>
      </c>
      <c r="G1447" s="65" t="s">
        <v>5057</v>
      </c>
      <c r="H1447" s="62" t="s">
        <v>4974</v>
      </c>
      <c r="I1447" s="30">
        <v>27.700000000000003</v>
      </c>
      <c r="J1447" s="29" t="s">
        <v>721</v>
      </c>
    </row>
    <row r="1448" spans="1:10" ht="12" customHeight="1">
      <c r="A1448" s="83">
        <v>4099854089046</v>
      </c>
      <c r="B1448" s="61" t="s">
        <v>5945</v>
      </c>
      <c r="C1448" s="62">
        <v>1</v>
      </c>
      <c r="D1448" s="138" t="s">
        <v>4688</v>
      </c>
      <c r="E1448" s="139" t="str">
        <f>HYPERLINK("https://ledvance.com/pt/product-datasheet/260265/246411","Ficha de Produto")</f>
        <v>Ficha de Produto</v>
      </c>
      <c r="F1448" s="94" t="s">
        <v>4183</v>
      </c>
      <c r="G1448" s="65" t="s">
        <v>5057</v>
      </c>
      <c r="H1448" s="62" t="s">
        <v>4974</v>
      </c>
      <c r="I1448" s="30">
        <v>27.700000000000003</v>
      </c>
      <c r="J1448" s="29" t="s">
        <v>721</v>
      </c>
    </row>
    <row r="1449" spans="1:10" ht="12" customHeight="1">
      <c r="A1449" s="83">
        <v>4099854089060</v>
      </c>
      <c r="B1449" s="61" t="s">
        <v>5946</v>
      </c>
      <c r="C1449" s="62">
        <v>1</v>
      </c>
      <c r="D1449" s="138" t="s">
        <v>4688</v>
      </c>
      <c r="E1449" s="139" t="str">
        <f>HYPERLINK("https://ledvance.com/pt/product-datasheet/260265/246414","Ficha de Produto")</f>
        <v>Ficha de Produto</v>
      </c>
      <c r="F1449" s="94" t="s">
        <v>4183</v>
      </c>
      <c r="G1449" s="65" t="s">
        <v>5057</v>
      </c>
      <c r="H1449" s="62" t="s">
        <v>4974</v>
      </c>
      <c r="I1449" s="30">
        <v>27.700000000000003</v>
      </c>
      <c r="J1449" s="29" t="s">
        <v>721</v>
      </c>
    </row>
    <row r="1450" spans="1:10" ht="12" customHeight="1">
      <c r="A1450" s="83">
        <v>4099854089084</v>
      </c>
      <c r="B1450" s="61" t="s">
        <v>5947</v>
      </c>
      <c r="C1450" s="62">
        <v>1</v>
      </c>
      <c r="D1450" s="138" t="s">
        <v>4688</v>
      </c>
      <c r="E1450" s="139" t="str">
        <f>HYPERLINK("https://ledvance.com/pt/product-datasheet/260265/246417","Ficha de Produto")</f>
        <v>Ficha de Produto</v>
      </c>
      <c r="F1450" s="94" t="s">
        <v>4183</v>
      </c>
      <c r="G1450" s="65" t="s">
        <v>5057</v>
      </c>
      <c r="H1450" s="62" t="s">
        <v>4992</v>
      </c>
      <c r="I1450" s="30">
        <v>27.700000000000003</v>
      </c>
      <c r="J1450" s="29" t="s">
        <v>721</v>
      </c>
    </row>
    <row r="1451" spans="1:10" ht="12" customHeight="1">
      <c r="A1451" s="83">
        <v>4099854089107</v>
      </c>
      <c r="B1451" s="61" t="s">
        <v>5948</v>
      </c>
      <c r="C1451" s="62">
        <v>1</v>
      </c>
      <c r="D1451" s="138" t="s">
        <v>4688</v>
      </c>
      <c r="E1451" s="139" t="str">
        <f>HYPERLINK("https://ledvance.com/pt/product-datasheet/260265/246420","Ficha de Produto")</f>
        <v>Ficha de Produto</v>
      </c>
      <c r="F1451" s="94" t="s">
        <v>4183</v>
      </c>
      <c r="G1451" s="65" t="s">
        <v>5057</v>
      </c>
      <c r="H1451" s="62" t="s">
        <v>4992</v>
      </c>
      <c r="I1451" s="30">
        <v>27.700000000000003</v>
      </c>
      <c r="J1451" s="29" t="s">
        <v>721</v>
      </c>
    </row>
    <row r="1452" spans="1:10" ht="12" customHeight="1">
      <c r="A1452" s="83">
        <v>4099854089121</v>
      </c>
      <c r="B1452" s="61" t="s">
        <v>5949</v>
      </c>
      <c r="C1452" s="62">
        <v>1</v>
      </c>
      <c r="D1452" s="138" t="s">
        <v>4688</v>
      </c>
      <c r="E1452" s="139" t="str">
        <f>HYPERLINK("https://ledvance.com/pt/product-datasheet/260265/246423","Ficha de Produto")</f>
        <v>Ficha de Produto</v>
      </c>
      <c r="F1452" s="94" t="s">
        <v>4183</v>
      </c>
      <c r="G1452" s="65" t="s">
        <v>5057</v>
      </c>
      <c r="H1452" s="62" t="s">
        <v>4992</v>
      </c>
      <c r="I1452" s="30">
        <v>27.700000000000003</v>
      </c>
      <c r="J1452" s="29" t="s">
        <v>721</v>
      </c>
    </row>
    <row r="1453" spans="1:10" ht="12" customHeight="1">
      <c r="A1453" s="83">
        <v>4099854089145</v>
      </c>
      <c r="B1453" s="61" t="s">
        <v>5950</v>
      </c>
      <c r="C1453" s="62">
        <v>1</v>
      </c>
      <c r="D1453" s="138" t="s">
        <v>4688</v>
      </c>
      <c r="E1453" s="139" t="str">
        <f>HYPERLINK("https://ledvance.com/pt/product-datasheet/260265/246426","Ficha de Produto")</f>
        <v>Ficha de Produto</v>
      </c>
      <c r="F1453" s="94" t="s">
        <v>4183</v>
      </c>
      <c r="G1453" s="65" t="s">
        <v>5005</v>
      </c>
      <c r="H1453" s="62" t="s">
        <v>4974</v>
      </c>
      <c r="I1453" s="30">
        <v>31.8</v>
      </c>
      <c r="J1453" s="29" t="s">
        <v>721</v>
      </c>
    </row>
    <row r="1454" spans="1:10" ht="12" customHeight="1">
      <c r="A1454" s="83">
        <v>4099854089169</v>
      </c>
      <c r="B1454" s="61" t="s">
        <v>5951</v>
      </c>
      <c r="C1454" s="62">
        <v>1</v>
      </c>
      <c r="D1454" s="138" t="s">
        <v>4688</v>
      </c>
      <c r="E1454" s="139" t="str">
        <f>HYPERLINK("https://ledvance.com/pt/product-datasheet/260265/246429","Ficha de Produto")</f>
        <v>Ficha de Produto</v>
      </c>
      <c r="F1454" s="94" t="s">
        <v>4183</v>
      </c>
      <c r="G1454" s="65" t="s">
        <v>5005</v>
      </c>
      <c r="H1454" s="62" t="s">
        <v>4974</v>
      </c>
      <c r="I1454" s="30">
        <v>31.8</v>
      </c>
      <c r="J1454" s="29" t="s">
        <v>721</v>
      </c>
    </row>
    <row r="1455" spans="1:10" ht="12" customHeight="1">
      <c r="A1455" s="83">
        <v>4099854089183</v>
      </c>
      <c r="B1455" s="61" t="s">
        <v>5952</v>
      </c>
      <c r="C1455" s="62">
        <v>1</v>
      </c>
      <c r="D1455" s="138" t="s">
        <v>4688</v>
      </c>
      <c r="E1455" s="139" t="str">
        <f>HYPERLINK("https://ledvance.com/pt/product-datasheet/260265/246432","Ficha de Produto")</f>
        <v>Ficha de Produto</v>
      </c>
      <c r="F1455" s="94" t="s">
        <v>4183</v>
      </c>
      <c r="G1455" s="65" t="s">
        <v>5005</v>
      </c>
      <c r="H1455" s="62" t="s">
        <v>4974</v>
      </c>
      <c r="I1455" s="30">
        <v>31.8</v>
      </c>
      <c r="J1455" s="29" t="s">
        <v>721</v>
      </c>
    </row>
    <row r="1456" spans="1:10" ht="12" customHeight="1">
      <c r="A1456" s="83">
        <v>4099854089206</v>
      </c>
      <c r="B1456" s="61" t="s">
        <v>5953</v>
      </c>
      <c r="C1456" s="62">
        <v>1</v>
      </c>
      <c r="D1456" s="138" t="s">
        <v>4688</v>
      </c>
      <c r="E1456" s="139" t="str">
        <f>HYPERLINK("https://ledvance.com/pt/product-datasheet/260265/246435","Ficha de Produto")</f>
        <v>Ficha de Produto</v>
      </c>
      <c r="F1456" s="94" t="s">
        <v>4183</v>
      </c>
      <c r="G1456" s="65" t="s">
        <v>5005</v>
      </c>
      <c r="H1456" s="62" t="s">
        <v>4992</v>
      </c>
      <c r="I1456" s="30">
        <v>31.8</v>
      </c>
      <c r="J1456" s="29" t="s">
        <v>721</v>
      </c>
    </row>
    <row r="1457" spans="1:10" ht="12" customHeight="1">
      <c r="A1457" s="83">
        <v>4099854089220</v>
      </c>
      <c r="B1457" s="61" t="s">
        <v>5954</v>
      </c>
      <c r="C1457" s="62">
        <v>1</v>
      </c>
      <c r="D1457" s="138" t="s">
        <v>4688</v>
      </c>
      <c r="E1457" s="139" t="str">
        <f>HYPERLINK("https://ledvance.com/pt/product-datasheet/260265/246438","Ficha de Produto")</f>
        <v>Ficha de Produto</v>
      </c>
      <c r="F1457" s="94" t="s">
        <v>4183</v>
      </c>
      <c r="G1457" s="65" t="s">
        <v>5005</v>
      </c>
      <c r="H1457" s="62" t="s">
        <v>4992</v>
      </c>
      <c r="I1457" s="30">
        <v>31.8</v>
      </c>
      <c r="J1457" s="29" t="s">
        <v>721</v>
      </c>
    </row>
    <row r="1458" spans="1:10" ht="12" customHeight="1">
      <c r="A1458" s="83">
        <v>4099854089268</v>
      </c>
      <c r="B1458" s="61" t="s">
        <v>5955</v>
      </c>
      <c r="C1458" s="62">
        <v>1</v>
      </c>
      <c r="D1458" s="138" t="s">
        <v>4688</v>
      </c>
      <c r="E1458" s="139" t="str">
        <f>HYPERLINK("https://ledvance.com/pt/product-datasheet/260265/246441","Ficha de Produto")</f>
        <v>Ficha de Produto</v>
      </c>
      <c r="F1458" s="94" t="s">
        <v>4183</v>
      </c>
      <c r="G1458" s="65" t="s">
        <v>5005</v>
      </c>
      <c r="H1458" s="62" t="s">
        <v>4992</v>
      </c>
      <c r="I1458" s="30">
        <v>31.8</v>
      </c>
      <c r="J1458" s="29" t="s">
        <v>721</v>
      </c>
    </row>
    <row r="1459" spans="1:10" ht="15" customHeight="1">
      <c r="A1459" s="123" t="s">
        <v>4704</v>
      </c>
      <c r="B1459" s="116"/>
      <c r="C1459" s="117"/>
      <c r="D1459" s="124"/>
      <c r="E1459" s="71"/>
      <c r="F1459" s="117"/>
      <c r="G1459" s="119"/>
      <c r="H1459" s="268"/>
      <c r="I1459" s="57"/>
      <c r="J1459" s="58"/>
    </row>
    <row r="1460" spans="1:10" ht="15" customHeight="1">
      <c r="A1460" s="122" t="s">
        <v>4705</v>
      </c>
      <c r="B1460" s="116"/>
      <c r="C1460" s="117"/>
      <c r="D1460" s="118"/>
      <c r="E1460" s="118"/>
      <c r="F1460" s="117"/>
      <c r="G1460" s="119"/>
      <c r="H1460" s="268"/>
      <c r="I1460" s="57"/>
      <c r="J1460" s="58"/>
    </row>
    <row r="1461" spans="1:10" ht="12" customHeight="1">
      <c r="A1461" s="140">
        <v>4099854103605</v>
      </c>
      <c r="B1461" s="61" t="s">
        <v>5956</v>
      </c>
      <c r="C1461" s="62">
        <v>3</v>
      </c>
      <c r="D1461" s="138" t="s">
        <v>4688</v>
      </c>
      <c r="E1461" s="139" t="str">
        <f>HYPERLINK("https://ledvance.com/pt/product-datasheet/254524/250404","Ficha de Produto")</f>
        <v>Ficha de Produto</v>
      </c>
      <c r="F1461" s="94" t="s">
        <v>4183</v>
      </c>
      <c r="G1461" s="65" t="s">
        <v>5936</v>
      </c>
      <c r="H1461" s="62" t="s">
        <v>4988</v>
      </c>
      <c r="I1461" s="30">
        <v>8.7999999999999989</v>
      </c>
      <c r="J1461" s="29" t="s">
        <v>721</v>
      </c>
    </row>
    <row r="1462" spans="1:10" ht="12" customHeight="1">
      <c r="A1462" s="140">
        <v>4099854103629</v>
      </c>
      <c r="B1462" s="61" t="s">
        <v>5957</v>
      </c>
      <c r="C1462" s="62">
        <v>3</v>
      </c>
      <c r="D1462" s="138" t="s">
        <v>4688</v>
      </c>
      <c r="E1462" s="139" t="str">
        <f>HYPERLINK("https://ledvance.com/pt/product-datasheet/254524/250410","Ficha de Produto")</f>
        <v>Ficha de Produto</v>
      </c>
      <c r="F1462" s="94" t="s">
        <v>4183</v>
      </c>
      <c r="G1462" s="65" t="s">
        <v>5936</v>
      </c>
      <c r="H1462" s="62" t="s">
        <v>4988</v>
      </c>
      <c r="I1462" s="30">
        <v>8.7999999999999989</v>
      </c>
      <c r="J1462" s="29" t="s">
        <v>721</v>
      </c>
    </row>
    <row r="1463" spans="1:10" ht="12" customHeight="1">
      <c r="A1463" s="140">
        <v>4099854103643</v>
      </c>
      <c r="B1463" s="61" t="s">
        <v>5958</v>
      </c>
      <c r="C1463" s="62">
        <v>5</v>
      </c>
      <c r="D1463" s="138" t="s">
        <v>4688</v>
      </c>
      <c r="E1463" s="139" t="str">
        <f>HYPERLINK("https://ledvance.com/pt/product-datasheet/254524/250407","Ficha de Produto")</f>
        <v>Ficha de Produto</v>
      </c>
      <c r="F1463" s="94" t="s">
        <v>4183</v>
      </c>
      <c r="G1463" s="65" t="s">
        <v>5936</v>
      </c>
      <c r="H1463" s="62" t="s">
        <v>4988</v>
      </c>
      <c r="I1463" s="30">
        <v>9.1</v>
      </c>
      <c r="J1463" s="29" t="s">
        <v>721</v>
      </c>
    </row>
    <row r="1464" spans="1:10" ht="12" customHeight="1">
      <c r="A1464" s="140">
        <v>4099854103667</v>
      </c>
      <c r="B1464" s="61" t="s">
        <v>5959</v>
      </c>
      <c r="C1464" s="62">
        <v>5</v>
      </c>
      <c r="D1464" s="138" t="s">
        <v>4688</v>
      </c>
      <c r="E1464" s="139" t="str">
        <f>HYPERLINK("https://ledvance.com/pt/product-datasheet/254524/250413","Ficha de Produto")</f>
        <v>Ficha de Produto</v>
      </c>
      <c r="F1464" s="94" t="s">
        <v>4183</v>
      </c>
      <c r="G1464" s="65" t="s">
        <v>5936</v>
      </c>
      <c r="H1464" s="62" t="s">
        <v>4988</v>
      </c>
      <c r="I1464" s="30">
        <v>9.1</v>
      </c>
      <c r="J1464" s="29" t="s">
        <v>721</v>
      </c>
    </row>
    <row r="1465" spans="1:10" ht="15" customHeight="1">
      <c r="A1465" s="120" t="s">
        <v>4706</v>
      </c>
      <c r="B1465" s="116"/>
      <c r="C1465" s="117"/>
      <c r="D1465" s="121"/>
      <c r="E1465" s="78"/>
      <c r="F1465" s="117"/>
      <c r="G1465" s="119"/>
      <c r="H1465" s="268"/>
      <c r="I1465" s="57"/>
      <c r="J1465" s="58"/>
    </row>
    <row r="1466" spans="1:10" ht="15" customHeight="1">
      <c r="A1466" s="120" t="s">
        <v>4707</v>
      </c>
      <c r="B1466" s="116"/>
      <c r="C1466" s="117"/>
      <c r="D1466" s="121"/>
      <c r="E1466" s="121"/>
      <c r="F1466" s="117"/>
      <c r="G1466" s="119"/>
      <c r="H1466" s="268"/>
      <c r="I1466" s="57"/>
      <c r="J1466" s="58"/>
    </row>
    <row r="1467" spans="1:10" ht="15" customHeight="1">
      <c r="A1467" s="137" t="s">
        <v>4708</v>
      </c>
      <c r="B1467" s="116"/>
      <c r="C1467" s="117"/>
      <c r="D1467" s="136"/>
      <c r="E1467" s="136"/>
      <c r="F1467" s="117"/>
      <c r="G1467" s="119"/>
      <c r="H1467" s="268"/>
      <c r="I1467" s="57"/>
      <c r="J1467" s="58"/>
    </row>
    <row r="1468" spans="1:10" ht="15" customHeight="1">
      <c r="A1468" s="137" t="s">
        <v>4709</v>
      </c>
      <c r="B1468" s="116"/>
      <c r="C1468" s="117"/>
      <c r="D1468" s="136"/>
      <c r="E1468" s="136"/>
      <c r="F1468" s="117"/>
      <c r="G1468" s="119"/>
      <c r="H1468" s="268"/>
      <c r="I1468" s="57"/>
      <c r="J1468" s="58"/>
    </row>
    <row r="1469" spans="1:10" ht="12" customHeight="1">
      <c r="A1469" s="74">
        <v>4058075763401</v>
      </c>
      <c r="B1469" s="61" t="s">
        <v>5960</v>
      </c>
      <c r="C1469" s="62">
        <v>1</v>
      </c>
      <c r="D1469" s="138" t="s">
        <v>4710</v>
      </c>
      <c r="E1469" s="139" t="str">
        <f>HYPERLINK("https://ledvance.com/pt/product-datasheet/232998/210624","Ficha de Produto")</f>
        <v>Ficha de Produto</v>
      </c>
      <c r="F1469" s="62"/>
      <c r="G1469" s="65" t="s">
        <v>4934</v>
      </c>
      <c r="H1469" s="62" t="s">
        <v>4974</v>
      </c>
      <c r="I1469" s="30">
        <v>178</v>
      </c>
      <c r="J1469" s="29" t="s">
        <v>721</v>
      </c>
    </row>
    <row r="1470" spans="1:10" ht="15" customHeight="1">
      <c r="A1470" s="137" t="s">
        <v>4711</v>
      </c>
      <c r="B1470" s="116"/>
      <c r="C1470" s="117"/>
      <c r="D1470" s="136"/>
      <c r="E1470" s="78"/>
      <c r="F1470" s="117"/>
      <c r="G1470" s="119"/>
      <c r="H1470" s="268"/>
      <c r="I1470" s="57"/>
      <c r="J1470" s="58"/>
    </row>
    <row r="1471" spans="1:10" ht="12" customHeight="1">
      <c r="A1471" s="74">
        <v>4058075763425</v>
      </c>
      <c r="B1471" s="61" t="s">
        <v>5961</v>
      </c>
      <c r="C1471" s="62">
        <v>1</v>
      </c>
      <c r="D1471" s="138" t="s">
        <v>4710</v>
      </c>
      <c r="E1471" s="139" t="str">
        <f>HYPERLINK("https://ledvance.com/pt/product-datasheet/232997/210628","Ficha de Produto")</f>
        <v>Ficha de Produto</v>
      </c>
      <c r="F1471" s="62"/>
      <c r="G1471" s="65" t="s">
        <v>4963</v>
      </c>
      <c r="H1471" s="62" t="s">
        <v>4963</v>
      </c>
      <c r="I1471" s="30">
        <v>273.60000000000002</v>
      </c>
      <c r="J1471" s="29" t="s">
        <v>721</v>
      </c>
    </row>
    <row r="1472" spans="1:10" ht="15" customHeight="1">
      <c r="A1472" s="137" t="s">
        <v>4712</v>
      </c>
      <c r="B1472" s="116"/>
      <c r="C1472" s="117"/>
      <c r="D1472" s="136"/>
      <c r="E1472" s="78"/>
      <c r="F1472" s="117"/>
      <c r="G1472" s="119"/>
      <c r="H1472" s="268"/>
      <c r="I1472" s="57"/>
      <c r="J1472" s="58"/>
    </row>
    <row r="1473" spans="1:10" ht="12" customHeight="1">
      <c r="A1473" s="74">
        <v>4058075763487</v>
      </c>
      <c r="B1473" s="61" t="s">
        <v>5962</v>
      </c>
      <c r="C1473" s="62">
        <v>1</v>
      </c>
      <c r="D1473" s="138" t="s">
        <v>4710</v>
      </c>
      <c r="E1473" s="139" t="str">
        <f>HYPERLINK("https://ledvance.com/pt/product-datasheet/233001/210673","Ficha de Produto")</f>
        <v>Ficha de Produto</v>
      </c>
      <c r="F1473" s="62"/>
      <c r="G1473" s="65" t="s">
        <v>4994</v>
      </c>
      <c r="H1473" s="62" t="s">
        <v>4974</v>
      </c>
      <c r="I1473" s="30">
        <v>273.60000000000002</v>
      </c>
      <c r="J1473" s="29" t="s">
        <v>721</v>
      </c>
    </row>
    <row r="1474" spans="1:10" ht="15" customHeight="1">
      <c r="A1474" s="137" t="s">
        <v>4713</v>
      </c>
      <c r="B1474" s="116"/>
      <c r="C1474" s="117"/>
      <c r="D1474" s="136"/>
      <c r="E1474" s="136"/>
      <c r="F1474" s="117"/>
      <c r="G1474" s="119"/>
      <c r="H1474" s="268"/>
      <c r="I1474" s="57"/>
      <c r="J1474" s="58"/>
    </row>
    <row r="1475" spans="1:10" ht="12" customHeight="1">
      <c r="A1475" s="74">
        <v>4058075763500</v>
      </c>
      <c r="B1475" s="61" t="s">
        <v>5963</v>
      </c>
      <c r="C1475" s="62">
        <v>1</v>
      </c>
      <c r="D1475" s="138" t="s">
        <v>4710</v>
      </c>
      <c r="E1475" s="139" t="str">
        <f>HYPERLINK("https://ledvance.com/pt/product-datasheet/233002/210676","Ficha de Produto")</f>
        <v>Ficha de Produto</v>
      </c>
      <c r="F1475" s="62"/>
      <c r="G1475" s="65" t="s">
        <v>5036</v>
      </c>
      <c r="H1475" s="62" t="s">
        <v>4974</v>
      </c>
      <c r="I1475" s="30">
        <v>273.60000000000002</v>
      </c>
      <c r="J1475" s="29" t="s">
        <v>721</v>
      </c>
    </row>
    <row r="1476" spans="1:10" ht="15" customHeight="1">
      <c r="A1476" s="137" t="s">
        <v>4714</v>
      </c>
      <c r="B1476" s="116"/>
      <c r="C1476" s="117"/>
      <c r="D1476" s="136"/>
      <c r="E1476" s="136"/>
      <c r="F1476" s="117"/>
      <c r="G1476" s="119"/>
      <c r="H1476" s="268"/>
      <c r="I1476" s="57"/>
      <c r="J1476" s="58"/>
    </row>
    <row r="1477" spans="1:10" ht="12" customHeight="1">
      <c r="A1477" s="74">
        <v>4058075763524</v>
      </c>
      <c r="B1477" s="61" t="s">
        <v>5964</v>
      </c>
      <c r="C1477" s="62">
        <v>1</v>
      </c>
      <c r="D1477" s="138" t="s">
        <v>4710</v>
      </c>
      <c r="E1477" s="139" t="str">
        <f>HYPERLINK("https://ledvance.com/pt/product-datasheet/233003/210679","Ficha de Produto")</f>
        <v>Ficha de Produto</v>
      </c>
      <c r="F1477" s="62"/>
      <c r="G1477" s="65" t="s">
        <v>5036</v>
      </c>
      <c r="H1477" s="62" t="s">
        <v>4974</v>
      </c>
      <c r="I1477" s="30">
        <v>246.2</v>
      </c>
      <c r="J1477" s="29" t="s">
        <v>721</v>
      </c>
    </row>
    <row r="1478" spans="1:10" ht="15" customHeight="1">
      <c r="A1478" s="137" t="s">
        <v>4715</v>
      </c>
      <c r="B1478" s="116"/>
      <c r="C1478" s="117"/>
      <c r="D1478" s="136"/>
      <c r="E1478" s="136"/>
      <c r="F1478" s="117"/>
      <c r="G1478" s="119"/>
      <c r="H1478" s="268"/>
      <c r="I1478" s="57"/>
      <c r="J1478" s="58"/>
    </row>
    <row r="1479" spans="1:10" ht="12" customHeight="1">
      <c r="A1479" s="74">
        <v>4058075564480</v>
      </c>
      <c r="B1479" s="61" t="s">
        <v>5965</v>
      </c>
      <c r="C1479" s="62">
        <v>1</v>
      </c>
      <c r="D1479" s="138" t="s">
        <v>4710</v>
      </c>
      <c r="E1479" s="139" t="str">
        <f>HYPERLINK("https://ledvance.com/pt/product-datasheet/169476/30542","Ficha de Produto")</f>
        <v>Ficha de Produto</v>
      </c>
      <c r="F1479" s="62"/>
      <c r="G1479" s="65" t="s">
        <v>4934</v>
      </c>
      <c r="H1479" s="62" t="s">
        <v>4974</v>
      </c>
      <c r="I1479" s="30">
        <v>178</v>
      </c>
      <c r="J1479" s="29" t="s">
        <v>721</v>
      </c>
    </row>
    <row r="1480" spans="1:10" ht="15" customHeight="1">
      <c r="A1480" s="137" t="s">
        <v>4716</v>
      </c>
      <c r="B1480" s="116"/>
      <c r="C1480" s="117"/>
      <c r="D1480" s="136"/>
      <c r="E1480" s="136"/>
      <c r="F1480" s="117"/>
      <c r="G1480" s="119"/>
      <c r="H1480" s="268"/>
      <c r="I1480" s="57"/>
      <c r="J1480" s="58"/>
    </row>
    <row r="1481" spans="1:10" ht="12" customHeight="1">
      <c r="A1481" s="74">
        <v>4058075564602</v>
      </c>
      <c r="B1481" s="61" t="s">
        <v>5966</v>
      </c>
      <c r="C1481" s="62">
        <v>1</v>
      </c>
      <c r="D1481" s="138" t="s">
        <v>4710</v>
      </c>
      <c r="E1481" s="139" t="str">
        <f>HYPERLINK("https://ledvance.com/pt/product-datasheet/169477/30545","Ficha de Produto")</f>
        <v>Ficha de Produto</v>
      </c>
      <c r="F1481" s="62"/>
      <c r="G1481" s="65" t="s">
        <v>4994</v>
      </c>
      <c r="H1481" s="62" t="s">
        <v>4974</v>
      </c>
      <c r="I1481" s="30">
        <v>205.29999999999998</v>
      </c>
      <c r="J1481" s="29" t="s">
        <v>721</v>
      </c>
    </row>
    <row r="1482" spans="1:10" ht="15" customHeight="1">
      <c r="A1482" s="137" t="s">
        <v>4717</v>
      </c>
      <c r="B1482" s="116"/>
      <c r="C1482" s="117"/>
      <c r="D1482" s="136"/>
      <c r="E1482" s="78"/>
      <c r="F1482" s="117"/>
      <c r="G1482" s="119"/>
      <c r="H1482" s="268"/>
      <c r="I1482" s="57"/>
      <c r="J1482" s="58"/>
    </row>
    <row r="1483" spans="1:10" ht="12" customHeight="1">
      <c r="A1483" s="74">
        <v>4058075564626</v>
      </c>
      <c r="B1483" s="61" t="s">
        <v>5967</v>
      </c>
      <c r="C1483" s="62">
        <v>1</v>
      </c>
      <c r="D1483" s="138" t="s">
        <v>4710</v>
      </c>
      <c r="E1483" s="139" t="str">
        <f>HYPERLINK("https://ledvance.com/pt/product-datasheet/169479/30548","Ficha de Produto")</f>
        <v>Ficha de Produto</v>
      </c>
      <c r="F1483" s="62"/>
      <c r="G1483" s="65" t="s">
        <v>5038</v>
      </c>
      <c r="H1483" s="62" t="s">
        <v>4974</v>
      </c>
      <c r="I1483" s="30">
        <v>232.6</v>
      </c>
      <c r="J1483" s="29" t="s">
        <v>721</v>
      </c>
    </row>
    <row r="1484" spans="1:10" ht="15" customHeight="1">
      <c r="A1484" s="120" t="s">
        <v>4718</v>
      </c>
      <c r="B1484" s="116"/>
      <c r="C1484" s="117"/>
      <c r="D1484" s="121"/>
      <c r="E1484" s="121"/>
      <c r="F1484" s="117"/>
      <c r="G1484" s="119"/>
      <c r="H1484" s="268"/>
      <c r="I1484" s="57"/>
      <c r="J1484" s="58"/>
    </row>
    <row r="1485" spans="1:10" ht="15" customHeight="1">
      <c r="A1485" s="120" t="s">
        <v>4719</v>
      </c>
      <c r="B1485" s="116"/>
      <c r="C1485" s="117"/>
      <c r="D1485" s="121"/>
      <c r="E1485" s="78"/>
      <c r="F1485" s="117"/>
      <c r="G1485" s="119"/>
      <c r="H1485" s="268"/>
      <c r="I1485" s="57"/>
      <c r="J1485" s="58"/>
    </row>
    <row r="1486" spans="1:10" ht="15" customHeight="1">
      <c r="A1486" s="120" t="s">
        <v>4720</v>
      </c>
      <c r="B1486" s="116"/>
      <c r="C1486" s="141"/>
      <c r="D1486" s="121"/>
      <c r="E1486" s="121"/>
      <c r="F1486" s="141"/>
      <c r="G1486" s="119"/>
      <c r="H1486" s="268"/>
      <c r="I1486" s="57"/>
      <c r="J1486" s="58"/>
    </row>
    <row r="1487" spans="1:10" ht="15" customHeight="1">
      <c r="A1487" s="137" t="s">
        <v>4721</v>
      </c>
      <c r="B1487" s="116"/>
      <c r="C1487" s="141"/>
      <c r="D1487" s="136"/>
      <c r="E1487" s="136"/>
      <c r="F1487" s="141"/>
      <c r="G1487" s="119"/>
      <c r="H1487" s="268"/>
      <c r="I1487" s="57"/>
      <c r="J1487" s="58"/>
    </row>
    <row r="1488" spans="1:10" ht="12" customHeight="1">
      <c r="A1488" s="60">
        <v>4058075244771</v>
      </c>
      <c r="B1488" s="61" t="s">
        <v>5968</v>
      </c>
      <c r="C1488" s="62">
        <v>1</v>
      </c>
      <c r="D1488" s="138" t="s">
        <v>4710</v>
      </c>
      <c r="E1488" s="139" t="str">
        <f>HYPERLINK("https://ledvance.com/pt/product-datasheet/9519/121124","Ficha de Produto")</f>
        <v>Ficha de Produto</v>
      </c>
      <c r="F1488" s="62"/>
      <c r="G1488" s="65">
        <v>0</v>
      </c>
      <c r="H1488" s="62">
        <v>0</v>
      </c>
      <c r="I1488" s="30">
        <v>66</v>
      </c>
      <c r="J1488" s="29" t="s">
        <v>721</v>
      </c>
    </row>
    <row r="1489" spans="1:10" ht="12" customHeight="1">
      <c r="A1489" s="60">
        <v>4058075244795</v>
      </c>
      <c r="B1489" s="61" t="s">
        <v>5969</v>
      </c>
      <c r="C1489" s="62">
        <v>1</v>
      </c>
      <c r="D1489" s="138" t="s">
        <v>4710</v>
      </c>
      <c r="E1489" s="139" t="str">
        <f>HYPERLINK("https://ledvance.com/pt/product-datasheet/9519/121127","Ficha de Produto")</f>
        <v>Ficha de Produto</v>
      </c>
      <c r="F1489" s="62"/>
      <c r="G1489" s="65">
        <v>0</v>
      </c>
      <c r="H1489" s="62">
        <v>0</v>
      </c>
      <c r="I1489" s="30">
        <v>66</v>
      </c>
      <c r="J1489" s="29" t="s">
        <v>721</v>
      </c>
    </row>
    <row r="1490" spans="1:10" ht="15" customHeight="1">
      <c r="A1490" s="137" t="s">
        <v>4722</v>
      </c>
      <c r="B1490" s="116"/>
      <c r="C1490" s="141"/>
      <c r="D1490" s="136"/>
      <c r="E1490" s="136"/>
      <c r="F1490" s="141"/>
      <c r="G1490" s="119"/>
      <c r="H1490" s="268"/>
      <c r="I1490" s="57"/>
      <c r="J1490" s="58"/>
    </row>
    <row r="1491" spans="1:10" ht="12" customHeight="1">
      <c r="A1491" s="60">
        <v>4058075244818</v>
      </c>
      <c r="B1491" s="61" t="s">
        <v>5970</v>
      </c>
      <c r="C1491" s="62">
        <v>1</v>
      </c>
      <c r="D1491" s="138" t="s">
        <v>4710</v>
      </c>
      <c r="E1491" s="139" t="str">
        <f>HYPERLINK("https://ledvance.com/pt/product-datasheet/9520/121130","Ficha de Produto")</f>
        <v>Ficha de Produto</v>
      </c>
      <c r="F1491" s="62"/>
      <c r="G1491" s="65">
        <v>0</v>
      </c>
      <c r="H1491" s="62">
        <v>0</v>
      </c>
      <c r="I1491" s="30">
        <v>66</v>
      </c>
      <c r="J1491" s="29" t="s">
        <v>721</v>
      </c>
    </row>
    <row r="1492" spans="1:10" ht="12" customHeight="1">
      <c r="A1492" s="60">
        <v>4058075244832</v>
      </c>
      <c r="B1492" s="61" t="s">
        <v>5971</v>
      </c>
      <c r="C1492" s="62">
        <v>1</v>
      </c>
      <c r="D1492" s="138" t="s">
        <v>4710</v>
      </c>
      <c r="E1492" s="139" t="str">
        <f>HYPERLINK("https://ledvance.com/pt/product-datasheet/9520/121133","Ficha de Produto")</f>
        <v>Ficha de Produto</v>
      </c>
      <c r="F1492" s="62"/>
      <c r="G1492" s="65">
        <v>0</v>
      </c>
      <c r="H1492" s="62">
        <v>0</v>
      </c>
      <c r="I1492" s="30">
        <v>66</v>
      </c>
      <c r="J1492" s="29" t="s">
        <v>721</v>
      </c>
    </row>
    <row r="1493" spans="1:10" ht="15" customHeight="1">
      <c r="A1493" s="132" t="s">
        <v>4723</v>
      </c>
      <c r="B1493" s="116"/>
      <c r="C1493" s="133"/>
      <c r="D1493" s="133"/>
      <c r="E1493" s="133"/>
      <c r="F1493" s="133"/>
      <c r="G1493" s="119"/>
      <c r="H1493" s="268"/>
      <c r="I1493" s="57"/>
      <c r="J1493" s="58"/>
    </row>
    <row r="1494" spans="1:10" ht="15" customHeight="1">
      <c r="A1494" s="134" t="s">
        <v>4724</v>
      </c>
      <c r="B1494" s="116"/>
      <c r="C1494" s="133"/>
      <c r="D1494" s="135"/>
      <c r="E1494" s="135"/>
      <c r="F1494" s="133"/>
      <c r="G1494" s="119"/>
      <c r="H1494" s="268"/>
      <c r="I1494" s="57"/>
      <c r="J1494" s="58"/>
    </row>
    <row r="1495" spans="1:10" ht="12" customHeight="1">
      <c r="A1495" s="60">
        <v>4058075228788</v>
      </c>
      <c r="B1495" s="61" t="s">
        <v>5972</v>
      </c>
      <c r="C1495" s="62">
        <v>1</v>
      </c>
      <c r="D1495" s="138" t="s">
        <v>4710</v>
      </c>
      <c r="E1495" s="139" t="str">
        <f>HYPERLINK("https://ledvance.com/pt/product-datasheet/9482/121088","Ficha de Produto")</f>
        <v>Ficha de Produto</v>
      </c>
      <c r="F1495" s="62"/>
      <c r="G1495" s="65" t="s">
        <v>4934</v>
      </c>
      <c r="H1495" s="62" t="s">
        <v>4992</v>
      </c>
      <c r="I1495" s="30">
        <v>82.3</v>
      </c>
      <c r="J1495" s="29" t="s">
        <v>721</v>
      </c>
    </row>
    <row r="1496" spans="1:10" ht="12" customHeight="1">
      <c r="A1496" s="60">
        <v>4058075228801</v>
      </c>
      <c r="B1496" s="61" t="s">
        <v>5973</v>
      </c>
      <c r="C1496" s="62">
        <v>1</v>
      </c>
      <c r="D1496" s="138" t="s">
        <v>4710</v>
      </c>
      <c r="E1496" s="139" t="str">
        <f>HYPERLINK("https://ledvance.com/pt/product-datasheet/9482/121091","Ficha de Produto")</f>
        <v>Ficha de Produto</v>
      </c>
      <c r="F1496" s="62"/>
      <c r="G1496" s="65" t="s">
        <v>4934</v>
      </c>
      <c r="H1496" s="62" t="s">
        <v>4992</v>
      </c>
      <c r="I1496" s="30">
        <v>82.3</v>
      </c>
      <c r="J1496" s="29" t="s">
        <v>721</v>
      </c>
    </row>
    <row r="1497" spans="1:10" ht="12" customHeight="1">
      <c r="A1497" s="60">
        <v>4058075228825</v>
      </c>
      <c r="B1497" s="61" t="s">
        <v>5974</v>
      </c>
      <c r="C1497" s="62">
        <v>1</v>
      </c>
      <c r="D1497" s="138" t="s">
        <v>4710</v>
      </c>
      <c r="E1497" s="139" t="str">
        <f>HYPERLINK("https://ledvance.com/pt/product-datasheet/9482/103939","Ficha de Produto")</f>
        <v>Ficha de Produto</v>
      </c>
      <c r="F1497" s="62"/>
      <c r="G1497" s="65" t="s">
        <v>4951</v>
      </c>
      <c r="H1497" s="62" t="s">
        <v>4992</v>
      </c>
      <c r="I1497" s="30">
        <v>135.69999999999999</v>
      </c>
      <c r="J1497" s="29" t="s">
        <v>721</v>
      </c>
    </row>
    <row r="1498" spans="1:10" ht="12" customHeight="1">
      <c r="A1498" s="60">
        <v>4058075228849</v>
      </c>
      <c r="B1498" s="61" t="s">
        <v>5975</v>
      </c>
      <c r="C1498" s="62">
        <v>1</v>
      </c>
      <c r="D1498" s="138" t="s">
        <v>4710</v>
      </c>
      <c r="E1498" s="139" t="str">
        <f>HYPERLINK("https://ledvance.com/pt/product-datasheet/9482/121094","Ficha de Produto")</f>
        <v>Ficha de Produto</v>
      </c>
      <c r="F1498" s="62"/>
      <c r="G1498" s="65" t="s">
        <v>4951</v>
      </c>
      <c r="H1498" s="62" t="s">
        <v>4992</v>
      </c>
      <c r="I1498" s="30">
        <v>135.69999999999999</v>
      </c>
      <c r="J1498" s="29" t="s">
        <v>721</v>
      </c>
    </row>
    <row r="1499" spans="1:10" ht="15" customHeight="1">
      <c r="A1499" s="134" t="s">
        <v>4725</v>
      </c>
      <c r="B1499" s="116"/>
      <c r="C1499" s="133"/>
      <c r="D1499" s="135"/>
      <c r="E1499" s="135"/>
      <c r="F1499" s="133"/>
      <c r="G1499" s="119"/>
      <c r="H1499" s="268"/>
      <c r="I1499" s="57"/>
      <c r="J1499" s="58"/>
    </row>
    <row r="1500" spans="1:10" ht="12" customHeight="1">
      <c r="A1500" s="60">
        <v>4058075228863</v>
      </c>
      <c r="B1500" s="61" t="s">
        <v>5976</v>
      </c>
      <c r="C1500" s="62">
        <v>1</v>
      </c>
      <c r="D1500" s="138" t="s">
        <v>4710</v>
      </c>
      <c r="E1500" s="139" t="str">
        <f>HYPERLINK("https://ledvance.com/pt/product-datasheet/9483/103942","Ficha de Produto")</f>
        <v>Ficha de Produto</v>
      </c>
      <c r="F1500" s="62"/>
      <c r="G1500" s="65" t="s">
        <v>1746</v>
      </c>
      <c r="H1500" s="62" t="s">
        <v>4992</v>
      </c>
      <c r="I1500" s="30">
        <v>82.3</v>
      </c>
      <c r="J1500" s="29" t="s">
        <v>721</v>
      </c>
    </row>
    <row r="1501" spans="1:10" ht="12" customHeight="1">
      <c r="A1501" s="60">
        <v>4058075228887</v>
      </c>
      <c r="B1501" s="61" t="s">
        <v>5977</v>
      </c>
      <c r="C1501" s="62">
        <v>1</v>
      </c>
      <c r="D1501" s="138" t="s">
        <v>4710</v>
      </c>
      <c r="E1501" s="139" t="str">
        <f>HYPERLINK("https://ledvance.com/pt/product-datasheet/9483/121097","Ficha de Produto")</f>
        <v>Ficha de Produto</v>
      </c>
      <c r="F1501" s="62"/>
      <c r="G1501" s="65" t="s">
        <v>1746</v>
      </c>
      <c r="H1501" s="62" t="s">
        <v>4992</v>
      </c>
      <c r="I1501" s="30">
        <v>82.3</v>
      </c>
      <c r="J1501" s="29" t="s">
        <v>721</v>
      </c>
    </row>
    <row r="1502" spans="1:10" ht="12" customHeight="1">
      <c r="A1502" s="60">
        <v>4058075228900</v>
      </c>
      <c r="B1502" s="61" t="s">
        <v>5978</v>
      </c>
      <c r="C1502" s="62">
        <v>1</v>
      </c>
      <c r="D1502" s="138" t="s">
        <v>4710</v>
      </c>
      <c r="E1502" s="139" t="str">
        <f>HYPERLINK("https://ledvance.com/pt/product-datasheet/9483/121100","Ficha de Produto")</f>
        <v>Ficha de Produto</v>
      </c>
      <c r="F1502" s="62"/>
      <c r="G1502" s="65" t="s">
        <v>4994</v>
      </c>
      <c r="H1502" s="62" t="s">
        <v>4992</v>
      </c>
      <c r="I1502" s="30">
        <v>135.69999999999999</v>
      </c>
      <c r="J1502" s="29" t="s">
        <v>721</v>
      </c>
    </row>
    <row r="1503" spans="1:10" ht="12" customHeight="1">
      <c r="A1503" s="60">
        <v>4058075228924</v>
      </c>
      <c r="B1503" s="61" t="s">
        <v>5979</v>
      </c>
      <c r="C1503" s="62">
        <v>1</v>
      </c>
      <c r="D1503" s="138" t="s">
        <v>4710</v>
      </c>
      <c r="E1503" s="139" t="str">
        <f>HYPERLINK("https://ledvance.com/pt/product-datasheet/9483/121103","Ficha de Produto")</f>
        <v>Ficha de Produto</v>
      </c>
      <c r="F1503" s="62"/>
      <c r="G1503" s="65" t="s">
        <v>4994</v>
      </c>
      <c r="H1503" s="62" t="s">
        <v>4992</v>
      </c>
      <c r="I1503" s="30">
        <v>135.69999999999999</v>
      </c>
      <c r="J1503" s="29" t="s">
        <v>721</v>
      </c>
    </row>
    <row r="1504" spans="1:10" ht="15" customHeight="1">
      <c r="A1504" s="134" t="s">
        <v>4726</v>
      </c>
      <c r="B1504" s="116"/>
      <c r="C1504" s="133"/>
      <c r="D1504" s="135"/>
      <c r="E1504" s="82"/>
      <c r="F1504" s="133"/>
      <c r="G1504" s="119"/>
      <c r="H1504" s="268"/>
      <c r="I1504" s="57"/>
      <c r="J1504" s="58"/>
    </row>
    <row r="1505" spans="1:10" ht="12" customHeight="1">
      <c r="A1505" s="60">
        <v>4058075228948</v>
      </c>
      <c r="B1505" s="61" t="s">
        <v>5980</v>
      </c>
      <c r="C1505" s="62">
        <v>1</v>
      </c>
      <c r="D1505" s="138" t="s">
        <v>4710</v>
      </c>
      <c r="E1505" s="139" t="str">
        <f>HYPERLINK("https://ledvance.com/pt/product-datasheet/9484/121106","Ficha de Produto")</f>
        <v>Ficha de Produto</v>
      </c>
      <c r="F1505" s="62"/>
      <c r="G1505" s="65" t="s">
        <v>5005</v>
      </c>
      <c r="H1505" s="62" t="s">
        <v>4992</v>
      </c>
      <c r="I1505" s="30">
        <v>82.3</v>
      </c>
      <c r="J1505" s="29" t="s">
        <v>721</v>
      </c>
    </row>
    <row r="1506" spans="1:10" ht="12" customHeight="1">
      <c r="A1506" s="60">
        <v>4058075228962</v>
      </c>
      <c r="B1506" s="61" t="s">
        <v>5981</v>
      </c>
      <c r="C1506" s="62">
        <v>1</v>
      </c>
      <c r="D1506" s="138" t="s">
        <v>4710</v>
      </c>
      <c r="E1506" s="139" t="str">
        <f>HYPERLINK("https://ledvance.com/pt/product-datasheet/9484/121109","Ficha de Produto")</f>
        <v>Ficha de Produto</v>
      </c>
      <c r="F1506" s="62"/>
      <c r="G1506" s="65" t="s">
        <v>5005</v>
      </c>
      <c r="H1506" s="62" t="s">
        <v>4992</v>
      </c>
      <c r="I1506" s="30">
        <v>82.3</v>
      </c>
      <c r="J1506" s="29" t="s">
        <v>721</v>
      </c>
    </row>
    <row r="1507" spans="1:10" ht="15" customHeight="1">
      <c r="A1507" s="120" t="s">
        <v>4727</v>
      </c>
      <c r="B1507" s="116"/>
      <c r="C1507" s="117"/>
      <c r="D1507" s="121"/>
      <c r="E1507" s="121"/>
      <c r="F1507" s="117"/>
      <c r="G1507" s="119"/>
      <c r="H1507" s="268"/>
      <c r="I1507" s="57"/>
      <c r="J1507" s="58"/>
    </row>
    <row r="1508" spans="1:10" ht="15" customHeight="1">
      <c r="A1508" s="137" t="s">
        <v>4694</v>
      </c>
      <c r="B1508" s="116"/>
      <c r="C1508" s="117"/>
      <c r="D1508" s="136"/>
      <c r="E1508" s="78"/>
      <c r="F1508" s="117"/>
      <c r="G1508" s="119"/>
      <c r="H1508" s="268"/>
      <c r="I1508" s="57"/>
      <c r="J1508" s="58"/>
    </row>
    <row r="1509" spans="1:10" ht="15" customHeight="1">
      <c r="A1509" s="137" t="s">
        <v>4728</v>
      </c>
      <c r="B1509" s="116"/>
      <c r="C1509" s="117"/>
      <c r="D1509" s="136"/>
      <c r="E1509" s="136"/>
      <c r="F1509" s="117"/>
      <c r="G1509" s="119"/>
      <c r="H1509" s="268"/>
      <c r="I1509" s="57"/>
      <c r="J1509" s="58"/>
    </row>
    <row r="1510" spans="1:10" ht="12" customHeight="1">
      <c r="A1510" s="60">
        <v>4058075540620</v>
      </c>
      <c r="B1510" s="61" t="s">
        <v>5982</v>
      </c>
      <c r="C1510" s="62">
        <v>1</v>
      </c>
      <c r="D1510" s="138" t="s">
        <v>4729</v>
      </c>
      <c r="E1510" s="139" t="str">
        <f>HYPERLINK("https://ledvance.com/pt/product-datasheet/142222/47236","Ficha de Produto")</f>
        <v>Ficha de Produto</v>
      </c>
      <c r="F1510" s="62"/>
      <c r="G1510" s="65" t="s">
        <v>5131</v>
      </c>
      <c r="H1510" s="62" t="s">
        <v>4988</v>
      </c>
      <c r="I1510" s="30">
        <v>19.100000000000001</v>
      </c>
      <c r="J1510" s="29" t="s">
        <v>721</v>
      </c>
    </row>
    <row r="1511" spans="1:10" ht="12" customHeight="1">
      <c r="A1511" s="60">
        <v>4058075540644</v>
      </c>
      <c r="B1511" s="61" t="s">
        <v>5983</v>
      </c>
      <c r="C1511" s="62">
        <v>1</v>
      </c>
      <c r="D1511" s="138" t="s">
        <v>4729</v>
      </c>
      <c r="E1511" s="139" t="str">
        <f>HYPERLINK("https://ledvance.com/pt/product-datasheet/142222/47239","Ficha de Produto")</f>
        <v>Ficha de Produto</v>
      </c>
      <c r="F1511" s="62"/>
      <c r="G1511" s="65" t="s">
        <v>5872</v>
      </c>
      <c r="H1511" s="62" t="s">
        <v>4988</v>
      </c>
      <c r="I1511" s="30">
        <v>31.6</v>
      </c>
      <c r="J1511" s="29" t="s">
        <v>721</v>
      </c>
    </row>
    <row r="1512" spans="1:10" ht="12" customHeight="1">
      <c r="A1512" s="60">
        <v>4058075540668</v>
      </c>
      <c r="B1512" s="61" t="s">
        <v>5984</v>
      </c>
      <c r="C1512" s="62">
        <v>1</v>
      </c>
      <c r="D1512" s="138" t="s">
        <v>4729</v>
      </c>
      <c r="E1512" s="139" t="str">
        <f>HYPERLINK("https://ledvance.com/pt/product-datasheet/142222/47242","Ficha de Produto")</f>
        <v>Ficha de Produto</v>
      </c>
      <c r="F1512" s="62"/>
      <c r="G1512" s="65" t="s">
        <v>5874</v>
      </c>
      <c r="H1512" s="62" t="s">
        <v>4988</v>
      </c>
      <c r="I1512" s="30">
        <v>47.2</v>
      </c>
      <c r="J1512" s="29" t="s">
        <v>721</v>
      </c>
    </row>
    <row r="1513" spans="1:10" ht="12" customHeight="1">
      <c r="A1513" s="60">
        <v>4058075540682</v>
      </c>
      <c r="B1513" s="61" t="s">
        <v>5985</v>
      </c>
      <c r="C1513" s="62">
        <v>1</v>
      </c>
      <c r="D1513" s="138" t="s">
        <v>4729</v>
      </c>
      <c r="E1513" s="139" t="str">
        <f>HYPERLINK("https://ledvance.com/pt/product-datasheet/142222/47245","Ficha de Produto")</f>
        <v>Ficha de Produto</v>
      </c>
      <c r="F1513" s="62"/>
      <c r="G1513" s="65" t="s">
        <v>5986</v>
      </c>
      <c r="H1513" s="62" t="s">
        <v>4988</v>
      </c>
      <c r="I1513" s="30">
        <v>62.800000000000004</v>
      </c>
      <c r="J1513" s="29" t="s">
        <v>721</v>
      </c>
    </row>
    <row r="1514" spans="1:10" ht="12" customHeight="1">
      <c r="A1514" s="60">
        <v>4058075540705</v>
      </c>
      <c r="B1514" s="61" t="s">
        <v>5987</v>
      </c>
      <c r="C1514" s="62">
        <v>1</v>
      </c>
      <c r="D1514" s="138" t="s">
        <v>4729</v>
      </c>
      <c r="E1514" s="139" t="str">
        <f>HYPERLINK("https://ledvance.com/pt/product-datasheet/142222/47248","Ficha de Produto")</f>
        <v>Ficha de Produto</v>
      </c>
      <c r="F1514" s="62"/>
      <c r="G1514" s="65" t="s">
        <v>5988</v>
      </c>
      <c r="H1514" s="62" t="s">
        <v>4988</v>
      </c>
      <c r="I1514" s="30">
        <v>94</v>
      </c>
      <c r="J1514" s="29" t="s">
        <v>721</v>
      </c>
    </row>
    <row r="1515" spans="1:10" ht="15" customHeight="1">
      <c r="A1515" s="137" t="s">
        <v>4730</v>
      </c>
      <c r="B1515" s="116"/>
      <c r="C1515" s="117"/>
      <c r="D1515" s="136"/>
      <c r="E1515" s="78"/>
      <c r="F1515" s="117"/>
      <c r="G1515" s="119"/>
      <c r="H1515" s="268"/>
      <c r="I1515" s="57"/>
      <c r="J1515" s="58"/>
    </row>
    <row r="1516" spans="1:10" ht="12" customHeight="1">
      <c r="A1516" s="60">
        <v>4058075540507</v>
      </c>
      <c r="B1516" s="61" t="s">
        <v>5989</v>
      </c>
      <c r="C1516" s="62">
        <v>1</v>
      </c>
      <c r="D1516" s="138" t="s">
        <v>4729</v>
      </c>
      <c r="E1516" s="139" t="str">
        <f>HYPERLINK("https://ledvance.com/pt/product-datasheet/142221/46843","Ficha de Produto")</f>
        <v>Ficha de Produto</v>
      </c>
      <c r="F1516" s="62"/>
      <c r="G1516" s="65" t="s">
        <v>5936</v>
      </c>
      <c r="H1516" s="62" t="s">
        <v>4988</v>
      </c>
      <c r="I1516" s="30">
        <v>19.100000000000001</v>
      </c>
      <c r="J1516" s="29" t="s">
        <v>721</v>
      </c>
    </row>
    <row r="1517" spans="1:10" ht="12" customHeight="1">
      <c r="A1517" s="60">
        <v>4058075540545</v>
      </c>
      <c r="B1517" s="61" t="s">
        <v>5990</v>
      </c>
      <c r="C1517" s="62">
        <v>1</v>
      </c>
      <c r="D1517" s="138" t="s">
        <v>4729</v>
      </c>
      <c r="E1517" s="139" t="str">
        <f>HYPERLINK("https://ledvance.com/pt/product-datasheet/142221/46846","Ficha de Produto")</f>
        <v>Ficha de Produto</v>
      </c>
      <c r="F1517" s="62"/>
      <c r="G1517" s="65" t="s">
        <v>5637</v>
      </c>
      <c r="H1517" s="62" t="s">
        <v>4988</v>
      </c>
      <c r="I1517" s="30">
        <v>26.900000000000002</v>
      </c>
      <c r="J1517" s="29" t="s">
        <v>721</v>
      </c>
    </row>
    <row r="1518" spans="1:10" ht="12" customHeight="1">
      <c r="A1518" s="60">
        <v>4058075540569</v>
      </c>
      <c r="B1518" s="61" t="s">
        <v>5991</v>
      </c>
      <c r="C1518" s="62">
        <v>1</v>
      </c>
      <c r="D1518" s="138" t="s">
        <v>4729</v>
      </c>
      <c r="E1518" s="139" t="str">
        <f>HYPERLINK("https://ledvance.com/pt/product-datasheet/142221/47227","Ficha de Produto")</f>
        <v>Ficha de Produto</v>
      </c>
      <c r="F1518" s="62"/>
      <c r="G1518" s="65" t="s">
        <v>5992</v>
      </c>
      <c r="H1518" s="62" t="s">
        <v>4988</v>
      </c>
      <c r="I1518" s="30">
        <v>47.2</v>
      </c>
      <c r="J1518" s="29" t="s">
        <v>721</v>
      </c>
    </row>
    <row r="1519" spans="1:10" ht="12" customHeight="1">
      <c r="A1519" s="60">
        <v>4058075540583</v>
      </c>
      <c r="B1519" s="61" t="s">
        <v>5993</v>
      </c>
      <c r="C1519" s="62">
        <v>1</v>
      </c>
      <c r="D1519" s="138" t="s">
        <v>4729</v>
      </c>
      <c r="E1519" s="139" t="str">
        <f>HYPERLINK("https://ledvance.com/pt/product-datasheet/142221/47230","Ficha de Produto")</f>
        <v>Ficha de Produto</v>
      </c>
      <c r="F1519" s="62"/>
      <c r="G1519" s="65" t="s">
        <v>5994</v>
      </c>
      <c r="H1519" s="62" t="s">
        <v>4988</v>
      </c>
      <c r="I1519" s="30">
        <v>62.800000000000004</v>
      </c>
      <c r="J1519" s="29" t="s">
        <v>721</v>
      </c>
    </row>
    <row r="1520" spans="1:10" ht="12" customHeight="1">
      <c r="A1520" s="60">
        <v>4058075540606</v>
      </c>
      <c r="B1520" s="61" t="s">
        <v>5995</v>
      </c>
      <c r="C1520" s="62">
        <v>1</v>
      </c>
      <c r="D1520" s="138" t="s">
        <v>4729</v>
      </c>
      <c r="E1520" s="139" t="str">
        <f>HYPERLINK("https://ledvance.com/pt/product-datasheet/142221/47233","Ficha de Produto")</f>
        <v>Ficha de Produto</v>
      </c>
      <c r="F1520" s="62"/>
      <c r="G1520" s="65" t="s">
        <v>5996</v>
      </c>
      <c r="H1520" s="62" t="s">
        <v>4988</v>
      </c>
      <c r="I1520" s="30">
        <v>94</v>
      </c>
      <c r="J1520" s="29" t="s">
        <v>721</v>
      </c>
    </row>
    <row r="1521" spans="1:10" ht="12" customHeight="1">
      <c r="A1521" s="140">
        <v>4058075828766</v>
      </c>
      <c r="B1521" s="61" t="s">
        <v>5997</v>
      </c>
      <c r="C1521" s="62">
        <v>1</v>
      </c>
      <c r="D1521" s="138" t="s">
        <v>4729</v>
      </c>
      <c r="E1521" s="139" t="str">
        <f>HYPERLINK("https://ledvance.com/pt/product-datasheet/288266/277535","Ficha de Produto")</f>
        <v>Ficha de Produto</v>
      </c>
      <c r="F1521" s="94" t="s">
        <v>4584</v>
      </c>
      <c r="G1521" s="65" t="s">
        <v>5096</v>
      </c>
      <c r="H1521" s="62" t="s">
        <v>4988</v>
      </c>
      <c r="I1521" s="30">
        <v>21.5</v>
      </c>
      <c r="J1521" s="29" t="s">
        <v>721</v>
      </c>
    </row>
    <row r="1522" spans="1:10" ht="12" customHeight="1">
      <c r="A1522" s="83">
        <v>4058075828780</v>
      </c>
      <c r="B1522" s="61" t="s">
        <v>5998</v>
      </c>
      <c r="C1522" s="62">
        <v>1</v>
      </c>
      <c r="D1522" s="138" t="s">
        <v>4729</v>
      </c>
      <c r="E1522" s="139" t="str">
        <f>HYPERLINK("https://ledvance.com/pt/product-datasheet/288266/277538","Ficha de Produto")</f>
        <v>Ficha de Produto</v>
      </c>
      <c r="F1522" s="94" t="s">
        <v>4584</v>
      </c>
      <c r="G1522" s="65" t="s">
        <v>5553</v>
      </c>
      <c r="H1522" s="62" t="s">
        <v>4988</v>
      </c>
      <c r="I1522" s="30">
        <v>30.200000000000003</v>
      </c>
      <c r="J1522" s="29" t="s">
        <v>721</v>
      </c>
    </row>
    <row r="1523" spans="1:10" ht="12" customHeight="1">
      <c r="A1523" s="83">
        <v>4058075828803</v>
      </c>
      <c r="B1523" s="61" t="s">
        <v>5999</v>
      </c>
      <c r="C1523" s="62">
        <v>1</v>
      </c>
      <c r="D1523" s="138" t="s">
        <v>4729</v>
      </c>
      <c r="E1523" s="139" t="str">
        <f>HYPERLINK("https://ledvance.com/pt/product-datasheet/288266/277541","Ficha de Produto")</f>
        <v>Ficha de Produto</v>
      </c>
      <c r="F1523" s="94" t="s">
        <v>4584</v>
      </c>
      <c r="G1523" s="65" t="s">
        <v>6000</v>
      </c>
      <c r="H1523" s="62" t="s">
        <v>4988</v>
      </c>
      <c r="I1523" s="30">
        <v>53.1</v>
      </c>
      <c r="J1523" s="29" t="s">
        <v>721</v>
      </c>
    </row>
    <row r="1524" spans="1:10" ht="12" customHeight="1">
      <c r="A1524" s="83">
        <v>4058075828827</v>
      </c>
      <c r="B1524" s="61" t="s">
        <v>6001</v>
      </c>
      <c r="C1524" s="62">
        <v>1</v>
      </c>
      <c r="D1524" s="138" t="s">
        <v>4729</v>
      </c>
      <c r="E1524" s="139" t="str">
        <f>HYPERLINK("https://ledvance.com/pt/product-datasheet/288266/277544","Ficha de Produto")</f>
        <v>Ficha de Produto</v>
      </c>
      <c r="F1524" s="94" t="s">
        <v>4584</v>
      </c>
      <c r="G1524" s="65" t="s">
        <v>6002</v>
      </c>
      <c r="H1524" s="62" t="s">
        <v>4988</v>
      </c>
      <c r="I1524" s="30">
        <v>70.599999999999994</v>
      </c>
      <c r="J1524" s="29" t="s">
        <v>721</v>
      </c>
    </row>
    <row r="1525" spans="1:10" ht="12" customHeight="1">
      <c r="A1525" s="83">
        <v>4058075828841</v>
      </c>
      <c r="B1525" s="61" t="s">
        <v>6003</v>
      </c>
      <c r="C1525" s="62">
        <v>1</v>
      </c>
      <c r="D1525" s="138" t="s">
        <v>4729</v>
      </c>
      <c r="E1525" s="139" t="str">
        <f>HYPERLINK("https://ledvance.com/pt/product-datasheet/288266/277547","Ficha de Produto")</f>
        <v>Ficha de Produto</v>
      </c>
      <c r="F1525" s="94" t="s">
        <v>4584</v>
      </c>
      <c r="G1525" s="65" t="s">
        <v>6004</v>
      </c>
      <c r="H1525" s="62" t="s">
        <v>4988</v>
      </c>
      <c r="I1525" s="30">
        <v>105.8</v>
      </c>
      <c r="J1525" s="29" t="s">
        <v>721</v>
      </c>
    </row>
    <row r="1526" spans="1:10" ht="12" customHeight="1">
      <c r="A1526" s="83">
        <v>4058075833852</v>
      </c>
      <c r="B1526" s="61" t="s">
        <v>6005</v>
      </c>
      <c r="C1526" s="62">
        <v>1</v>
      </c>
      <c r="D1526" s="138" t="s">
        <v>4729</v>
      </c>
      <c r="E1526" s="139" t="str">
        <f>HYPERLINK("https://ledvance.com/pt/product-datasheet/288267/277550","Ficha de Produto")</f>
        <v>Ficha de Produto</v>
      </c>
      <c r="F1526" s="94" t="s">
        <v>4584</v>
      </c>
      <c r="G1526" s="65" t="s">
        <v>5096</v>
      </c>
      <c r="H1526" s="62" t="s">
        <v>4988</v>
      </c>
      <c r="I1526" s="30">
        <v>21.5</v>
      </c>
      <c r="J1526" s="29" t="s">
        <v>721</v>
      </c>
    </row>
    <row r="1527" spans="1:10" ht="12" customHeight="1">
      <c r="A1527" s="83">
        <v>4058075833876</v>
      </c>
      <c r="B1527" s="61" t="s">
        <v>6006</v>
      </c>
      <c r="C1527" s="62">
        <v>1</v>
      </c>
      <c r="D1527" s="138" t="s">
        <v>4729</v>
      </c>
      <c r="E1527" s="139" t="str">
        <f>HYPERLINK("https://ledvance.com/pt/product-datasheet/288267/277553","Ficha de Produto")</f>
        <v>Ficha de Produto</v>
      </c>
      <c r="F1527" s="94" t="s">
        <v>4584</v>
      </c>
      <c r="G1527" s="65" t="s">
        <v>5553</v>
      </c>
      <c r="H1527" s="62" t="s">
        <v>4988</v>
      </c>
      <c r="I1527" s="30">
        <v>30.200000000000003</v>
      </c>
      <c r="J1527" s="29" t="s">
        <v>721</v>
      </c>
    </row>
    <row r="1528" spans="1:10" ht="12" customHeight="1">
      <c r="A1528" s="83">
        <v>4058075833890</v>
      </c>
      <c r="B1528" s="61" t="s">
        <v>6007</v>
      </c>
      <c r="C1528" s="62">
        <v>1</v>
      </c>
      <c r="D1528" s="138" t="s">
        <v>4729</v>
      </c>
      <c r="E1528" s="139" t="str">
        <f>HYPERLINK("https://ledvance.com/pt/product-datasheet/288267/277556","Ficha de Produto")</f>
        <v>Ficha de Produto</v>
      </c>
      <c r="F1528" s="94" t="s">
        <v>4584</v>
      </c>
      <c r="G1528" s="65" t="s">
        <v>6000</v>
      </c>
      <c r="H1528" s="62" t="s">
        <v>4988</v>
      </c>
      <c r="I1528" s="30">
        <v>53.1</v>
      </c>
      <c r="J1528" s="29" t="s">
        <v>721</v>
      </c>
    </row>
    <row r="1529" spans="1:10" ht="12" customHeight="1">
      <c r="A1529" s="83">
        <v>4058075833913</v>
      </c>
      <c r="B1529" s="61" t="s">
        <v>6008</v>
      </c>
      <c r="C1529" s="62">
        <v>1</v>
      </c>
      <c r="D1529" s="138" t="s">
        <v>4729</v>
      </c>
      <c r="E1529" s="139" t="str">
        <f>HYPERLINK("https://ledvance.com/pt/product-datasheet/288267/277559","Ficha de Produto")</f>
        <v>Ficha de Produto</v>
      </c>
      <c r="F1529" s="94" t="s">
        <v>4584</v>
      </c>
      <c r="G1529" s="65" t="s">
        <v>6002</v>
      </c>
      <c r="H1529" s="62" t="s">
        <v>4988</v>
      </c>
      <c r="I1529" s="30">
        <v>70.599999999999994</v>
      </c>
      <c r="J1529" s="29" t="s">
        <v>721</v>
      </c>
    </row>
    <row r="1530" spans="1:10" ht="12" customHeight="1">
      <c r="A1530" s="83">
        <v>4058075833937</v>
      </c>
      <c r="B1530" s="61" t="s">
        <v>6009</v>
      </c>
      <c r="C1530" s="62">
        <v>1</v>
      </c>
      <c r="D1530" s="138" t="s">
        <v>4729</v>
      </c>
      <c r="E1530" s="139" t="str">
        <f>HYPERLINK("https://ledvance.com/pt/product-datasheet/288267/277562","Ficha de Produto")</f>
        <v>Ficha de Produto</v>
      </c>
      <c r="F1530" s="94" t="s">
        <v>4584</v>
      </c>
      <c r="G1530" s="65" t="s">
        <v>6004</v>
      </c>
      <c r="H1530" s="62" t="s">
        <v>4988</v>
      </c>
      <c r="I1530" s="30">
        <v>105.8</v>
      </c>
      <c r="J1530" s="29" t="s">
        <v>721</v>
      </c>
    </row>
    <row r="1531" spans="1:10" ht="15" customHeight="1">
      <c r="A1531" s="137" t="s">
        <v>4731</v>
      </c>
      <c r="B1531" s="116"/>
      <c r="C1531" s="117"/>
      <c r="D1531" s="136"/>
      <c r="E1531" s="136"/>
      <c r="F1531" s="117"/>
      <c r="G1531" s="119"/>
      <c r="H1531" s="268"/>
      <c r="I1531" s="57"/>
      <c r="J1531" s="58"/>
    </row>
    <row r="1532" spans="1:10" ht="15" customHeight="1">
      <c r="A1532" s="137" t="s">
        <v>4732</v>
      </c>
      <c r="B1532" s="116"/>
      <c r="C1532" s="117"/>
      <c r="D1532" s="136"/>
      <c r="E1532" s="136"/>
      <c r="F1532" s="117"/>
      <c r="G1532" s="119"/>
      <c r="H1532" s="268"/>
      <c r="I1532" s="57"/>
      <c r="J1532" s="58"/>
    </row>
    <row r="1533" spans="1:10" ht="12" customHeight="1">
      <c r="A1533" s="83">
        <v>4058075826410</v>
      </c>
      <c r="B1533" s="61" t="s">
        <v>6010</v>
      </c>
      <c r="C1533" s="62">
        <v>1</v>
      </c>
      <c r="D1533" s="138" t="s">
        <v>4729</v>
      </c>
      <c r="E1533" s="139" t="str">
        <f>HYPERLINK("https://ledvance.com/pt/product-datasheet/261871/248888","Ficha de Produto")</f>
        <v>Ficha de Produto</v>
      </c>
      <c r="F1533" s="84" t="s">
        <v>4183</v>
      </c>
      <c r="G1533" s="65" t="s">
        <v>4987</v>
      </c>
      <c r="H1533" s="62" t="s">
        <v>4988</v>
      </c>
      <c r="I1533" s="30">
        <v>25</v>
      </c>
      <c r="J1533" s="29" t="s">
        <v>721</v>
      </c>
    </row>
    <row r="1534" spans="1:10" ht="12" customHeight="1">
      <c r="A1534" s="83">
        <v>4058075826434</v>
      </c>
      <c r="B1534" s="61" t="s">
        <v>6011</v>
      </c>
      <c r="C1534" s="62">
        <v>1</v>
      </c>
      <c r="D1534" s="138" t="s">
        <v>4729</v>
      </c>
      <c r="E1534" s="139" t="str">
        <f>HYPERLINK("https://ledvance.com/pt/product-datasheet/261871/248891","Ficha de Produto")</f>
        <v>Ficha de Produto</v>
      </c>
      <c r="F1534" s="84" t="s">
        <v>4183</v>
      </c>
      <c r="G1534" s="65" t="s">
        <v>6012</v>
      </c>
      <c r="H1534" s="62" t="s">
        <v>4988</v>
      </c>
      <c r="I1534" s="30">
        <v>48.2</v>
      </c>
      <c r="J1534" s="29" t="s">
        <v>721</v>
      </c>
    </row>
    <row r="1535" spans="1:10" ht="12" customHeight="1">
      <c r="A1535" s="83">
        <v>4058075826458</v>
      </c>
      <c r="B1535" s="61" t="s">
        <v>6013</v>
      </c>
      <c r="C1535" s="62">
        <v>1</v>
      </c>
      <c r="D1535" s="138" t="s">
        <v>4729</v>
      </c>
      <c r="E1535" s="139" t="str">
        <f>HYPERLINK("https://ledvance.com/pt/product-datasheet/261871/248894","Ficha de Produto")</f>
        <v>Ficha de Produto</v>
      </c>
      <c r="F1535" s="84" t="s">
        <v>4183</v>
      </c>
      <c r="G1535" s="65" t="s">
        <v>6014</v>
      </c>
      <c r="H1535" s="62" t="s">
        <v>4988</v>
      </c>
      <c r="I1535" s="30">
        <v>68.699999999999989</v>
      </c>
      <c r="J1535" s="29" t="s">
        <v>721</v>
      </c>
    </row>
    <row r="1536" spans="1:10" ht="12" customHeight="1">
      <c r="A1536" s="83">
        <v>4058075826472</v>
      </c>
      <c r="B1536" s="61" t="s">
        <v>6015</v>
      </c>
      <c r="C1536" s="62">
        <v>1</v>
      </c>
      <c r="D1536" s="138" t="s">
        <v>4729</v>
      </c>
      <c r="E1536" s="139" t="str">
        <f>HYPERLINK("https://ledvance.com/pt/product-datasheet/261871/248897","Ficha de Produto")</f>
        <v>Ficha de Produto</v>
      </c>
      <c r="F1536" s="84" t="s">
        <v>4183</v>
      </c>
      <c r="G1536" s="65" t="s">
        <v>6016</v>
      </c>
      <c r="H1536" s="62" t="s">
        <v>4988</v>
      </c>
      <c r="I1536" s="30">
        <v>82.3</v>
      </c>
      <c r="J1536" s="29" t="s">
        <v>721</v>
      </c>
    </row>
    <row r="1537" spans="1:10" ht="15" customHeight="1">
      <c r="A1537" s="137" t="s">
        <v>4733</v>
      </c>
      <c r="B1537" s="116"/>
      <c r="C1537" s="117"/>
      <c r="D1537" s="136"/>
      <c r="E1537" s="136"/>
      <c r="F1537" s="117"/>
      <c r="G1537" s="119"/>
      <c r="H1537" s="268"/>
      <c r="I1537" s="57"/>
      <c r="J1537" s="58"/>
    </row>
    <row r="1538" spans="1:10" ht="12" customHeight="1">
      <c r="A1538" s="83">
        <v>4058075826571</v>
      </c>
      <c r="B1538" s="61" t="s">
        <v>6017</v>
      </c>
      <c r="C1538" s="62">
        <v>1</v>
      </c>
      <c r="D1538" s="138" t="s">
        <v>4729</v>
      </c>
      <c r="E1538" s="139" t="str">
        <f>HYPERLINK("https://ledvance.com/pt/product-datasheet/261873/248924","Ficha de Produto")</f>
        <v>Ficha de Produto</v>
      </c>
      <c r="F1538" s="84" t="s">
        <v>4183</v>
      </c>
      <c r="G1538" s="65" t="s">
        <v>4987</v>
      </c>
      <c r="H1538" s="62" t="s">
        <v>4988</v>
      </c>
      <c r="I1538" s="30">
        <v>25</v>
      </c>
      <c r="J1538" s="29" t="s">
        <v>721</v>
      </c>
    </row>
    <row r="1539" spans="1:10" ht="12" customHeight="1">
      <c r="A1539" s="83">
        <v>4058075826595</v>
      </c>
      <c r="B1539" s="61" t="s">
        <v>6018</v>
      </c>
      <c r="C1539" s="62">
        <v>1</v>
      </c>
      <c r="D1539" s="138" t="s">
        <v>4729</v>
      </c>
      <c r="E1539" s="139" t="str">
        <f>HYPERLINK("https://ledvance.com/pt/product-datasheet/261873/248931","Ficha de Produto")</f>
        <v>Ficha de Produto</v>
      </c>
      <c r="F1539" s="84" t="s">
        <v>4183</v>
      </c>
      <c r="G1539" s="65" t="s">
        <v>6012</v>
      </c>
      <c r="H1539" s="62" t="s">
        <v>4988</v>
      </c>
      <c r="I1539" s="30">
        <v>48.2</v>
      </c>
      <c r="J1539" s="29" t="s">
        <v>721</v>
      </c>
    </row>
    <row r="1540" spans="1:10" ht="12" customHeight="1">
      <c r="A1540" s="83">
        <v>4058075826618</v>
      </c>
      <c r="B1540" s="61" t="s">
        <v>6019</v>
      </c>
      <c r="C1540" s="62">
        <v>1</v>
      </c>
      <c r="D1540" s="138" t="s">
        <v>4729</v>
      </c>
      <c r="E1540" s="139" t="str">
        <f>HYPERLINK("https://ledvance.com/pt/product-datasheet/261873/248937","Ficha de Produto")</f>
        <v>Ficha de Produto</v>
      </c>
      <c r="F1540" s="84" t="s">
        <v>4183</v>
      </c>
      <c r="G1540" s="65" t="s">
        <v>6014</v>
      </c>
      <c r="H1540" s="62" t="s">
        <v>4988</v>
      </c>
      <c r="I1540" s="30">
        <v>68.699999999999989</v>
      </c>
      <c r="J1540" s="29" t="s">
        <v>721</v>
      </c>
    </row>
    <row r="1541" spans="1:10" ht="12" customHeight="1">
      <c r="A1541" s="83">
        <v>4058075826632</v>
      </c>
      <c r="B1541" s="61" t="s">
        <v>6020</v>
      </c>
      <c r="C1541" s="62">
        <v>1</v>
      </c>
      <c r="D1541" s="138" t="s">
        <v>4729</v>
      </c>
      <c r="E1541" s="139" t="str">
        <f>HYPERLINK("https://ledvance.com/pt/product-datasheet/261873/248943","Ficha de Produto")</f>
        <v>Ficha de Produto</v>
      </c>
      <c r="F1541" s="84" t="s">
        <v>4183</v>
      </c>
      <c r="G1541" s="65" t="s">
        <v>6016</v>
      </c>
      <c r="H1541" s="62" t="s">
        <v>4988</v>
      </c>
      <c r="I1541" s="30">
        <v>82.3</v>
      </c>
      <c r="J1541" s="29" t="s">
        <v>721</v>
      </c>
    </row>
    <row r="1542" spans="1:10" ht="15" customHeight="1">
      <c r="A1542" s="137" t="s">
        <v>4734</v>
      </c>
      <c r="B1542" s="116"/>
      <c r="C1542" s="117"/>
      <c r="D1542" s="136"/>
      <c r="E1542" s="136"/>
      <c r="F1542" s="117"/>
      <c r="G1542" s="119"/>
      <c r="H1542" s="268"/>
      <c r="I1542" s="57"/>
      <c r="J1542" s="58"/>
    </row>
    <row r="1543" spans="1:10" ht="12" customHeight="1">
      <c r="A1543" s="83">
        <v>4058075826496</v>
      </c>
      <c r="B1543" s="61" t="s">
        <v>6021</v>
      </c>
      <c r="C1543" s="62">
        <v>1</v>
      </c>
      <c r="D1543" s="138" t="s">
        <v>4729</v>
      </c>
      <c r="E1543" s="139" t="str">
        <f>HYPERLINK("https://ledvance.com/pt/product-datasheet/261872/248900","Ficha de Produto")</f>
        <v>Ficha de Produto</v>
      </c>
      <c r="F1543" s="84" t="s">
        <v>4183</v>
      </c>
      <c r="G1543" s="65" t="s">
        <v>4987</v>
      </c>
      <c r="H1543" s="62" t="s">
        <v>4988</v>
      </c>
      <c r="I1543" s="30">
        <v>25</v>
      </c>
      <c r="J1543" s="29" t="s">
        <v>721</v>
      </c>
    </row>
    <row r="1544" spans="1:10" ht="12" customHeight="1">
      <c r="A1544" s="83">
        <v>4058075826519</v>
      </c>
      <c r="B1544" s="61" t="s">
        <v>6022</v>
      </c>
      <c r="C1544" s="62">
        <v>1</v>
      </c>
      <c r="D1544" s="138" t="s">
        <v>4729</v>
      </c>
      <c r="E1544" s="139" t="str">
        <f>HYPERLINK("https://ledvance.com/pt/product-datasheet/261872/248903","Ficha de Produto")</f>
        <v>Ficha de Produto</v>
      </c>
      <c r="F1544" s="84" t="s">
        <v>4183</v>
      </c>
      <c r="G1544" s="65" t="s">
        <v>6012</v>
      </c>
      <c r="H1544" s="62" t="s">
        <v>4988</v>
      </c>
      <c r="I1544" s="30">
        <v>48.2</v>
      </c>
      <c r="J1544" s="29" t="s">
        <v>721</v>
      </c>
    </row>
    <row r="1545" spans="1:10" ht="12" customHeight="1">
      <c r="A1545" s="83">
        <v>4058075826533</v>
      </c>
      <c r="B1545" s="61" t="s">
        <v>6023</v>
      </c>
      <c r="C1545" s="62">
        <v>1</v>
      </c>
      <c r="D1545" s="138" t="s">
        <v>4729</v>
      </c>
      <c r="E1545" s="139" t="str">
        <f>HYPERLINK("https://ledvance.com/pt/product-datasheet/261872/248912","Ficha de Produto")</f>
        <v>Ficha de Produto</v>
      </c>
      <c r="F1545" s="84" t="s">
        <v>4183</v>
      </c>
      <c r="G1545" s="65" t="s">
        <v>6014</v>
      </c>
      <c r="H1545" s="62" t="s">
        <v>4988</v>
      </c>
      <c r="I1545" s="30">
        <v>68.699999999999989</v>
      </c>
      <c r="J1545" s="29" t="s">
        <v>721</v>
      </c>
    </row>
    <row r="1546" spans="1:10" ht="12" customHeight="1">
      <c r="A1546" s="83">
        <v>4058075826557</v>
      </c>
      <c r="B1546" s="61" t="s">
        <v>6024</v>
      </c>
      <c r="C1546" s="62">
        <v>1</v>
      </c>
      <c r="D1546" s="138" t="s">
        <v>4729</v>
      </c>
      <c r="E1546" s="139" t="str">
        <f>HYPERLINK("https://ledvance.com/pt/product-datasheet/261872/248918","Ficha de Produto")</f>
        <v>Ficha de Produto</v>
      </c>
      <c r="F1546" s="84" t="s">
        <v>4183</v>
      </c>
      <c r="G1546" s="65" t="s">
        <v>6016</v>
      </c>
      <c r="H1546" s="62" t="s">
        <v>4988</v>
      </c>
      <c r="I1546" s="30">
        <v>82.3</v>
      </c>
      <c r="J1546" s="29" t="s">
        <v>721</v>
      </c>
    </row>
    <row r="1547" spans="1:10" ht="15" customHeight="1">
      <c r="A1547" s="137" t="s">
        <v>4735</v>
      </c>
      <c r="B1547" s="116"/>
      <c r="C1547" s="117"/>
      <c r="D1547" s="136"/>
      <c r="E1547" s="78"/>
      <c r="F1547" s="117"/>
      <c r="G1547" s="119"/>
      <c r="H1547" s="268"/>
      <c r="I1547" s="57"/>
      <c r="J1547" s="58"/>
    </row>
    <row r="1548" spans="1:10" ht="12" customHeight="1">
      <c r="A1548" s="83">
        <v>4058075828469</v>
      </c>
      <c r="B1548" s="103" t="s">
        <v>4736</v>
      </c>
      <c r="C1548" s="62">
        <v>1</v>
      </c>
      <c r="D1548" s="138" t="s">
        <v>4729</v>
      </c>
      <c r="E1548" s="139" t="str">
        <f>HYPERLINK("https://ledvance.com/pt/product-datasheet/289493/276217","Ficha de Produto")</f>
        <v>Ficha de Produto</v>
      </c>
      <c r="F1548" s="94" t="s">
        <v>4584</v>
      </c>
      <c r="G1548" s="65" t="s">
        <v>1201</v>
      </c>
      <c r="H1548" s="65" t="s">
        <v>1201</v>
      </c>
      <c r="I1548" s="30">
        <v>27.700000000000003</v>
      </c>
      <c r="J1548" s="29" t="s">
        <v>721</v>
      </c>
    </row>
    <row r="1549" spans="1:10" ht="12" customHeight="1">
      <c r="A1549" s="83">
        <v>4058075828483</v>
      </c>
      <c r="B1549" s="103" t="s">
        <v>4737</v>
      </c>
      <c r="C1549" s="62">
        <v>1</v>
      </c>
      <c r="D1549" s="138" t="s">
        <v>4729</v>
      </c>
      <c r="E1549" s="139" t="str">
        <f>HYPERLINK("https://ledvance.com/pt/product-datasheet/289493/276220","Ficha de Produto")</f>
        <v>Ficha de Produto</v>
      </c>
      <c r="F1549" s="94" t="s">
        <v>4584</v>
      </c>
      <c r="G1549" s="65" t="s">
        <v>1201</v>
      </c>
      <c r="H1549" s="65" t="s">
        <v>1201</v>
      </c>
      <c r="I1549" s="30">
        <v>55</v>
      </c>
      <c r="J1549" s="29" t="s">
        <v>721</v>
      </c>
    </row>
    <row r="1550" spans="1:10" ht="12" customHeight="1">
      <c r="A1550" s="83">
        <v>4058075828506</v>
      </c>
      <c r="B1550" s="103" t="s">
        <v>4738</v>
      </c>
      <c r="C1550" s="62">
        <v>1</v>
      </c>
      <c r="D1550" s="138" t="s">
        <v>4729</v>
      </c>
      <c r="E1550" s="139" t="str">
        <f>HYPERLINK("https://ledvance.com/pt/product-datasheet/289493/276223","Ficha de Produto")</f>
        <v>Ficha de Produto</v>
      </c>
      <c r="F1550" s="94" t="s">
        <v>4584</v>
      </c>
      <c r="G1550" s="65" t="s">
        <v>1201</v>
      </c>
      <c r="H1550" s="65" t="s">
        <v>1201</v>
      </c>
      <c r="I1550" s="30">
        <v>82.3</v>
      </c>
      <c r="J1550" s="29" t="s">
        <v>721</v>
      </c>
    </row>
    <row r="1551" spans="1:10" ht="12" customHeight="1">
      <c r="A1551" s="83">
        <v>4058075828520</v>
      </c>
      <c r="B1551" s="103" t="s">
        <v>4739</v>
      </c>
      <c r="C1551" s="62">
        <v>1</v>
      </c>
      <c r="D1551" s="138" t="s">
        <v>4729</v>
      </c>
      <c r="E1551" s="139" t="str">
        <f>HYPERLINK("https://ledvance.com/pt/product-datasheet/289493/276226","Ficha de Produto")</f>
        <v>Ficha de Produto</v>
      </c>
      <c r="F1551" s="94" t="s">
        <v>4584</v>
      </c>
      <c r="G1551" s="65" t="s">
        <v>1201</v>
      </c>
      <c r="H1551" s="65" t="s">
        <v>1201</v>
      </c>
      <c r="I1551" s="30">
        <v>109.69999999999999</v>
      </c>
      <c r="J1551" s="29" t="s">
        <v>721</v>
      </c>
    </row>
    <row r="1552" spans="1:10" ht="12" customHeight="1">
      <c r="A1552" s="83">
        <v>4058075828544</v>
      </c>
      <c r="B1552" s="103" t="s">
        <v>4740</v>
      </c>
      <c r="C1552" s="62">
        <v>1</v>
      </c>
      <c r="D1552" s="138" t="s">
        <v>4729</v>
      </c>
      <c r="E1552" s="139" t="str">
        <f>HYPERLINK("https://ledvance.com/pt/product-datasheet/289493/276230","Ficha de Produto")</f>
        <v>Ficha de Produto</v>
      </c>
      <c r="F1552" s="94" t="s">
        <v>4584</v>
      </c>
      <c r="G1552" s="65" t="s">
        <v>1201</v>
      </c>
      <c r="H1552" s="65" t="s">
        <v>1201</v>
      </c>
      <c r="I1552" s="30">
        <v>109.69999999999999</v>
      </c>
      <c r="J1552" s="29" t="s">
        <v>721</v>
      </c>
    </row>
    <row r="1553" spans="1:10" ht="12" customHeight="1">
      <c r="A1553" s="83">
        <v>4058075833197</v>
      </c>
      <c r="B1553" s="103" t="s">
        <v>4741</v>
      </c>
      <c r="C1553" s="62">
        <v>1</v>
      </c>
      <c r="D1553" s="138" t="s">
        <v>4729</v>
      </c>
      <c r="E1553" s="139" t="str">
        <f>HYPERLINK("https://ledvance.com/pt/product-datasheet/289494/276237","Ficha de Produto")</f>
        <v>Ficha de Produto</v>
      </c>
      <c r="F1553" s="94" t="s">
        <v>4584</v>
      </c>
      <c r="G1553" s="65" t="s">
        <v>1201</v>
      </c>
      <c r="H1553" s="65" t="s">
        <v>1201</v>
      </c>
      <c r="I1553" s="30">
        <v>27.700000000000003</v>
      </c>
      <c r="J1553" s="29" t="s">
        <v>721</v>
      </c>
    </row>
    <row r="1554" spans="1:10" ht="12" customHeight="1">
      <c r="A1554" s="83">
        <v>4058075833210</v>
      </c>
      <c r="B1554" s="103" t="s">
        <v>4742</v>
      </c>
      <c r="C1554" s="62">
        <v>1</v>
      </c>
      <c r="D1554" s="138" t="s">
        <v>4729</v>
      </c>
      <c r="E1554" s="139" t="str">
        <f>HYPERLINK("https://ledvance.com/pt/product-datasheet/289494/276243","Ficha de Produto")</f>
        <v>Ficha de Produto</v>
      </c>
      <c r="F1554" s="94" t="s">
        <v>4584</v>
      </c>
      <c r="G1554" s="65" t="s">
        <v>1201</v>
      </c>
      <c r="H1554" s="65" t="s">
        <v>1201</v>
      </c>
      <c r="I1554" s="30">
        <v>55</v>
      </c>
      <c r="J1554" s="29" t="s">
        <v>721</v>
      </c>
    </row>
    <row r="1555" spans="1:10" ht="12" customHeight="1">
      <c r="A1555" s="83">
        <v>4058075833234</v>
      </c>
      <c r="B1555" s="103" t="s">
        <v>4743</v>
      </c>
      <c r="C1555" s="62">
        <v>1</v>
      </c>
      <c r="D1555" s="138" t="s">
        <v>4729</v>
      </c>
      <c r="E1555" s="139" t="str">
        <f>HYPERLINK("https://ledvance.com/pt/product-datasheet/289494/276249","Ficha de Produto")</f>
        <v>Ficha de Produto</v>
      </c>
      <c r="F1555" s="94" t="s">
        <v>4584</v>
      </c>
      <c r="G1555" s="65" t="s">
        <v>1201</v>
      </c>
      <c r="H1555" s="65" t="s">
        <v>1201</v>
      </c>
      <c r="I1555" s="30">
        <v>82.3</v>
      </c>
      <c r="J1555" s="29" t="s">
        <v>721</v>
      </c>
    </row>
    <row r="1556" spans="1:10" ht="12" customHeight="1">
      <c r="A1556" s="83">
        <v>4058075833258</v>
      </c>
      <c r="B1556" s="103" t="s">
        <v>4744</v>
      </c>
      <c r="C1556" s="62">
        <v>1</v>
      </c>
      <c r="D1556" s="138" t="s">
        <v>4729</v>
      </c>
      <c r="E1556" s="139" t="str">
        <f>HYPERLINK("https://ledvance.com/pt/product-datasheet/289494/276255","Ficha de Produto")</f>
        <v>Ficha de Produto</v>
      </c>
      <c r="F1556" s="94" t="s">
        <v>4584</v>
      </c>
      <c r="G1556" s="65" t="s">
        <v>1201</v>
      </c>
      <c r="H1556" s="65" t="s">
        <v>1201</v>
      </c>
      <c r="I1556" s="30">
        <v>109.69999999999999</v>
      </c>
      <c r="J1556" s="29" t="s">
        <v>721</v>
      </c>
    </row>
    <row r="1557" spans="1:10" ht="12" customHeight="1">
      <c r="A1557" s="83">
        <v>4058075833272</v>
      </c>
      <c r="B1557" s="103" t="s">
        <v>4745</v>
      </c>
      <c r="C1557" s="62">
        <v>1</v>
      </c>
      <c r="D1557" s="138" t="s">
        <v>4729</v>
      </c>
      <c r="E1557" s="139" t="str">
        <f>HYPERLINK("https://ledvance.com/pt/product-datasheet/289494/276261","Ficha de Produto")</f>
        <v>Ficha de Produto</v>
      </c>
      <c r="F1557" s="94" t="s">
        <v>4584</v>
      </c>
      <c r="G1557" s="65" t="s">
        <v>1201</v>
      </c>
      <c r="H1557" s="65" t="s">
        <v>1201</v>
      </c>
      <c r="I1557" s="30">
        <v>109.69999999999999</v>
      </c>
      <c r="J1557" s="29" t="s">
        <v>721</v>
      </c>
    </row>
    <row r="1558" spans="1:10" ht="15" customHeight="1">
      <c r="A1558" s="123" t="s">
        <v>4746</v>
      </c>
      <c r="B1558" s="116"/>
      <c r="C1558" s="117"/>
      <c r="D1558" s="124"/>
      <c r="E1558" s="71"/>
      <c r="F1558" s="117"/>
      <c r="G1558" s="119"/>
      <c r="H1558" s="268"/>
      <c r="I1558" s="57"/>
      <c r="J1558" s="58"/>
    </row>
    <row r="1559" spans="1:10" ht="15" customHeight="1">
      <c r="A1559" s="137" t="s">
        <v>4694</v>
      </c>
      <c r="B1559" s="116"/>
      <c r="C1559" s="117"/>
      <c r="D1559" s="136"/>
      <c r="E1559" s="136"/>
      <c r="F1559" s="117"/>
      <c r="G1559" s="119"/>
      <c r="H1559" s="268"/>
      <c r="I1559" s="57"/>
      <c r="J1559" s="58"/>
    </row>
    <row r="1560" spans="1:10" ht="15" customHeight="1">
      <c r="A1560" s="137" t="s">
        <v>4747</v>
      </c>
      <c r="B1560" s="116"/>
      <c r="C1560" s="117"/>
      <c r="D1560" s="136"/>
      <c r="E1560" s="136"/>
      <c r="F1560" s="117"/>
      <c r="G1560" s="119"/>
      <c r="H1560" s="268"/>
      <c r="I1560" s="57"/>
      <c r="J1560" s="58"/>
    </row>
    <row r="1561" spans="1:10" ht="12" customHeight="1">
      <c r="A1561" s="83">
        <v>4099854090240</v>
      </c>
      <c r="B1561" s="61" t="s">
        <v>6025</v>
      </c>
      <c r="C1561" s="62">
        <v>1</v>
      </c>
      <c r="D1561" s="138" t="s">
        <v>4746</v>
      </c>
      <c r="E1561" s="139" t="str">
        <f>HYPERLINK("https://ledvance.com/pt/product-datasheet/259414/246599","Ficha de Produto")</f>
        <v>Ficha de Produto</v>
      </c>
      <c r="F1561" s="84" t="s">
        <v>4183</v>
      </c>
      <c r="G1561" s="65" t="s">
        <v>5526</v>
      </c>
      <c r="H1561" s="62" t="s">
        <v>5627</v>
      </c>
      <c r="I1561" s="30">
        <v>82.3</v>
      </c>
      <c r="J1561" s="29" t="s">
        <v>721</v>
      </c>
    </row>
    <row r="1562" spans="1:10" ht="15" customHeight="1">
      <c r="A1562" s="137" t="s">
        <v>4748</v>
      </c>
      <c r="B1562" s="116"/>
      <c r="C1562" s="117"/>
      <c r="D1562" s="136"/>
      <c r="E1562" s="78"/>
      <c r="F1562" s="117"/>
      <c r="G1562" s="119"/>
      <c r="H1562" s="268"/>
      <c r="I1562" s="57"/>
      <c r="J1562" s="58"/>
    </row>
    <row r="1563" spans="1:10" ht="12" customHeight="1">
      <c r="A1563" s="74">
        <v>4058075762725</v>
      </c>
      <c r="B1563" s="61" t="s">
        <v>6026</v>
      </c>
      <c r="C1563" s="62">
        <v>1</v>
      </c>
      <c r="D1563" s="138" t="s">
        <v>4746</v>
      </c>
      <c r="E1563" s="139" t="str">
        <f>HYPERLINK("https://ledvance.com/pt/product-datasheet/230431/204479","Ficha de Produto")</f>
        <v>Ficha de Produto</v>
      </c>
      <c r="F1563" s="62"/>
      <c r="G1563" s="65" t="s">
        <v>6027</v>
      </c>
      <c r="H1563" s="62" t="s">
        <v>5627</v>
      </c>
      <c r="I1563" s="30">
        <v>246.2</v>
      </c>
      <c r="J1563" s="29" t="s">
        <v>721</v>
      </c>
    </row>
    <row r="1564" spans="1:10" ht="12" customHeight="1">
      <c r="A1564" s="74">
        <v>4058075762749</v>
      </c>
      <c r="B1564" s="61" t="s">
        <v>6028</v>
      </c>
      <c r="C1564" s="62">
        <v>1</v>
      </c>
      <c r="D1564" s="138" t="s">
        <v>4746</v>
      </c>
      <c r="E1564" s="139" t="str">
        <f>HYPERLINK("https://ledvance.com/pt/product-datasheet/230431/204482","Ficha de Produto")</f>
        <v>Ficha de Produto</v>
      </c>
      <c r="F1564" s="62"/>
      <c r="G1564" s="65" t="s">
        <v>6027</v>
      </c>
      <c r="H1564" s="62" t="s">
        <v>5627</v>
      </c>
      <c r="I1564" s="30">
        <v>246.2</v>
      </c>
      <c r="J1564" s="29" t="s">
        <v>721</v>
      </c>
    </row>
    <row r="1565" spans="1:10" ht="12" customHeight="1">
      <c r="A1565" s="74">
        <v>4058075762763</v>
      </c>
      <c r="B1565" s="61" t="s">
        <v>6029</v>
      </c>
      <c r="C1565" s="62">
        <v>1</v>
      </c>
      <c r="D1565" s="138" t="s">
        <v>4746</v>
      </c>
      <c r="E1565" s="139" t="str">
        <f>HYPERLINK("https://ledvance.com/pt/product-datasheet/230431/204485","Ficha de Produto")</f>
        <v>Ficha de Produto</v>
      </c>
      <c r="F1565" s="62"/>
      <c r="G1565" s="65" t="s">
        <v>6027</v>
      </c>
      <c r="H1565" s="62" t="s">
        <v>5627</v>
      </c>
      <c r="I1565" s="30">
        <v>246.2</v>
      </c>
      <c r="J1565" s="29" t="s">
        <v>721</v>
      </c>
    </row>
    <row r="1566" spans="1:10" ht="12" customHeight="1">
      <c r="A1566" s="74">
        <v>4058075762787</v>
      </c>
      <c r="B1566" s="61" t="s">
        <v>6030</v>
      </c>
      <c r="C1566" s="62">
        <v>1</v>
      </c>
      <c r="D1566" s="138" t="s">
        <v>4746</v>
      </c>
      <c r="E1566" s="139" t="str">
        <f>HYPERLINK("https://ledvance.com/pt/product-datasheet/230431/204488","Ficha de Produto")</f>
        <v>Ficha de Produto</v>
      </c>
      <c r="F1566" s="62"/>
      <c r="G1566" s="65" t="s">
        <v>6027</v>
      </c>
      <c r="H1566" s="62" t="s">
        <v>5627</v>
      </c>
      <c r="I1566" s="30">
        <v>246.2</v>
      </c>
      <c r="J1566" s="29" t="s">
        <v>721</v>
      </c>
    </row>
    <row r="1567" spans="1:10" ht="15" customHeight="1">
      <c r="A1567" s="194" t="s">
        <v>4749</v>
      </c>
      <c r="B1567" s="116"/>
      <c r="C1567" s="142"/>
      <c r="D1567" s="195"/>
      <c r="E1567" s="143"/>
      <c r="F1567" s="142"/>
      <c r="G1567" s="119"/>
      <c r="H1567" s="268"/>
      <c r="I1567" s="57"/>
      <c r="J1567" s="58"/>
    </row>
    <row r="1568" spans="1:10" ht="12" customHeight="1">
      <c r="A1568" s="74">
        <v>4058075750616</v>
      </c>
      <c r="B1568" s="61" t="s">
        <v>6031</v>
      </c>
      <c r="C1568" s="62">
        <v>1</v>
      </c>
      <c r="D1568" s="138" t="s">
        <v>4746</v>
      </c>
      <c r="E1568" s="139" t="str">
        <f>HYPERLINK("https://ledvance.com/pt/product-datasheet/230441/201691","Ficha de Produto")</f>
        <v>Ficha de Produto</v>
      </c>
      <c r="F1568" s="62"/>
      <c r="G1568" s="65" t="s">
        <v>6032</v>
      </c>
      <c r="H1568" s="62" t="s">
        <v>5627</v>
      </c>
      <c r="I1568" s="30">
        <v>123.3</v>
      </c>
      <c r="J1568" s="29" t="s">
        <v>721</v>
      </c>
    </row>
    <row r="1569" spans="1:10" ht="12" customHeight="1">
      <c r="A1569" s="74">
        <v>4058075750630</v>
      </c>
      <c r="B1569" s="61" t="s">
        <v>6033</v>
      </c>
      <c r="C1569" s="62">
        <v>1</v>
      </c>
      <c r="D1569" s="138" t="s">
        <v>4746</v>
      </c>
      <c r="E1569" s="139" t="str">
        <f>HYPERLINK("https://ledvance.com/pt/product-datasheet/230441/201694","Ficha de Produto")</f>
        <v>Ficha de Produto</v>
      </c>
      <c r="F1569" s="62"/>
      <c r="G1569" s="65" t="s">
        <v>4977</v>
      </c>
      <c r="H1569" s="62" t="s">
        <v>5627</v>
      </c>
      <c r="I1569" s="30">
        <v>150.6</v>
      </c>
      <c r="J1569" s="29" t="s">
        <v>721</v>
      </c>
    </row>
    <row r="1570" spans="1:10" ht="12" customHeight="1">
      <c r="A1570" s="74">
        <v>4058075750654</v>
      </c>
      <c r="B1570" s="61" t="s">
        <v>6034</v>
      </c>
      <c r="C1570" s="62">
        <v>1</v>
      </c>
      <c r="D1570" s="138" t="s">
        <v>4746</v>
      </c>
      <c r="E1570" s="139" t="str">
        <f>HYPERLINK("https://ledvance.com/pt/product-datasheet/230441/201697","Ficha de Produto")</f>
        <v>Ficha de Produto</v>
      </c>
      <c r="F1570" s="62"/>
      <c r="G1570" s="65" t="s">
        <v>4949</v>
      </c>
      <c r="H1570" s="62" t="s">
        <v>5627</v>
      </c>
      <c r="I1570" s="30">
        <v>178</v>
      </c>
      <c r="J1570" s="29" t="s">
        <v>721</v>
      </c>
    </row>
    <row r="1571" spans="1:10" ht="15" customHeight="1">
      <c r="A1571" s="122" t="s">
        <v>4750</v>
      </c>
      <c r="B1571" s="116"/>
      <c r="C1571" s="144"/>
      <c r="D1571" s="118"/>
      <c r="E1571" s="71"/>
      <c r="F1571" s="144"/>
      <c r="G1571" s="119"/>
      <c r="H1571" s="268"/>
      <c r="I1571" s="57"/>
      <c r="J1571" s="58"/>
    </row>
    <row r="1572" spans="1:10" ht="12" customHeight="1">
      <c r="A1572" s="74">
        <v>4058075575974</v>
      </c>
      <c r="B1572" s="61" t="s">
        <v>6035</v>
      </c>
      <c r="C1572" s="62">
        <v>1</v>
      </c>
      <c r="D1572" s="138" t="s">
        <v>4746</v>
      </c>
      <c r="E1572" s="139" t="str">
        <f>HYPERLINK("https://ledvance.com/pt/product-datasheet/169101/156108","Ficha de Produto")</f>
        <v>Ficha de Produto</v>
      </c>
      <c r="F1572" s="62"/>
      <c r="G1572" s="65" t="s">
        <v>1758</v>
      </c>
      <c r="H1572" s="62" t="s">
        <v>5627</v>
      </c>
      <c r="I1572" s="30">
        <v>341.8</v>
      </c>
      <c r="J1572" s="29" t="s">
        <v>721</v>
      </c>
    </row>
    <row r="1573" spans="1:10" ht="12" customHeight="1">
      <c r="A1573" s="74">
        <v>4058075575998</v>
      </c>
      <c r="B1573" s="61" t="s">
        <v>6036</v>
      </c>
      <c r="C1573" s="62">
        <v>1</v>
      </c>
      <c r="D1573" s="138" t="s">
        <v>4746</v>
      </c>
      <c r="E1573" s="139" t="str">
        <f>HYPERLINK("https://ledvance.com/pt/product-datasheet/169101/156111","Ficha de Produto")</f>
        <v>Ficha de Produto</v>
      </c>
      <c r="F1573" s="62"/>
      <c r="G1573" s="65" t="s">
        <v>1758</v>
      </c>
      <c r="H1573" s="62" t="s">
        <v>5627</v>
      </c>
      <c r="I1573" s="30">
        <v>341.8</v>
      </c>
      <c r="J1573" s="29" t="s">
        <v>721</v>
      </c>
    </row>
    <row r="1574" spans="1:10" ht="12" customHeight="1">
      <c r="A1574" s="74">
        <v>4058075576018</v>
      </c>
      <c r="B1574" s="61" t="s">
        <v>6037</v>
      </c>
      <c r="C1574" s="62">
        <v>1</v>
      </c>
      <c r="D1574" s="138" t="s">
        <v>4746</v>
      </c>
      <c r="E1574" s="139" t="str">
        <f>HYPERLINK("https://ledvance.com/pt/product-datasheet/169101/156114","Ficha de Produto")</f>
        <v>Ficha de Produto</v>
      </c>
      <c r="F1574" s="62"/>
      <c r="G1574" s="65" t="s">
        <v>4949</v>
      </c>
      <c r="H1574" s="62" t="s">
        <v>5627</v>
      </c>
      <c r="I1574" s="30">
        <v>178</v>
      </c>
      <c r="J1574" s="29" t="s">
        <v>721</v>
      </c>
    </row>
    <row r="1575" spans="1:10" ht="12" customHeight="1">
      <c r="A1575" s="74">
        <v>4058075576032</v>
      </c>
      <c r="B1575" s="61" t="s">
        <v>6038</v>
      </c>
      <c r="C1575" s="62">
        <v>1</v>
      </c>
      <c r="D1575" s="138" t="s">
        <v>4746</v>
      </c>
      <c r="E1575" s="139" t="str">
        <f>HYPERLINK("https://ledvance.com/pt/product-datasheet/169102/156117","Ficha de Produto")</f>
        <v>Ficha de Produto</v>
      </c>
      <c r="F1575" s="62"/>
      <c r="G1575" s="65" t="s">
        <v>1758</v>
      </c>
      <c r="H1575" s="62" t="s">
        <v>5627</v>
      </c>
      <c r="I1575" s="30">
        <v>205.29999999999998</v>
      </c>
      <c r="J1575" s="29" t="s">
        <v>721</v>
      </c>
    </row>
    <row r="1576" spans="1:10" ht="12" customHeight="1">
      <c r="A1576" s="74">
        <v>4058075576056</v>
      </c>
      <c r="B1576" s="61" t="s">
        <v>6039</v>
      </c>
      <c r="C1576" s="62">
        <v>1</v>
      </c>
      <c r="D1576" s="138" t="s">
        <v>4746</v>
      </c>
      <c r="E1576" s="139" t="str">
        <f>HYPERLINK("https://ledvance.com/pt/product-datasheet/169102/156120","Ficha de Produto")</f>
        <v>Ficha de Produto</v>
      </c>
      <c r="F1576" s="62"/>
      <c r="G1576" s="65" t="s">
        <v>1758</v>
      </c>
      <c r="H1576" s="62" t="s">
        <v>5627</v>
      </c>
      <c r="I1576" s="30">
        <v>205.29999999999998</v>
      </c>
      <c r="J1576" s="29" t="s">
        <v>721</v>
      </c>
    </row>
    <row r="1577" spans="1:10" ht="12" customHeight="1">
      <c r="A1577" s="140">
        <v>4058075576070</v>
      </c>
      <c r="B1577" s="61" t="s">
        <v>6040</v>
      </c>
      <c r="C1577" s="62">
        <v>1</v>
      </c>
      <c r="D1577" s="138" t="s">
        <v>4746</v>
      </c>
      <c r="E1577" s="139" t="str">
        <f>HYPERLINK("https://ledvance.com/pt/product-datasheet/169102/156123","Ficha de Produto")</f>
        <v>Ficha de Produto</v>
      </c>
      <c r="F1577" s="126"/>
      <c r="G1577" s="65" t="s">
        <v>4949</v>
      </c>
      <c r="H1577" s="62" t="s">
        <v>5627</v>
      </c>
      <c r="I1577" s="30">
        <v>123.3</v>
      </c>
      <c r="J1577" s="29" t="s">
        <v>721</v>
      </c>
    </row>
    <row r="1578" spans="1:10" ht="15" customHeight="1">
      <c r="A1578" s="122" t="s">
        <v>4751</v>
      </c>
      <c r="B1578" s="116"/>
      <c r="C1578" s="144"/>
      <c r="D1578" s="118"/>
      <c r="E1578" s="118"/>
      <c r="F1578" s="144"/>
      <c r="G1578" s="119"/>
      <c r="H1578" s="268"/>
      <c r="I1578" s="57"/>
      <c r="J1578" s="58"/>
    </row>
    <row r="1579" spans="1:10" ht="12" customHeight="1">
      <c r="A1579" s="74">
        <v>4058075627000</v>
      </c>
      <c r="B1579" s="61" t="s">
        <v>6041</v>
      </c>
      <c r="C1579" s="62">
        <v>1</v>
      </c>
      <c r="D1579" s="138" t="s">
        <v>4746</v>
      </c>
      <c r="E1579" s="139" t="str">
        <f>HYPERLINK("https://ledvance.com/pt/product-datasheet/169098/156034","Ficha de Produto")</f>
        <v>Ficha de Produto</v>
      </c>
      <c r="F1579" s="62"/>
      <c r="G1579" s="65" t="s">
        <v>5564</v>
      </c>
      <c r="H1579" s="62" t="s">
        <v>5627</v>
      </c>
      <c r="I1579" s="30">
        <v>41.4</v>
      </c>
      <c r="J1579" s="29" t="s">
        <v>721</v>
      </c>
    </row>
    <row r="1580" spans="1:10" ht="12" customHeight="1">
      <c r="A1580" s="74">
        <v>4058075627024</v>
      </c>
      <c r="B1580" s="61" t="s">
        <v>6042</v>
      </c>
      <c r="C1580" s="62">
        <v>1</v>
      </c>
      <c r="D1580" s="138" t="s">
        <v>4746</v>
      </c>
      <c r="E1580" s="139" t="str">
        <f>HYPERLINK("https://ledvance.com/pt/product-datasheet/169098/156037","Ficha de Produto")</f>
        <v>Ficha de Produto</v>
      </c>
      <c r="F1580" s="62"/>
      <c r="G1580" s="65" t="s">
        <v>1746</v>
      </c>
      <c r="H1580" s="62" t="s">
        <v>5627</v>
      </c>
      <c r="I1580" s="30">
        <v>48.2</v>
      </c>
      <c r="J1580" s="29" t="s">
        <v>721</v>
      </c>
    </row>
    <row r="1581" spans="1:10" ht="12" customHeight="1">
      <c r="A1581" s="74">
        <v>4058075575851</v>
      </c>
      <c r="B1581" s="61" t="s">
        <v>6043</v>
      </c>
      <c r="C1581" s="62">
        <v>1</v>
      </c>
      <c r="D1581" s="138" t="s">
        <v>4746</v>
      </c>
      <c r="E1581" s="139" t="str">
        <f>HYPERLINK("https://ledvance.com/pt/product-datasheet/169098/156093","Ficha de Produto")</f>
        <v>Ficha de Produto</v>
      </c>
      <c r="F1581" s="62"/>
      <c r="G1581" s="65" t="s">
        <v>5036</v>
      </c>
      <c r="H1581" s="62" t="s">
        <v>5627</v>
      </c>
      <c r="I1581" s="30">
        <v>70.599999999999994</v>
      </c>
      <c r="J1581" s="29" t="s">
        <v>721</v>
      </c>
    </row>
    <row r="1582" spans="1:10" ht="15" customHeight="1">
      <c r="A1582" s="145" t="s">
        <v>4752</v>
      </c>
      <c r="B1582" s="116"/>
      <c r="C1582" s="146"/>
      <c r="D1582" s="147"/>
      <c r="E1582" s="35"/>
      <c r="F1582" s="146"/>
      <c r="G1582" s="119"/>
      <c r="H1582" s="268"/>
      <c r="I1582" s="57"/>
      <c r="J1582" s="58"/>
    </row>
    <row r="1583" spans="1:10" ht="12" customHeight="1">
      <c r="A1583" s="74">
        <v>4058075575950</v>
      </c>
      <c r="B1583" s="61" t="s">
        <v>6044</v>
      </c>
      <c r="C1583" s="62">
        <v>1</v>
      </c>
      <c r="D1583" s="138" t="s">
        <v>4746</v>
      </c>
      <c r="E1583" s="139" t="str">
        <f>HYPERLINK("https://ledvance.com/pt/product-datasheet/209841/156105","Ficha de Produto")</f>
        <v>Ficha de Produto</v>
      </c>
      <c r="F1583" s="62"/>
      <c r="G1583" s="65" t="s">
        <v>4938</v>
      </c>
      <c r="H1583" s="62" t="s">
        <v>5627</v>
      </c>
      <c r="I1583" s="30">
        <v>164.29999999999998</v>
      </c>
      <c r="J1583" s="29" t="s">
        <v>721</v>
      </c>
    </row>
    <row r="1584" spans="1:10" ht="12" customHeight="1">
      <c r="A1584" s="74">
        <v>4058075575936</v>
      </c>
      <c r="B1584" s="61" t="s">
        <v>6045</v>
      </c>
      <c r="C1584" s="62">
        <v>1</v>
      </c>
      <c r="D1584" s="138" t="s">
        <v>4746</v>
      </c>
      <c r="E1584" s="139" t="str">
        <f>HYPERLINK("https://ledvance.com/pt/product-datasheet/169100/156102","Ficha de Produto")</f>
        <v>Ficha de Produto</v>
      </c>
      <c r="F1584" s="62"/>
      <c r="G1584" s="65" t="s">
        <v>4940</v>
      </c>
      <c r="H1584" s="62" t="s">
        <v>5627</v>
      </c>
      <c r="I1584" s="30">
        <v>123.3</v>
      </c>
      <c r="J1584" s="29" t="s">
        <v>721</v>
      </c>
    </row>
    <row r="1585" spans="1:10" ht="15" customHeight="1">
      <c r="A1585" s="145" t="s">
        <v>4753</v>
      </c>
      <c r="B1585" s="116"/>
      <c r="C1585" s="146"/>
      <c r="D1585" s="147"/>
      <c r="E1585" s="35"/>
      <c r="F1585" s="146"/>
      <c r="G1585" s="119"/>
      <c r="H1585" s="268"/>
      <c r="I1585" s="57"/>
      <c r="J1585" s="58"/>
    </row>
    <row r="1586" spans="1:10" ht="12" customHeight="1">
      <c r="A1586" s="74">
        <v>4058075576117</v>
      </c>
      <c r="B1586" s="61" t="s">
        <v>6046</v>
      </c>
      <c r="C1586" s="62">
        <v>1</v>
      </c>
      <c r="D1586" s="138" t="s">
        <v>4746</v>
      </c>
      <c r="E1586" s="139" t="str">
        <f>HYPERLINK("https://ledvance.com/pt/product-datasheet/209842/160668","Ficha de Produto")</f>
        <v>Ficha de Produto</v>
      </c>
      <c r="F1586" s="62"/>
      <c r="G1586" s="65" t="s">
        <v>5723</v>
      </c>
      <c r="H1586" s="62" t="s">
        <v>5627</v>
      </c>
      <c r="I1586" s="30">
        <v>109.69999999999999</v>
      </c>
      <c r="J1586" s="29" t="s">
        <v>721</v>
      </c>
    </row>
    <row r="1587" spans="1:10" ht="12" customHeight="1">
      <c r="A1587" s="74">
        <v>4058075576094</v>
      </c>
      <c r="B1587" s="61" t="s">
        <v>6047</v>
      </c>
      <c r="C1587" s="62">
        <v>1</v>
      </c>
      <c r="D1587" s="138" t="s">
        <v>4746</v>
      </c>
      <c r="E1587" s="139" t="str">
        <f>HYPERLINK("https://ledvance.com/pt/product-datasheet/169103/156126","Ficha de Produto")</f>
        <v>Ficha de Produto</v>
      </c>
      <c r="F1587" s="101" t="s">
        <v>4251</v>
      </c>
      <c r="G1587" s="65" t="s">
        <v>1752</v>
      </c>
      <c r="H1587" s="62" t="s">
        <v>5627</v>
      </c>
      <c r="I1587" s="30">
        <v>100.8</v>
      </c>
      <c r="J1587" s="29" t="s">
        <v>721</v>
      </c>
    </row>
    <row r="1588" spans="1:10" ht="15" customHeight="1">
      <c r="A1588" s="122" t="s">
        <v>4754</v>
      </c>
      <c r="B1588" s="116"/>
      <c r="C1588" s="144"/>
      <c r="D1588" s="118"/>
      <c r="E1588" s="71"/>
      <c r="F1588" s="144"/>
      <c r="G1588" s="119"/>
      <c r="H1588" s="268"/>
      <c r="I1588" s="57"/>
      <c r="J1588" s="58"/>
    </row>
    <row r="1589" spans="1:10" ht="12" customHeight="1">
      <c r="A1589" s="74">
        <v>4058075762176</v>
      </c>
      <c r="B1589" s="61" t="s">
        <v>6048</v>
      </c>
      <c r="C1589" s="62">
        <v>1</v>
      </c>
      <c r="D1589" s="138" t="s">
        <v>4746</v>
      </c>
      <c r="E1589" s="139" t="str">
        <f>HYPERLINK("https://ledvance.com/pt/product-datasheet/169097/212012","Ficha de Produto")</f>
        <v>Ficha de Produto</v>
      </c>
      <c r="F1589" s="148"/>
      <c r="G1589" s="65" t="s">
        <v>798</v>
      </c>
      <c r="H1589" s="62" t="s">
        <v>5627</v>
      </c>
      <c r="I1589" s="30">
        <v>37.800000000000004</v>
      </c>
      <c r="J1589" s="29" t="s">
        <v>721</v>
      </c>
    </row>
    <row r="1590" spans="1:10" ht="12" customHeight="1">
      <c r="A1590" s="74">
        <v>4058075575790</v>
      </c>
      <c r="B1590" s="61" t="s">
        <v>6049</v>
      </c>
      <c r="C1590" s="62">
        <v>1</v>
      </c>
      <c r="D1590" s="138" t="s">
        <v>4746</v>
      </c>
      <c r="E1590" s="139" t="str">
        <f>HYPERLINK("https://ledvance.com/pt/product-datasheet/169097/156087","Ficha de Produto")</f>
        <v>Ficha de Produto</v>
      </c>
      <c r="F1590" s="62"/>
      <c r="G1590" s="65" t="s">
        <v>886</v>
      </c>
      <c r="H1590" s="62" t="s">
        <v>5627</v>
      </c>
      <c r="I1590" s="30">
        <v>28.5</v>
      </c>
      <c r="J1590" s="29" t="s">
        <v>721</v>
      </c>
    </row>
    <row r="1591" spans="1:10" ht="12" customHeight="1">
      <c r="A1591" s="74">
        <v>4058075575813</v>
      </c>
      <c r="B1591" s="61" t="s">
        <v>6050</v>
      </c>
      <c r="C1591" s="62">
        <v>1</v>
      </c>
      <c r="D1591" s="138" t="s">
        <v>4746</v>
      </c>
      <c r="E1591" s="139" t="str">
        <f>HYPERLINK("https://ledvance.com/pt/product-datasheet/169097/156090","Ficha de Produto")</f>
        <v>Ficha de Produto</v>
      </c>
      <c r="F1591" s="62"/>
      <c r="G1591" s="65" t="s">
        <v>6051</v>
      </c>
      <c r="H1591" s="62" t="s">
        <v>5627</v>
      </c>
      <c r="I1591" s="30">
        <v>28.5</v>
      </c>
      <c r="J1591" s="29" t="s">
        <v>721</v>
      </c>
    </row>
    <row r="1592" spans="1:10" ht="12" customHeight="1">
      <c r="A1592" s="74">
        <v>4058075575776</v>
      </c>
      <c r="B1592" s="61" t="s">
        <v>6052</v>
      </c>
      <c r="C1592" s="62">
        <v>1</v>
      </c>
      <c r="D1592" s="138" t="s">
        <v>4746</v>
      </c>
      <c r="E1592" s="139" t="str">
        <f>HYPERLINK("https://ledvance.com/pt/product-datasheet/169097/156083","Ficha de Produto")</f>
        <v>Ficha de Produto</v>
      </c>
      <c r="F1592" s="62"/>
      <c r="G1592" s="65" t="s">
        <v>6051</v>
      </c>
      <c r="H1592" s="62" t="s">
        <v>5627</v>
      </c>
      <c r="I1592" s="30">
        <v>28.5</v>
      </c>
      <c r="J1592" s="29" t="s">
        <v>721</v>
      </c>
    </row>
    <row r="1593" spans="1:10" ht="15" customHeight="1">
      <c r="A1593" s="120" t="s">
        <v>4755</v>
      </c>
      <c r="B1593" s="116"/>
      <c r="C1593" s="144"/>
      <c r="D1593" s="121"/>
      <c r="E1593" s="121"/>
      <c r="F1593" s="144"/>
      <c r="G1593" s="119"/>
      <c r="H1593" s="268"/>
      <c r="I1593" s="57"/>
      <c r="J1593" s="58"/>
    </row>
    <row r="1594" spans="1:10" ht="15" customHeight="1">
      <c r="A1594" s="120" t="s">
        <v>4756</v>
      </c>
      <c r="B1594" s="116"/>
      <c r="C1594" s="117"/>
      <c r="D1594" s="121"/>
      <c r="E1594" s="78"/>
      <c r="F1594" s="117"/>
      <c r="G1594" s="119"/>
      <c r="H1594" s="268"/>
      <c r="I1594" s="57"/>
      <c r="J1594" s="58"/>
    </row>
    <row r="1595" spans="1:10" ht="15" customHeight="1">
      <c r="A1595" s="137" t="s">
        <v>4757</v>
      </c>
      <c r="B1595" s="116"/>
      <c r="C1595" s="117"/>
      <c r="D1595" s="136"/>
      <c r="E1595" s="136"/>
      <c r="F1595" s="117"/>
      <c r="G1595" s="119"/>
      <c r="H1595" s="268"/>
      <c r="I1595" s="57"/>
      <c r="J1595" s="58"/>
    </row>
    <row r="1596" spans="1:10" ht="12" customHeight="1">
      <c r="A1596" s="74">
        <v>4058075759749</v>
      </c>
      <c r="B1596" s="61" t="s">
        <v>6053</v>
      </c>
      <c r="C1596" s="62">
        <v>1</v>
      </c>
      <c r="D1596" s="138" t="s">
        <v>4755</v>
      </c>
      <c r="E1596" s="139" t="str">
        <f>HYPERLINK("https://ledvance.com/pt/product-datasheet/231994/203860","Ficha de Produto")</f>
        <v>Ficha de Produto</v>
      </c>
      <c r="F1596" s="62"/>
      <c r="G1596" s="65" t="s">
        <v>5176</v>
      </c>
      <c r="H1596" s="62" t="s">
        <v>4930</v>
      </c>
      <c r="I1596" s="30">
        <v>61.9</v>
      </c>
      <c r="J1596" s="29" t="s">
        <v>721</v>
      </c>
    </row>
    <row r="1597" spans="1:10" ht="12" customHeight="1">
      <c r="A1597" s="74">
        <v>4058075759763</v>
      </c>
      <c r="B1597" s="61" t="s">
        <v>6054</v>
      </c>
      <c r="C1597" s="62">
        <v>1</v>
      </c>
      <c r="D1597" s="138" t="s">
        <v>4755</v>
      </c>
      <c r="E1597" s="139" t="str">
        <f>HYPERLINK("https://ledvance.com/pt/product-datasheet/231994/203863","Ficha de Produto")</f>
        <v>Ficha de Produto</v>
      </c>
      <c r="F1597" s="62"/>
      <c r="G1597" s="65" t="s">
        <v>5176</v>
      </c>
      <c r="H1597" s="62" t="s">
        <v>4930</v>
      </c>
      <c r="I1597" s="30">
        <v>61.9</v>
      </c>
      <c r="J1597" s="29" t="s">
        <v>721</v>
      </c>
    </row>
    <row r="1598" spans="1:10" ht="15" customHeight="1">
      <c r="A1598" s="137" t="s">
        <v>4758</v>
      </c>
      <c r="B1598" s="116"/>
      <c r="C1598" s="117"/>
      <c r="D1598" s="136"/>
      <c r="E1598" s="78"/>
      <c r="F1598" s="117"/>
      <c r="G1598" s="119"/>
      <c r="H1598" s="268"/>
      <c r="I1598" s="57"/>
      <c r="J1598" s="58"/>
    </row>
    <row r="1599" spans="1:10" ht="12" customHeight="1">
      <c r="A1599" s="74">
        <v>4058075759787</v>
      </c>
      <c r="B1599" s="61" t="s">
        <v>6055</v>
      </c>
      <c r="C1599" s="62">
        <v>1</v>
      </c>
      <c r="D1599" s="138" t="s">
        <v>4755</v>
      </c>
      <c r="E1599" s="139" t="str">
        <f>HYPERLINK("https://ledvance.com/pt/product-datasheet/231995/203866","Ficha de Produto")</f>
        <v>Ficha de Produto</v>
      </c>
      <c r="F1599" s="62"/>
      <c r="G1599" s="65" t="s">
        <v>1746</v>
      </c>
      <c r="H1599" s="62" t="s">
        <v>4930</v>
      </c>
      <c r="I1599" s="30">
        <v>61.9</v>
      </c>
      <c r="J1599" s="29" t="s">
        <v>721</v>
      </c>
    </row>
    <row r="1600" spans="1:10" ht="12" customHeight="1">
      <c r="A1600" s="74">
        <v>4058075759800</v>
      </c>
      <c r="B1600" s="61" t="s">
        <v>6056</v>
      </c>
      <c r="C1600" s="62">
        <v>1</v>
      </c>
      <c r="D1600" s="138" t="s">
        <v>4755</v>
      </c>
      <c r="E1600" s="139" t="str">
        <f>HYPERLINK("https://ledvance.com/pt/product-datasheet/231995/203869","Ficha de Produto")</f>
        <v>Ficha de Produto</v>
      </c>
      <c r="F1600" s="62"/>
      <c r="G1600" s="65" t="s">
        <v>1746</v>
      </c>
      <c r="H1600" s="62" t="s">
        <v>4930</v>
      </c>
      <c r="I1600" s="30">
        <v>61.9</v>
      </c>
      <c r="J1600" s="29" t="s">
        <v>721</v>
      </c>
    </row>
    <row r="1601" spans="1:10" ht="15" customHeight="1">
      <c r="A1601" s="120" t="s">
        <v>4759</v>
      </c>
      <c r="B1601" s="116"/>
      <c r="C1601" s="117"/>
      <c r="D1601" s="121"/>
      <c r="E1601" s="78"/>
      <c r="F1601" s="117"/>
      <c r="G1601" s="119"/>
      <c r="H1601" s="268"/>
      <c r="I1601" s="57"/>
      <c r="J1601" s="58"/>
    </row>
    <row r="1602" spans="1:10" ht="15" customHeight="1">
      <c r="A1602" s="137" t="s">
        <v>4760</v>
      </c>
      <c r="B1602" s="116"/>
      <c r="C1602" s="117"/>
      <c r="D1602" s="136"/>
      <c r="E1602" s="78"/>
      <c r="F1602" s="117"/>
      <c r="G1602" s="119"/>
      <c r="H1602" s="268"/>
      <c r="I1602" s="57"/>
      <c r="J1602" s="58"/>
    </row>
    <row r="1603" spans="1:10" ht="12" customHeight="1">
      <c r="A1603" s="74">
        <v>4058075756649</v>
      </c>
      <c r="B1603" s="61" t="s">
        <v>6057</v>
      </c>
      <c r="C1603" s="62">
        <v>1</v>
      </c>
      <c r="D1603" s="138" t="s">
        <v>4755</v>
      </c>
      <c r="E1603" s="139" t="str">
        <f>HYPERLINK("https://ledvance.com/pt/product-datasheet/231897/202989","Ficha de Produto")</f>
        <v>Ficha de Produto</v>
      </c>
      <c r="F1603" s="62"/>
      <c r="G1603" s="65" t="s">
        <v>4963</v>
      </c>
      <c r="H1603" s="62" t="s">
        <v>4963</v>
      </c>
      <c r="I1603" s="30">
        <v>23.6</v>
      </c>
      <c r="J1603" s="29" t="s">
        <v>721</v>
      </c>
    </row>
    <row r="1604" spans="1:10" ht="12" customHeight="1">
      <c r="A1604" s="74">
        <v>4058075756663</v>
      </c>
      <c r="B1604" s="61" t="s">
        <v>6058</v>
      </c>
      <c r="C1604" s="62">
        <v>1</v>
      </c>
      <c r="D1604" s="138" t="s">
        <v>4755</v>
      </c>
      <c r="E1604" s="139" t="str">
        <f>HYPERLINK("https://ledvance.com/pt/product-datasheet/231897/202992","Ficha de Produto")</f>
        <v>Ficha de Produto</v>
      </c>
      <c r="F1604" s="62"/>
      <c r="G1604" s="65" t="s">
        <v>4963</v>
      </c>
      <c r="H1604" s="62" t="s">
        <v>4963</v>
      </c>
      <c r="I1604" s="30">
        <v>23.6</v>
      </c>
      <c r="J1604" s="29" t="s">
        <v>721</v>
      </c>
    </row>
    <row r="1605" spans="1:10" ht="15" customHeight="1">
      <c r="A1605" s="137" t="s">
        <v>4761</v>
      </c>
      <c r="B1605" s="116"/>
      <c r="C1605" s="117"/>
      <c r="D1605" s="136"/>
      <c r="E1605" s="136"/>
      <c r="F1605" s="117"/>
      <c r="G1605" s="119"/>
      <c r="H1605" s="268"/>
      <c r="I1605" s="57"/>
      <c r="J1605" s="58"/>
    </row>
    <row r="1606" spans="1:10" ht="12" customHeight="1">
      <c r="A1606" s="74">
        <v>4058075756588</v>
      </c>
      <c r="B1606" s="61" t="s">
        <v>6059</v>
      </c>
      <c r="C1606" s="62">
        <v>1</v>
      </c>
      <c r="D1606" s="138" t="s">
        <v>4755</v>
      </c>
      <c r="E1606" s="139" t="str">
        <f>HYPERLINK("https://ledvance.com/pt/product-datasheet/231896/202983","Ficha de Produto")</f>
        <v>Ficha de Produto</v>
      </c>
      <c r="F1606" s="62"/>
      <c r="G1606" s="65" t="s">
        <v>4963</v>
      </c>
      <c r="H1606" s="62" t="s">
        <v>4963</v>
      </c>
      <c r="I1606" s="30">
        <v>23.6</v>
      </c>
      <c r="J1606" s="29" t="s">
        <v>721</v>
      </c>
    </row>
    <row r="1607" spans="1:10" ht="12" customHeight="1">
      <c r="A1607" s="74">
        <v>4058075756625</v>
      </c>
      <c r="B1607" s="61" t="s">
        <v>6060</v>
      </c>
      <c r="C1607" s="62">
        <v>1</v>
      </c>
      <c r="D1607" s="138" t="s">
        <v>4755</v>
      </c>
      <c r="E1607" s="139" t="str">
        <f>HYPERLINK("https://ledvance.com/pt/product-datasheet/231896/202986","Ficha de Produto")</f>
        <v>Ficha de Produto</v>
      </c>
      <c r="F1607" s="62"/>
      <c r="G1607" s="65" t="s">
        <v>4963</v>
      </c>
      <c r="H1607" s="62" t="s">
        <v>4963</v>
      </c>
      <c r="I1607" s="30">
        <v>23.6</v>
      </c>
      <c r="J1607" s="29" t="s">
        <v>721</v>
      </c>
    </row>
    <row r="1608" spans="1:10" ht="15" customHeight="1">
      <c r="A1608" s="137" t="s">
        <v>4762</v>
      </c>
      <c r="B1608" s="116"/>
      <c r="C1608" s="117"/>
      <c r="D1608" s="136"/>
      <c r="E1608" s="78"/>
      <c r="F1608" s="117"/>
      <c r="G1608" s="119"/>
      <c r="H1608" s="268"/>
      <c r="I1608" s="57"/>
      <c r="J1608" s="58"/>
    </row>
    <row r="1609" spans="1:10" ht="12" customHeight="1">
      <c r="A1609" s="74">
        <v>4058075756687</v>
      </c>
      <c r="B1609" s="61" t="s">
        <v>6061</v>
      </c>
      <c r="C1609" s="62">
        <v>1</v>
      </c>
      <c r="D1609" s="138" t="s">
        <v>4755</v>
      </c>
      <c r="E1609" s="139" t="str">
        <f>HYPERLINK("https://ledvance.com/pt/product-datasheet/231898/202995","Ficha de Produto")</f>
        <v>Ficha de Produto</v>
      </c>
      <c r="F1609" s="62"/>
      <c r="G1609" s="65" t="s">
        <v>4963</v>
      </c>
      <c r="H1609" s="62" t="s">
        <v>4963</v>
      </c>
      <c r="I1609" s="30">
        <v>23.6</v>
      </c>
      <c r="J1609" s="29" t="s">
        <v>721</v>
      </c>
    </row>
    <row r="1610" spans="1:10" ht="12" customHeight="1">
      <c r="A1610" s="74">
        <v>4058075756700</v>
      </c>
      <c r="B1610" s="61" t="s">
        <v>6062</v>
      </c>
      <c r="C1610" s="62">
        <v>1</v>
      </c>
      <c r="D1610" s="138" t="s">
        <v>4755</v>
      </c>
      <c r="E1610" s="139" t="str">
        <f>HYPERLINK("https://ledvance.com/pt/product-datasheet/231898/202998","Ficha de Produto")</f>
        <v>Ficha de Produto</v>
      </c>
      <c r="F1610" s="62"/>
      <c r="G1610" s="65" t="s">
        <v>4963</v>
      </c>
      <c r="H1610" s="62" t="s">
        <v>4963</v>
      </c>
      <c r="I1610" s="30">
        <v>23.6</v>
      </c>
      <c r="J1610" s="29" t="s">
        <v>721</v>
      </c>
    </row>
    <row r="1611" spans="1:10" ht="15" customHeight="1">
      <c r="A1611" s="137" t="s">
        <v>4763</v>
      </c>
      <c r="B1611" s="116"/>
      <c r="C1611" s="117"/>
      <c r="D1611" s="136"/>
      <c r="E1611" s="136"/>
      <c r="F1611" s="117"/>
      <c r="G1611" s="119"/>
      <c r="H1611" s="268"/>
      <c r="I1611" s="57"/>
      <c r="J1611" s="58"/>
    </row>
    <row r="1612" spans="1:10" ht="12" customHeight="1">
      <c r="A1612" s="74">
        <v>4099854012730</v>
      </c>
      <c r="B1612" s="61" t="s">
        <v>6063</v>
      </c>
      <c r="C1612" s="62">
        <v>1</v>
      </c>
      <c r="D1612" s="138" t="s">
        <v>4755</v>
      </c>
      <c r="E1612" s="139" t="str">
        <f>HYPERLINK("https://ledvance.com/pt/product-datasheet/231895/221526","Ficha de Produto")</f>
        <v>Ficha de Produto</v>
      </c>
      <c r="F1612" s="62"/>
      <c r="G1612" s="65" t="s">
        <v>4963</v>
      </c>
      <c r="H1612" s="62" t="s">
        <v>4963</v>
      </c>
      <c r="I1612" s="30">
        <v>34.5</v>
      </c>
      <c r="J1612" s="29" t="s">
        <v>721</v>
      </c>
    </row>
    <row r="1613" spans="1:10" ht="12" customHeight="1">
      <c r="A1613" s="74">
        <v>4099854012754</v>
      </c>
      <c r="B1613" s="61" t="s">
        <v>6064</v>
      </c>
      <c r="C1613" s="62">
        <v>1</v>
      </c>
      <c r="D1613" s="138" t="s">
        <v>4755</v>
      </c>
      <c r="E1613" s="139" t="str">
        <f>HYPERLINK("https://ledvance.com/pt/product-datasheet/231895/221529","Ficha de Produto")</f>
        <v>Ficha de Produto</v>
      </c>
      <c r="F1613" s="62"/>
      <c r="G1613" s="65" t="s">
        <v>4963</v>
      </c>
      <c r="H1613" s="62" t="s">
        <v>4963</v>
      </c>
      <c r="I1613" s="30">
        <v>34.5</v>
      </c>
      <c r="J1613" s="29" t="s">
        <v>721</v>
      </c>
    </row>
    <row r="1614" spans="1:10" ht="15" customHeight="1">
      <c r="A1614" s="120" t="s">
        <v>4764</v>
      </c>
      <c r="B1614" s="116"/>
      <c r="C1614" s="117"/>
      <c r="D1614" s="121"/>
      <c r="E1614" s="78"/>
      <c r="F1614" s="117"/>
      <c r="G1614" s="119"/>
      <c r="H1614" s="268"/>
      <c r="I1614" s="57"/>
      <c r="J1614" s="58"/>
    </row>
    <row r="1615" spans="1:10" ht="12" customHeight="1">
      <c r="A1615" s="74">
        <v>4058075763920</v>
      </c>
      <c r="B1615" s="61" t="s">
        <v>6065</v>
      </c>
      <c r="C1615" s="62">
        <v>1</v>
      </c>
      <c r="D1615" s="138" t="s">
        <v>4755</v>
      </c>
      <c r="E1615" s="139" t="str">
        <f>HYPERLINK("https://ledvance.com/pt/product-datasheet/231893/206986","Ficha de Produto")</f>
        <v>Ficha de Produto</v>
      </c>
      <c r="F1615" s="62"/>
      <c r="G1615" s="65">
        <v>0</v>
      </c>
      <c r="H1615" s="62">
        <v>0</v>
      </c>
      <c r="I1615" s="30">
        <v>26.3</v>
      </c>
      <c r="J1615" s="29" t="s">
        <v>721</v>
      </c>
    </row>
    <row r="1616" spans="1:10" ht="12" customHeight="1">
      <c r="A1616" s="74">
        <v>4058075763944</v>
      </c>
      <c r="B1616" s="61" t="s">
        <v>6066</v>
      </c>
      <c r="C1616" s="62">
        <v>1</v>
      </c>
      <c r="D1616" s="138" t="s">
        <v>4755</v>
      </c>
      <c r="E1616" s="139" t="str">
        <f>HYPERLINK("https://ledvance.com/pt/product-datasheet/231893/206989","Ficha de Produto")</f>
        <v>Ficha de Produto</v>
      </c>
      <c r="F1616" s="62"/>
      <c r="G1616" s="65">
        <v>0</v>
      </c>
      <c r="H1616" s="62">
        <v>0</v>
      </c>
      <c r="I1616" s="30">
        <v>26.3</v>
      </c>
      <c r="J1616" s="29" t="s">
        <v>721</v>
      </c>
    </row>
    <row r="1617" spans="1:10" ht="12" customHeight="1">
      <c r="A1617" s="74">
        <v>4058075763968</v>
      </c>
      <c r="B1617" s="61" t="s">
        <v>6067</v>
      </c>
      <c r="C1617" s="62">
        <v>1</v>
      </c>
      <c r="D1617" s="138" t="s">
        <v>4755</v>
      </c>
      <c r="E1617" s="139" t="str">
        <f>HYPERLINK("https://ledvance.com/pt/product-datasheet/231894/206992","Ficha de Produto")</f>
        <v>Ficha de Produto</v>
      </c>
      <c r="F1617" s="62"/>
      <c r="G1617" s="65">
        <v>0</v>
      </c>
      <c r="H1617" s="62">
        <v>0</v>
      </c>
      <c r="I1617" s="30">
        <v>7.1999999999999993</v>
      </c>
      <c r="J1617" s="29" t="s">
        <v>721</v>
      </c>
    </row>
    <row r="1618" spans="1:10" ht="12" customHeight="1">
      <c r="A1618" s="74">
        <v>4058075763982</v>
      </c>
      <c r="B1618" s="61" t="s">
        <v>6068</v>
      </c>
      <c r="C1618" s="62">
        <v>1</v>
      </c>
      <c r="D1618" s="138" t="s">
        <v>4755</v>
      </c>
      <c r="E1618" s="139" t="str">
        <f>HYPERLINK("https://ledvance.com/pt/product-datasheet/231894/206995","Ficha de Produto")</f>
        <v>Ficha de Produto</v>
      </c>
      <c r="F1618" s="62"/>
      <c r="G1618" s="65">
        <v>0</v>
      </c>
      <c r="H1618" s="62">
        <v>0</v>
      </c>
      <c r="I1618" s="30">
        <v>7.1999999999999993</v>
      </c>
      <c r="J1618" s="29" t="s">
        <v>721</v>
      </c>
    </row>
    <row r="1619" spans="1:10" ht="12" customHeight="1">
      <c r="A1619" s="74">
        <v>4058075764002</v>
      </c>
      <c r="B1619" s="61" t="s">
        <v>6069</v>
      </c>
      <c r="C1619" s="62">
        <v>1</v>
      </c>
      <c r="D1619" s="138" t="s">
        <v>4755</v>
      </c>
      <c r="E1619" s="139" t="str">
        <f>HYPERLINK("https://ledvance.com/pt/product-datasheet/231894/206998","Ficha de Produto")</f>
        <v>Ficha de Produto</v>
      </c>
      <c r="F1619" s="62"/>
      <c r="G1619" s="65">
        <v>0</v>
      </c>
      <c r="H1619" s="62">
        <v>0</v>
      </c>
      <c r="I1619" s="30">
        <v>5.8999999999999995</v>
      </c>
      <c r="J1619" s="29" t="s">
        <v>721</v>
      </c>
    </row>
    <row r="1620" spans="1:10" ht="12" customHeight="1">
      <c r="A1620" s="74">
        <v>4058075764026</v>
      </c>
      <c r="B1620" s="61" t="s">
        <v>6070</v>
      </c>
      <c r="C1620" s="62">
        <v>1</v>
      </c>
      <c r="D1620" s="138" t="s">
        <v>4755</v>
      </c>
      <c r="E1620" s="139" t="str">
        <f>HYPERLINK("https://ledvance.com/pt/product-datasheet/231894/207001","Ficha de Produto")</f>
        <v>Ficha de Produto</v>
      </c>
      <c r="F1620" s="62"/>
      <c r="G1620" s="65">
        <v>0</v>
      </c>
      <c r="H1620" s="62">
        <v>0</v>
      </c>
      <c r="I1620" s="30">
        <v>5.8999999999999995</v>
      </c>
      <c r="J1620" s="29" t="s">
        <v>721</v>
      </c>
    </row>
    <row r="1621" spans="1:10" ht="12" customHeight="1">
      <c r="A1621" s="74">
        <v>4058075764040</v>
      </c>
      <c r="B1621" s="61" t="s">
        <v>6071</v>
      </c>
      <c r="C1621" s="62">
        <v>1</v>
      </c>
      <c r="D1621" s="138" t="s">
        <v>4755</v>
      </c>
      <c r="E1621" s="139" t="str">
        <f>HYPERLINK("https://ledvance.com/pt/product-datasheet/231894/207004","Ficha de Produto")</f>
        <v>Ficha de Produto</v>
      </c>
      <c r="F1621" s="62"/>
      <c r="G1621" s="65">
        <v>0</v>
      </c>
      <c r="H1621" s="62">
        <v>0</v>
      </c>
      <c r="I1621" s="30">
        <v>11.299999999999999</v>
      </c>
      <c r="J1621" s="29" t="s">
        <v>721</v>
      </c>
    </row>
    <row r="1622" spans="1:10" ht="12" customHeight="1">
      <c r="A1622" s="74">
        <v>4058075764064</v>
      </c>
      <c r="B1622" s="61" t="s">
        <v>6072</v>
      </c>
      <c r="C1622" s="62">
        <v>1</v>
      </c>
      <c r="D1622" s="138" t="s">
        <v>4755</v>
      </c>
      <c r="E1622" s="139" t="str">
        <f>HYPERLINK("https://ledvance.com/pt/product-datasheet/231894/207007","Ficha de Produto")</f>
        <v>Ficha de Produto</v>
      </c>
      <c r="F1622" s="62"/>
      <c r="G1622" s="65">
        <v>0</v>
      </c>
      <c r="H1622" s="62">
        <v>0</v>
      </c>
      <c r="I1622" s="30">
        <v>11.299999999999999</v>
      </c>
      <c r="J1622" s="29" t="s">
        <v>721</v>
      </c>
    </row>
    <row r="1623" spans="1:10" ht="12" customHeight="1">
      <c r="A1623" s="74">
        <v>4058075764088</v>
      </c>
      <c r="B1623" s="61" t="s">
        <v>6073</v>
      </c>
      <c r="C1623" s="62">
        <v>1</v>
      </c>
      <c r="D1623" s="138" t="s">
        <v>4755</v>
      </c>
      <c r="E1623" s="139" t="str">
        <f>HYPERLINK("https://ledvance.com/pt/product-datasheet/231894/207010","Ficha de Produto")</f>
        <v>Ficha de Produto</v>
      </c>
      <c r="F1623" s="62"/>
      <c r="G1623" s="65">
        <v>0</v>
      </c>
      <c r="H1623" s="62">
        <v>0</v>
      </c>
      <c r="I1623" s="30">
        <v>19.5</v>
      </c>
      <c r="J1623" s="29" t="s">
        <v>721</v>
      </c>
    </row>
    <row r="1624" spans="1:10" ht="12" customHeight="1">
      <c r="A1624" s="74">
        <v>4058075764101</v>
      </c>
      <c r="B1624" s="61" t="s">
        <v>6074</v>
      </c>
      <c r="C1624" s="62">
        <v>1</v>
      </c>
      <c r="D1624" s="138" t="s">
        <v>4755</v>
      </c>
      <c r="E1624" s="139" t="str">
        <f>HYPERLINK("https://ledvance.com/pt/product-datasheet/231894/207013","Ficha de Produto")</f>
        <v>Ficha de Produto</v>
      </c>
      <c r="F1624" s="62"/>
      <c r="G1624" s="65">
        <v>0</v>
      </c>
      <c r="H1624" s="62">
        <v>0</v>
      </c>
      <c r="I1624" s="30">
        <v>19.5</v>
      </c>
      <c r="J1624" s="29" t="s">
        <v>721</v>
      </c>
    </row>
    <row r="1625" spans="1:10" ht="12" customHeight="1">
      <c r="A1625" s="74">
        <v>4058075764125</v>
      </c>
      <c r="B1625" s="61" t="s">
        <v>6075</v>
      </c>
      <c r="C1625" s="62">
        <v>1</v>
      </c>
      <c r="D1625" s="138" t="s">
        <v>4755</v>
      </c>
      <c r="E1625" s="139" t="str">
        <f>HYPERLINK("https://ledvance.com/pt/product-datasheet/231894/207016","Ficha de Produto")</f>
        <v>Ficha de Produto</v>
      </c>
      <c r="F1625" s="62"/>
      <c r="G1625" s="65">
        <v>0</v>
      </c>
      <c r="H1625" s="62">
        <v>0</v>
      </c>
      <c r="I1625" s="30">
        <v>22.3</v>
      </c>
      <c r="J1625" s="29" t="s">
        <v>721</v>
      </c>
    </row>
    <row r="1626" spans="1:10" ht="12" customHeight="1">
      <c r="A1626" s="74">
        <v>4058075764149</v>
      </c>
      <c r="B1626" s="61" t="s">
        <v>6076</v>
      </c>
      <c r="C1626" s="62">
        <v>1</v>
      </c>
      <c r="D1626" s="138" t="s">
        <v>4755</v>
      </c>
      <c r="E1626" s="139" t="str">
        <f>HYPERLINK("https://ledvance.com/pt/product-datasheet/231894/207019","Ficha de Produto")</f>
        <v>Ficha de Produto</v>
      </c>
      <c r="F1626" s="62"/>
      <c r="G1626" s="65">
        <v>0</v>
      </c>
      <c r="H1626" s="62">
        <v>0</v>
      </c>
      <c r="I1626" s="30">
        <v>22.3</v>
      </c>
      <c r="J1626" s="29" t="s">
        <v>721</v>
      </c>
    </row>
    <row r="1627" spans="1:10" ht="12" customHeight="1">
      <c r="A1627" s="74">
        <v>4058075764163</v>
      </c>
      <c r="B1627" s="61" t="s">
        <v>6077</v>
      </c>
      <c r="C1627" s="62">
        <v>1</v>
      </c>
      <c r="D1627" s="138" t="s">
        <v>4755</v>
      </c>
      <c r="E1627" s="139" t="str">
        <f>HYPERLINK("https://ledvance.com/pt/product-datasheet/231894/207022","Ficha de Produto")</f>
        <v>Ficha de Produto</v>
      </c>
      <c r="F1627" s="62"/>
      <c r="G1627" s="65">
        <v>0</v>
      </c>
      <c r="H1627" s="62">
        <v>0</v>
      </c>
      <c r="I1627" s="30">
        <v>11.299999999999999</v>
      </c>
      <c r="J1627" s="29" t="s">
        <v>721</v>
      </c>
    </row>
    <row r="1628" spans="1:10" ht="12" customHeight="1">
      <c r="A1628" s="74">
        <v>4058075764187</v>
      </c>
      <c r="B1628" s="61" t="s">
        <v>6078</v>
      </c>
      <c r="C1628" s="62">
        <v>1</v>
      </c>
      <c r="D1628" s="138" t="s">
        <v>4755</v>
      </c>
      <c r="E1628" s="139" t="str">
        <f>HYPERLINK("https://ledvance.com/pt/product-datasheet/231894/207025","Ficha de Produto")</f>
        <v>Ficha de Produto</v>
      </c>
      <c r="F1628" s="62"/>
      <c r="G1628" s="65">
        <v>0</v>
      </c>
      <c r="H1628" s="62">
        <v>0</v>
      </c>
      <c r="I1628" s="30">
        <v>11.299999999999999</v>
      </c>
      <c r="J1628" s="29" t="s">
        <v>721</v>
      </c>
    </row>
    <row r="1629" spans="1:10" ht="12" customHeight="1">
      <c r="A1629" s="74">
        <v>4058075764200</v>
      </c>
      <c r="B1629" s="61" t="s">
        <v>6079</v>
      </c>
      <c r="C1629" s="62">
        <v>1</v>
      </c>
      <c r="D1629" s="138" t="s">
        <v>4755</v>
      </c>
      <c r="E1629" s="139" t="str">
        <f>HYPERLINK("https://ledvance.com/pt/product-datasheet/231893/207146","Ficha de Produto")</f>
        <v>Ficha de Produto</v>
      </c>
      <c r="F1629" s="62"/>
      <c r="G1629" s="65">
        <v>0</v>
      </c>
      <c r="H1629" s="62">
        <v>0</v>
      </c>
      <c r="I1629" s="30">
        <v>8.6</v>
      </c>
      <c r="J1629" s="29" t="s">
        <v>721</v>
      </c>
    </row>
    <row r="1630" spans="1:10" ht="12" customHeight="1">
      <c r="A1630" s="74">
        <v>4058075764224</v>
      </c>
      <c r="B1630" s="61" t="s">
        <v>6080</v>
      </c>
      <c r="C1630" s="62">
        <v>1</v>
      </c>
      <c r="D1630" s="138" t="s">
        <v>4755</v>
      </c>
      <c r="E1630" s="139" t="str">
        <f>HYPERLINK("https://ledvance.com/pt/product-datasheet/231893/207149","Ficha de Produto")</f>
        <v>Ficha de Produto</v>
      </c>
      <c r="F1630" s="62"/>
      <c r="G1630" s="65">
        <v>0</v>
      </c>
      <c r="H1630" s="62">
        <v>0</v>
      </c>
      <c r="I1630" s="30">
        <v>8.6</v>
      </c>
      <c r="J1630" s="29" t="s">
        <v>721</v>
      </c>
    </row>
    <row r="1631" spans="1:10" ht="15" customHeight="1">
      <c r="A1631" s="120" t="s">
        <v>4765</v>
      </c>
      <c r="B1631" s="116"/>
      <c r="C1631" s="141"/>
      <c r="D1631" s="121"/>
      <c r="E1631" s="121"/>
      <c r="F1631" s="141"/>
      <c r="G1631" s="119"/>
      <c r="H1631" s="268"/>
      <c r="I1631" s="57"/>
      <c r="J1631" s="58"/>
    </row>
    <row r="1632" spans="1:10" ht="15" customHeight="1">
      <c r="A1632" s="120" t="s">
        <v>4766</v>
      </c>
      <c r="B1632" s="116"/>
      <c r="C1632" s="117"/>
      <c r="D1632" s="121"/>
      <c r="E1632" s="121"/>
      <c r="F1632" s="117"/>
      <c r="G1632" s="119"/>
      <c r="H1632" s="268"/>
      <c r="I1632" s="57"/>
      <c r="J1632" s="58"/>
    </row>
    <row r="1633" spans="1:10" ht="15" customHeight="1">
      <c r="A1633" s="137" t="s">
        <v>4767</v>
      </c>
      <c r="B1633" s="116"/>
      <c r="C1633" s="117"/>
      <c r="D1633" s="136"/>
      <c r="E1633" s="136"/>
      <c r="F1633" s="117"/>
      <c r="G1633" s="119"/>
      <c r="H1633" s="268"/>
      <c r="I1633" s="57"/>
      <c r="J1633" s="58"/>
    </row>
    <row r="1634" spans="1:10" ht="12" customHeight="1">
      <c r="A1634" s="60">
        <v>4058075537248</v>
      </c>
      <c r="B1634" s="61" t="s">
        <v>6081</v>
      </c>
      <c r="C1634" s="62">
        <v>1</v>
      </c>
      <c r="D1634" s="138" t="s">
        <v>4768</v>
      </c>
      <c r="E1634" s="139" t="str">
        <f>HYPERLINK("https://ledvance.com/pt/product-datasheet/6482/35647","Ficha de Produto")</f>
        <v>Ficha de Produto</v>
      </c>
      <c r="F1634" s="62"/>
      <c r="G1634" s="65">
        <v>0</v>
      </c>
      <c r="H1634" s="62">
        <v>0</v>
      </c>
      <c r="I1634" s="30">
        <v>30.1</v>
      </c>
      <c r="J1634" s="29" t="s">
        <v>721</v>
      </c>
    </row>
    <row r="1635" spans="1:10" ht="12" customHeight="1">
      <c r="A1635" s="60">
        <v>4058075594784</v>
      </c>
      <c r="B1635" s="61" t="s">
        <v>6082</v>
      </c>
      <c r="C1635" s="62">
        <v>1</v>
      </c>
      <c r="D1635" s="138" t="s">
        <v>4768</v>
      </c>
      <c r="E1635" s="139" t="str">
        <f>HYPERLINK("https://ledvance.com/pt/product-datasheet/173079/124188","Ficha de Produto")</f>
        <v>Ficha de Produto</v>
      </c>
      <c r="F1635" s="62"/>
      <c r="G1635" s="65">
        <v>0</v>
      </c>
      <c r="H1635" s="62">
        <v>0</v>
      </c>
      <c r="I1635" s="30">
        <v>75.599999999999994</v>
      </c>
      <c r="J1635" s="29" t="s">
        <v>721</v>
      </c>
    </row>
    <row r="1636" spans="1:10" ht="12" customHeight="1">
      <c r="A1636" s="60">
        <v>4058075570979</v>
      </c>
      <c r="B1636" s="61" t="s">
        <v>6083</v>
      </c>
      <c r="C1636" s="62">
        <v>1</v>
      </c>
      <c r="D1636" s="138" t="s">
        <v>4768</v>
      </c>
      <c r="E1636" s="139" t="str">
        <f>HYPERLINK("https://ledvance.com/pt/product-datasheet/141298/43765","Ficha de Produto")</f>
        <v>Ficha de Produto</v>
      </c>
      <c r="F1636" s="62"/>
      <c r="G1636" s="65">
        <v>0</v>
      </c>
      <c r="H1636" s="62">
        <v>0</v>
      </c>
      <c r="I1636" s="30">
        <v>32.300000000000004</v>
      </c>
      <c r="J1636" s="29" t="s">
        <v>721</v>
      </c>
    </row>
    <row r="1637" spans="1:10" ht="12" customHeight="1">
      <c r="A1637" s="60">
        <v>4058075532120</v>
      </c>
      <c r="B1637" s="61" t="s">
        <v>6084</v>
      </c>
      <c r="C1637" s="62">
        <v>1</v>
      </c>
      <c r="D1637" s="138" t="s">
        <v>4768</v>
      </c>
      <c r="E1637" s="139" t="str">
        <f>HYPERLINK("https://ledvance.com/pt/product-datasheet/6481/45830","Ficha de Produto")</f>
        <v>Ficha de Produto</v>
      </c>
      <c r="F1637" s="62"/>
      <c r="G1637" s="65">
        <v>0</v>
      </c>
      <c r="H1637" s="62">
        <v>0</v>
      </c>
      <c r="I1637" s="30">
        <v>59.800000000000004</v>
      </c>
      <c r="J1637" s="29" t="s">
        <v>721</v>
      </c>
    </row>
    <row r="1638" spans="1:10" ht="12" customHeight="1">
      <c r="A1638" s="60">
        <v>4099854088537</v>
      </c>
      <c r="B1638" s="61" t="s">
        <v>6085</v>
      </c>
      <c r="C1638" s="62">
        <v>1</v>
      </c>
      <c r="D1638" s="138" t="s">
        <v>4768</v>
      </c>
      <c r="E1638" s="139" t="str">
        <f>HYPERLINK("https://ledvance.com/pt/product-datasheet/253054/248234","Ficha de Produto")</f>
        <v>Ficha de Produto</v>
      </c>
      <c r="F1638" s="62"/>
      <c r="G1638" s="65">
        <v>0</v>
      </c>
      <c r="H1638" s="62">
        <v>0</v>
      </c>
      <c r="I1638" s="30">
        <v>30.1</v>
      </c>
      <c r="J1638" s="29" t="s">
        <v>721</v>
      </c>
    </row>
    <row r="1639" spans="1:10" ht="15" customHeight="1">
      <c r="A1639" s="122" t="s">
        <v>4769</v>
      </c>
      <c r="B1639" s="116"/>
      <c r="C1639" s="117"/>
      <c r="D1639" s="118"/>
      <c r="E1639" s="118"/>
      <c r="F1639" s="117"/>
      <c r="G1639" s="119"/>
      <c r="H1639" s="268"/>
      <c r="I1639" s="57"/>
      <c r="J1639" s="58"/>
    </row>
    <row r="1640" spans="1:10" ht="12" customHeight="1">
      <c r="A1640" s="60">
        <v>4099854025570</v>
      </c>
      <c r="B1640" s="61" t="s">
        <v>6086</v>
      </c>
      <c r="C1640" s="62">
        <v>1</v>
      </c>
      <c r="D1640" s="138" t="s">
        <v>4768</v>
      </c>
      <c r="E1640" s="139" t="str">
        <f>HYPERLINK("https://ledvance.com/pt/product-datasheet/249745/228652","Ficha de Produto")</f>
        <v>Ficha de Produto</v>
      </c>
      <c r="F1640" s="62"/>
      <c r="G1640" s="65">
        <v>0</v>
      </c>
      <c r="H1640" s="62">
        <v>0</v>
      </c>
      <c r="I1640" s="30">
        <v>279.60000000000002</v>
      </c>
      <c r="J1640" s="29" t="s">
        <v>721</v>
      </c>
    </row>
    <row r="1641" spans="1:10" ht="15" customHeight="1">
      <c r="A1641" s="122" t="s">
        <v>4770</v>
      </c>
      <c r="B1641" s="116"/>
      <c r="C1641" s="117"/>
      <c r="D1641" s="118"/>
      <c r="E1641" s="118"/>
      <c r="F1641" s="117"/>
      <c r="G1641" s="119"/>
      <c r="H1641" s="268"/>
      <c r="I1641" s="57"/>
      <c r="J1641" s="58"/>
    </row>
    <row r="1642" spans="1:10" ht="12" customHeight="1">
      <c r="A1642" s="60">
        <v>4058075570917</v>
      </c>
      <c r="B1642" s="61" t="s">
        <v>6087</v>
      </c>
      <c r="C1642" s="62">
        <v>1</v>
      </c>
      <c r="D1642" s="138" t="s">
        <v>4768</v>
      </c>
      <c r="E1642" s="139" t="str">
        <f>HYPERLINK("https://ledvance.com/pt/product-datasheet/160439/112718","Ficha de Produto")</f>
        <v>Ficha de Produto</v>
      </c>
      <c r="F1642" s="62"/>
      <c r="G1642" s="65" t="s">
        <v>4963</v>
      </c>
      <c r="H1642" s="62" t="s">
        <v>4963</v>
      </c>
      <c r="I1642" s="30">
        <v>19</v>
      </c>
      <c r="J1642" s="29" t="s">
        <v>721</v>
      </c>
    </row>
    <row r="1643" spans="1:10" ht="15" customHeight="1">
      <c r="A1643" s="122" t="s">
        <v>4771</v>
      </c>
      <c r="B1643" s="116"/>
      <c r="C1643" s="117"/>
      <c r="D1643" s="118"/>
      <c r="E1643" s="71"/>
      <c r="F1643" s="117"/>
      <c r="G1643" s="119"/>
      <c r="H1643" s="268"/>
      <c r="I1643" s="57"/>
      <c r="J1643" s="58"/>
    </row>
    <row r="1644" spans="1:10" ht="12" customHeight="1">
      <c r="A1644" s="60">
        <v>4058075731363</v>
      </c>
      <c r="B1644" s="61" t="s">
        <v>6088</v>
      </c>
      <c r="C1644" s="62">
        <v>1</v>
      </c>
      <c r="D1644" s="138" t="s">
        <v>4768</v>
      </c>
      <c r="E1644" s="139" t="str">
        <f>HYPERLINK("https://ledvance.com/pt/product-datasheet/198353/195655","Ficha de Produto")</f>
        <v>Ficha de Produto</v>
      </c>
      <c r="F1644" s="62"/>
      <c r="G1644" s="65">
        <v>0</v>
      </c>
      <c r="H1644" s="62">
        <v>0</v>
      </c>
      <c r="I1644" s="30">
        <v>32</v>
      </c>
      <c r="J1644" s="29" t="s">
        <v>721</v>
      </c>
    </row>
    <row r="1645" spans="1:10" ht="15" customHeight="1">
      <c r="A1645" s="122" t="s">
        <v>4772</v>
      </c>
      <c r="B1645" s="116"/>
      <c r="C1645" s="117"/>
      <c r="D1645" s="118"/>
      <c r="E1645" s="71"/>
      <c r="F1645" s="117"/>
      <c r="G1645" s="119"/>
      <c r="H1645" s="268"/>
      <c r="I1645" s="57"/>
      <c r="J1645" s="58"/>
    </row>
    <row r="1646" spans="1:10" ht="12" customHeight="1">
      <c r="A1646" s="60">
        <v>4058075730052</v>
      </c>
      <c r="B1646" s="61" t="s">
        <v>6089</v>
      </c>
      <c r="C1646" s="62">
        <v>1</v>
      </c>
      <c r="D1646" s="138" t="s">
        <v>4768</v>
      </c>
      <c r="E1646" s="139" t="str">
        <f>HYPERLINK("https://ledvance.com/pt/product-datasheet/208876/195651","Ficha de Produto")</f>
        <v>Ficha de Produto</v>
      </c>
      <c r="F1646" s="62"/>
      <c r="G1646" s="65">
        <v>0</v>
      </c>
      <c r="H1646" s="62">
        <v>0</v>
      </c>
      <c r="I1646" s="30">
        <v>32</v>
      </c>
      <c r="J1646" s="29" t="s">
        <v>721</v>
      </c>
    </row>
    <row r="1647" spans="1:10" ht="15" customHeight="1">
      <c r="A1647" s="120" t="s">
        <v>4773</v>
      </c>
      <c r="B1647" s="116"/>
      <c r="C1647" s="117"/>
      <c r="D1647" s="121"/>
      <c r="E1647" s="78"/>
      <c r="F1647" s="117"/>
      <c r="G1647" s="119"/>
      <c r="H1647" s="268"/>
      <c r="I1647" s="57"/>
      <c r="J1647" s="58"/>
    </row>
    <row r="1648" spans="1:10" ht="12" customHeight="1">
      <c r="A1648" s="60">
        <v>4058075208513</v>
      </c>
      <c r="B1648" s="61" t="s">
        <v>6081</v>
      </c>
      <c r="C1648" s="62">
        <v>1</v>
      </c>
      <c r="D1648" s="138" t="s">
        <v>4768</v>
      </c>
      <c r="E1648" s="139" t="str">
        <f>HYPERLINK("https://ledvance.com/pt/product-datasheet/6366/44630","Ficha de Produto")</f>
        <v>Ficha de Produto</v>
      </c>
      <c r="F1648" s="62"/>
      <c r="G1648" s="65">
        <v>0</v>
      </c>
      <c r="H1648" s="62">
        <v>0</v>
      </c>
      <c r="I1648" s="30">
        <v>50.6</v>
      </c>
      <c r="J1648" s="29" t="s">
        <v>721</v>
      </c>
    </row>
    <row r="1649" spans="1:10" ht="15" customHeight="1">
      <c r="A1649" s="120" t="s">
        <v>4774</v>
      </c>
      <c r="B1649" s="116"/>
      <c r="C1649" s="117"/>
      <c r="D1649" s="121"/>
      <c r="E1649" s="121"/>
      <c r="F1649" s="117"/>
      <c r="G1649" s="119"/>
      <c r="H1649" s="268"/>
      <c r="I1649" s="57"/>
      <c r="J1649" s="58"/>
    </row>
    <row r="1650" spans="1:10" ht="12" customHeight="1">
      <c r="A1650" s="60">
        <v>4058075729261</v>
      </c>
      <c r="B1650" s="61" t="s">
        <v>6081</v>
      </c>
      <c r="C1650" s="62">
        <v>1</v>
      </c>
      <c r="D1650" s="138" t="s">
        <v>4768</v>
      </c>
      <c r="E1650" s="139" t="str">
        <f>HYPERLINK("https://ledvance.com/pt/product-datasheet/6430/203914","Ficha de Produto")</f>
        <v>Ficha de Produto</v>
      </c>
      <c r="F1650" s="62"/>
      <c r="G1650" s="65">
        <v>0</v>
      </c>
      <c r="H1650" s="62">
        <v>0</v>
      </c>
      <c r="I1650" s="30">
        <v>48.7</v>
      </c>
      <c r="J1650" s="29" t="s">
        <v>721</v>
      </c>
    </row>
    <row r="1651" spans="1:10" ht="12" customHeight="1">
      <c r="A1651" s="60">
        <v>4058075570955</v>
      </c>
      <c r="B1651" s="61" t="s">
        <v>6090</v>
      </c>
      <c r="C1651" s="62">
        <v>1</v>
      </c>
      <c r="D1651" s="138" t="s">
        <v>4768</v>
      </c>
      <c r="E1651" s="139" t="str">
        <f>HYPERLINK("https://ledvance.com/pt/product-datasheet/141282/43753","Ficha de Produto")</f>
        <v>Ficha de Produto</v>
      </c>
      <c r="F1651" s="62"/>
      <c r="G1651" s="65">
        <v>0</v>
      </c>
      <c r="H1651" s="62">
        <v>0</v>
      </c>
      <c r="I1651" s="30">
        <v>48.7</v>
      </c>
      <c r="J1651" s="29" t="s">
        <v>721</v>
      </c>
    </row>
    <row r="1652" spans="1:10" ht="12" customHeight="1">
      <c r="A1652" s="60">
        <v>4058075729322</v>
      </c>
      <c r="B1652" s="61" t="s">
        <v>6083</v>
      </c>
      <c r="C1652" s="62">
        <v>1</v>
      </c>
      <c r="D1652" s="138" t="s">
        <v>4768</v>
      </c>
      <c r="E1652" s="139" t="str">
        <f>HYPERLINK("https://ledvance.com/pt/product-datasheet/141283/203923","Ficha de Produto")</f>
        <v>Ficha de Produto</v>
      </c>
      <c r="F1652" s="62"/>
      <c r="G1652" s="65">
        <v>0</v>
      </c>
      <c r="H1652" s="62">
        <v>0</v>
      </c>
      <c r="I1652" s="30">
        <v>50.6</v>
      </c>
      <c r="J1652" s="29" t="s">
        <v>721</v>
      </c>
    </row>
    <row r="1653" spans="1:10" ht="12" customHeight="1">
      <c r="A1653" s="60">
        <v>4058075729308</v>
      </c>
      <c r="B1653" s="61" t="s">
        <v>6084</v>
      </c>
      <c r="C1653" s="62">
        <v>1</v>
      </c>
      <c r="D1653" s="138" t="s">
        <v>4768</v>
      </c>
      <c r="E1653" s="139" t="str">
        <f>HYPERLINK("https://ledvance.com/pt/product-datasheet/6308/203920","Ficha de Produto")</f>
        <v>Ficha de Produto</v>
      </c>
      <c r="F1653" s="62"/>
      <c r="G1653" s="65">
        <v>0</v>
      </c>
      <c r="H1653" s="62">
        <v>0</v>
      </c>
      <c r="I1653" s="30">
        <v>59.800000000000004</v>
      </c>
      <c r="J1653" s="29" t="s">
        <v>721</v>
      </c>
    </row>
    <row r="1654" spans="1:10" ht="15" customHeight="1">
      <c r="A1654" s="123" t="s">
        <v>1976</v>
      </c>
      <c r="B1654" s="116"/>
      <c r="C1654" s="117"/>
      <c r="D1654" s="124"/>
      <c r="E1654" s="124"/>
      <c r="F1654" s="117"/>
      <c r="G1654" s="119"/>
      <c r="H1654" s="268"/>
      <c r="I1654" s="57"/>
      <c r="J1654" s="58"/>
    </row>
    <row r="1655" spans="1:10" ht="15" customHeight="1">
      <c r="A1655" s="123" t="s">
        <v>4775</v>
      </c>
      <c r="B1655" s="116"/>
      <c r="C1655" s="117"/>
      <c r="D1655" s="124"/>
      <c r="E1655" s="71"/>
      <c r="F1655" s="117"/>
      <c r="G1655" s="119"/>
      <c r="H1655" s="268"/>
      <c r="I1655" s="57"/>
      <c r="J1655" s="58"/>
    </row>
    <row r="1656" spans="1:10" ht="15" customHeight="1">
      <c r="A1656" s="123" t="s">
        <v>4776</v>
      </c>
      <c r="B1656" s="116"/>
      <c r="C1656" s="117"/>
      <c r="D1656" s="124"/>
      <c r="E1656" s="124"/>
      <c r="F1656" s="117"/>
      <c r="G1656" s="119"/>
      <c r="H1656" s="268"/>
      <c r="I1656" s="57"/>
      <c r="J1656" s="58"/>
    </row>
    <row r="1657" spans="1:10" ht="15" customHeight="1">
      <c r="A1657" s="122" t="s">
        <v>4777</v>
      </c>
      <c r="B1657" s="116"/>
      <c r="C1657" s="117"/>
      <c r="D1657" s="118"/>
      <c r="E1657" s="118"/>
      <c r="F1657" s="117"/>
      <c r="G1657" s="119"/>
      <c r="H1657" s="268"/>
      <c r="I1657" s="57"/>
      <c r="J1657" s="58"/>
    </row>
    <row r="1658" spans="1:10" ht="12" customHeight="1">
      <c r="A1658" s="60">
        <v>4058075240315</v>
      </c>
      <c r="B1658" s="61" t="s">
        <v>6091</v>
      </c>
      <c r="C1658" s="62">
        <v>1</v>
      </c>
      <c r="D1658" s="138" t="s">
        <v>4778</v>
      </c>
      <c r="E1658" s="139" t="str">
        <f>HYPERLINK("https://ledvance.com/pt/product-datasheet/9515/121112","Ficha de Produto")</f>
        <v>Ficha de Produto</v>
      </c>
      <c r="F1658" s="62"/>
      <c r="G1658" s="65">
        <v>0</v>
      </c>
      <c r="H1658" s="62">
        <v>0</v>
      </c>
      <c r="I1658" s="30">
        <v>68.699999999999989</v>
      </c>
      <c r="J1658" s="29" t="s">
        <v>721</v>
      </c>
    </row>
    <row r="1659" spans="1:10" ht="15" customHeight="1">
      <c r="A1659" s="122" t="s">
        <v>4779</v>
      </c>
      <c r="B1659" s="116"/>
      <c r="C1659" s="117"/>
      <c r="D1659" s="118"/>
      <c r="E1659" s="118"/>
      <c r="F1659" s="117"/>
      <c r="G1659" s="119"/>
      <c r="H1659" s="268"/>
      <c r="I1659" s="57"/>
      <c r="J1659" s="58"/>
    </row>
    <row r="1660" spans="1:10" ht="12" customHeight="1">
      <c r="A1660" s="60">
        <v>4058075244719</v>
      </c>
      <c r="B1660" s="61" t="s">
        <v>6092</v>
      </c>
      <c r="C1660" s="62">
        <v>1</v>
      </c>
      <c r="D1660" s="138" t="s">
        <v>4778</v>
      </c>
      <c r="E1660" s="139" t="str">
        <f>HYPERLINK("https://ledvance.com/pt/product-datasheet/9516/121115","Ficha de Produto")</f>
        <v>Ficha de Produto</v>
      </c>
      <c r="F1660" s="62"/>
      <c r="G1660" s="65">
        <v>0</v>
      </c>
      <c r="H1660" s="62">
        <v>0</v>
      </c>
      <c r="I1660" s="30">
        <v>68.699999999999989</v>
      </c>
      <c r="J1660" s="29" t="s">
        <v>721</v>
      </c>
    </row>
    <row r="1661" spans="1:10" ht="12" customHeight="1">
      <c r="A1661" s="60">
        <v>4058075244733</v>
      </c>
      <c r="B1661" s="61" t="s">
        <v>6093</v>
      </c>
      <c r="C1661" s="62">
        <v>1</v>
      </c>
      <c r="D1661" s="138" t="s">
        <v>4778</v>
      </c>
      <c r="E1661" s="139" t="str">
        <f>HYPERLINK("https://ledvance.com/pt/product-datasheet/9518/121118","Ficha de Produto")</f>
        <v>Ficha de Produto</v>
      </c>
      <c r="F1661" s="62"/>
      <c r="G1661" s="65">
        <v>0</v>
      </c>
      <c r="H1661" s="62">
        <v>0</v>
      </c>
      <c r="I1661" s="30">
        <v>34.5</v>
      </c>
      <c r="J1661" s="29" t="s">
        <v>721</v>
      </c>
    </row>
    <row r="1662" spans="1:10" ht="12" customHeight="1">
      <c r="A1662" s="60">
        <v>4058075244757</v>
      </c>
      <c r="B1662" s="61" t="s">
        <v>6094</v>
      </c>
      <c r="C1662" s="62">
        <v>1</v>
      </c>
      <c r="D1662" s="138" t="s">
        <v>4778</v>
      </c>
      <c r="E1662" s="139" t="str">
        <f>HYPERLINK("https://ledvance.com/pt/product-datasheet/9518/121121","Ficha de Produto")</f>
        <v>Ficha de Produto</v>
      </c>
      <c r="F1662" s="62"/>
      <c r="G1662" s="65">
        <v>0</v>
      </c>
      <c r="H1662" s="62">
        <v>0</v>
      </c>
      <c r="I1662" s="30">
        <v>34.5</v>
      </c>
      <c r="J1662" s="29" t="s">
        <v>721</v>
      </c>
    </row>
    <row r="1663" spans="1:10" ht="15" customHeight="1">
      <c r="A1663" s="123" t="s">
        <v>4780</v>
      </c>
      <c r="B1663" s="116"/>
      <c r="C1663" s="117"/>
      <c r="D1663" s="124"/>
      <c r="E1663" s="124"/>
      <c r="F1663" s="117"/>
      <c r="G1663" s="119"/>
      <c r="H1663" s="268"/>
      <c r="I1663" s="57"/>
      <c r="J1663" s="58"/>
    </row>
    <row r="1664" spans="1:10" ht="15" customHeight="1">
      <c r="A1664" s="122" t="s">
        <v>4781</v>
      </c>
      <c r="B1664" s="116"/>
      <c r="C1664" s="117"/>
      <c r="D1664" s="118"/>
      <c r="E1664" s="118"/>
      <c r="F1664" s="117"/>
      <c r="G1664" s="119"/>
      <c r="H1664" s="268"/>
      <c r="I1664" s="57"/>
      <c r="J1664" s="58"/>
    </row>
    <row r="1665" spans="1:10" ht="12" customHeight="1">
      <c r="A1665" s="60">
        <v>4058075576179</v>
      </c>
      <c r="B1665" s="61" t="s">
        <v>6095</v>
      </c>
      <c r="C1665" s="62">
        <v>1</v>
      </c>
      <c r="D1665" s="138" t="s">
        <v>4778</v>
      </c>
      <c r="E1665" s="139" t="str">
        <f>HYPERLINK("https://ledvance.com/pt/product-datasheet/169118/129218","Ficha de Produto")</f>
        <v>Ficha de Produto</v>
      </c>
      <c r="F1665" s="62"/>
      <c r="G1665" s="65" t="s">
        <v>5008</v>
      </c>
      <c r="H1665" s="62" t="s">
        <v>6096</v>
      </c>
      <c r="I1665" s="30">
        <v>156.5</v>
      </c>
      <c r="J1665" s="29" t="s">
        <v>721</v>
      </c>
    </row>
    <row r="1666" spans="1:10" ht="12" customHeight="1">
      <c r="A1666" s="60">
        <v>4058075576131</v>
      </c>
      <c r="B1666" s="61" t="s">
        <v>6097</v>
      </c>
      <c r="C1666" s="62">
        <v>1</v>
      </c>
      <c r="D1666" s="138" t="s">
        <v>4778</v>
      </c>
      <c r="E1666" s="139" t="str">
        <f>HYPERLINK("https://ledvance.com/pt/product-datasheet/169116/129212","Ficha de Produto")</f>
        <v>Ficha de Produto</v>
      </c>
      <c r="F1666" s="62"/>
      <c r="G1666" s="65" t="s">
        <v>4949</v>
      </c>
      <c r="H1666" s="62" t="s">
        <v>6098</v>
      </c>
      <c r="I1666" s="30">
        <v>125.3</v>
      </c>
      <c r="J1666" s="29" t="s">
        <v>721</v>
      </c>
    </row>
    <row r="1667" spans="1:10" ht="12" customHeight="1">
      <c r="A1667" s="60">
        <v>4058075576193</v>
      </c>
      <c r="B1667" s="61" t="s">
        <v>6099</v>
      </c>
      <c r="C1667" s="62">
        <v>1</v>
      </c>
      <c r="D1667" s="138" t="s">
        <v>4778</v>
      </c>
      <c r="E1667" s="139" t="str">
        <f>HYPERLINK("https://ledvance.com/pt/product-datasheet/169119/129221","Ficha de Produto")</f>
        <v>Ficha de Produto</v>
      </c>
      <c r="F1667" s="62"/>
      <c r="G1667" s="65" t="s">
        <v>4977</v>
      </c>
      <c r="H1667" s="62" t="s">
        <v>6100</v>
      </c>
      <c r="I1667" s="30">
        <v>55</v>
      </c>
      <c r="J1667" s="29" t="s">
        <v>721</v>
      </c>
    </row>
    <row r="1668" spans="1:10" ht="12" customHeight="1">
      <c r="A1668" s="60">
        <v>4058075576155</v>
      </c>
      <c r="B1668" s="61" t="s">
        <v>6101</v>
      </c>
      <c r="C1668" s="62">
        <v>1</v>
      </c>
      <c r="D1668" s="138" t="s">
        <v>4778</v>
      </c>
      <c r="E1668" s="139" t="str">
        <f>HYPERLINK("https://ledvance.com/pt/product-datasheet/169117/129215","Ficha de Produto")</f>
        <v>Ficha de Produto</v>
      </c>
      <c r="F1668" s="62"/>
      <c r="G1668" s="65" t="s">
        <v>5057</v>
      </c>
      <c r="H1668" s="62" t="s">
        <v>6102</v>
      </c>
      <c r="I1668" s="30">
        <v>27.700000000000003</v>
      </c>
      <c r="J1668" s="29" t="s">
        <v>721</v>
      </c>
    </row>
    <row r="1669" spans="1:10" s="153" customFormat="1" ht="15" customHeight="1">
      <c r="A1669" s="149" t="s">
        <v>4782</v>
      </c>
      <c r="B1669" s="150"/>
      <c r="C1669" s="151"/>
      <c r="D1669" s="152"/>
      <c r="E1669" s="152"/>
      <c r="F1669" s="151"/>
      <c r="G1669" s="152"/>
      <c r="H1669" s="152"/>
      <c r="I1669" s="57"/>
      <c r="J1669" s="58"/>
    </row>
    <row r="1670" spans="1:10" s="158" customFormat="1" ht="15" customHeight="1">
      <c r="A1670" s="154"/>
      <c r="B1670" s="155" t="s">
        <v>4783</v>
      </c>
      <c r="C1670" s="156"/>
      <c r="D1670" s="155"/>
      <c r="E1670" s="155"/>
      <c r="F1670" s="156"/>
      <c r="G1670" s="157"/>
      <c r="H1670" s="157"/>
      <c r="I1670" s="57"/>
      <c r="J1670" s="58"/>
    </row>
    <row r="1671" spans="1:10" ht="15" customHeight="1">
      <c r="A1671" s="159"/>
      <c r="B1671" s="160" t="s">
        <v>4784</v>
      </c>
      <c r="C1671" s="146"/>
      <c r="D1671" s="161"/>
      <c r="E1671" s="161"/>
      <c r="F1671" s="146"/>
      <c r="G1671" s="162"/>
      <c r="H1671" s="162"/>
      <c r="I1671" s="57"/>
      <c r="J1671" s="58"/>
    </row>
    <row r="1672" spans="1:10" ht="15" customHeight="1">
      <c r="A1672" s="159"/>
      <c r="B1672" s="163" t="s">
        <v>4785</v>
      </c>
      <c r="C1672" s="146"/>
      <c r="D1672" s="163"/>
      <c r="E1672" s="163"/>
      <c r="F1672" s="146"/>
      <c r="G1672" s="162"/>
      <c r="H1672" s="162"/>
      <c r="I1672" s="57"/>
      <c r="J1672" s="58"/>
    </row>
    <row r="1673" spans="1:10" ht="15" customHeight="1">
      <c r="A1673" s="25"/>
      <c r="B1673" s="164" t="s">
        <v>4786</v>
      </c>
      <c r="C1673" s="165"/>
      <c r="D1673" s="164"/>
      <c r="E1673" s="164"/>
      <c r="F1673" s="166"/>
      <c r="G1673" s="166"/>
      <c r="H1673" s="269"/>
      <c r="I1673" s="57"/>
      <c r="J1673" s="58"/>
    </row>
    <row r="1674" spans="1:10" ht="12" customHeight="1">
      <c r="A1674" s="167">
        <v>4058075778672</v>
      </c>
      <c r="B1674" s="196" t="s">
        <v>4787</v>
      </c>
      <c r="C1674" s="197">
        <v>1</v>
      </c>
      <c r="D1674" s="198" t="s">
        <v>4788</v>
      </c>
      <c r="E1674" s="169" t="str">
        <f>HYPERLINK("https://ledvance.com/pt/product-datasheet/6445/209269","Ficha de Produto")</f>
        <v>Ficha de Produto</v>
      </c>
      <c r="F1674" s="170"/>
      <c r="G1674" s="171" t="s">
        <v>763</v>
      </c>
      <c r="H1674" s="267" t="s">
        <v>4789</v>
      </c>
      <c r="I1674" s="30">
        <v>22.200000000000003</v>
      </c>
      <c r="J1674" s="29" t="s">
        <v>721</v>
      </c>
    </row>
    <row r="1675" spans="1:10" ht="12" customHeight="1">
      <c r="A1675" s="167">
        <v>4058075778498</v>
      </c>
      <c r="B1675" s="196" t="s">
        <v>4790</v>
      </c>
      <c r="C1675" s="197">
        <v>1</v>
      </c>
      <c r="D1675" s="198" t="s">
        <v>4788</v>
      </c>
      <c r="E1675" s="169" t="str">
        <f>HYPERLINK("https://ledvance.com/pt/product-datasheet/6445/209244","Ficha de Produto")</f>
        <v>Ficha de Produto</v>
      </c>
      <c r="F1675" s="170"/>
      <c r="G1675" s="171" t="s">
        <v>6103</v>
      </c>
      <c r="H1675" s="267" t="s">
        <v>4789</v>
      </c>
      <c r="I1675" s="30">
        <v>19.400000000000002</v>
      </c>
      <c r="J1675" s="29" t="s">
        <v>721</v>
      </c>
    </row>
    <row r="1676" spans="1:10" ht="12" customHeight="1">
      <c r="A1676" s="167">
        <v>4058075778382</v>
      </c>
      <c r="B1676" s="196" t="s">
        <v>4791</v>
      </c>
      <c r="C1676" s="197">
        <v>1</v>
      </c>
      <c r="D1676" s="198" t="s">
        <v>4788</v>
      </c>
      <c r="E1676" s="169" t="str">
        <f>HYPERLINK("https://ledvance.com/pt/product-datasheet/6445/209187","Ficha de Produto")</f>
        <v>Ficha de Produto</v>
      </c>
      <c r="F1676" s="170"/>
      <c r="G1676" s="171" t="s">
        <v>886</v>
      </c>
      <c r="H1676" s="267" t="s">
        <v>4789</v>
      </c>
      <c r="I1676" s="30">
        <v>15</v>
      </c>
      <c r="J1676" s="29" t="s">
        <v>721</v>
      </c>
    </row>
    <row r="1677" spans="1:10" ht="15" customHeight="1">
      <c r="A1677" s="172"/>
      <c r="B1677" s="164" t="s">
        <v>4792</v>
      </c>
      <c r="C1677" s="8"/>
      <c r="D1677" s="165"/>
      <c r="E1677" s="165"/>
      <c r="F1677" s="166"/>
      <c r="G1677" s="173"/>
      <c r="H1677" s="166"/>
      <c r="I1677" s="57"/>
      <c r="J1677" s="58"/>
    </row>
    <row r="1678" spans="1:10" ht="12" customHeight="1">
      <c r="A1678" s="167">
        <v>4058075609730</v>
      </c>
      <c r="B1678" s="196" t="s">
        <v>4793</v>
      </c>
      <c r="C1678" s="197">
        <v>1</v>
      </c>
      <c r="D1678" s="198" t="s">
        <v>4788</v>
      </c>
      <c r="E1678" s="169" t="str">
        <f>HYPERLINK("https://ledvance.com/pt/product-datasheet/141292/154359","Ficha de Produto")</f>
        <v>Ficha de Produto</v>
      </c>
      <c r="F1678" s="170"/>
      <c r="G1678" s="171" t="s">
        <v>1053</v>
      </c>
      <c r="H1678" s="267" t="s">
        <v>4789</v>
      </c>
      <c r="I1678" s="30">
        <v>24.200000000000003</v>
      </c>
      <c r="J1678" s="29" t="s">
        <v>721</v>
      </c>
    </row>
    <row r="1679" spans="1:10" ht="12" customHeight="1">
      <c r="A1679" s="167">
        <v>4058075609716</v>
      </c>
      <c r="B1679" s="196" t="s">
        <v>4794</v>
      </c>
      <c r="C1679" s="197">
        <v>1</v>
      </c>
      <c r="D1679" s="198" t="s">
        <v>4788</v>
      </c>
      <c r="E1679" s="169" t="str">
        <f>HYPERLINK("https://ledvance.com/pt/product-datasheet/141292/154362","Ficha de Produto")</f>
        <v>Ficha de Produto</v>
      </c>
      <c r="F1679" s="170"/>
      <c r="G1679" s="171" t="s">
        <v>6032</v>
      </c>
      <c r="H1679" s="267" t="s">
        <v>4789</v>
      </c>
      <c r="I1679" s="30">
        <v>23.1</v>
      </c>
      <c r="J1679" s="29" t="s">
        <v>721</v>
      </c>
    </row>
    <row r="1680" spans="1:10" ht="12" customHeight="1">
      <c r="A1680" s="167">
        <v>4058075528239</v>
      </c>
      <c r="B1680" s="196" t="s">
        <v>4795</v>
      </c>
      <c r="C1680" s="197">
        <v>1</v>
      </c>
      <c r="D1680" s="198" t="s">
        <v>4788</v>
      </c>
      <c r="E1680" s="169" t="str">
        <f>HYPERLINK("https://ledvance.com/pt/product-datasheet/141292/97624","Ficha de Produto")</f>
        <v>Ficha de Produto</v>
      </c>
      <c r="F1680" s="170"/>
      <c r="G1680" s="171" t="s">
        <v>795</v>
      </c>
      <c r="H1680" s="267" t="s">
        <v>4789</v>
      </c>
      <c r="I1680" s="30">
        <v>15.7</v>
      </c>
      <c r="J1680" s="29" t="s">
        <v>721</v>
      </c>
    </row>
    <row r="1681" spans="1:10" ht="12" customHeight="1">
      <c r="A1681" s="167">
        <v>4058075610521</v>
      </c>
      <c r="B1681" s="196" t="s">
        <v>4796</v>
      </c>
      <c r="C1681" s="197">
        <v>1</v>
      </c>
      <c r="D1681" s="198" t="s">
        <v>4788</v>
      </c>
      <c r="E1681" s="169" t="str">
        <f>HYPERLINK("https://ledvance.com/pt/product-datasheet/141292/154365","Ficha de Produto")</f>
        <v>Ficha de Produto</v>
      </c>
      <c r="F1681" s="170"/>
      <c r="G1681" s="171" t="s">
        <v>795</v>
      </c>
      <c r="H1681" s="267" t="s">
        <v>4797</v>
      </c>
      <c r="I1681" s="30">
        <v>19.400000000000002</v>
      </c>
      <c r="J1681" s="29" t="s">
        <v>721</v>
      </c>
    </row>
    <row r="1682" spans="1:10" ht="12" customHeight="1">
      <c r="A1682" s="167">
        <v>4058075609815</v>
      </c>
      <c r="B1682" s="196" t="s">
        <v>4798</v>
      </c>
      <c r="C1682" s="197">
        <v>1</v>
      </c>
      <c r="D1682" s="198" t="s">
        <v>4788</v>
      </c>
      <c r="E1682" s="169" t="str">
        <f>HYPERLINK("https://ledvance.com/pt/product-datasheet/141292/154374","Ficha de Produto")</f>
        <v>Ficha de Produto</v>
      </c>
      <c r="F1682" s="170"/>
      <c r="G1682" s="171" t="s">
        <v>795</v>
      </c>
      <c r="H1682" s="267" t="s">
        <v>4799</v>
      </c>
      <c r="I1682" s="30">
        <v>21.200000000000003</v>
      </c>
      <c r="J1682" s="29" t="s">
        <v>721</v>
      </c>
    </row>
    <row r="1683" spans="1:10" ht="12" customHeight="1">
      <c r="A1683" s="167">
        <v>4058075609891</v>
      </c>
      <c r="B1683" s="196" t="s">
        <v>4800</v>
      </c>
      <c r="C1683" s="197">
        <v>1</v>
      </c>
      <c r="D1683" s="198" t="s">
        <v>4788</v>
      </c>
      <c r="E1683" s="169" t="str">
        <f>HYPERLINK("https://ledvance.com/pt/product-datasheet/141292/154402","Ficha de Produto")</f>
        <v>Ficha de Produto</v>
      </c>
      <c r="F1683" s="170"/>
      <c r="G1683" s="171" t="s">
        <v>795</v>
      </c>
      <c r="H1683" s="267" t="s">
        <v>4789</v>
      </c>
      <c r="I1683" s="30">
        <v>15.7</v>
      </c>
      <c r="J1683" s="29" t="s">
        <v>721</v>
      </c>
    </row>
    <row r="1684" spans="1:10" ht="15" customHeight="1">
      <c r="A1684" s="172"/>
      <c r="B1684" s="199"/>
      <c r="C1684" s="8"/>
      <c r="D1684" s="165"/>
      <c r="E1684" s="165"/>
      <c r="F1684" s="166"/>
      <c r="G1684" s="173"/>
      <c r="H1684" s="166"/>
      <c r="I1684" s="57"/>
      <c r="J1684" s="58"/>
    </row>
    <row r="1685" spans="1:10" ht="12" customHeight="1">
      <c r="A1685" s="167">
        <v>4058075778702</v>
      </c>
      <c r="B1685" s="196" t="s">
        <v>4801</v>
      </c>
      <c r="C1685" s="197">
        <v>1</v>
      </c>
      <c r="D1685" s="198" t="s">
        <v>4788</v>
      </c>
      <c r="E1685" s="169" t="str">
        <f>HYPERLINK("https://ledvance.com/pt/product-datasheet/6444/209275","Ficha de Produto")</f>
        <v>Ficha de Produto</v>
      </c>
      <c r="F1685" s="170"/>
      <c r="G1685" s="171" t="s">
        <v>763</v>
      </c>
      <c r="H1685" s="267" t="s">
        <v>4802</v>
      </c>
      <c r="I1685" s="30">
        <v>26.8</v>
      </c>
      <c r="J1685" s="29" t="s">
        <v>721</v>
      </c>
    </row>
    <row r="1686" spans="1:10" ht="12" customHeight="1">
      <c r="A1686" s="167">
        <v>4058075778511</v>
      </c>
      <c r="B1686" s="196" t="s">
        <v>4803</v>
      </c>
      <c r="C1686" s="197">
        <v>1</v>
      </c>
      <c r="D1686" s="198" t="s">
        <v>4788</v>
      </c>
      <c r="E1686" s="169" t="str">
        <f>HYPERLINK("https://ledvance.com/pt/product-datasheet/6444/209256","Ficha de Produto")</f>
        <v>Ficha de Produto</v>
      </c>
      <c r="F1686" s="170"/>
      <c r="G1686" s="171" t="s">
        <v>6103</v>
      </c>
      <c r="H1686" s="267" t="s">
        <v>4802</v>
      </c>
      <c r="I1686" s="30">
        <v>22.400000000000002</v>
      </c>
      <c r="J1686" s="29" t="s">
        <v>721</v>
      </c>
    </row>
    <row r="1687" spans="1:10" ht="12" customHeight="1">
      <c r="A1687" s="167">
        <v>4058075778412</v>
      </c>
      <c r="B1687" s="196" t="s">
        <v>4804</v>
      </c>
      <c r="C1687" s="197">
        <v>1</v>
      </c>
      <c r="D1687" s="198" t="s">
        <v>4788</v>
      </c>
      <c r="E1687" s="169" t="str">
        <f>HYPERLINK("https://ledvance.com/pt/product-datasheet/6444/209197","Ficha de Produto")</f>
        <v>Ficha de Produto</v>
      </c>
      <c r="F1687" s="170"/>
      <c r="G1687" s="171" t="s">
        <v>886</v>
      </c>
      <c r="H1687" s="267" t="s">
        <v>4802</v>
      </c>
      <c r="I1687" s="30">
        <v>19.400000000000002</v>
      </c>
      <c r="J1687" s="29" t="s">
        <v>721</v>
      </c>
    </row>
    <row r="1688" spans="1:10" ht="12" customHeight="1">
      <c r="A1688" s="167">
        <v>4058075619036</v>
      </c>
      <c r="B1688" s="196" t="s">
        <v>4805</v>
      </c>
      <c r="C1688" s="197">
        <v>1</v>
      </c>
      <c r="D1688" s="198" t="s">
        <v>4788</v>
      </c>
      <c r="E1688" s="169" t="str">
        <f>HYPERLINK("https://ledvance.com/pt/product-datasheet/229619/154408","Ficha de Produto")</f>
        <v>Ficha de Produto</v>
      </c>
      <c r="F1688" s="170"/>
      <c r="G1688" s="171" t="s">
        <v>795</v>
      </c>
      <c r="H1688" s="267" t="s">
        <v>4802</v>
      </c>
      <c r="I1688" s="30">
        <v>18.600000000000001</v>
      </c>
      <c r="J1688" s="29" t="s">
        <v>721</v>
      </c>
    </row>
    <row r="1689" spans="1:10" ht="12" customHeight="1">
      <c r="A1689" s="167">
        <v>4058075778436</v>
      </c>
      <c r="B1689" s="196" t="s">
        <v>4806</v>
      </c>
      <c r="C1689" s="197">
        <v>1</v>
      </c>
      <c r="D1689" s="198" t="s">
        <v>4788</v>
      </c>
      <c r="E1689" s="169" t="str">
        <f>HYPERLINK("https://ledvance.com/pt/product-datasheet/6444/209207","Ficha de Produto")</f>
        <v>Ficha de Produto</v>
      </c>
      <c r="F1689" s="170"/>
      <c r="G1689" s="171" t="s">
        <v>886</v>
      </c>
      <c r="H1689" s="267" t="s">
        <v>4802</v>
      </c>
      <c r="I1689" s="30">
        <v>16</v>
      </c>
      <c r="J1689" s="29" t="s">
        <v>721</v>
      </c>
    </row>
    <row r="1690" spans="1:10" ht="12" customHeight="1">
      <c r="A1690" s="167">
        <v>4058075793934</v>
      </c>
      <c r="B1690" s="196" t="s">
        <v>4807</v>
      </c>
      <c r="C1690" s="197">
        <v>1</v>
      </c>
      <c r="D1690" s="198" t="s">
        <v>4788</v>
      </c>
      <c r="E1690" s="169" t="str">
        <f>HYPERLINK("https://ledvance.com/pt/product-datasheet/229619/215834","Ficha de Produto")</f>
        <v>Ficha de Produto</v>
      </c>
      <c r="F1690" s="170"/>
      <c r="G1690" s="171" t="s">
        <v>795</v>
      </c>
      <c r="H1690" s="267" t="s">
        <v>4808</v>
      </c>
      <c r="I1690" s="30">
        <v>37.5</v>
      </c>
      <c r="J1690" s="29" t="s">
        <v>721</v>
      </c>
    </row>
    <row r="1691" spans="1:10" ht="15" customHeight="1">
      <c r="A1691" s="172"/>
      <c r="B1691" s="164" t="s">
        <v>4809</v>
      </c>
      <c r="C1691" s="8"/>
      <c r="D1691" s="165"/>
      <c r="E1691" s="165"/>
      <c r="F1691" s="166"/>
      <c r="G1691" s="173"/>
      <c r="H1691" s="166"/>
      <c r="I1691" s="57"/>
      <c r="J1691" s="58"/>
    </row>
    <row r="1692" spans="1:10" ht="15" customHeight="1">
      <c r="A1692" s="167">
        <v>4058075778726</v>
      </c>
      <c r="B1692" s="196" t="s">
        <v>4801</v>
      </c>
      <c r="C1692" s="197">
        <v>1</v>
      </c>
      <c r="D1692" s="198" t="s">
        <v>4788</v>
      </c>
      <c r="E1692" s="169" t="str">
        <f>HYPERLINK("https://ledvance.com/pt/product-datasheet/6443/209281","Ficha de Produto")</f>
        <v>Ficha de Produto</v>
      </c>
      <c r="F1692" s="170"/>
      <c r="G1692" s="171" t="s">
        <v>763</v>
      </c>
      <c r="H1692" s="267" t="s">
        <v>4802</v>
      </c>
      <c r="I1692" s="30">
        <v>29.700000000000003</v>
      </c>
      <c r="J1692" s="29" t="s">
        <v>721</v>
      </c>
    </row>
    <row r="1693" spans="1:10" ht="15" customHeight="1">
      <c r="A1693" s="167">
        <v>4058075778535</v>
      </c>
      <c r="B1693" s="196" t="s">
        <v>4803</v>
      </c>
      <c r="C1693" s="197">
        <v>1</v>
      </c>
      <c r="D1693" s="198" t="s">
        <v>4788</v>
      </c>
      <c r="E1693" s="169" t="str">
        <f>HYPERLINK("https://ledvance.com/pt/product-datasheet/6443/209262","Ficha de Produto")</f>
        <v>Ficha de Produto</v>
      </c>
      <c r="F1693" s="170"/>
      <c r="G1693" s="171" t="s">
        <v>6103</v>
      </c>
      <c r="H1693" s="267" t="s">
        <v>4802</v>
      </c>
      <c r="I1693" s="30">
        <v>26.8</v>
      </c>
      <c r="J1693" s="29" t="s">
        <v>721</v>
      </c>
    </row>
    <row r="1694" spans="1:10" ht="15" customHeight="1">
      <c r="A1694" s="167">
        <v>4058075778450</v>
      </c>
      <c r="B1694" s="196" t="s">
        <v>4804</v>
      </c>
      <c r="C1694" s="197">
        <v>1</v>
      </c>
      <c r="D1694" s="198" t="s">
        <v>4788</v>
      </c>
      <c r="E1694" s="169" t="str">
        <f>HYPERLINK("https://ledvance.com/pt/product-datasheet/6443/209218","Ficha de Produto")</f>
        <v>Ficha de Produto</v>
      </c>
      <c r="F1694" s="170"/>
      <c r="G1694" s="171" t="s">
        <v>886</v>
      </c>
      <c r="H1694" s="267" t="s">
        <v>4802</v>
      </c>
      <c r="I1694" s="30">
        <v>22.400000000000002</v>
      </c>
      <c r="J1694" s="29" t="s">
        <v>721</v>
      </c>
    </row>
    <row r="1695" spans="1:10" ht="15" customHeight="1">
      <c r="A1695" s="167">
        <v>4058075778474</v>
      </c>
      <c r="B1695" s="196" t="s">
        <v>4806</v>
      </c>
      <c r="C1695" s="197">
        <v>1</v>
      </c>
      <c r="D1695" s="198" t="s">
        <v>4788</v>
      </c>
      <c r="E1695" s="169" t="str">
        <f>HYPERLINK("https://ledvance.com/pt/product-datasheet/6443/209234","Ficha de Produto")</f>
        <v>Ficha de Produto</v>
      </c>
      <c r="F1695" s="170"/>
      <c r="G1695" s="171" t="s">
        <v>886</v>
      </c>
      <c r="H1695" s="267" t="s">
        <v>4802</v>
      </c>
      <c r="I1695" s="30">
        <v>22.400000000000002</v>
      </c>
      <c r="J1695" s="29" t="s">
        <v>721</v>
      </c>
    </row>
    <row r="1696" spans="1:10" ht="15" customHeight="1">
      <c r="A1696" s="172"/>
      <c r="B1696" s="164" t="s">
        <v>4810</v>
      </c>
      <c r="C1696" s="8"/>
      <c r="D1696" s="165"/>
      <c r="E1696" s="174"/>
      <c r="F1696" s="166"/>
      <c r="G1696" s="173"/>
      <c r="H1696" s="166"/>
      <c r="I1696" s="57"/>
      <c r="J1696" s="58"/>
    </row>
    <row r="1697" spans="1:10" ht="15" customHeight="1">
      <c r="A1697" s="167">
        <v>4058075619012</v>
      </c>
      <c r="B1697" s="196" t="s">
        <v>4811</v>
      </c>
      <c r="C1697" s="197">
        <v>1</v>
      </c>
      <c r="D1697" s="198" t="s">
        <v>4788</v>
      </c>
      <c r="E1697" s="169" t="str">
        <f>HYPERLINK("https://ledvance.com/pt/product-datasheet/177779/154405","Ficha de Produto")</f>
        <v>Ficha de Produto</v>
      </c>
      <c r="F1697" s="170"/>
      <c r="G1697" s="171" t="s">
        <v>6104</v>
      </c>
      <c r="H1697" s="267" t="s">
        <v>4789</v>
      </c>
      <c r="I1697" s="30">
        <v>33.800000000000004</v>
      </c>
      <c r="J1697" s="29" t="s">
        <v>721</v>
      </c>
    </row>
    <row r="1698" spans="1:10" ht="15" customHeight="1">
      <c r="A1698" s="167">
        <v>4058075777859</v>
      </c>
      <c r="B1698" s="196" t="s">
        <v>4812</v>
      </c>
      <c r="C1698" s="197">
        <v>1</v>
      </c>
      <c r="D1698" s="198" t="s">
        <v>4788</v>
      </c>
      <c r="E1698" s="169" t="str">
        <f>HYPERLINK("https://ledvance.com/pt/product-datasheet/232369/215823","Ficha de Produto")</f>
        <v>Ficha de Produto</v>
      </c>
      <c r="F1698" s="170"/>
      <c r="G1698" s="171" t="s">
        <v>6105</v>
      </c>
      <c r="H1698" s="267" t="s">
        <v>4813</v>
      </c>
      <c r="I1698" s="30">
        <v>41.2</v>
      </c>
      <c r="J1698" s="29" t="s">
        <v>721</v>
      </c>
    </row>
    <row r="1699" spans="1:10" ht="15" customHeight="1">
      <c r="A1699" s="175"/>
      <c r="B1699" s="163" t="s">
        <v>4814</v>
      </c>
      <c r="C1699" s="176"/>
      <c r="D1699" s="146"/>
      <c r="E1699" s="146"/>
      <c r="F1699" s="162"/>
      <c r="G1699" s="173"/>
      <c r="H1699" s="162"/>
      <c r="I1699" s="57"/>
      <c r="J1699" s="58"/>
    </row>
    <row r="1700" spans="1:10" ht="15" customHeight="1">
      <c r="A1700" s="172"/>
      <c r="B1700" s="164" t="s">
        <v>4815</v>
      </c>
      <c r="C1700" s="8"/>
      <c r="D1700" s="165"/>
      <c r="E1700" s="174"/>
      <c r="F1700" s="166"/>
      <c r="G1700" s="173"/>
      <c r="H1700" s="166"/>
      <c r="I1700" s="57"/>
      <c r="J1700" s="58"/>
    </row>
    <row r="1701" spans="1:10" ht="15" customHeight="1">
      <c r="A1701" s="167">
        <v>4058075778559</v>
      </c>
      <c r="B1701" s="196" t="s">
        <v>4816</v>
      </c>
      <c r="C1701" s="197">
        <v>1</v>
      </c>
      <c r="D1701" s="198" t="s">
        <v>4788</v>
      </c>
      <c r="E1701" s="169" t="str">
        <f>HYPERLINK("https://ledvance.com/pt/product-datasheet/6448/209287","Ficha de Produto")</f>
        <v>Ficha de Produto</v>
      </c>
      <c r="F1701" s="170"/>
      <c r="G1701" s="171" t="s">
        <v>6051</v>
      </c>
      <c r="H1701" s="267" t="s">
        <v>4789</v>
      </c>
      <c r="I1701" s="30">
        <v>15</v>
      </c>
      <c r="J1701" s="29" t="s">
        <v>721</v>
      </c>
    </row>
    <row r="1702" spans="1:10" ht="15" customHeight="1">
      <c r="A1702" s="172"/>
      <c r="B1702" s="164" t="s">
        <v>4817</v>
      </c>
      <c r="C1702" s="8"/>
      <c r="D1702" s="165"/>
      <c r="E1702" s="165"/>
      <c r="F1702" s="166"/>
      <c r="G1702" s="173"/>
      <c r="H1702" s="166"/>
      <c r="I1702" s="57"/>
      <c r="J1702" s="58"/>
    </row>
    <row r="1703" spans="1:10" ht="15" customHeight="1">
      <c r="A1703" s="167">
        <v>4058075609754</v>
      </c>
      <c r="B1703" s="196" t="s">
        <v>4818</v>
      </c>
      <c r="C1703" s="197">
        <v>1</v>
      </c>
      <c r="D1703" s="198" t="s">
        <v>4788</v>
      </c>
      <c r="E1703" s="169" t="str">
        <f>HYPERLINK("https://ledvance.com/pt/product-datasheet/178250/154350","Ficha de Produto")</f>
        <v>Ficha de Produto</v>
      </c>
      <c r="F1703" s="170"/>
      <c r="G1703" s="171" t="s">
        <v>855</v>
      </c>
      <c r="H1703" s="267" t="s">
        <v>4789</v>
      </c>
      <c r="I1703" s="30">
        <v>15.7</v>
      </c>
      <c r="J1703" s="29" t="s">
        <v>721</v>
      </c>
    </row>
    <row r="1704" spans="1:10" ht="15" customHeight="1">
      <c r="A1704" s="172"/>
      <c r="B1704" s="164" t="s">
        <v>4819</v>
      </c>
      <c r="C1704" s="8"/>
      <c r="D1704" s="165"/>
      <c r="E1704" s="165"/>
      <c r="F1704" s="166"/>
      <c r="G1704" s="173"/>
      <c r="H1704" s="166"/>
      <c r="I1704" s="57"/>
      <c r="J1704" s="58"/>
    </row>
    <row r="1705" spans="1:10" ht="15" customHeight="1">
      <c r="A1705" s="167">
        <v>4058075778573</v>
      </c>
      <c r="B1705" s="196" t="s">
        <v>4820</v>
      </c>
      <c r="C1705" s="197">
        <v>1</v>
      </c>
      <c r="D1705" s="198" t="s">
        <v>4788</v>
      </c>
      <c r="E1705" s="169" t="str">
        <f>HYPERLINK("https://ledvance.com/pt/product-datasheet/6447/209293","Ficha de Produto")</f>
        <v>Ficha de Produto</v>
      </c>
      <c r="F1705" s="170"/>
      <c r="G1705" s="171" t="s">
        <v>6051</v>
      </c>
      <c r="H1705" s="267" t="s">
        <v>4802</v>
      </c>
      <c r="I1705" s="30">
        <v>19.400000000000002</v>
      </c>
      <c r="J1705" s="29" t="s">
        <v>721</v>
      </c>
    </row>
    <row r="1706" spans="1:10" ht="15" customHeight="1">
      <c r="A1706" s="172"/>
      <c r="B1706" s="164" t="s">
        <v>4821</v>
      </c>
      <c r="C1706" s="8"/>
      <c r="D1706" s="165"/>
      <c r="E1706" s="174"/>
      <c r="F1706" s="166"/>
      <c r="G1706" s="173"/>
      <c r="H1706" s="166"/>
      <c r="I1706" s="57"/>
      <c r="J1706" s="58"/>
    </row>
    <row r="1707" spans="1:10" ht="12" customHeight="1">
      <c r="A1707" s="167">
        <v>4058075778597</v>
      </c>
      <c r="B1707" s="196" t="s">
        <v>4820</v>
      </c>
      <c r="C1707" s="197">
        <v>1</v>
      </c>
      <c r="D1707" s="198" t="s">
        <v>4788</v>
      </c>
      <c r="E1707" s="169" t="str">
        <f>HYPERLINK("https://ledvance.com/pt/product-datasheet/6446/209299","Ficha de Produto")</f>
        <v>Ficha de Produto</v>
      </c>
      <c r="F1707" s="170"/>
      <c r="G1707" s="171" t="s">
        <v>6051</v>
      </c>
      <c r="H1707" s="267" t="s">
        <v>4802</v>
      </c>
      <c r="I1707" s="30">
        <v>22.400000000000002</v>
      </c>
      <c r="J1707" s="29" t="s">
        <v>721</v>
      </c>
    </row>
    <row r="1708" spans="1:10" ht="15" customHeight="1">
      <c r="A1708" s="172"/>
      <c r="B1708" s="163" t="s">
        <v>4822</v>
      </c>
      <c r="C1708" s="176"/>
      <c r="D1708" s="146"/>
      <c r="E1708" s="177"/>
      <c r="F1708" s="166"/>
      <c r="G1708" s="173"/>
      <c r="H1708" s="162"/>
      <c r="I1708" s="57"/>
      <c r="J1708" s="58"/>
    </row>
    <row r="1709" spans="1:10" ht="15" customHeight="1">
      <c r="A1709" s="172"/>
      <c r="B1709" s="164" t="s">
        <v>4823</v>
      </c>
      <c r="C1709" s="8"/>
      <c r="D1709" s="165"/>
      <c r="E1709" s="165"/>
      <c r="F1709" s="166"/>
      <c r="G1709" s="173"/>
      <c r="H1709" s="166"/>
      <c r="I1709" s="57"/>
      <c r="J1709" s="58"/>
    </row>
    <row r="1710" spans="1:10" ht="12" customHeight="1">
      <c r="A1710" s="167">
        <v>4058075778610</v>
      </c>
      <c r="B1710" s="196" t="s">
        <v>4824</v>
      </c>
      <c r="C1710" s="197">
        <v>1</v>
      </c>
      <c r="D1710" s="198" t="s">
        <v>4788</v>
      </c>
      <c r="E1710" s="169" t="str">
        <f>HYPERLINK("https://ledvance.com/pt/product-datasheet/6451/209305","Ficha de Produto")</f>
        <v>Ficha de Produto</v>
      </c>
      <c r="F1710" s="170"/>
      <c r="G1710" s="171" t="s">
        <v>6051</v>
      </c>
      <c r="H1710" s="267" t="s">
        <v>4789</v>
      </c>
      <c r="I1710" s="30">
        <v>15</v>
      </c>
      <c r="J1710" s="29" t="s">
        <v>721</v>
      </c>
    </row>
    <row r="1711" spans="1:10" ht="15" customHeight="1">
      <c r="A1711" s="172"/>
      <c r="B1711" s="164" t="s">
        <v>4825</v>
      </c>
      <c r="C1711" s="8"/>
      <c r="D1711" s="165"/>
      <c r="E1711" s="165"/>
      <c r="F1711" s="166"/>
      <c r="G1711" s="173"/>
      <c r="H1711" s="166"/>
      <c r="I1711" s="57"/>
      <c r="J1711" s="58"/>
    </row>
    <row r="1712" spans="1:10" ht="12" customHeight="1">
      <c r="A1712" s="167">
        <v>4058075609778</v>
      </c>
      <c r="B1712" s="196" t="s">
        <v>4826</v>
      </c>
      <c r="C1712" s="197">
        <v>1</v>
      </c>
      <c r="D1712" s="198" t="s">
        <v>4788</v>
      </c>
      <c r="E1712" s="169" t="str">
        <f>HYPERLINK("https://ledvance.com/pt/product-datasheet/178254/154353","Ficha de Produto")</f>
        <v>Ficha de Produto</v>
      </c>
      <c r="F1712" s="170"/>
      <c r="G1712" s="171" t="s">
        <v>855</v>
      </c>
      <c r="H1712" s="267" t="s">
        <v>4789</v>
      </c>
      <c r="I1712" s="30">
        <v>15.7</v>
      </c>
      <c r="J1712" s="29" t="s">
        <v>721</v>
      </c>
    </row>
    <row r="1713" spans="1:10" ht="12" customHeight="1">
      <c r="A1713" s="167">
        <v>4058075609792</v>
      </c>
      <c r="B1713" s="196" t="s">
        <v>4827</v>
      </c>
      <c r="C1713" s="197">
        <v>1</v>
      </c>
      <c r="D1713" s="198" t="s">
        <v>4788</v>
      </c>
      <c r="E1713" s="169" t="str">
        <f>HYPERLINK("https://ledvance.com/pt/product-datasheet/178254/154356","Ficha de Produto")</f>
        <v>Ficha de Produto</v>
      </c>
      <c r="F1713" s="170"/>
      <c r="G1713" s="171" t="s">
        <v>855</v>
      </c>
      <c r="H1713" s="267" t="s">
        <v>4789</v>
      </c>
      <c r="I1713" s="30">
        <v>15.7</v>
      </c>
      <c r="J1713" s="29" t="s">
        <v>721</v>
      </c>
    </row>
    <row r="1714" spans="1:10" ht="15" customHeight="1">
      <c r="A1714" s="172"/>
      <c r="B1714" s="164" t="s">
        <v>4828</v>
      </c>
      <c r="C1714" s="8"/>
      <c r="D1714" s="165"/>
      <c r="E1714" s="165"/>
      <c r="F1714" s="166"/>
      <c r="G1714" s="173"/>
      <c r="H1714" s="166"/>
      <c r="I1714" s="57"/>
      <c r="J1714" s="58"/>
    </row>
    <row r="1715" spans="1:10" ht="12" customHeight="1">
      <c r="A1715" s="167">
        <v>4058075778634</v>
      </c>
      <c r="B1715" s="196" t="s">
        <v>4829</v>
      </c>
      <c r="C1715" s="197">
        <v>1</v>
      </c>
      <c r="D1715" s="198" t="s">
        <v>4788</v>
      </c>
      <c r="E1715" s="169" t="str">
        <f>HYPERLINK("https://ledvance.com/pt/product-datasheet/6450/209311","Ficha de Produto")</f>
        <v>Ficha de Produto</v>
      </c>
      <c r="F1715" s="170"/>
      <c r="G1715" s="171" t="s">
        <v>6051</v>
      </c>
      <c r="H1715" s="267" t="s">
        <v>4802</v>
      </c>
      <c r="I1715" s="30">
        <v>19.400000000000002</v>
      </c>
      <c r="J1715" s="29" t="s">
        <v>721</v>
      </c>
    </row>
    <row r="1716" spans="1:10" ht="15" customHeight="1">
      <c r="A1716" s="172"/>
      <c r="B1716" s="164" t="s">
        <v>4830</v>
      </c>
      <c r="C1716" s="8"/>
      <c r="D1716" s="165"/>
      <c r="E1716" s="165"/>
      <c r="F1716" s="166"/>
      <c r="G1716" s="173"/>
      <c r="H1716" s="166"/>
      <c r="I1716" s="57"/>
      <c r="J1716" s="58"/>
    </row>
    <row r="1717" spans="1:10" ht="12" customHeight="1">
      <c r="A1717" s="167">
        <v>4058075778658</v>
      </c>
      <c r="B1717" s="196" t="s">
        <v>4829</v>
      </c>
      <c r="C1717" s="197">
        <v>1</v>
      </c>
      <c r="D1717" s="198" t="s">
        <v>4788</v>
      </c>
      <c r="E1717" s="169" t="str">
        <f>HYPERLINK("https://ledvance.com/pt/product-datasheet/6449/209317","Ficha de Produto")</f>
        <v>Ficha de Produto</v>
      </c>
      <c r="F1717" s="170"/>
      <c r="G1717" s="171" t="s">
        <v>6051</v>
      </c>
      <c r="H1717" s="267" t="s">
        <v>4802</v>
      </c>
      <c r="I1717" s="30">
        <v>22.400000000000002</v>
      </c>
      <c r="J1717" s="29" t="s">
        <v>721</v>
      </c>
    </row>
    <row r="1718" spans="1:10" ht="15" customHeight="1">
      <c r="A1718" s="172"/>
      <c r="B1718" s="163" t="s">
        <v>4831</v>
      </c>
      <c r="C1718" s="176"/>
      <c r="D1718" s="146"/>
      <c r="E1718" s="146"/>
      <c r="F1718" s="166"/>
      <c r="G1718" s="173"/>
      <c r="H1718" s="162"/>
      <c r="I1718" s="57"/>
      <c r="J1718" s="58"/>
    </row>
    <row r="1719" spans="1:10" ht="15" customHeight="1">
      <c r="A1719" s="172"/>
      <c r="B1719" s="164" t="s">
        <v>4832</v>
      </c>
      <c r="C1719" s="8"/>
      <c r="D1719" s="165"/>
      <c r="E1719" s="165"/>
      <c r="F1719" s="166"/>
      <c r="G1719" s="173"/>
      <c r="H1719" s="166"/>
      <c r="I1719" s="57"/>
      <c r="J1719" s="58"/>
    </row>
    <row r="1720" spans="1:10" ht="12" customHeight="1">
      <c r="A1720" s="167">
        <v>4058075528277</v>
      </c>
      <c r="B1720" s="196" t="s">
        <v>4833</v>
      </c>
      <c r="C1720" s="197">
        <v>1</v>
      </c>
      <c r="D1720" s="198" t="s">
        <v>4788</v>
      </c>
      <c r="E1720" s="169" t="str">
        <f>HYPERLINK("https://ledvance.com/pt/product-datasheet/141294/97627","Ficha de Produto")</f>
        <v>Ficha de Produto</v>
      </c>
      <c r="F1720" s="170"/>
      <c r="G1720" s="171" t="s">
        <v>795</v>
      </c>
      <c r="H1720" s="267" t="s">
        <v>4789</v>
      </c>
      <c r="I1720" s="30">
        <v>20.900000000000002</v>
      </c>
      <c r="J1720" s="29" t="s">
        <v>721</v>
      </c>
    </row>
    <row r="1721" spans="1:10" ht="12" customHeight="1">
      <c r="A1721" s="167">
        <v>4058075609839</v>
      </c>
      <c r="B1721" s="196" t="s">
        <v>4834</v>
      </c>
      <c r="C1721" s="197">
        <v>1</v>
      </c>
      <c r="D1721" s="198" t="s">
        <v>4788</v>
      </c>
      <c r="E1721" s="169" t="str">
        <f>HYPERLINK("https://ledvance.com/pt/product-datasheet/141294/154377","Ficha de Produto")</f>
        <v>Ficha de Produto</v>
      </c>
      <c r="F1721" s="170"/>
      <c r="G1721" s="171" t="s">
        <v>795</v>
      </c>
      <c r="H1721" s="267" t="s">
        <v>4799</v>
      </c>
      <c r="I1721" s="30">
        <v>26.400000000000002</v>
      </c>
      <c r="J1721" s="29" t="s">
        <v>721</v>
      </c>
    </row>
    <row r="1722" spans="1:10" ht="12" customHeight="1">
      <c r="A1722" s="167">
        <v>4058075610545</v>
      </c>
      <c r="B1722" s="196" t="s">
        <v>4835</v>
      </c>
      <c r="C1722" s="197">
        <v>1</v>
      </c>
      <c r="D1722" s="198" t="s">
        <v>4788</v>
      </c>
      <c r="E1722" s="169" t="str">
        <f>HYPERLINK("https://ledvance.com/pt/product-datasheet/141294/154368","Ficha de Produto")</f>
        <v>Ficha de Produto</v>
      </c>
      <c r="F1722" s="170"/>
      <c r="G1722" s="171" t="s">
        <v>795</v>
      </c>
      <c r="H1722" s="267" t="s">
        <v>4797</v>
      </c>
      <c r="I1722" s="30">
        <v>24.6</v>
      </c>
      <c r="J1722" s="29" t="s">
        <v>721</v>
      </c>
    </row>
    <row r="1723" spans="1:10" ht="15" customHeight="1">
      <c r="A1723" s="172"/>
      <c r="B1723" s="164" t="s">
        <v>4836</v>
      </c>
      <c r="C1723" s="8"/>
      <c r="D1723" s="165"/>
      <c r="E1723" s="165"/>
      <c r="F1723" s="166"/>
      <c r="G1723" s="173"/>
      <c r="H1723" s="166"/>
      <c r="I1723" s="57"/>
      <c r="J1723" s="58"/>
    </row>
    <row r="1724" spans="1:10" ht="12" customHeight="1">
      <c r="A1724" s="167">
        <v>4058075777996</v>
      </c>
      <c r="B1724" s="196" t="s">
        <v>4837</v>
      </c>
      <c r="C1724" s="197">
        <v>1</v>
      </c>
      <c r="D1724" s="198" t="s">
        <v>4788</v>
      </c>
      <c r="E1724" s="169" t="str">
        <f>HYPERLINK("https://ledvance.com/pt/product-datasheet/232374/215860","Ficha de Produto")</f>
        <v>Ficha de Produto</v>
      </c>
      <c r="F1724" s="170"/>
      <c r="G1724" s="171" t="s">
        <v>807</v>
      </c>
      <c r="H1724" s="267" t="s">
        <v>4802</v>
      </c>
      <c r="I1724" s="30">
        <v>41.2</v>
      </c>
      <c r="J1724" s="29" t="s">
        <v>721</v>
      </c>
    </row>
    <row r="1725" spans="1:10" ht="12" customHeight="1">
      <c r="A1725" s="167">
        <v>4058075778016</v>
      </c>
      <c r="B1725" s="196" t="s">
        <v>4838</v>
      </c>
      <c r="C1725" s="197">
        <v>1</v>
      </c>
      <c r="D1725" s="198" t="s">
        <v>4788</v>
      </c>
      <c r="E1725" s="169" t="str">
        <f>HYPERLINK("https://ledvance.com/pt/product-datasheet/234704/215863","Ficha de Produto")</f>
        <v>Ficha de Produto</v>
      </c>
      <c r="F1725" s="170"/>
      <c r="G1725" s="171" t="s">
        <v>807</v>
      </c>
      <c r="H1725" s="267" t="s">
        <v>4839</v>
      </c>
      <c r="I1725" s="30">
        <v>43.1</v>
      </c>
      <c r="J1725" s="29" t="s">
        <v>721</v>
      </c>
    </row>
    <row r="1726" spans="1:10" ht="15" customHeight="1">
      <c r="A1726" s="172"/>
      <c r="B1726" s="199"/>
      <c r="C1726" s="8"/>
      <c r="D1726" s="165"/>
      <c r="E1726" s="174"/>
      <c r="F1726" s="166"/>
      <c r="G1726" s="173"/>
      <c r="H1726" s="166"/>
      <c r="I1726" s="57"/>
      <c r="J1726" s="58"/>
    </row>
    <row r="1727" spans="1:10" ht="12" customHeight="1">
      <c r="A1727" s="167">
        <v>4058075777873</v>
      </c>
      <c r="B1727" s="196" t="s">
        <v>4840</v>
      </c>
      <c r="C1727" s="197">
        <v>1</v>
      </c>
      <c r="D1727" s="198" t="s">
        <v>4788</v>
      </c>
      <c r="E1727" s="169" t="str">
        <f>HYPERLINK("https://ledvance.com/pt/product-datasheet/232370/215827","Ficha de Produto")</f>
        <v>Ficha de Produto</v>
      </c>
      <c r="F1727" s="170"/>
      <c r="G1727" s="171" t="s">
        <v>6105</v>
      </c>
      <c r="H1727" s="267" t="s">
        <v>4802</v>
      </c>
      <c r="I1727" s="30">
        <v>37.5</v>
      </c>
      <c r="J1727" s="29" t="s">
        <v>721</v>
      </c>
    </row>
    <row r="1728" spans="1:10" ht="12" customHeight="1">
      <c r="A1728" s="167">
        <v>4058075609914</v>
      </c>
      <c r="B1728" s="196" t="s">
        <v>4841</v>
      </c>
      <c r="C1728" s="197">
        <v>1</v>
      </c>
      <c r="D1728" s="198" t="s">
        <v>4788</v>
      </c>
      <c r="E1728" s="169" t="str">
        <f>HYPERLINK("https://ledvance.com/pt/product-datasheet/177795/154344","Ficha de Produto")</f>
        <v>Ficha de Produto</v>
      </c>
      <c r="F1728" s="170"/>
      <c r="G1728" s="171" t="s">
        <v>6104</v>
      </c>
      <c r="H1728" s="267" t="s">
        <v>4789</v>
      </c>
      <c r="I1728" s="30">
        <v>37.5</v>
      </c>
      <c r="J1728" s="29" t="s">
        <v>721</v>
      </c>
    </row>
    <row r="1729" spans="1:10" ht="15" customHeight="1">
      <c r="A1729" s="172"/>
      <c r="B1729" s="163" t="s">
        <v>4842</v>
      </c>
      <c r="C1729" s="176"/>
      <c r="D1729" s="163"/>
      <c r="E1729" s="163"/>
      <c r="F1729" s="166"/>
      <c r="G1729" s="173"/>
      <c r="H1729" s="162"/>
      <c r="I1729" s="57"/>
      <c r="J1729" s="58"/>
    </row>
    <row r="1730" spans="1:10" ht="15" customHeight="1">
      <c r="A1730" s="172"/>
      <c r="B1730" s="164" t="s">
        <v>4843</v>
      </c>
      <c r="C1730" s="8"/>
      <c r="D1730" s="164"/>
      <c r="E1730" s="71"/>
      <c r="F1730" s="166"/>
      <c r="G1730" s="173"/>
      <c r="H1730" s="166"/>
      <c r="I1730" s="57"/>
      <c r="J1730" s="58"/>
    </row>
    <row r="1731" spans="1:10" ht="12" customHeight="1">
      <c r="A1731" s="167">
        <v>4058075528291</v>
      </c>
      <c r="B1731" s="196" t="s">
        <v>4844</v>
      </c>
      <c r="C1731" s="197">
        <v>1</v>
      </c>
      <c r="D1731" s="198" t="s">
        <v>4788</v>
      </c>
      <c r="E1731" s="169" t="str">
        <f>HYPERLINK("https://ledvance.com/pt/product-datasheet/141293/97630","Ficha de Produto")</f>
        <v>Ficha de Produto</v>
      </c>
      <c r="F1731" s="170"/>
      <c r="G1731" s="171" t="s">
        <v>795</v>
      </c>
      <c r="H1731" s="267" t="s">
        <v>4789</v>
      </c>
      <c r="I1731" s="30">
        <v>19.700000000000003</v>
      </c>
      <c r="J1731" s="29" t="s">
        <v>721</v>
      </c>
    </row>
    <row r="1732" spans="1:10" ht="12" customHeight="1">
      <c r="A1732" s="167">
        <v>4058075609693</v>
      </c>
      <c r="B1732" s="196" t="s">
        <v>4845</v>
      </c>
      <c r="C1732" s="197">
        <v>1</v>
      </c>
      <c r="D1732" s="198" t="s">
        <v>4788</v>
      </c>
      <c r="E1732" s="169" t="str">
        <f>HYPERLINK("https://ledvance.com/pt/product-datasheet/141293/154371","Ficha de Produto")</f>
        <v>Ficha de Produto</v>
      </c>
      <c r="F1732" s="170"/>
      <c r="G1732" s="171" t="s">
        <v>795</v>
      </c>
      <c r="H1732" s="267" t="s">
        <v>4797</v>
      </c>
      <c r="I1732" s="30">
        <v>23.5</v>
      </c>
      <c r="J1732" s="29" t="s">
        <v>721</v>
      </c>
    </row>
    <row r="1733" spans="1:10" ht="12" customHeight="1">
      <c r="A1733" s="167">
        <v>4058075609853</v>
      </c>
      <c r="B1733" s="196" t="s">
        <v>4846</v>
      </c>
      <c r="C1733" s="197">
        <v>1</v>
      </c>
      <c r="D1733" s="198" t="s">
        <v>4788</v>
      </c>
      <c r="E1733" s="169" t="str">
        <f>HYPERLINK("https://ledvance.com/pt/product-datasheet/141293/154380","Ficha de Produto")</f>
        <v>Ficha de Produto</v>
      </c>
      <c r="F1733" s="170"/>
      <c r="G1733" s="171" t="s">
        <v>795</v>
      </c>
      <c r="H1733" s="267" t="s">
        <v>4799</v>
      </c>
      <c r="I1733" s="30">
        <v>23.5</v>
      </c>
      <c r="J1733" s="29" t="s">
        <v>721</v>
      </c>
    </row>
    <row r="1734" spans="1:10" ht="12" customHeight="1">
      <c r="A1734" s="167">
        <v>4058075609877</v>
      </c>
      <c r="B1734" s="196" t="s">
        <v>4847</v>
      </c>
      <c r="C1734" s="197">
        <v>1</v>
      </c>
      <c r="D1734" s="198" t="s">
        <v>4788</v>
      </c>
      <c r="E1734" s="169" t="str">
        <f>HYPERLINK("https://ledvance.com/pt/product-datasheet/141293/154383","Ficha de Produto")</f>
        <v>Ficha de Produto</v>
      </c>
      <c r="F1734" s="170"/>
      <c r="G1734" s="171" t="s">
        <v>795</v>
      </c>
      <c r="H1734" s="267" t="s">
        <v>4799</v>
      </c>
      <c r="I1734" s="30">
        <v>74.599999999999994</v>
      </c>
      <c r="J1734" s="29" t="s">
        <v>721</v>
      </c>
    </row>
    <row r="1735" spans="1:10" ht="15" customHeight="1">
      <c r="A1735" s="172"/>
      <c r="B1735" s="164" t="s">
        <v>4848</v>
      </c>
      <c r="C1735" s="8"/>
      <c r="D1735" s="165"/>
      <c r="E1735" s="174"/>
      <c r="F1735" s="166"/>
      <c r="G1735" s="173"/>
      <c r="H1735" s="166"/>
      <c r="I1735" s="57"/>
      <c r="J1735" s="58"/>
    </row>
    <row r="1736" spans="1:10" ht="12" customHeight="1">
      <c r="A1736" s="167">
        <v>4058075793958</v>
      </c>
      <c r="B1736" s="196" t="s">
        <v>4849</v>
      </c>
      <c r="C1736" s="197">
        <v>1</v>
      </c>
      <c r="D1736" s="198" t="s">
        <v>4788</v>
      </c>
      <c r="E1736" s="169" t="str">
        <f>HYPERLINK("https://ledvance.com/pt/product-datasheet/232373/215837","Ficha de Produto")</f>
        <v>Ficha de Produto</v>
      </c>
      <c r="F1736" s="170"/>
      <c r="G1736" s="171" t="s">
        <v>807</v>
      </c>
      <c r="H1736" s="267" t="s">
        <v>4802</v>
      </c>
      <c r="I1736" s="30">
        <v>41.2</v>
      </c>
      <c r="J1736" s="29" t="s">
        <v>721</v>
      </c>
    </row>
    <row r="1737" spans="1:10" ht="12" customHeight="1">
      <c r="A1737" s="167">
        <v>4058075777910</v>
      </c>
      <c r="B1737" s="196" t="s">
        <v>4850</v>
      </c>
      <c r="C1737" s="197">
        <v>1</v>
      </c>
      <c r="D1737" s="198" t="s">
        <v>4788</v>
      </c>
      <c r="E1737" s="169" t="str">
        <f>HYPERLINK("https://ledvance.com/pt/product-datasheet/234703/215841","Ficha de Produto")</f>
        <v>Ficha de Produto</v>
      </c>
      <c r="F1737" s="170"/>
      <c r="G1737" s="171" t="s">
        <v>807</v>
      </c>
      <c r="H1737" s="267" t="s">
        <v>4802</v>
      </c>
      <c r="I1737" s="30">
        <v>43.1</v>
      </c>
      <c r="J1737" s="29" t="s">
        <v>721</v>
      </c>
    </row>
    <row r="1738" spans="1:10" ht="12" customHeight="1">
      <c r="A1738" s="167">
        <v>4058075609594</v>
      </c>
      <c r="B1738" s="196" t="s">
        <v>4851</v>
      </c>
      <c r="C1738" s="197">
        <v>1</v>
      </c>
      <c r="D1738" s="198" t="s">
        <v>4788</v>
      </c>
      <c r="E1738" s="169" t="str">
        <f>HYPERLINK("https://ledvance.com/pt/product-datasheet/188007/153646","Ficha de Produto")</f>
        <v>Ficha de Produto</v>
      </c>
      <c r="F1738" s="170"/>
      <c r="G1738" s="171" t="s">
        <v>763</v>
      </c>
      <c r="H1738" s="267" t="s">
        <v>4839</v>
      </c>
      <c r="I1738" s="30">
        <v>30.1</v>
      </c>
      <c r="J1738" s="29" t="s">
        <v>721</v>
      </c>
    </row>
    <row r="1739" spans="1:10" ht="12" customHeight="1">
      <c r="A1739" s="167">
        <v>4058075777934</v>
      </c>
      <c r="B1739" s="196" t="s">
        <v>4852</v>
      </c>
      <c r="C1739" s="197">
        <v>1</v>
      </c>
      <c r="D1739" s="198" t="s">
        <v>4788</v>
      </c>
      <c r="E1739" s="169" t="str">
        <f>HYPERLINK("https://ledvance.com/pt/product-datasheet/232373/215844","Ficha de Produto")</f>
        <v>Ficha de Produto</v>
      </c>
      <c r="F1739" s="170"/>
      <c r="G1739" s="171" t="s">
        <v>807</v>
      </c>
      <c r="H1739" s="267" t="s">
        <v>4802</v>
      </c>
      <c r="I1739" s="30">
        <v>43.1</v>
      </c>
      <c r="J1739" s="29" t="s">
        <v>721</v>
      </c>
    </row>
    <row r="1740" spans="1:10" ht="12" customHeight="1">
      <c r="A1740" s="167">
        <v>4058075793972</v>
      </c>
      <c r="B1740" s="196" t="s">
        <v>4853</v>
      </c>
      <c r="C1740" s="197">
        <v>1</v>
      </c>
      <c r="D1740" s="198" t="s">
        <v>4788</v>
      </c>
      <c r="E1740" s="169" t="str">
        <f>HYPERLINK("https://ledvance.com/pt/product-datasheet/234703/215848","Ficha de Produto")</f>
        <v>Ficha de Produto</v>
      </c>
      <c r="F1740" s="170"/>
      <c r="G1740" s="171" t="s">
        <v>807</v>
      </c>
      <c r="H1740" s="267" t="s">
        <v>4839</v>
      </c>
      <c r="I1740" s="30">
        <v>45</v>
      </c>
      <c r="J1740" s="29" t="s">
        <v>721</v>
      </c>
    </row>
    <row r="1741" spans="1:10" ht="12" customHeight="1">
      <c r="A1741" s="167">
        <v>4058075777958</v>
      </c>
      <c r="B1741" s="196" t="s">
        <v>4854</v>
      </c>
      <c r="C1741" s="197">
        <v>1</v>
      </c>
      <c r="D1741" s="198" t="s">
        <v>4788</v>
      </c>
      <c r="E1741" s="169" t="str">
        <f>HYPERLINK("https://ledvance.com/pt/product-datasheet/232373/215851","Ficha de Produto")</f>
        <v>Ficha de Produto</v>
      </c>
      <c r="F1741" s="170"/>
      <c r="G1741" s="171" t="s">
        <v>807</v>
      </c>
      <c r="H1741" s="267" t="s">
        <v>4802</v>
      </c>
      <c r="I1741" s="30">
        <v>46.800000000000004</v>
      </c>
      <c r="J1741" s="29" t="s">
        <v>721</v>
      </c>
    </row>
    <row r="1742" spans="1:10" ht="12" customHeight="1">
      <c r="A1742" s="167">
        <v>4058075777972</v>
      </c>
      <c r="B1742" s="196" t="s">
        <v>4855</v>
      </c>
      <c r="C1742" s="197">
        <v>1</v>
      </c>
      <c r="D1742" s="198" t="s">
        <v>4788</v>
      </c>
      <c r="E1742" s="169" t="str">
        <f>HYPERLINK("https://ledvance.com/pt/product-datasheet/234703/215856","Ficha de Produto")</f>
        <v>Ficha de Produto</v>
      </c>
      <c r="F1742" s="170"/>
      <c r="G1742" s="171" t="s">
        <v>807</v>
      </c>
      <c r="H1742" s="267" t="s">
        <v>4839</v>
      </c>
      <c r="I1742" s="30">
        <v>50.5</v>
      </c>
      <c r="J1742" s="29" t="s">
        <v>721</v>
      </c>
    </row>
    <row r="1743" spans="1:10" ht="15" customHeight="1">
      <c r="A1743" s="172"/>
      <c r="B1743" s="164" t="s">
        <v>4856</v>
      </c>
      <c r="C1743" s="8"/>
      <c r="D1743" s="165"/>
      <c r="E1743" s="165"/>
      <c r="F1743" s="166"/>
      <c r="G1743" s="173"/>
      <c r="H1743" s="166"/>
      <c r="I1743" s="57"/>
      <c r="J1743" s="58"/>
    </row>
    <row r="1744" spans="1:10" ht="12" customHeight="1">
      <c r="A1744" s="167">
        <v>4058075609938</v>
      </c>
      <c r="B1744" s="196" t="s">
        <v>4857</v>
      </c>
      <c r="C1744" s="197">
        <v>1</v>
      </c>
      <c r="D1744" s="198" t="s">
        <v>4788</v>
      </c>
      <c r="E1744" s="169" t="str">
        <f>HYPERLINK("https://ledvance.com/pt/product-datasheet/178256/154347","Ficha de Produto")</f>
        <v>Ficha de Produto</v>
      </c>
      <c r="F1744" s="170"/>
      <c r="G1744" s="171" t="s">
        <v>6104</v>
      </c>
      <c r="H1744" s="267" t="s">
        <v>4789</v>
      </c>
      <c r="I1744" s="30">
        <v>37.5</v>
      </c>
      <c r="J1744" s="29" t="s">
        <v>721</v>
      </c>
    </row>
    <row r="1745" spans="1:10" ht="12" customHeight="1">
      <c r="A1745" s="167">
        <v>4058075777897</v>
      </c>
      <c r="B1745" s="196" t="s">
        <v>4858</v>
      </c>
      <c r="C1745" s="197">
        <v>1</v>
      </c>
      <c r="D1745" s="198" t="s">
        <v>4788</v>
      </c>
      <c r="E1745" s="169" t="str">
        <f>HYPERLINK("https://ledvance.com/pt/product-datasheet/232371/215830","Ficha de Produto")</f>
        <v>Ficha de Produto</v>
      </c>
      <c r="F1745" s="170"/>
      <c r="G1745" s="171" t="s">
        <v>6105</v>
      </c>
      <c r="H1745" s="267" t="s">
        <v>4802</v>
      </c>
      <c r="I1745" s="30">
        <v>45</v>
      </c>
      <c r="J1745" s="29" t="s">
        <v>721</v>
      </c>
    </row>
    <row r="1746" spans="1:10" ht="12" customHeight="1">
      <c r="A1746" s="167">
        <v>4058075609617</v>
      </c>
      <c r="B1746" s="196" t="s">
        <v>4851</v>
      </c>
      <c r="C1746" s="197">
        <v>1</v>
      </c>
      <c r="D1746" s="198" t="s">
        <v>4788</v>
      </c>
      <c r="E1746" s="169" t="str">
        <f>HYPERLINK("https://ledvance.com/pt/product-datasheet/188008/153649","Ficha de Produto")</f>
        <v>Ficha de Produto</v>
      </c>
      <c r="F1746" s="170"/>
      <c r="G1746" s="171" t="s">
        <v>763</v>
      </c>
      <c r="H1746" s="267" t="s">
        <v>4802</v>
      </c>
      <c r="I1746" s="30">
        <v>37.5</v>
      </c>
      <c r="J1746" s="29" t="s">
        <v>721</v>
      </c>
    </row>
    <row r="1747" spans="1:10" ht="15" customHeight="1">
      <c r="A1747" s="172"/>
      <c r="B1747" s="163" t="s">
        <v>4859</v>
      </c>
      <c r="C1747" s="176"/>
      <c r="D1747" s="146"/>
      <c r="E1747" s="146"/>
      <c r="F1747" s="166"/>
      <c r="G1747" s="173"/>
      <c r="H1747" s="162"/>
      <c r="I1747" s="57"/>
      <c r="J1747" s="58"/>
    </row>
    <row r="1748" spans="1:10" ht="15" customHeight="1">
      <c r="A1748" s="172"/>
      <c r="B1748" s="164" t="s">
        <v>4860</v>
      </c>
      <c r="C1748" s="8"/>
      <c r="D1748" s="165"/>
      <c r="E1748" s="165"/>
      <c r="F1748" s="166"/>
      <c r="G1748" s="173"/>
      <c r="H1748" s="166"/>
      <c r="I1748" s="57"/>
      <c r="J1748" s="58"/>
    </row>
    <row r="1749" spans="1:10" ht="12" customHeight="1">
      <c r="A1749" s="167">
        <v>4058075485655</v>
      </c>
      <c r="B1749" s="196" t="s">
        <v>4861</v>
      </c>
      <c r="C1749" s="197">
        <v>1</v>
      </c>
      <c r="D1749" s="198" t="s">
        <v>4788</v>
      </c>
      <c r="E1749" s="169" t="str">
        <f>HYPERLINK("https://ledvance.com/pt/product-datasheet/6455/85897","Ficha de Produto")</f>
        <v>Ficha de Produto</v>
      </c>
      <c r="F1749" s="170"/>
      <c r="G1749" s="171" t="s">
        <v>6051</v>
      </c>
      <c r="H1749" s="267" t="s">
        <v>4789</v>
      </c>
      <c r="I1749" s="30">
        <v>15.299999999999999</v>
      </c>
      <c r="J1749" s="29" t="s">
        <v>721</v>
      </c>
    </row>
    <row r="1750" spans="1:10" ht="15" customHeight="1">
      <c r="A1750" s="172"/>
      <c r="B1750" s="164" t="s">
        <v>4862</v>
      </c>
      <c r="C1750" s="8"/>
      <c r="D1750" s="165"/>
      <c r="E1750" s="174"/>
      <c r="F1750" s="166"/>
      <c r="G1750" s="173"/>
      <c r="H1750" s="166"/>
      <c r="I1750" s="57"/>
      <c r="J1750" s="58"/>
    </row>
    <row r="1751" spans="1:10" ht="12" customHeight="1">
      <c r="A1751" s="167">
        <v>4058075485679</v>
      </c>
      <c r="B1751" s="196" t="s">
        <v>4863</v>
      </c>
      <c r="C1751" s="197">
        <v>1</v>
      </c>
      <c r="D1751" s="198" t="s">
        <v>4788</v>
      </c>
      <c r="E1751" s="169" t="str">
        <f>HYPERLINK("https://ledvance.com/pt/product-datasheet/6454/85904","Ficha de Produto")</f>
        <v>Ficha de Produto</v>
      </c>
      <c r="F1751" s="170"/>
      <c r="G1751" s="171" t="s">
        <v>6051</v>
      </c>
      <c r="H1751" s="267" t="s">
        <v>4802</v>
      </c>
      <c r="I1751" s="30">
        <v>17.900000000000002</v>
      </c>
      <c r="J1751" s="29" t="s">
        <v>721</v>
      </c>
    </row>
    <row r="1752" spans="1:10" ht="15" customHeight="1">
      <c r="A1752" s="172"/>
      <c r="B1752" s="164" t="s">
        <v>4864</v>
      </c>
      <c r="C1752" s="8"/>
      <c r="D1752" s="165"/>
      <c r="E1752" s="174"/>
      <c r="F1752" s="166"/>
      <c r="G1752" s="173"/>
      <c r="H1752" s="166"/>
      <c r="I1752" s="57"/>
      <c r="J1752" s="58"/>
    </row>
    <row r="1753" spans="1:10" ht="12" customHeight="1">
      <c r="A1753" s="167">
        <v>4058075485693</v>
      </c>
      <c r="B1753" s="196" t="s">
        <v>4863</v>
      </c>
      <c r="C1753" s="197">
        <v>1</v>
      </c>
      <c r="D1753" s="198" t="s">
        <v>4788</v>
      </c>
      <c r="E1753" s="169" t="str">
        <f>HYPERLINK("https://ledvance.com/pt/product-datasheet/6453/123219","Ficha de Produto")</f>
        <v>Ficha de Produto</v>
      </c>
      <c r="F1753" s="170"/>
      <c r="G1753" s="171" t="s">
        <v>6051</v>
      </c>
      <c r="H1753" s="267" t="s">
        <v>4802</v>
      </c>
      <c r="I1753" s="30">
        <v>20.100000000000001</v>
      </c>
      <c r="J1753" s="29" t="s">
        <v>721</v>
      </c>
    </row>
    <row r="1754" spans="1:10" ht="15" customHeight="1">
      <c r="A1754" s="172"/>
      <c r="B1754" s="164" t="s">
        <v>4865</v>
      </c>
      <c r="C1754" s="8"/>
      <c r="D1754" s="165"/>
      <c r="E1754" s="165"/>
      <c r="F1754" s="166"/>
      <c r="G1754" s="173"/>
      <c r="H1754" s="166"/>
      <c r="I1754" s="57"/>
      <c r="J1754" s="58"/>
    </row>
    <row r="1755" spans="1:10" ht="12" customHeight="1">
      <c r="A1755" s="167">
        <v>4058075609518</v>
      </c>
      <c r="B1755" s="196" t="s">
        <v>4866</v>
      </c>
      <c r="C1755" s="197">
        <v>1</v>
      </c>
      <c r="D1755" s="198" t="s">
        <v>4788</v>
      </c>
      <c r="E1755" s="169" t="str">
        <f>HYPERLINK("https://ledvance.com/pt/product-datasheet/188010/153634","Ficha de Produto")</f>
        <v>Ficha de Produto</v>
      </c>
      <c r="F1755" s="170"/>
      <c r="G1755" s="171" t="s">
        <v>6106</v>
      </c>
      <c r="H1755" s="267" t="s">
        <v>4802</v>
      </c>
      <c r="I1755" s="30">
        <v>19</v>
      </c>
      <c r="J1755" s="29" t="s">
        <v>721</v>
      </c>
    </row>
    <row r="1756" spans="1:10" ht="12" customHeight="1">
      <c r="A1756" s="167">
        <v>4058075609532</v>
      </c>
      <c r="B1756" s="196" t="s">
        <v>4867</v>
      </c>
      <c r="C1756" s="197">
        <v>1</v>
      </c>
      <c r="D1756" s="198" t="s">
        <v>4788</v>
      </c>
      <c r="E1756" s="169" t="str">
        <f>HYPERLINK("https://ledvance.com/pt/product-datasheet/188010/153637","Ficha de Produto")</f>
        <v>Ficha de Produto</v>
      </c>
      <c r="F1756" s="170"/>
      <c r="G1756" s="171" t="s">
        <v>6107</v>
      </c>
      <c r="H1756" s="267" t="s">
        <v>4802</v>
      </c>
      <c r="I1756" s="30">
        <v>20.900000000000002</v>
      </c>
      <c r="J1756" s="29" t="s">
        <v>721</v>
      </c>
    </row>
    <row r="1757" spans="1:10" ht="15" customHeight="1">
      <c r="A1757" s="172"/>
      <c r="B1757" s="164" t="s">
        <v>4868</v>
      </c>
      <c r="C1757" s="8"/>
      <c r="D1757" s="165"/>
      <c r="E1757" s="174"/>
      <c r="F1757" s="166"/>
      <c r="G1757" s="173"/>
      <c r="H1757" s="166"/>
      <c r="I1757" s="57"/>
      <c r="J1757" s="58"/>
    </row>
    <row r="1758" spans="1:10" ht="12" customHeight="1">
      <c r="A1758" s="167">
        <v>4058075609556</v>
      </c>
      <c r="B1758" s="196" t="s">
        <v>4869</v>
      </c>
      <c r="C1758" s="197">
        <v>1</v>
      </c>
      <c r="D1758" s="198" t="s">
        <v>4788</v>
      </c>
      <c r="E1758" s="169" t="str">
        <f>HYPERLINK("https://ledvance.com/pt/product-datasheet/188009/153640","Ficha de Produto")</f>
        <v>Ficha de Produto</v>
      </c>
      <c r="F1758" s="170"/>
      <c r="G1758" s="171" t="s">
        <v>6106</v>
      </c>
      <c r="H1758" s="267" t="s">
        <v>4802</v>
      </c>
      <c r="I1758" s="30">
        <v>20.900000000000002</v>
      </c>
      <c r="J1758" s="29" t="s">
        <v>721</v>
      </c>
    </row>
    <row r="1759" spans="1:10" ht="12" customHeight="1">
      <c r="A1759" s="167">
        <v>4058075609570</v>
      </c>
      <c r="B1759" s="196" t="s">
        <v>4867</v>
      </c>
      <c r="C1759" s="197">
        <v>1</v>
      </c>
      <c r="D1759" s="198" t="s">
        <v>4788</v>
      </c>
      <c r="E1759" s="169" t="str">
        <f>HYPERLINK("https://ledvance.com/pt/product-datasheet/188009/153643","Ficha de Produto")</f>
        <v>Ficha de Produto</v>
      </c>
      <c r="F1759" s="170"/>
      <c r="G1759" s="171" t="s">
        <v>6107</v>
      </c>
      <c r="H1759" s="267" t="s">
        <v>4802</v>
      </c>
      <c r="I1759" s="30">
        <v>22.700000000000003</v>
      </c>
      <c r="J1759" s="29" t="s">
        <v>721</v>
      </c>
    </row>
    <row r="1760" spans="1:10" ht="15" customHeight="1">
      <c r="A1760" s="172"/>
      <c r="B1760" s="163" t="s">
        <v>4870</v>
      </c>
      <c r="C1760" s="176"/>
      <c r="D1760" s="146"/>
      <c r="E1760" s="146"/>
      <c r="F1760" s="166"/>
      <c r="G1760" s="173"/>
      <c r="H1760" s="162"/>
      <c r="I1760" s="57"/>
      <c r="J1760" s="58"/>
    </row>
    <row r="1761" spans="1:10" ht="12" customHeight="1">
      <c r="A1761" s="167">
        <v>4058075625990</v>
      </c>
      <c r="B1761" s="196" t="s">
        <v>4871</v>
      </c>
      <c r="C1761" s="197">
        <v>1</v>
      </c>
      <c r="D1761" s="198" t="s">
        <v>4788</v>
      </c>
      <c r="E1761" s="169" t="str">
        <f>HYPERLINK("https://ledvance.com/pt/product-datasheet/181786/168038","Ficha de Produto")</f>
        <v>Ficha de Produto</v>
      </c>
      <c r="F1761" s="170"/>
      <c r="G1761" s="171" t="s">
        <v>886</v>
      </c>
      <c r="H1761" s="267" t="s">
        <v>4802</v>
      </c>
      <c r="I1761" s="30">
        <v>33.800000000000004</v>
      </c>
      <c r="J1761" s="29" t="s">
        <v>721</v>
      </c>
    </row>
    <row r="1762" spans="1:10" ht="12" customHeight="1">
      <c r="A1762" s="167">
        <v>4058075626232</v>
      </c>
      <c r="B1762" s="196" t="s">
        <v>4872</v>
      </c>
      <c r="C1762" s="197">
        <v>1</v>
      </c>
      <c r="D1762" s="198" t="s">
        <v>4788</v>
      </c>
      <c r="E1762" s="169" t="str">
        <f>HYPERLINK("https://ledvance.com/pt/product-datasheet/181786/168041","Ficha de Produto")</f>
        <v>Ficha de Produto</v>
      </c>
      <c r="F1762" s="170"/>
      <c r="G1762" s="171" t="s">
        <v>773</v>
      </c>
      <c r="H1762" s="267" t="s">
        <v>4802</v>
      </c>
      <c r="I1762" s="30">
        <v>37.5</v>
      </c>
      <c r="J1762" s="29" t="s">
        <v>721</v>
      </c>
    </row>
    <row r="1763" spans="1:10" ht="12" customHeight="1">
      <c r="A1763" s="167">
        <v>4058075626256</v>
      </c>
      <c r="B1763" s="196" t="s">
        <v>4873</v>
      </c>
      <c r="C1763" s="197">
        <v>1</v>
      </c>
      <c r="D1763" s="198" t="s">
        <v>4788</v>
      </c>
      <c r="E1763" s="169" t="str">
        <f>HYPERLINK("https://ledvance.com/pt/product-datasheet/181786/168044","Ficha de Produto")</f>
        <v>Ficha de Produto</v>
      </c>
      <c r="F1763" s="170"/>
      <c r="G1763" s="171" t="s">
        <v>821</v>
      </c>
      <c r="H1763" s="267" t="s">
        <v>4802</v>
      </c>
      <c r="I1763" s="30">
        <v>41.2</v>
      </c>
      <c r="J1763" s="29" t="s">
        <v>721</v>
      </c>
    </row>
    <row r="1764" spans="1:10" ht="15" customHeight="1">
      <c r="A1764" s="172"/>
      <c r="B1764" s="163" t="s">
        <v>4874</v>
      </c>
      <c r="C1764" s="176"/>
      <c r="D1764" s="146"/>
      <c r="E1764" s="146"/>
      <c r="F1764" s="166"/>
      <c r="G1764" s="173"/>
      <c r="H1764" s="162"/>
      <c r="I1764" s="57"/>
      <c r="J1764" s="58"/>
    </row>
    <row r="1765" spans="1:10" ht="15" customHeight="1">
      <c r="A1765" s="172"/>
      <c r="B1765" s="164" t="s">
        <v>4809</v>
      </c>
      <c r="C1765" s="8"/>
      <c r="D1765" s="165"/>
      <c r="E1765" s="165"/>
      <c r="F1765" s="166"/>
      <c r="G1765" s="173"/>
      <c r="H1765" s="166"/>
      <c r="I1765" s="57"/>
      <c r="J1765" s="58"/>
    </row>
    <row r="1766" spans="1:10" ht="12" customHeight="1">
      <c r="A1766" s="167">
        <v>4058075778771</v>
      </c>
      <c r="B1766" s="196" t="s">
        <v>4804</v>
      </c>
      <c r="C1766" s="197">
        <v>2</v>
      </c>
      <c r="D1766" s="198" t="s">
        <v>4788</v>
      </c>
      <c r="E1766" s="169" t="str">
        <f>HYPERLINK("https://ledvance.com/pt/product-datasheet/6443/209223","Ficha de Produto")</f>
        <v>Ficha de Produto</v>
      </c>
      <c r="F1766" s="170"/>
      <c r="G1766" s="171" t="s">
        <v>886</v>
      </c>
      <c r="H1766" s="267" t="s">
        <v>4802</v>
      </c>
      <c r="I1766" s="30">
        <v>34.6</v>
      </c>
      <c r="J1766" s="29" t="s">
        <v>721</v>
      </c>
    </row>
    <row r="1767" spans="1:10" ht="12" customHeight="1">
      <c r="A1767" s="167">
        <v>4099854000232</v>
      </c>
      <c r="B1767" s="196" t="s">
        <v>4875</v>
      </c>
      <c r="C1767" s="197">
        <v>2</v>
      </c>
      <c r="D1767" s="198" t="s">
        <v>4788</v>
      </c>
      <c r="E1767" s="169" t="str">
        <f>HYPERLINK("https://ledvance.com/pt/product-datasheet/177779/220027","Ficha de Produto")</f>
        <v>Ficha de Produto</v>
      </c>
      <c r="F1767" s="170"/>
      <c r="G1767" s="171" t="s">
        <v>6104</v>
      </c>
      <c r="H1767" s="267" t="s">
        <v>4789</v>
      </c>
      <c r="I1767" s="30">
        <v>78.5</v>
      </c>
      <c r="J1767" s="29" t="s">
        <v>721</v>
      </c>
    </row>
    <row r="1768" spans="1:10" ht="15" customHeight="1">
      <c r="A1768" s="172"/>
      <c r="B1768" s="163" t="s">
        <v>4876</v>
      </c>
      <c r="C1768" s="176"/>
      <c r="D1768" s="163"/>
      <c r="E1768" s="163"/>
      <c r="F1768" s="166"/>
      <c r="G1768" s="173"/>
      <c r="H1768" s="162"/>
      <c r="I1768" s="57"/>
      <c r="J1768" s="58"/>
    </row>
    <row r="1769" spans="1:10" ht="15" customHeight="1">
      <c r="A1769" s="172"/>
      <c r="B1769" s="164" t="s">
        <v>4786</v>
      </c>
      <c r="C1769" s="8"/>
      <c r="D1769" s="164"/>
      <c r="E1769" s="164"/>
      <c r="F1769" s="166"/>
      <c r="G1769" s="173"/>
      <c r="H1769" s="166"/>
      <c r="I1769" s="57"/>
      <c r="J1769" s="58"/>
    </row>
    <row r="1770" spans="1:10" ht="12" customHeight="1">
      <c r="A1770" s="167">
        <v>4058075778979</v>
      </c>
      <c r="B1770" s="196" t="s">
        <v>4787</v>
      </c>
      <c r="C1770" s="197">
        <v>3</v>
      </c>
      <c r="D1770" s="198" t="s">
        <v>4788</v>
      </c>
      <c r="E1770" s="169" t="str">
        <f>HYPERLINK("https://ledvance.com/pt/product-datasheet/6445/209272","Ficha de Produto")</f>
        <v>Ficha de Produto</v>
      </c>
      <c r="F1770" s="170"/>
      <c r="G1770" s="171" t="s">
        <v>763</v>
      </c>
      <c r="H1770" s="267" t="s">
        <v>4789</v>
      </c>
      <c r="I1770" s="30">
        <v>49.4</v>
      </c>
      <c r="J1770" s="29" t="s">
        <v>721</v>
      </c>
    </row>
    <row r="1771" spans="1:10" ht="12" customHeight="1">
      <c r="A1771" s="167">
        <v>4058075778917</v>
      </c>
      <c r="B1771" s="196" t="s">
        <v>4790</v>
      </c>
      <c r="C1771" s="197">
        <v>3</v>
      </c>
      <c r="D1771" s="198" t="s">
        <v>4788</v>
      </c>
      <c r="E1771" s="169" t="str">
        <f>HYPERLINK("https://ledvance.com/pt/product-datasheet/6445/209250","Ficha de Produto")</f>
        <v>Ficha de Produto</v>
      </c>
      <c r="F1771" s="170"/>
      <c r="G1771" s="171" t="s">
        <v>6103</v>
      </c>
      <c r="H1771" s="267" t="s">
        <v>4789</v>
      </c>
      <c r="I1771" s="30">
        <v>42.7</v>
      </c>
      <c r="J1771" s="29" t="s">
        <v>721</v>
      </c>
    </row>
    <row r="1772" spans="1:10" ht="12" customHeight="1">
      <c r="A1772" s="167">
        <v>4058075778818</v>
      </c>
      <c r="B1772" s="196" t="s">
        <v>4791</v>
      </c>
      <c r="C1772" s="197">
        <v>3</v>
      </c>
      <c r="D1772" s="198" t="s">
        <v>4788</v>
      </c>
      <c r="E1772" s="169" t="str">
        <f>HYPERLINK("https://ledvance.com/pt/product-datasheet/6445/209192","Ficha de Produto")</f>
        <v>Ficha de Produto</v>
      </c>
      <c r="F1772" s="170"/>
      <c r="G1772" s="171" t="s">
        <v>886</v>
      </c>
      <c r="H1772" s="267" t="s">
        <v>4789</v>
      </c>
      <c r="I1772" s="30">
        <v>35</v>
      </c>
      <c r="J1772" s="29" t="s">
        <v>721</v>
      </c>
    </row>
    <row r="1773" spans="1:10" ht="15" customHeight="1">
      <c r="A1773" s="172"/>
      <c r="B1773" s="164" t="s">
        <v>4877</v>
      </c>
      <c r="C1773" s="8"/>
      <c r="D1773" s="165"/>
      <c r="E1773" s="165"/>
      <c r="F1773" s="166"/>
      <c r="G1773" s="173"/>
      <c r="H1773" s="166"/>
      <c r="I1773" s="57"/>
      <c r="J1773" s="58"/>
    </row>
    <row r="1774" spans="1:10" ht="12" customHeight="1">
      <c r="A1774" s="167">
        <v>4058075778993</v>
      </c>
      <c r="B1774" s="196" t="s">
        <v>4801</v>
      </c>
      <c r="C1774" s="197">
        <v>3</v>
      </c>
      <c r="D1774" s="198" t="s">
        <v>4788</v>
      </c>
      <c r="E1774" s="169" t="str">
        <f>HYPERLINK("https://ledvance.com/pt/product-datasheet/6444/209278","Ficha de Produto")</f>
        <v>Ficha de Produto</v>
      </c>
      <c r="F1774" s="170"/>
      <c r="G1774" s="171" t="s">
        <v>763</v>
      </c>
      <c r="H1774" s="267" t="s">
        <v>4802</v>
      </c>
      <c r="I1774" s="30">
        <v>83.5</v>
      </c>
      <c r="J1774" s="29" t="s">
        <v>721</v>
      </c>
    </row>
    <row r="1775" spans="1:10" ht="12" customHeight="1">
      <c r="A1775" s="167">
        <v>4058075778931</v>
      </c>
      <c r="B1775" s="196" t="s">
        <v>4803</v>
      </c>
      <c r="C1775" s="197">
        <v>3</v>
      </c>
      <c r="D1775" s="198" t="s">
        <v>4788</v>
      </c>
      <c r="E1775" s="169" t="str">
        <f>HYPERLINK("https://ledvance.com/pt/product-datasheet/6444/209259","Ficha de Produto")</f>
        <v>Ficha de Produto</v>
      </c>
      <c r="F1775" s="170"/>
      <c r="G1775" s="171" t="s">
        <v>6103</v>
      </c>
      <c r="H1775" s="267" t="s">
        <v>4802</v>
      </c>
      <c r="I1775" s="30">
        <v>50.5</v>
      </c>
      <c r="J1775" s="29" t="s">
        <v>721</v>
      </c>
    </row>
    <row r="1776" spans="1:10" ht="12" customHeight="1">
      <c r="A1776" s="167">
        <v>4058075778832</v>
      </c>
      <c r="B1776" s="196" t="s">
        <v>4804</v>
      </c>
      <c r="C1776" s="197">
        <v>3</v>
      </c>
      <c r="D1776" s="198" t="s">
        <v>4788</v>
      </c>
      <c r="E1776" s="169" t="str">
        <f>HYPERLINK("https://ledvance.com/pt/product-datasheet/6444/209203","Ficha de Produto")</f>
        <v>Ficha de Produto</v>
      </c>
      <c r="F1776" s="170"/>
      <c r="G1776" s="171" t="s">
        <v>886</v>
      </c>
      <c r="H1776" s="267" t="s">
        <v>4802</v>
      </c>
      <c r="I1776" s="30">
        <v>60.800000000000004</v>
      </c>
      <c r="J1776" s="29" t="s">
        <v>721</v>
      </c>
    </row>
    <row r="1777" spans="1:10" ht="12" customHeight="1">
      <c r="A1777" s="167">
        <v>4058075778856</v>
      </c>
      <c r="B1777" s="196" t="s">
        <v>4806</v>
      </c>
      <c r="C1777" s="197">
        <v>3</v>
      </c>
      <c r="D1777" s="198" t="s">
        <v>4788</v>
      </c>
      <c r="E1777" s="169" t="str">
        <f>HYPERLINK("https://ledvance.com/pt/product-datasheet/6444/209213","Ficha de Produto")</f>
        <v>Ficha de Produto</v>
      </c>
      <c r="F1777" s="170"/>
      <c r="G1777" s="171" t="s">
        <v>886</v>
      </c>
      <c r="H1777" s="267" t="s">
        <v>4802</v>
      </c>
      <c r="I1777" s="30">
        <v>60.800000000000004</v>
      </c>
      <c r="J1777" s="29" t="s">
        <v>721</v>
      </c>
    </row>
    <row r="1778" spans="1:10" ht="15" customHeight="1">
      <c r="A1778" s="172"/>
      <c r="B1778" s="164" t="s">
        <v>4809</v>
      </c>
      <c r="C1778" s="8"/>
      <c r="D1778" s="165"/>
      <c r="E1778" s="165"/>
      <c r="F1778" s="166"/>
      <c r="G1778" s="173"/>
      <c r="H1778" s="166"/>
      <c r="I1778" s="57"/>
      <c r="J1778" s="58"/>
    </row>
    <row r="1779" spans="1:10" ht="12" customHeight="1">
      <c r="A1779" s="167">
        <v>4058075779013</v>
      </c>
      <c r="B1779" s="196" t="s">
        <v>4801</v>
      </c>
      <c r="C1779" s="197">
        <v>3</v>
      </c>
      <c r="D1779" s="198" t="s">
        <v>4788</v>
      </c>
      <c r="E1779" s="169" t="str">
        <f>HYPERLINK("https://ledvance.com/pt/product-datasheet/6443/209284","Ficha de Produto")</f>
        <v>Ficha de Produto</v>
      </c>
      <c r="F1779" s="170"/>
      <c r="G1779" s="171" t="s">
        <v>763</v>
      </c>
      <c r="H1779" s="267" t="s">
        <v>4802</v>
      </c>
      <c r="I1779" s="30">
        <v>92.8</v>
      </c>
      <c r="J1779" s="29" t="s">
        <v>721</v>
      </c>
    </row>
    <row r="1780" spans="1:10" ht="12" customHeight="1">
      <c r="A1780" s="167">
        <v>4058075778955</v>
      </c>
      <c r="B1780" s="196" t="s">
        <v>4803</v>
      </c>
      <c r="C1780" s="197">
        <v>3</v>
      </c>
      <c r="D1780" s="198" t="s">
        <v>4788</v>
      </c>
      <c r="E1780" s="169" t="str">
        <f>HYPERLINK("https://ledvance.com/pt/product-datasheet/6443/209265","Ficha de Produto")</f>
        <v>Ficha de Produto</v>
      </c>
      <c r="F1780" s="170"/>
      <c r="G1780" s="171" t="s">
        <v>6103</v>
      </c>
      <c r="H1780" s="267" t="s">
        <v>4802</v>
      </c>
      <c r="I1780" s="30">
        <v>56.1</v>
      </c>
      <c r="J1780" s="29" t="s">
        <v>721</v>
      </c>
    </row>
    <row r="1781" spans="1:10" ht="12" customHeight="1">
      <c r="A1781" s="167">
        <v>4058075778870</v>
      </c>
      <c r="B1781" s="196" t="s">
        <v>4804</v>
      </c>
      <c r="C1781" s="197">
        <v>3</v>
      </c>
      <c r="D1781" s="198" t="s">
        <v>4788</v>
      </c>
      <c r="E1781" s="169" t="str">
        <f>HYPERLINK("https://ledvance.com/pt/product-datasheet/6443/209228","Ficha de Produto")</f>
        <v>Ficha de Produto</v>
      </c>
      <c r="F1781" s="170"/>
      <c r="G1781" s="171" t="s">
        <v>886</v>
      </c>
      <c r="H1781" s="267" t="s">
        <v>4802</v>
      </c>
      <c r="I1781" s="30">
        <v>49.4</v>
      </c>
      <c r="J1781" s="29" t="s">
        <v>721</v>
      </c>
    </row>
    <row r="1782" spans="1:10" ht="12" customHeight="1">
      <c r="A1782" s="167">
        <v>4058075778894</v>
      </c>
      <c r="B1782" s="196" t="s">
        <v>4806</v>
      </c>
      <c r="C1782" s="197">
        <v>3</v>
      </c>
      <c r="D1782" s="198" t="s">
        <v>4788</v>
      </c>
      <c r="E1782" s="169" t="str">
        <f>HYPERLINK("https://ledvance.com/pt/product-datasheet/6443/209239","Ficha de Produto")</f>
        <v>Ficha de Produto</v>
      </c>
      <c r="F1782" s="170"/>
      <c r="G1782" s="171" t="s">
        <v>886</v>
      </c>
      <c r="H1782" s="267" t="s">
        <v>4802</v>
      </c>
      <c r="I1782" s="30">
        <v>49.4</v>
      </c>
      <c r="J1782" s="29" t="s">
        <v>721</v>
      </c>
    </row>
    <row r="1783" spans="1:10" ht="15" customHeight="1">
      <c r="A1783" s="172"/>
      <c r="B1783" s="163" t="s">
        <v>4878</v>
      </c>
      <c r="C1783" s="176"/>
      <c r="D1783" s="146"/>
      <c r="E1783" s="146"/>
      <c r="F1783" s="166"/>
      <c r="G1783" s="173"/>
      <c r="H1783" s="162"/>
      <c r="I1783" s="57"/>
      <c r="J1783" s="58"/>
    </row>
    <row r="1784" spans="1:10" ht="15" customHeight="1">
      <c r="A1784" s="172"/>
      <c r="B1784" s="164" t="s">
        <v>4815</v>
      </c>
      <c r="C1784" s="8"/>
      <c r="D1784" s="165"/>
      <c r="E1784" s="165"/>
      <c r="F1784" s="166"/>
      <c r="G1784" s="173"/>
      <c r="H1784" s="166"/>
      <c r="I1784" s="57"/>
      <c r="J1784" s="58"/>
    </row>
    <row r="1785" spans="1:10" ht="12" customHeight="1">
      <c r="A1785" s="167">
        <v>4058075779037</v>
      </c>
      <c r="B1785" s="196" t="s">
        <v>4816</v>
      </c>
      <c r="C1785" s="197">
        <v>3</v>
      </c>
      <c r="D1785" s="198" t="s">
        <v>4788</v>
      </c>
      <c r="E1785" s="169" t="str">
        <f>HYPERLINK("https://ledvance.com/pt/product-datasheet/6448/209290","Ficha de Produto")</f>
        <v>Ficha de Produto</v>
      </c>
      <c r="F1785" s="170"/>
      <c r="G1785" s="171" t="s">
        <v>6051</v>
      </c>
      <c r="H1785" s="267" t="s">
        <v>4789</v>
      </c>
      <c r="I1785" s="30">
        <v>34.9</v>
      </c>
      <c r="J1785" s="29" t="s">
        <v>721</v>
      </c>
    </row>
    <row r="1786" spans="1:10" ht="15" customHeight="1">
      <c r="A1786" s="172"/>
      <c r="B1786" s="164" t="s">
        <v>4819</v>
      </c>
      <c r="C1786" s="8"/>
      <c r="D1786" s="165"/>
      <c r="E1786" s="165"/>
      <c r="F1786" s="166"/>
      <c r="G1786" s="173"/>
      <c r="H1786" s="166"/>
      <c r="I1786" s="57"/>
      <c r="J1786" s="58"/>
    </row>
    <row r="1787" spans="1:10" ht="12" customHeight="1">
      <c r="A1787" s="167">
        <v>4058075779051</v>
      </c>
      <c r="B1787" s="196" t="s">
        <v>4820</v>
      </c>
      <c r="C1787" s="197">
        <v>3</v>
      </c>
      <c r="D1787" s="198" t="s">
        <v>4788</v>
      </c>
      <c r="E1787" s="169" t="str">
        <f>HYPERLINK("https://ledvance.com/pt/product-datasheet/6447/209296","Ficha de Produto")</f>
        <v>Ficha de Produto</v>
      </c>
      <c r="F1787" s="170"/>
      <c r="G1787" s="171" t="s">
        <v>6051</v>
      </c>
      <c r="H1787" s="267" t="s">
        <v>4802</v>
      </c>
      <c r="I1787" s="30">
        <v>60.4</v>
      </c>
      <c r="J1787" s="29" t="s">
        <v>721</v>
      </c>
    </row>
    <row r="1788" spans="1:10" ht="15" customHeight="1">
      <c r="A1788" s="172"/>
      <c r="B1788" s="164" t="s">
        <v>4821</v>
      </c>
      <c r="C1788" s="8"/>
      <c r="D1788" s="165"/>
      <c r="E1788" s="165"/>
      <c r="F1788" s="166"/>
      <c r="G1788" s="173"/>
      <c r="H1788" s="166"/>
      <c r="I1788" s="57"/>
      <c r="J1788" s="58"/>
    </row>
    <row r="1789" spans="1:10" ht="12" customHeight="1">
      <c r="A1789" s="167">
        <v>4058075779075</v>
      </c>
      <c r="B1789" s="196" t="s">
        <v>4820</v>
      </c>
      <c r="C1789" s="197">
        <v>3</v>
      </c>
      <c r="D1789" s="198" t="s">
        <v>4788</v>
      </c>
      <c r="E1789" s="169" t="str">
        <f>HYPERLINK("https://ledvance.com/pt/product-datasheet/6446/209302","Ficha de Produto")</f>
        <v>Ficha de Produto</v>
      </c>
      <c r="F1789" s="170"/>
      <c r="G1789" s="171" t="s">
        <v>6051</v>
      </c>
      <c r="H1789" s="267" t="s">
        <v>4802</v>
      </c>
      <c r="I1789" s="30">
        <v>69.699999999999989</v>
      </c>
      <c r="J1789" s="29" t="s">
        <v>721</v>
      </c>
    </row>
    <row r="1790" spans="1:10" ht="15" customHeight="1">
      <c r="A1790" s="172"/>
      <c r="B1790" s="163" t="s">
        <v>4879</v>
      </c>
      <c r="C1790" s="176"/>
      <c r="D1790" s="146"/>
      <c r="E1790" s="146"/>
      <c r="F1790" s="166"/>
      <c r="G1790" s="173"/>
      <c r="H1790" s="162"/>
      <c r="I1790" s="57"/>
      <c r="J1790" s="58"/>
    </row>
    <row r="1791" spans="1:10" ht="15" customHeight="1">
      <c r="A1791" s="172"/>
      <c r="B1791" s="164" t="s">
        <v>4823</v>
      </c>
      <c r="C1791" s="8"/>
      <c r="D1791" s="165"/>
      <c r="E1791" s="165"/>
      <c r="F1791" s="166"/>
      <c r="G1791" s="173"/>
      <c r="H1791" s="166"/>
      <c r="I1791" s="57"/>
      <c r="J1791" s="58"/>
    </row>
    <row r="1792" spans="1:10" ht="12" customHeight="1">
      <c r="A1792" s="167">
        <v>4058075779099</v>
      </c>
      <c r="B1792" s="196" t="s">
        <v>4824</v>
      </c>
      <c r="C1792" s="197">
        <v>3</v>
      </c>
      <c r="D1792" s="198" t="s">
        <v>4788</v>
      </c>
      <c r="E1792" s="169" t="str">
        <f>HYPERLINK("https://ledvance.com/pt/product-datasheet/6451/209308","Ficha de Produto")</f>
        <v>Ficha de Produto</v>
      </c>
      <c r="F1792" s="170"/>
      <c r="G1792" s="171" t="s">
        <v>6051</v>
      </c>
      <c r="H1792" s="267" t="s">
        <v>4789</v>
      </c>
      <c r="I1792" s="30">
        <v>34.9</v>
      </c>
      <c r="J1792" s="29" t="s">
        <v>721</v>
      </c>
    </row>
    <row r="1793" spans="1:10" ht="15" customHeight="1">
      <c r="A1793" s="172"/>
      <c r="B1793" s="164" t="s">
        <v>4828</v>
      </c>
      <c r="C1793" s="8"/>
      <c r="D1793" s="165"/>
      <c r="E1793" s="165"/>
      <c r="F1793" s="166"/>
      <c r="G1793" s="173"/>
      <c r="H1793" s="166"/>
      <c r="I1793" s="57"/>
      <c r="J1793" s="58"/>
    </row>
    <row r="1794" spans="1:10" ht="12" customHeight="1">
      <c r="A1794" s="167">
        <v>4058075779112</v>
      </c>
      <c r="B1794" s="196" t="s">
        <v>4829</v>
      </c>
      <c r="C1794" s="197">
        <v>3</v>
      </c>
      <c r="D1794" s="198" t="s">
        <v>4788</v>
      </c>
      <c r="E1794" s="169" t="str">
        <f>HYPERLINK("https://ledvance.com/pt/product-datasheet/6450/209314","Ficha de Produto")</f>
        <v>Ficha de Produto</v>
      </c>
      <c r="F1794" s="170"/>
      <c r="G1794" s="171" t="s">
        <v>6051</v>
      </c>
      <c r="H1794" s="267" t="s">
        <v>4802</v>
      </c>
      <c r="I1794" s="30">
        <v>60.4</v>
      </c>
      <c r="J1794" s="29" t="s">
        <v>721</v>
      </c>
    </row>
    <row r="1795" spans="1:10" ht="15" customHeight="1">
      <c r="A1795" s="172"/>
      <c r="B1795" s="164" t="s">
        <v>4830</v>
      </c>
      <c r="C1795" s="8"/>
      <c r="D1795" s="165"/>
      <c r="E1795" s="174"/>
      <c r="F1795" s="166"/>
      <c r="G1795" s="173"/>
      <c r="H1795" s="166"/>
      <c r="I1795" s="57"/>
      <c r="J1795" s="58"/>
    </row>
    <row r="1796" spans="1:10" ht="12" customHeight="1">
      <c r="A1796" s="167">
        <v>4058075779136</v>
      </c>
      <c r="B1796" s="196" t="s">
        <v>4829</v>
      </c>
      <c r="C1796" s="197">
        <v>3</v>
      </c>
      <c r="D1796" s="198" t="s">
        <v>4788</v>
      </c>
      <c r="E1796" s="169" t="str">
        <f>HYPERLINK("https://ledvance.com/pt/product-datasheet/6449/209320","Ficha de Produto")</f>
        <v>Ficha de Produto</v>
      </c>
      <c r="F1796" s="170"/>
      <c r="G1796" s="171" t="s">
        <v>6051</v>
      </c>
      <c r="H1796" s="267" t="s">
        <v>4802</v>
      </c>
      <c r="I1796" s="30">
        <v>69.699999999999989</v>
      </c>
      <c r="J1796" s="29" t="s">
        <v>721</v>
      </c>
    </row>
    <row r="1797" spans="1:10" ht="15" customHeight="1">
      <c r="A1797" s="172"/>
      <c r="B1797" s="163" t="s">
        <v>4880</v>
      </c>
      <c r="C1797" s="176"/>
      <c r="D1797" s="146"/>
      <c r="E1797" s="146"/>
      <c r="F1797" s="166"/>
      <c r="G1797" s="173"/>
      <c r="H1797" s="162"/>
      <c r="I1797" s="57"/>
      <c r="J1797" s="58"/>
    </row>
    <row r="1798" spans="1:10" ht="15" customHeight="1">
      <c r="A1798" s="172"/>
      <c r="B1798" s="164" t="s">
        <v>4860</v>
      </c>
      <c r="C1798" s="8"/>
      <c r="D1798" s="165"/>
      <c r="E1798" s="165"/>
      <c r="F1798" s="166"/>
      <c r="G1798" s="173"/>
      <c r="H1798" s="166"/>
      <c r="I1798" s="57"/>
      <c r="J1798" s="58"/>
    </row>
    <row r="1799" spans="1:10" ht="12" customHeight="1">
      <c r="A1799" s="167">
        <v>4058075486010</v>
      </c>
      <c r="B1799" s="196" t="s">
        <v>4861</v>
      </c>
      <c r="C1799" s="197">
        <v>3</v>
      </c>
      <c r="D1799" s="198" t="s">
        <v>4788</v>
      </c>
      <c r="E1799" s="169" t="str">
        <f>HYPERLINK("https://ledvance.com/pt/product-datasheet/6455/85901","Ficha de Produto")</f>
        <v>Ficha de Produto</v>
      </c>
      <c r="F1799" s="170"/>
      <c r="G1799" s="171" t="s">
        <v>6051</v>
      </c>
      <c r="H1799" s="267" t="s">
        <v>4789</v>
      </c>
      <c r="I1799" s="30">
        <v>41.6</v>
      </c>
      <c r="J1799" s="29" t="s">
        <v>721</v>
      </c>
    </row>
    <row r="1800" spans="1:10" ht="15" customHeight="1">
      <c r="A1800" s="172"/>
      <c r="B1800" s="164" t="s">
        <v>4862</v>
      </c>
      <c r="C1800" s="8"/>
      <c r="D1800" s="165"/>
      <c r="E1800" s="165"/>
      <c r="F1800" s="166"/>
      <c r="G1800" s="173"/>
      <c r="H1800" s="166"/>
      <c r="I1800" s="57"/>
      <c r="J1800" s="58"/>
    </row>
    <row r="1801" spans="1:10" ht="12" customHeight="1">
      <c r="A1801" s="167">
        <v>4058075486034</v>
      </c>
      <c r="B1801" s="196" t="s">
        <v>4863</v>
      </c>
      <c r="C1801" s="197">
        <v>3</v>
      </c>
      <c r="D1801" s="198" t="s">
        <v>4788</v>
      </c>
      <c r="E1801" s="169" t="str">
        <f>HYPERLINK("https://ledvance.com/pt/product-datasheet/6454/85908","Ficha de Produto")</f>
        <v>Ficha de Produto</v>
      </c>
      <c r="F1801" s="170"/>
      <c r="G1801" s="171" t="s">
        <v>6051</v>
      </c>
      <c r="H1801" s="267" t="s">
        <v>4802</v>
      </c>
      <c r="I1801" s="30">
        <v>49.4</v>
      </c>
      <c r="J1801" s="29" t="s">
        <v>721</v>
      </c>
    </row>
    <row r="1802" spans="1:10" ht="15" customHeight="1">
      <c r="A1802" s="178"/>
      <c r="B1802" s="164" t="s">
        <v>4864</v>
      </c>
      <c r="C1802" s="8"/>
      <c r="D1802" s="165"/>
      <c r="E1802" s="165"/>
      <c r="F1802" s="179"/>
      <c r="G1802" s="173"/>
      <c r="H1802" s="166"/>
      <c r="I1802" s="57"/>
      <c r="J1802" s="58"/>
    </row>
    <row r="1803" spans="1:10" ht="12" customHeight="1">
      <c r="A1803" s="167">
        <v>4058075486058</v>
      </c>
      <c r="B1803" s="196" t="s">
        <v>4863</v>
      </c>
      <c r="C1803" s="197">
        <v>3</v>
      </c>
      <c r="D1803" s="198" t="s">
        <v>4788</v>
      </c>
      <c r="E1803" s="169" t="str">
        <f>HYPERLINK("https://ledvance.com/pt/product-datasheet/6453/123223","Ficha de Produto")</f>
        <v>Ficha de Produto</v>
      </c>
      <c r="F1803" s="170"/>
      <c r="G1803" s="171" t="s">
        <v>6051</v>
      </c>
      <c r="H1803" s="267" t="s">
        <v>4802</v>
      </c>
      <c r="I1803" s="30">
        <v>56.1</v>
      </c>
      <c r="J1803" s="29" t="s">
        <v>721</v>
      </c>
    </row>
    <row r="1804" spans="1:10" ht="15" customHeight="1">
      <c r="A1804" s="178"/>
      <c r="B1804" s="163" t="s">
        <v>4881</v>
      </c>
      <c r="C1804" s="8"/>
      <c r="D1804" s="165"/>
      <c r="E1804" s="165"/>
      <c r="F1804" s="179"/>
      <c r="G1804" s="173"/>
      <c r="H1804" s="186"/>
      <c r="I1804" s="57"/>
      <c r="J1804" s="58"/>
    </row>
    <row r="1805" spans="1:10" ht="12" customHeight="1">
      <c r="A1805" s="167">
        <v>4058075826656</v>
      </c>
      <c r="B1805" s="112" t="s">
        <v>4882</v>
      </c>
      <c r="C1805" s="62">
        <v>1</v>
      </c>
      <c r="D1805" s="63" t="s">
        <v>4788</v>
      </c>
      <c r="E1805" s="70" t="str">
        <f>HYPERLINK("https://ledvance.com/pt/product-datasheet/250536/250869","Ficha de Produto")</f>
        <v>Ficha de Produto</v>
      </c>
      <c r="F1805" s="170"/>
      <c r="G1805" s="171" t="s">
        <v>6108</v>
      </c>
      <c r="H1805" s="267" t="s">
        <v>4802</v>
      </c>
      <c r="I1805" s="30">
        <v>26.400000000000002</v>
      </c>
      <c r="J1805" s="29" t="s">
        <v>721</v>
      </c>
    </row>
    <row r="1806" spans="1:10" ht="15" customHeight="1">
      <c r="A1806" s="172"/>
      <c r="B1806" s="163" t="s">
        <v>4883</v>
      </c>
      <c r="C1806" s="176"/>
      <c r="D1806" s="146"/>
      <c r="E1806" s="146"/>
      <c r="F1806" s="166"/>
      <c r="G1806" s="173"/>
      <c r="H1806" s="162"/>
      <c r="I1806" s="57"/>
      <c r="J1806" s="58"/>
    </row>
    <row r="1807" spans="1:10" ht="15" customHeight="1">
      <c r="A1807" s="172"/>
      <c r="B1807" s="164" t="s">
        <v>4884</v>
      </c>
      <c r="C1807" s="8"/>
      <c r="D1807" s="165"/>
      <c r="E1807" s="165"/>
      <c r="F1807" s="166"/>
      <c r="G1807" s="173"/>
      <c r="H1807" s="166"/>
      <c r="I1807" s="57"/>
      <c r="J1807" s="58"/>
    </row>
    <row r="1808" spans="1:10" ht="12" customHeight="1">
      <c r="A1808" s="167">
        <v>4058075575790</v>
      </c>
      <c r="B1808" s="112" t="s">
        <v>4885</v>
      </c>
      <c r="C1808" s="62">
        <v>1</v>
      </c>
      <c r="D1808" s="63" t="s">
        <v>4788</v>
      </c>
      <c r="E1808" s="70" t="str">
        <f>HYPERLINK("https://ledvance.com/pt/product-datasheet/169097/156087","Ficha de Produto")</f>
        <v>Ficha de Produto</v>
      </c>
      <c r="F1808" s="170"/>
      <c r="G1808" s="171" t="s">
        <v>886</v>
      </c>
      <c r="H1808" s="267" t="s">
        <v>4839</v>
      </c>
      <c r="I1808" s="30">
        <v>28.5</v>
      </c>
      <c r="J1808" s="29" t="s">
        <v>721</v>
      </c>
    </row>
    <row r="1809" spans="1:10" ht="12" customHeight="1">
      <c r="A1809" s="167">
        <v>4058075762176</v>
      </c>
      <c r="B1809" s="112" t="s">
        <v>4886</v>
      </c>
      <c r="C1809" s="62">
        <v>1</v>
      </c>
      <c r="D1809" s="63" t="s">
        <v>4788</v>
      </c>
      <c r="E1809" s="70" t="str">
        <f>HYPERLINK("https://ledvance.com/pt/product-datasheet/169097/212012","Ficha de Produto")</f>
        <v>Ficha de Produto</v>
      </c>
      <c r="F1809" s="170"/>
      <c r="G1809" s="171" t="s">
        <v>798</v>
      </c>
      <c r="H1809" s="267" t="s">
        <v>4839</v>
      </c>
      <c r="I1809" s="30">
        <v>36.6</v>
      </c>
      <c r="J1809" s="29" t="s">
        <v>721</v>
      </c>
    </row>
    <row r="1810" spans="1:10" ht="12" customHeight="1">
      <c r="A1810" s="167">
        <v>4058075575813</v>
      </c>
      <c r="B1810" s="112" t="s">
        <v>4887</v>
      </c>
      <c r="C1810" s="62">
        <v>1</v>
      </c>
      <c r="D1810" s="63" t="s">
        <v>4788</v>
      </c>
      <c r="E1810" s="70" t="str">
        <f>HYPERLINK("https://ledvance.com/pt/product-datasheet/169097/156090","Ficha de Produto")</f>
        <v>Ficha de Produto</v>
      </c>
      <c r="F1810" s="170"/>
      <c r="G1810" s="171" t="s">
        <v>6051</v>
      </c>
      <c r="H1810" s="267" t="s">
        <v>4839</v>
      </c>
      <c r="I1810" s="30">
        <v>28.5</v>
      </c>
      <c r="J1810" s="29" t="s">
        <v>721</v>
      </c>
    </row>
    <row r="1811" spans="1:10" ht="12" customHeight="1">
      <c r="A1811" s="167">
        <v>4058075575776</v>
      </c>
      <c r="B1811" s="112" t="s">
        <v>4888</v>
      </c>
      <c r="C1811" s="62">
        <v>1</v>
      </c>
      <c r="D1811" s="63" t="s">
        <v>4788</v>
      </c>
      <c r="E1811" s="70" t="str">
        <f>HYPERLINK("https://ledvance.com/pt/product-datasheet/169097/156083","Ficha de Produto")</f>
        <v>Ficha de Produto</v>
      </c>
      <c r="F1811" s="170"/>
      <c r="G1811" s="171" t="s">
        <v>6051</v>
      </c>
      <c r="H1811" s="267" t="s">
        <v>4839</v>
      </c>
      <c r="I1811" s="30">
        <v>28.5</v>
      </c>
      <c r="J1811" s="29" t="s">
        <v>721</v>
      </c>
    </row>
    <row r="1812" spans="1:10" ht="15" customHeight="1">
      <c r="A1812" s="180"/>
      <c r="B1812" s="181" t="s">
        <v>4889</v>
      </c>
      <c r="C1812" s="182"/>
      <c r="D1812" s="183"/>
      <c r="E1812" s="183"/>
      <c r="F1812" s="184"/>
      <c r="G1812" s="173"/>
      <c r="H1812" s="184"/>
      <c r="I1812" s="57"/>
      <c r="J1812" s="58"/>
    </row>
    <row r="1813" spans="1:10" ht="15" customHeight="1">
      <c r="A1813" s="180"/>
      <c r="B1813" s="181" t="s">
        <v>4890</v>
      </c>
      <c r="C1813" s="182"/>
      <c r="D1813" s="183"/>
      <c r="E1813" s="183"/>
      <c r="F1813" s="184"/>
      <c r="G1813" s="173"/>
      <c r="H1813" s="184"/>
      <c r="I1813" s="57"/>
      <c r="J1813" s="58"/>
    </row>
    <row r="1814" spans="1:10" ht="15" customHeight="1">
      <c r="A1814" s="185"/>
      <c r="B1814" s="163" t="s">
        <v>4891</v>
      </c>
      <c r="C1814" s="8"/>
      <c r="D1814" s="165"/>
      <c r="E1814" s="165"/>
      <c r="F1814" s="186"/>
      <c r="G1814" s="173"/>
      <c r="H1814" s="186"/>
      <c r="I1814" s="57"/>
      <c r="J1814" s="58"/>
    </row>
    <row r="1815" spans="1:10" ht="15" customHeight="1">
      <c r="A1815" s="185"/>
      <c r="B1815" s="187" t="s">
        <v>4892</v>
      </c>
      <c r="C1815" s="8"/>
      <c r="D1815" s="165"/>
      <c r="E1815" s="165"/>
      <c r="F1815" s="186"/>
      <c r="G1815" s="173"/>
      <c r="H1815" s="186"/>
      <c r="I1815" s="57"/>
      <c r="J1815" s="58"/>
    </row>
    <row r="1816" spans="1:10" ht="12" customHeight="1">
      <c r="A1816" s="167">
        <v>4058075728981</v>
      </c>
      <c r="B1816" s="196" t="s">
        <v>4893</v>
      </c>
      <c r="C1816" s="197">
        <v>1</v>
      </c>
      <c r="D1816" s="198" t="s">
        <v>4894</v>
      </c>
      <c r="E1816" s="169" t="str">
        <f>HYPERLINK("https://ledvance.com/pt/product-datasheet/6387/203881","Ficha de Produto")</f>
        <v>Ficha de Produto</v>
      </c>
      <c r="F1816" s="170"/>
      <c r="G1816" s="171" t="s">
        <v>886</v>
      </c>
      <c r="H1816" s="267" t="s">
        <v>4789</v>
      </c>
      <c r="I1816" s="30">
        <v>18.700000000000003</v>
      </c>
      <c r="J1816" s="29" t="s">
        <v>721</v>
      </c>
    </row>
    <row r="1817" spans="1:10" ht="15" customHeight="1">
      <c r="A1817" s="185"/>
      <c r="B1817" s="187" t="s">
        <v>4895</v>
      </c>
      <c r="C1817" s="8"/>
      <c r="D1817" s="165"/>
      <c r="E1817" s="165"/>
      <c r="F1817" s="186"/>
      <c r="G1817" s="173"/>
      <c r="H1817" s="186"/>
      <c r="I1817" s="57"/>
      <c r="J1817" s="58"/>
    </row>
    <row r="1818" spans="1:10" ht="12" customHeight="1">
      <c r="A1818" s="167">
        <v>4058075729001</v>
      </c>
      <c r="B1818" s="196" t="s">
        <v>4896</v>
      </c>
      <c r="C1818" s="197">
        <v>1</v>
      </c>
      <c r="D1818" s="198" t="s">
        <v>4894</v>
      </c>
      <c r="E1818" s="169" t="str">
        <f>HYPERLINK("https://ledvance.com/pt/product-datasheet/6386/203884","Ficha de Produto")</f>
        <v>Ficha de Produto</v>
      </c>
      <c r="F1818" s="170"/>
      <c r="G1818" s="171" t="s">
        <v>886</v>
      </c>
      <c r="H1818" s="267" t="s">
        <v>4802</v>
      </c>
      <c r="I1818" s="30">
        <v>21.6</v>
      </c>
      <c r="J1818" s="29" t="s">
        <v>721</v>
      </c>
    </row>
    <row r="1819" spans="1:10" ht="15" customHeight="1">
      <c r="A1819" s="185"/>
      <c r="B1819" s="187" t="s">
        <v>4897</v>
      </c>
      <c r="C1819" s="8"/>
      <c r="D1819" s="165"/>
      <c r="E1819" s="165"/>
      <c r="F1819" s="186"/>
      <c r="G1819" s="173"/>
      <c r="H1819" s="186"/>
      <c r="I1819" s="57"/>
      <c r="J1819" s="58"/>
    </row>
    <row r="1820" spans="1:10" ht="12" customHeight="1">
      <c r="A1820" s="167">
        <v>4058075729025</v>
      </c>
      <c r="B1820" s="196" t="s">
        <v>4898</v>
      </c>
      <c r="C1820" s="197">
        <v>1</v>
      </c>
      <c r="D1820" s="198" t="s">
        <v>4894</v>
      </c>
      <c r="E1820" s="169" t="str">
        <f>HYPERLINK("https://ledvance.com/pt/product-datasheet/6385/204809","Ficha de Produto")</f>
        <v>Ficha de Produto</v>
      </c>
      <c r="F1820" s="170"/>
      <c r="G1820" s="171" t="s">
        <v>886</v>
      </c>
      <c r="H1820" s="197" t="s">
        <v>4899</v>
      </c>
      <c r="I1820" s="30">
        <v>31.6</v>
      </c>
      <c r="J1820" s="29" t="s">
        <v>721</v>
      </c>
    </row>
    <row r="1821" spans="1:10" ht="12" customHeight="1">
      <c r="A1821" s="167">
        <v>4058075729049</v>
      </c>
      <c r="B1821" s="196" t="s">
        <v>4900</v>
      </c>
      <c r="C1821" s="197">
        <v>1</v>
      </c>
      <c r="D1821" s="198" t="s">
        <v>4894</v>
      </c>
      <c r="E1821" s="169" t="str">
        <f>HYPERLINK("https://ledvance.com/pt/product-datasheet/6385/203887","Ficha de Produto")</f>
        <v>Ficha de Produto</v>
      </c>
      <c r="F1821" s="170"/>
      <c r="G1821" s="171" t="s">
        <v>886</v>
      </c>
      <c r="H1821" s="197" t="s">
        <v>4899</v>
      </c>
      <c r="I1821" s="30">
        <v>31.6</v>
      </c>
      <c r="J1821" s="29" t="s">
        <v>721</v>
      </c>
    </row>
    <row r="1822" spans="1:10" ht="15" customHeight="1">
      <c r="A1822" s="185"/>
      <c r="B1822" s="163" t="s">
        <v>4901</v>
      </c>
      <c r="C1822" s="8"/>
      <c r="D1822" s="165"/>
      <c r="E1822" s="165"/>
      <c r="F1822" s="186"/>
      <c r="G1822" s="173"/>
      <c r="H1822" s="186"/>
      <c r="I1822" s="57"/>
      <c r="J1822" s="58"/>
    </row>
    <row r="1823" spans="1:10" ht="15" customHeight="1">
      <c r="A1823" s="185"/>
      <c r="B1823" s="187" t="s">
        <v>4902</v>
      </c>
      <c r="C1823" s="8"/>
      <c r="D1823" s="165"/>
      <c r="E1823" s="165"/>
      <c r="F1823" s="186"/>
      <c r="G1823" s="173"/>
      <c r="H1823" s="186"/>
      <c r="I1823" s="57"/>
      <c r="J1823" s="58"/>
    </row>
    <row r="1824" spans="1:10" ht="12" customHeight="1">
      <c r="A1824" s="167">
        <v>4058075729063</v>
      </c>
      <c r="B1824" s="196" t="s">
        <v>4903</v>
      </c>
      <c r="C1824" s="197">
        <v>1</v>
      </c>
      <c r="D1824" s="198" t="s">
        <v>4894</v>
      </c>
      <c r="E1824" s="169" t="str">
        <f>HYPERLINK("https://ledvance.com/pt/product-datasheet/6387/203890","Ficha de Produto")</f>
        <v>Ficha de Produto</v>
      </c>
      <c r="F1824" s="170"/>
      <c r="G1824" s="171" t="s">
        <v>6051</v>
      </c>
      <c r="H1824" s="267" t="s">
        <v>4789</v>
      </c>
      <c r="I1824" s="30">
        <v>31.8</v>
      </c>
      <c r="J1824" s="29" t="s">
        <v>721</v>
      </c>
    </row>
    <row r="1825" spans="1:10" ht="15" customHeight="1">
      <c r="A1825" s="185"/>
      <c r="B1825" s="187" t="s">
        <v>4904</v>
      </c>
      <c r="C1825" s="8"/>
      <c r="D1825" s="165"/>
      <c r="E1825" s="165"/>
      <c r="F1825" s="186"/>
      <c r="G1825" s="173"/>
      <c r="H1825" s="186"/>
      <c r="I1825" s="57"/>
      <c r="J1825" s="58"/>
    </row>
    <row r="1826" spans="1:10" ht="12" customHeight="1">
      <c r="A1826" s="167">
        <v>4058075729087</v>
      </c>
      <c r="B1826" s="196" t="s">
        <v>4905</v>
      </c>
      <c r="C1826" s="197">
        <v>1</v>
      </c>
      <c r="D1826" s="198" t="s">
        <v>4894</v>
      </c>
      <c r="E1826" s="168" t="s">
        <v>4906</v>
      </c>
      <c r="F1826" s="170"/>
      <c r="G1826" s="171" t="s">
        <v>6051</v>
      </c>
      <c r="H1826" s="267" t="s">
        <v>4802</v>
      </c>
      <c r="I1826" s="30">
        <v>29.8</v>
      </c>
      <c r="J1826" s="29" t="s">
        <v>721</v>
      </c>
    </row>
    <row r="1827" spans="1:10" ht="15" customHeight="1">
      <c r="A1827" s="185"/>
      <c r="B1827" s="163" t="s">
        <v>4907</v>
      </c>
      <c r="C1827" s="8"/>
      <c r="D1827" s="165"/>
      <c r="E1827" s="165"/>
      <c r="F1827" s="186"/>
      <c r="G1827" s="173"/>
      <c r="H1827" s="186"/>
      <c r="I1827" s="57"/>
      <c r="J1827" s="58"/>
    </row>
    <row r="1828" spans="1:10" ht="15" customHeight="1">
      <c r="A1828" s="185"/>
      <c r="B1828" s="187" t="s">
        <v>4908</v>
      </c>
      <c r="C1828" s="8"/>
      <c r="D1828" s="165"/>
      <c r="E1828" s="165"/>
      <c r="F1828" s="186"/>
      <c r="G1828" s="173"/>
      <c r="H1828" s="186"/>
      <c r="I1828" s="57"/>
      <c r="J1828" s="58"/>
    </row>
    <row r="1829" spans="1:10" ht="12" customHeight="1">
      <c r="A1829" s="167">
        <v>4058075729100</v>
      </c>
      <c r="B1829" s="196" t="s">
        <v>4909</v>
      </c>
      <c r="C1829" s="197">
        <v>1</v>
      </c>
      <c r="D1829" s="198" t="s">
        <v>4894</v>
      </c>
      <c r="E1829" s="169" t="str">
        <f>HYPERLINK("https://ledvance.com/pt/product-datasheet/6387/203896","Ficha de Produto")</f>
        <v>Ficha de Produto</v>
      </c>
      <c r="F1829" s="170"/>
      <c r="G1829" s="171" t="s">
        <v>6051</v>
      </c>
      <c r="H1829" s="267" t="s">
        <v>4789</v>
      </c>
      <c r="I1829" s="30">
        <v>26.8</v>
      </c>
      <c r="J1829" s="29" t="s">
        <v>721</v>
      </c>
    </row>
    <row r="1830" spans="1:10" ht="15" customHeight="1">
      <c r="A1830" s="185"/>
      <c r="B1830" s="187" t="s">
        <v>4910</v>
      </c>
      <c r="C1830" s="8"/>
      <c r="D1830" s="165"/>
      <c r="E1830" s="165"/>
      <c r="F1830" s="186"/>
      <c r="G1830" s="173"/>
      <c r="H1830" s="186"/>
      <c r="I1830" s="57"/>
      <c r="J1830" s="58"/>
    </row>
    <row r="1831" spans="1:10" ht="12" customHeight="1">
      <c r="A1831" s="167">
        <v>4058075729124</v>
      </c>
      <c r="B1831" s="196" t="s">
        <v>4911</v>
      </c>
      <c r="C1831" s="197">
        <v>1</v>
      </c>
      <c r="D1831" s="198" t="s">
        <v>4894</v>
      </c>
      <c r="E1831" s="169" t="str">
        <f>HYPERLINK("https://ledvance.com/pt/product-datasheet/6390/203899","Ficha de Produto")</f>
        <v>Ficha de Produto</v>
      </c>
      <c r="F1831" s="170"/>
      <c r="G1831" s="171" t="s">
        <v>6051</v>
      </c>
      <c r="H1831" s="267" t="s">
        <v>4802</v>
      </c>
      <c r="I1831" s="30">
        <v>27.6</v>
      </c>
      <c r="J1831" s="29" t="s">
        <v>721</v>
      </c>
    </row>
    <row r="1832" spans="1:10" ht="15" customHeight="1">
      <c r="A1832" s="185"/>
      <c r="B1832" s="163" t="s">
        <v>4912</v>
      </c>
      <c r="C1832" s="8"/>
      <c r="D1832" s="165"/>
      <c r="E1832" s="165"/>
      <c r="F1832" s="186"/>
      <c r="G1832" s="173"/>
      <c r="H1832" s="186"/>
      <c r="I1832" s="57"/>
      <c r="J1832" s="58"/>
    </row>
    <row r="1833" spans="1:10" ht="15" customHeight="1">
      <c r="A1833" s="185"/>
      <c r="B1833" s="187" t="s">
        <v>4913</v>
      </c>
      <c r="C1833" s="8"/>
      <c r="D1833" s="165"/>
      <c r="E1833" s="165"/>
      <c r="F1833" s="186"/>
      <c r="G1833" s="173"/>
      <c r="H1833" s="186"/>
      <c r="I1833" s="57"/>
      <c r="J1833" s="58"/>
    </row>
    <row r="1834" spans="1:10" ht="12" customHeight="1">
      <c r="A1834" s="167">
        <v>4058075729209</v>
      </c>
      <c r="B1834" s="196" t="s">
        <v>4914</v>
      </c>
      <c r="C1834" s="197">
        <v>1</v>
      </c>
      <c r="D1834" s="198" t="s">
        <v>4894</v>
      </c>
      <c r="E1834" s="169" t="str">
        <f>HYPERLINK("https://ledvance.com/pt/product-datasheet/141279/204357","Ficha de Produto")</f>
        <v>Ficha de Produto</v>
      </c>
      <c r="F1834" s="170"/>
      <c r="G1834" s="171" t="s">
        <v>795</v>
      </c>
      <c r="H1834" s="267" t="s">
        <v>4797</v>
      </c>
      <c r="I1834" s="30">
        <v>33.5</v>
      </c>
      <c r="J1834" s="29" t="s">
        <v>721</v>
      </c>
    </row>
    <row r="1835" spans="1:10" ht="15" customHeight="1">
      <c r="A1835" s="185"/>
      <c r="B1835" s="163" t="s">
        <v>4915</v>
      </c>
      <c r="C1835" s="8"/>
      <c r="D1835" s="165"/>
      <c r="E1835" s="165"/>
      <c r="F1835" s="186"/>
      <c r="G1835" s="173"/>
      <c r="H1835" s="186"/>
      <c r="I1835" s="57"/>
      <c r="J1835" s="58"/>
    </row>
    <row r="1836" spans="1:10" ht="15" customHeight="1">
      <c r="A1836" s="185"/>
      <c r="B1836" s="187" t="s">
        <v>4916</v>
      </c>
      <c r="C1836" s="8"/>
      <c r="D1836" s="165"/>
      <c r="E1836" s="165"/>
      <c r="F1836" s="186"/>
      <c r="G1836" s="173"/>
      <c r="H1836" s="186"/>
      <c r="I1836" s="57"/>
      <c r="J1836" s="58"/>
    </row>
    <row r="1837" spans="1:10" ht="12" customHeight="1">
      <c r="A1837" s="167">
        <v>4058075729223</v>
      </c>
      <c r="B1837" s="196" t="s">
        <v>4917</v>
      </c>
      <c r="C1837" s="197">
        <v>1</v>
      </c>
      <c r="D1837" s="198" t="s">
        <v>4894</v>
      </c>
      <c r="E1837" s="169" t="str">
        <f>HYPERLINK("https://ledvance.com/pt/product-datasheet/141281/204360","Ficha de Produto")</f>
        <v>Ficha de Produto</v>
      </c>
      <c r="F1837" s="170"/>
      <c r="G1837" s="171" t="s">
        <v>795</v>
      </c>
      <c r="H1837" s="267" t="s">
        <v>4797</v>
      </c>
      <c r="I1837" s="30">
        <v>40.5</v>
      </c>
      <c r="J1837" s="29" t="s">
        <v>721</v>
      </c>
    </row>
    <row r="1838" spans="1:10" ht="15" customHeight="1">
      <c r="A1838" s="185"/>
      <c r="B1838" s="163" t="s">
        <v>4918</v>
      </c>
      <c r="C1838" s="8"/>
      <c r="D1838" s="165"/>
      <c r="E1838" s="165"/>
      <c r="F1838" s="186"/>
      <c r="G1838" s="173"/>
      <c r="H1838" s="186"/>
      <c r="I1838" s="57"/>
      <c r="J1838" s="58"/>
    </row>
    <row r="1839" spans="1:10" ht="15" customHeight="1">
      <c r="A1839" s="185"/>
      <c r="B1839" s="187" t="s">
        <v>4919</v>
      </c>
      <c r="C1839" s="8"/>
      <c r="D1839" s="165"/>
      <c r="E1839" s="165"/>
      <c r="F1839" s="186"/>
      <c r="G1839" s="173"/>
      <c r="H1839" s="186"/>
      <c r="I1839" s="57"/>
      <c r="J1839" s="58"/>
    </row>
    <row r="1840" spans="1:10" ht="12" customHeight="1">
      <c r="A1840" s="167">
        <v>4058075729247</v>
      </c>
      <c r="B1840" s="196" t="s">
        <v>4920</v>
      </c>
      <c r="C1840" s="197">
        <v>1</v>
      </c>
      <c r="D1840" s="198" t="s">
        <v>4894</v>
      </c>
      <c r="E1840" s="169" t="str">
        <f>HYPERLINK("https://ledvance.com/pt/product-datasheet/141280/204363","Ficha de Produto")</f>
        <v>Ficha de Produto</v>
      </c>
      <c r="F1840" s="170"/>
      <c r="G1840" s="171" t="s">
        <v>795</v>
      </c>
      <c r="H1840" s="267" t="s">
        <v>4797</v>
      </c>
      <c r="I1840" s="30">
        <v>40.5</v>
      </c>
      <c r="J1840" s="29" t="s">
        <v>721</v>
      </c>
    </row>
    <row r="1841" spans="1:10" ht="15" customHeight="1">
      <c r="A1841" s="185"/>
      <c r="B1841" s="163" t="s">
        <v>4921</v>
      </c>
      <c r="C1841" s="8"/>
      <c r="D1841" s="165"/>
      <c r="E1841" s="165"/>
      <c r="F1841" s="186"/>
      <c r="G1841" s="173"/>
      <c r="H1841" s="186"/>
      <c r="I1841" s="57"/>
      <c r="J1841" s="58"/>
    </row>
    <row r="1842" spans="1:10" ht="15" customHeight="1">
      <c r="A1842" s="185"/>
      <c r="B1842" s="187" t="s">
        <v>4922</v>
      </c>
      <c r="C1842" s="8"/>
      <c r="D1842" s="165"/>
      <c r="E1842" s="165"/>
      <c r="F1842" s="186"/>
      <c r="G1842" s="173"/>
      <c r="H1842" s="186"/>
      <c r="I1842" s="57"/>
      <c r="J1842" s="58"/>
    </row>
    <row r="1843" spans="1:10" ht="12" customHeight="1">
      <c r="A1843" s="167">
        <v>4058075729148</v>
      </c>
      <c r="B1843" s="196" t="s">
        <v>4923</v>
      </c>
      <c r="C1843" s="197">
        <v>1</v>
      </c>
      <c r="D1843" s="198" t="s">
        <v>4894</v>
      </c>
      <c r="E1843" s="169" t="str">
        <f>HYPERLINK("https://ledvance.com/pt/product-datasheet/6387/203902","Ficha de Produto")</f>
        <v>Ficha de Produto</v>
      </c>
      <c r="F1843" s="170"/>
      <c r="G1843" s="171" t="s">
        <v>6107</v>
      </c>
      <c r="H1843" s="267" t="s">
        <v>4789</v>
      </c>
      <c r="I1843" s="30">
        <v>22.5</v>
      </c>
      <c r="J1843" s="29" t="s">
        <v>721</v>
      </c>
    </row>
    <row r="1844" spans="1:10" ht="15" customHeight="1">
      <c r="A1844" s="185"/>
      <c r="B1844" s="187" t="s">
        <v>4924</v>
      </c>
      <c r="C1844" s="8"/>
      <c r="D1844" s="165"/>
      <c r="E1844" s="165"/>
      <c r="F1844" s="186"/>
      <c r="G1844" s="173"/>
      <c r="H1844" s="186"/>
      <c r="I1844" s="57"/>
      <c r="J1844" s="58"/>
    </row>
    <row r="1845" spans="1:10" ht="12" customHeight="1">
      <c r="A1845" s="167">
        <v>4058075729162</v>
      </c>
      <c r="B1845" s="196" t="s">
        <v>4925</v>
      </c>
      <c r="C1845" s="197">
        <v>1</v>
      </c>
      <c r="D1845" s="198" t="s">
        <v>4894</v>
      </c>
      <c r="E1845" s="169" t="str">
        <f>HYPERLINK("https://ledvance.com/pt/product-datasheet/6270/203906","Ficha de Produto")</f>
        <v>Ficha de Produto</v>
      </c>
      <c r="F1845" s="170"/>
      <c r="G1845" s="171" t="s">
        <v>6107</v>
      </c>
      <c r="H1845" s="267" t="s">
        <v>4802</v>
      </c>
      <c r="I1845" s="30">
        <v>29.8</v>
      </c>
      <c r="J1845" s="29" t="s">
        <v>721</v>
      </c>
    </row>
    <row r="1846" spans="1:10" ht="15" customHeight="1">
      <c r="A1846" s="185"/>
      <c r="B1846" s="187" t="s">
        <v>4926</v>
      </c>
      <c r="C1846" s="8"/>
      <c r="D1846" s="165"/>
      <c r="E1846" s="165"/>
      <c r="F1846" s="186"/>
      <c r="G1846" s="173"/>
      <c r="H1846" s="186"/>
      <c r="I1846" s="57"/>
      <c r="J1846" s="58"/>
    </row>
    <row r="1847" spans="1:10" ht="12" customHeight="1" thickBot="1">
      <c r="A1847" s="188">
        <v>4058075729186</v>
      </c>
      <c r="B1847" s="200" t="s">
        <v>4927</v>
      </c>
      <c r="C1847" s="201">
        <v>1</v>
      </c>
      <c r="D1847" s="202" t="s">
        <v>4894</v>
      </c>
      <c r="E1847" s="189" t="str">
        <f>HYPERLINK("https://ledvance.com/pt/product-datasheet/6398/203910","Ficha de Produto")</f>
        <v>Ficha de Produto</v>
      </c>
      <c r="F1847" s="190"/>
      <c r="G1847" s="191" t="s">
        <v>6051</v>
      </c>
      <c r="H1847" s="201" t="s">
        <v>4928</v>
      </c>
      <c r="I1847" s="31">
        <v>37.1</v>
      </c>
      <c r="J1847" s="192" t="s">
        <v>721</v>
      </c>
    </row>
    <row r="1848" spans="1:10" ht="12" customHeight="1"/>
    <row r="1849" spans="1:10" ht="12" customHeight="1">
      <c r="A1849" s="12" t="s">
        <v>760</v>
      </c>
    </row>
    <row r="1850" spans="1:10" ht="12" customHeight="1">
      <c r="A1850" s="13" t="s">
        <v>1241</v>
      </c>
    </row>
    <row r="1851" spans="1:10" ht="12" customHeight="1">
      <c r="A1851" s="13" t="s">
        <v>1242</v>
      </c>
    </row>
    <row r="1852" spans="1:10" ht="12" customHeight="1">
      <c r="A1852" s="13" t="s">
        <v>1243</v>
      </c>
    </row>
    <row r="1853" spans="1:10" ht="12" customHeight="1">
      <c r="A1853" s="13" t="s">
        <v>1248</v>
      </c>
    </row>
    <row r="1854" spans="1:10" ht="12" customHeight="1">
      <c r="A1854" s="13"/>
    </row>
    <row r="1855" spans="1:10" ht="12" customHeight="1">
      <c r="A1855" s="213" t="s">
        <v>1244</v>
      </c>
    </row>
    <row r="1856" spans="1:10" ht="12" customHeight="1">
      <c r="A1856" s="14" t="s">
        <v>1245</v>
      </c>
    </row>
    <row r="1857" spans="1:1" ht="12" customHeight="1">
      <c r="A1857" s="15" t="s">
        <v>1246</v>
      </c>
    </row>
    <row r="1858" spans="1:1" ht="12" customHeight="1">
      <c r="A1858" s="16" t="s">
        <v>1247</v>
      </c>
    </row>
    <row r="1859" spans="1:1" ht="12" customHeight="1">
      <c r="A1859" s="17" t="s">
        <v>761</v>
      </c>
    </row>
    <row r="1860" spans="1:1" ht="12" customHeight="1"/>
    <row r="1861" spans="1:1" ht="12" customHeight="1"/>
    <row r="1862" spans="1:1" ht="12" customHeight="1"/>
    <row r="1863" spans="1:1" ht="12" customHeight="1"/>
    <row r="1864" spans="1:1" ht="12" customHeight="1"/>
    <row r="1865" spans="1:1" ht="12" customHeight="1"/>
    <row r="1866" spans="1:1" ht="12" customHeight="1"/>
    <row r="1867" spans="1:1" ht="12" customHeight="1"/>
    <row r="1868" spans="1:1" ht="12" customHeight="1"/>
    <row r="1869" spans="1:1" ht="12" customHeight="1"/>
    <row r="1870" spans="1:1" ht="12" customHeight="1"/>
    <row r="1871" spans="1:1" ht="12" customHeight="1"/>
    <row r="1872" spans="1:1" ht="12" customHeight="1"/>
    <row r="1873" ht="12" customHeight="1"/>
    <row r="1874" ht="12" customHeight="1"/>
    <row r="1875" ht="12" customHeight="1"/>
    <row r="1876" ht="12" customHeight="1"/>
    <row r="1877" ht="12" customHeight="1"/>
    <row r="1878" ht="12" customHeight="1"/>
    <row r="1879" ht="12" customHeight="1"/>
    <row r="1880" ht="12" customHeight="1"/>
    <row r="1881" ht="12" customHeight="1"/>
    <row r="1882" ht="12" customHeight="1"/>
    <row r="1883" ht="12" customHeight="1"/>
  </sheetData>
  <hyperlinks>
    <hyperlink ref="D1589:D1592" r:id="rId1" display="SUN@HOME" xr:uid="{77A309CF-92D7-4A60-AD17-237DEE7CA076}"/>
    <hyperlink ref="D1586:D1587" r:id="rId2" display="SUN@HOME" xr:uid="{992D2D1A-4F86-4664-99AC-B7AC2AC2CE36}"/>
    <hyperlink ref="D1583:D1584" r:id="rId3" display="SUN@HOME" xr:uid="{BFEECACE-45D2-4B92-8C31-D2984B86A4B0}"/>
    <hyperlink ref="D1579:D1581" r:id="rId4" display="SUN@HOME" xr:uid="{AD07640F-BA6D-4114-BE04-7E0EBBC72767}"/>
    <hyperlink ref="D1572:D1577" r:id="rId5" display="SUN@HOME" xr:uid="{FC2DC366-511B-48E8-B608-F9DE598400E3}"/>
    <hyperlink ref="D1568:D1570" r:id="rId6" display="SUN@HOME" xr:uid="{64490AFA-08A6-4FB6-8786-BD7A2E84BDA3}"/>
    <hyperlink ref="D1566" r:id="rId7" display="SUN@HOME" xr:uid="{890FD27D-FCC7-47D3-80AF-4465F982F82F}"/>
    <hyperlink ref="D1563:D1565" r:id="rId8" display="SUN@HOME" xr:uid="{DA47153F-99D7-4343-A52C-85FAF376B5BF}"/>
    <hyperlink ref="D1561" r:id="rId9" display="SUN@HOME" xr:uid="{C53826C5-DBD4-4DB4-9ECD-3C00CEE23727}"/>
    <hyperlink ref="A1578" r:id="rId10" display="SUN@HOME WIFI PLANON™ FRAMELESS" xr:uid="{C6B5CE18-D115-4750-9C0A-C31A71C1BFE6}"/>
    <hyperlink ref="A1571" r:id="rId11" display="SUN@HOME WIFI PLANON™ FRAMELESS" xr:uid="{735F16F4-4117-4304-AE15-2E7268CF78B2}"/>
    <hyperlink ref="A1567" r:id="rId12" display="SUN@HOME Bathroom " xr:uid="{F54D0F38-1A3F-4E77-BEFA-8B662AEF5DED}"/>
    <hyperlink ref="B1806" r:id="rId13" xr:uid="{5AD5B5E6-3DFB-4E19-BDBA-DCE131E1CA13}"/>
  </hyperlinks>
  <pageMargins left="0.7" right="0.7" top="0.75" bottom="0.75" header="0.3" footer="0.3"/>
  <drawing r:id="rId1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6C6C5686AEBEE48AA04C922CB6AB7FB" ma:contentTypeVersion="17" ma:contentTypeDescription="Criar um novo documento." ma:contentTypeScope="" ma:versionID="5c01d8de650f6e967e08a4c365680f46">
  <xsd:schema xmlns:xsd="http://www.w3.org/2001/XMLSchema" xmlns:xs="http://www.w3.org/2001/XMLSchema" xmlns:p="http://schemas.microsoft.com/office/2006/metadata/properties" xmlns:ns2="46c6d5d0-4430-4cf9-8b3a-d92a67642c86" xmlns:ns3="d39b361e-f530-490a-883a-664bab934b0b" targetNamespace="http://schemas.microsoft.com/office/2006/metadata/properties" ma:root="true" ma:fieldsID="a4c83865577f86e7827f628fbee7a606" ns2:_="" ns3:_="">
    <xsd:import namespace="46c6d5d0-4430-4cf9-8b3a-d92a67642c86"/>
    <xsd:import namespace="d39b361e-f530-490a-883a-664bab934b0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LengthInSecond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c6d5d0-4430-4cf9-8b3a-d92a67642c8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b361e-f530-490a-883a-664bab934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m" ma:readOnly="false" ma:fieldId="{5cf76f15-5ced-4ddc-b409-7134ff3c332f}" ma:taxonomyMulti="true" ma:sspId="6397b5df-6af8-4b0d-bf9a-c36ae5aed90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71FB96-E646-439E-9E27-15823C4A798B}"/>
</file>

<file path=customXml/itemProps2.xml><?xml version="1.0" encoding="utf-8"?>
<ds:datastoreItem xmlns:ds="http://schemas.openxmlformats.org/officeDocument/2006/customXml" ds:itemID="{EC555912-F44C-411A-94AC-DC12795EC0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Portefólio PROFISSIONAL (B2B)</vt:lpstr>
      <vt:lpstr>Portefólio RESIDENCIAL (B2C)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Sequeira, Ana-Isabel</dc:creator>
  <cp:lastModifiedBy>José Bartissol</cp:lastModifiedBy>
  <dcterms:created xsi:type="dcterms:W3CDTF">2021-08-07T14:43:48Z</dcterms:created>
  <dcterms:modified xsi:type="dcterms:W3CDTF">2024-03-05T15:59:41Z</dcterms:modified>
</cp:coreProperties>
</file>